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 defaultThemeVersion="124226"/>
  <bookViews>
    <workbookView xWindow="270" yWindow="15" windowWidth="19020" windowHeight="11895" tabRatio="678"/>
  </bookViews>
  <sheets>
    <sheet name="Disclaimer" sheetId="47" r:id="rId1"/>
    <sheet name="Voorblad" sheetId="40" r:id="rId2"/>
    <sheet name="Regulier jaardosis medewerkers" sheetId="14" r:id="rId3"/>
    <sheet name="Voorzien onbedoeld" sheetId="18" r:id="rId4"/>
    <sheet name="Dosis overzicht" sheetId="32" r:id="rId5"/>
    <sheet name="Linac 1" sheetId="42" r:id="rId6"/>
    <sheet name="Linac 2" sheetId="44" r:id="rId7"/>
    <sheet name="Linac 3" sheetId="45" r:id="rId8"/>
    <sheet name="Linac 4" sheetId="46" r:id="rId9"/>
    <sheet name="plattegronden Linac" sheetId="43" r:id="rId10"/>
    <sheet name="CT" sheetId="15" r:id="rId11"/>
    <sheet name="Orthovolt" sheetId="23" r:id="rId12"/>
    <sheet name="Brachy HDR" sheetId="29" r:id="rId13"/>
    <sheet name="Brachy PDR" sheetId="30" r:id="rId14"/>
    <sheet name="I-125 implantatie" sheetId="21" r:id="rId15"/>
    <sheet name="PET-CT " sheetId="27" r:id="rId16"/>
    <sheet name="TVT's afscherming" sheetId="16" r:id="rId17"/>
    <sheet name="reflectiecoeff" sheetId="20" r:id="rId18"/>
    <sheet name="scatterfactoren" sheetId="39" r:id="rId19"/>
    <sheet name="Geschiedenis" sheetId="12" r:id="rId20"/>
  </sheets>
  <calcPr calcId="114210"/>
</workbook>
</file>

<file path=xl/calcChain.xml><?xml version="1.0" encoding="utf-8"?>
<calcChain xmlns="http://schemas.openxmlformats.org/spreadsheetml/2006/main">
  <c r="D43" i="23"/>
  <c r="I29" i="15"/>
  <c r="G19"/>
  <c r="E133" i="42"/>
  <c r="I40" i="14"/>
  <c r="I41"/>
  <c r="G37" i="21"/>
  <c r="H37"/>
  <c r="O42" i="32"/>
  <c r="H20" i="27"/>
  <c r="I20"/>
  <c r="G23" i="21"/>
  <c r="H23"/>
  <c r="E22"/>
  <c r="F22"/>
  <c r="F149" i="42"/>
  <c r="D50" i="32"/>
  <c r="F57" i="18"/>
  <c r="F141" i="42"/>
  <c r="D49" i="32"/>
  <c r="F56" i="18"/>
  <c r="X127" i="46"/>
  <c r="U127"/>
  <c r="R127"/>
  <c r="O127"/>
  <c r="L127"/>
  <c r="X127" i="45"/>
  <c r="U127"/>
  <c r="R127"/>
  <c r="O127"/>
  <c r="L127"/>
  <c r="X127" i="44"/>
  <c r="U127"/>
  <c r="R127"/>
  <c r="O127"/>
  <c r="L127"/>
  <c r="E10" i="42"/>
  <c r="I132"/>
  <c r="B164" i="46"/>
  <c r="B156"/>
  <c r="B148"/>
  <c r="B140"/>
  <c r="A164"/>
  <c r="A156"/>
  <c r="A148"/>
  <c r="A140"/>
  <c r="B164" i="45"/>
  <c r="B156"/>
  <c r="B148"/>
  <c r="B140"/>
  <c r="A164"/>
  <c r="A156"/>
  <c r="A148"/>
  <c r="A140"/>
  <c r="B164" i="44"/>
  <c r="B156"/>
  <c r="A156"/>
  <c r="B148"/>
  <c r="A148"/>
  <c r="B140"/>
  <c r="A140"/>
  <c r="I17" i="32"/>
  <c r="I16"/>
  <c r="J44"/>
  <c r="I44"/>
  <c r="J42"/>
  <c r="J41"/>
  <c r="I41"/>
  <c r="J38"/>
  <c r="I38"/>
  <c r="J35"/>
  <c r="I35"/>
  <c r="J33"/>
  <c r="I33"/>
  <c r="J31"/>
  <c r="I31"/>
  <c r="G141" i="42"/>
  <c r="F49" i="32"/>
  <c r="G149" i="42"/>
  <c r="F50" i="32"/>
  <c r="I56" i="18"/>
  <c r="J56"/>
  <c r="I133" i="42"/>
  <c r="J132"/>
  <c r="D48" i="32"/>
  <c r="I17" i="23"/>
  <c r="I16"/>
  <c r="I15"/>
  <c r="H17"/>
  <c r="H16"/>
  <c r="H15"/>
  <c r="G17"/>
  <c r="G16"/>
  <c r="G15"/>
  <c r="F17"/>
  <c r="F16"/>
  <c r="F15"/>
  <c r="E17"/>
  <c r="E16"/>
  <c r="E15"/>
  <c r="D17"/>
  <c r="D16"/>
  <c r="D15"/>
  <c r="I12"/>
  <c r="M23"/>
  <c r="K132" i="42"/>
  <c r="F48" i="32"/>
  <c r="D45" i="23"/>
  <c r="D46"/>
  <c r="D48"/>
  <c r="D51"/>
  <c r="D52"/>
  <c r="D50"/>
  <c r="D44"/>
  <c r="I14"/>
  <c r="H14"/>
  <c r="G14"/>
  <c r="F14"/>
  <c r="E14"/>
  <c r="D14"/>
  <c r="N16" i="32"/>
  <c r="L19"/>
  <c r="L16"/>
  <c r="D49" i="23"/>
  <c r="L37"/>
  <c r="P23"/>
  <c r="F11" i="15"/>
  <c r="F10"/>
  <c r="F9"/>
  <c r="F8"/>
  <c r="K19"/>
  <c r="H19"/>
  <c r="K30"/>
  <c r="J30"/>
  <c r="I30"/>
  <c r="K29"/>
  <c r="J29"/>
  <c r="L30"/>
  <c r="L29"/>
  <c r="M29"/>
  <c r="A119" i="45"/>
  <c r="A95"/>
  <c r="N31" i="32"/>
  <c r="F31" i="18"/>
  <c r="I31"/>
  <c r="J31"/>
  <c r="N29" i="15"/>
  <c r="O31" i="32"/>
  <c r="F7" i="18"/>
  <c r="I7"/>
  <c r="F44"/>
  <c r="I44"/>
  <c r="J44"/>
  <c r="N38" i="46"/>
  <c r="N38" i="45"/>
  <c r="N38" i="44"/>
  <c r="N38" i="42"/>
  <c r="B101" i="46"/>
  <c r="B97"/>
  <c r="B93"/>
  <c r="B80"/>
  <c r="B76"/>
  <c r="B72"/>
  <c r="B68"/>
  <c r="B121" i="45"/>
  <c r="B97"/>
  <c r="B93"/>
  <c r="B80"/>
  <c r="B76"/>
  <c r="B72"/>
  <c r="B68"/>
  <c r="B121" i="44"/>
  <c r="B117"/>
  <c r="B93"/>
  <c r="B72"/>
  <c r="B80"/>
  <c r="B76"/>
  <c r="B68"/>
  <c r="B117" i="42"/>
  <c r="B121"/>
  <c r="B113"/>
  <c r="B80"/>
  <c r="B76"/>
  <c r="B72"/>
  <c r="K19" i="32"/>
  <c r="J19"/>
  <c r="K17"/>
  <c r="K16"/>
  <c r="J17"/>
  <c r="J14"/>
  <c r="J12"/>
  <c r="J10"/>
  <c r="J16"/>
  <c r="K14"/>
  <c r="I14"/>
  <c r="K12"/>
  <c r="I12"/>
  <c r="K10"/>
  <c r="I10"/>
  <c r="K8"/>
  <c r="I8"/>
  <c r="J8"/>
  <c r="C74"/>
  <c r="C73"/>
  <c r="C72"/>
  <c r="C71"/>
  <c r="C70"/>
  <c r="C69"/>
  <c r="C68"/>
  <c r="C67"/>
  <c r="C66"/>
  <c r="C65"/>
  <c r="C64"/>
  <c r="C63"/>
  <c r="C62"/>
  <c r="C61"/>
  <c r="C60"/>
  <c r="C59"/>
  <c r="B71"/>
  <c r="B67"/>
  <c r="B63"/>
  <c r="B59"/>
  <c r="A71"/>
  <c r="A67"/>
  <c r="A63"/>
  <c r="A59"/>
  <c r="B45"/>
  <c r="B41"/>
  <c r="B37"/>
  <c r="B33"/>
  <c r="A43"/>
  <c r="A39"/>
  <c r="A35"/>
  <c r="A31"/>
  <c r="C46"/>
  <c r="C45"/>
  <c r="C44"/>
  <c r="C43"/>
  <c r="C42"/>
  <c r="C41"/>
  <c r="C40"/>
  <c r="C39"/>
  <c r="C38"/>
  <c r="C37"/>
  <c r="C36"/>
  <c r="C35"/>
  <c r="C34"/>
  <c r="C33"/>
  <c r="C32"/>
  <c r="C31"/>
  <c r="C23"/>
  <c r="C22"/>
  <c r="C21"/>
  <c r="C20"/>
  <c r="C19"/>
  <c r="C18"/>
  <c r="C17"/>
  <c r="C16"/>
  <c r="C15"/>
  <c r="C14"/>
  <c r="C13"/>
  <c r="C12"/>
  <c r="C11"/>
  <c r="C10"/>
  <c r="C9"/>
  <c r="C8"/>
  <c r="B22"/>
  <c r="B18"/>
  <c r="B14"/>
  <c r="B10"/>
  <c r="A20"/>
  <c r="A16"/>
  <c r="A12"/>
  <c r="A8"/>
  <c r="A119" i="42"/>
  <c r="A115"/>
  <c r="A111"/>
  <c r="B92"/>
  <c r="A78"/>
  <c r="A74"/>
  <c r="A164" i="44"/>
  <c r="A119"/>
  <c r="A115"/>
  <c r="B96"/>
  <c r="A91"/>
  <c r="A78"/>
  <c r="A74"/>
  <c r="A66"/>
  <c r="A70" i="45"/>
  <c r="A66"/>
  <c r="A74" i="46"/>
  <c r="A70"/>
  <c r="A66"/>
  <c r="A99"/>
  <c r="A78" i="45"/>
  <c r="I170" i="46"/>
  <c r="H170"/>
  <c r="G170"/>
  <c r="I168"/>
  <c r="H168"/>
  <c r="G168"/>
  <c r="E168"/>
  <c r="D168"/>
  <c r="I162"/>
  <c r="H162"/>
  <c r="G162"/>
  <c r="I160"/>
  <c r="H160"/>
  <c r="G160"/>
  <c r="E160"/>
  <c r="D160"/>
  <c r="I154"/>
  <c r="H154"/>
  <c r="G154"/>
  <c r="I152"/>
  <c r="H152"/>
  <c r="G152"/>
  <c r="E152"/>
  <c r="D152"/>
  <c r="I146"/>
  <c r="H146"/>
  <c r="G146"/>
  <c r="I144"/>
  <c r="H144"/>
  <c r="G144"/>
  <c r="D144"/>
  <c r="V137"/>
  <c r="S137"/>
  <c r="P137"/>
  <c r="M137"/>
  <c r="J137"/>
  <c r="D105"/>
  <c r="B104"/>
  <c r="D103"/>
  <c r="A95"/>
  <c r="A91"/>
  <c r="Y88"/>
  <c r="V88"/>
  <c r="S88"/>
  <c r="P88"/>
  <c r="M88"/>
  <c r="V63"/>
  <c r="S63"/>
  <c r="P63"/>
  <c r="M63"/>
  <c r="J63"/>
  <c r="M54"/>
  <c r="N53"/>
  <c r="M53"/>
  <c r="N52"/>
  <c r="M52"/>
  <c r="L49"/>
  <c r="L53"/>
  <c r="N36"/>
  <c r="L36"/>
  <c r="K36"/>
  <c r="L34"/>
  <c r="C33"/>
  <c r="S33"/>
  <c r="S43"/>
  <c r="R33"/>
  <c r="R43"/>
  <c r="Q33"/>
  <c r="Q43"/>
  <c r="P33"/>
  <c r="P43"/>
  <c r="O33"/>
  <c r="O43"/>
  <c r="C32"/>
  <c r="C31"/>
  <c r="C30"/>
  <c r="P27"/>
  <c r="G23"/>
  <c r="G25"/>
  <c r="F23"/>
  <c r="F25"/>
  <c r="E23"/>
  <c r="E25"/>
  <c r="D23"/>
  <c r="D25"/>
  <c r="C23"/>
  <c r="C25"/>
  <c r="G16"/>
  <c r="G20"/>
  <c r="F16"/>
  <c r="F20"/>
  <c r="E16"/>
  <c r="E20"/>
  <c r="D16"/>
  <c r="D20"/>
  <c r="C16"/>
  <c r="C20"/>
  <c r="G13"/>
  <c r="F13"/>
  <c r="E13"/>
  <c r="D13"/>
  <c r="C13"/>
  <c r="W11"/>
  <c r="G10"/>
  <c r="F10"/>
  <c r="E10"/>
  <c r="D10"/>
  <c r="C10"/>
  <c r="W10"/>
  <c r="B68" i="42"/>
  <c r="A70"/>
  <c r="B100" i="45"/>
  <c r="A91"/>
  <c r="I170"/>
  <c r="H170"/>
  <c r="G170"/>
  <c r="I168"/>
  <c r="H168"/>
  <c r="G168"/>
  <c r="E168"/>
  <c r="D168"/>
  <c r="I162"/>
  <c r="H162"/>
  <c r="G162"/>
  <c r="I160"/>
  <c r="H160"/>
  <c r="G160"/>
  <c r="E160"/>
  <c r="D160"/>
  <c r="I154"/>
  <c r="H154"/>
  <c r="G154"/>
  <c r="I152"/>
  <c r="H152"/>
  <c r="G152"/>
  <c r="E152"/>
  <c r="D152"/>
  <c r="I146"/>
  <c r="H146"/>
  <c r="G146"/>
  <c r="I144"/>
  <c r="H144"/>
  <c r="G144"/>
  <c r="D144"/>
  <c r="V137"/>
  <c r="S137"/>
  <c r="P137"/>
  <c r="M137"/>
  <c r="J137"/>
  <c r="D101"/>
  <c r="D99"/>
  <c r="Y88"/>
  <c r="V88"/>
  <c r="S88"/>
  <c r="P88"/>
  <c r="M88"/>
  <c r="V63"/>
  <c r="S63"/>
  <c r="P63"/>
  <c r="M63"/>
  <c r="J63"/>
  <c r="M54"/>
  <c r="N53"/>
  <c r="M53"/>
  <c r="N52"/>
  <c r="M52"/>
  <c r="L49"/>
  <c r="L50"/>
  <c r="N36"/>
  <c r="L36"/>
  <c r="K36"/>
  <c r="L34"/>
  <c r="C33"/>
  <c r="S33"/>
  <c r="S41"/>
  <c r="R33"/>
  <c r="R41"/>
  <c r="Q33"/>
  <c r="Q42"/>
  <c r="P33"/>
  <c r="P43"/>
  <c r="O33"/>
  <c r="O41"/>
  <c r="C32"/>
  <c r="C31"/>
  <c r="C30"/>
  <c r="P27"/>
  <c r="G23"/>
  <c r="G25"/>
  <c r="F23"/>
  <c r="F25"/>
  <c r="E23"/>
  <c r="E27"/>
  <c r="D23"/>
  <c r="D27"/>
  <c r="C23"/>
  <c r="C25"/>
  <c r="G16"/>
  <c r="G20"/>
  <c r="F16"/>
  <c r="F20"/>
  <c r="E16"/>
  <c r="E18"/>
  <c r="D16"/>
  <c r="D20"/>
  <c r="C16"/>
  <c r="C20"/>
  <c r="G13"/>
  <c r="F13"/>
  <c r="E13"/>
  <c r="D13"/>
  <c r="C13"/>
  <c r="W11"/>
  <c r="G10"/>
  <c r="F10"/>
  <c r="E10"/>
  <c r="D10"/>
  <c r="C10"/>
  <c r="W10"/>
  <c r="I170" i="44"/>
  <c r="H170"/>
  <c r="G170"/>
  <c r="I168"/>
  <c r="H168"/>
  <c r="G168"/>
  <c r="E168"/>
  <c r="D168"/>
  <c r="I162"/>
  <c r="H162"/>
  <c r="G162"/>
  <c r="I160"/>
  <c r="H160"/>
  <c r="G160"/>
  <c r="E160"/>
  <c r="D160"/>
  <c r="I154"/>
  <c r="H154"/>
  <c r="G154"/>
  <c r="I152"/>
  <c r="H152"/>
  <c r="G152"/>
  <c r="E152"/>
  <c r="D152"/>
  <c r="I146"/>
  <c r="H146"/>
  <c r="G146"/>
  <c r="I144"/>
  <c r="H144"/>
  <c r="G144"/>
  <c r="D144"/>
  <c r="V137"/>
  <c r="S137"/>
  <c r="P137"/>
  <c r="M137"/>
  <c r="J137"/>
  <c r="D97"/>
  <c r="D95"/>
  <c r="Y88"/>
  <c r="V88"/>
  <c r="S88"/>
  <c r="P88"/>
  <c r="M88"/>
  <c r="V63"/>
  <c r="S63"/>
  <c r="P63"/>
  <c r="M63"/>
  <c r="J63"/>
  <c r="M54"/>
  <c r="N53"/>
  <c r="M53"/>
  <c r="N52"/>
  <c r="M52"/>
  <c r="L49"/>
  <c r="L52"/>
  <c r="N36"/>
  <c r="L36"/>
  <c r="K36"/>
  <c r="L34"/>
  <c r="C33"/>
  <c r="S33"/>
  <c r="S43"/>
  <c r="R33"/>
  <c r="R41"/>
  <c r="Q33"/>
  <c r="Q41"/>
  <c r="P33"/>
  <c r="P42"/>
  <c r="O33"/>
  <c r="O43"/>
  <c r="C32"/>
  <c r="C31"/>
  <c r="C30"/>
  <c r="P27"/>
  <c r="G23"/>
  <c r="G27"/>
  <c r="F23"/>
  <c r="F25"/>
  <c r="E23"/>
  <c r="E26"/>
  <c r="D23"/>
  <c r="D26"/>
  <c r="C23"/>
  <c r="C27"/>
  <c r="G16"/>
  <c r="G19"/>
  <c r="F16"/>
  <c r="F20"/>
  <c r="E16"/>
  <c r="E21"/>
  <c r="D16"/>
  <c r="D18"/>
  <c r="C16"/>
  <c r="C19"/>
  <c r="G13"/>
  <c r="F13"/>
  <c r="E13"/>
  <c r="D13"/>
  <c r="C13"/>
  <c r="W11"/>
  <c r="G10"/>
  <c r="F10"/>
  <c r="E10"/>
  <c r="D10"/>
  <c r="C10"/>
  <c r="W10"/>
  <c r="Y23" i="23"/>
  <c r="V23"/>
  <c r="S23"/>
  <c r="J23"/>
  <c r="P121" i="46"/>
  <c r="Q121"/>
  <c r="R121"/>
  <c r="S121"/>
  <c r="T121"/>
  <c r="U121"/>
  <c r="V121"/>
  <c r="Y121"/>
  <c r="M121"/>
  <c r="S119"/>
  <c r="T119"/>
  <c r="U119"/>
  <c r="V119"/>
  <c r="Y119"/>
  <c r="M119"/>
  <c r="P119"/>
  <c r="Q119"/>
  <c r="R119"/>
  <c r="F21" i="45"/>
  <c r="G18"/>
  <c r="F17"/>
  <c r="Y117"/>
  <c r="Z117"/>
  <c r="AA117"/>
  <c r="M117"/>
  <c r="P117"/>
  <c r="S117"/>
  <c r="V117"/>
  <c r="W117"/>
  <c r="X117"/>
  <c r="P115"/>
  <c r="S115"/>
  <c r="T115"/>
  <c r="U115"/>
  <c r="V115"/>
  <c r="Y115"/>
  <c r="M115"/>
  <c r="V113" i="44"/>
  <c r="Y113"/>
  <c r="Z113"/>
  <c r="AA113"/>
  <c r="M113"/>
  <c r="S113"/>
  <c r="T113"/>
  <c r="U113"/>
  <c r="P113"/>
  <c r="Y111"/>
  <c r="Z111"/>
  <c r="AA111"/>
  <c r="M111"/>
  <c r="S111"/>
  <c r="T111"/>
  <c r="U111"/>
  <c r="V111"/>
  <c r="W111"/>
  <c r="X111"/>
  <c r="P111"/>
  <c r="Q111"/>
  <c r="R111"/>
  <c r="S34" i="46"/>
  <c r="Q34" i="44"/>
  <c r="F18"/>
  <c r="F21"/>
  <c r="G18"/>
  <c r="F26" i="46"/>
  <c r="F24"/>
  <c r="D27"/>
  <c r="D17"/>
  <c r="D19"/>
  <c r="D21"/>
  <c r="O34"/>
  <c r="Q42"/>
  <c r="F17"/>
  <c r="F19"/>
  <c r="F21"/>
  <c r="D24"/>
  <c r="D26"/>
  <c r="F27"/>
  <c r="Q34"/>
  <c r="O42"/>
  <c r="S42"/>
  <c r="W121"/>
  <c r="X121"/>
  <c r="Z121"/>
  <c r="AA121"/>
  <c r="N121"/>
  <c r="O121"/>
  <c r="C18"/>
  <c r="C17"/>
  <c r="E17"/>
  <c r="G17"/>
  <c r="D18"/>
  <c r="F18"/>
  <c r="C19"/>
  <c r="E19"/>
  <c r="G19"/>
  <c r="C21"/>
  <c r="E21"/>
  <c r="G21"/>
  <c r="C24"/>
  <c r="E24"/>
  <c r="G24"/>
  <c r="C26"/>
  <c r="E26"/>
  <c r="G26"/>
  <c r="C27"/>
  <c r="E27"/>
  <c r="G27"/>
  <c r="P34"/>
  <c r="R34"/>
  <c r="O35"/>
  <c r="Q35"/>
  <c r="S35"/>
  <c r="O37"/>
  <c r="Q37"/>
  <c r="S37"/>
  <c r="O41"/>
  <c r="Q41"/>
  <c r="S41"/>
  <c r="P42"/>
  <c r="R42"/>
  <c r="L50"/>
  <c r="L52"/>
  <c r="V117"/>
  <c r="M66"/>
  <c r="N66"/>
  <c r="O66"/>
  <c r="S66"/>
  <c r="T66"/>
  <c r="U66"/>
  <c r="S70"/>
  <c r="T70"/>
  <c r="U70"/>
  <c r="S78"/>
  <c r="T78"/>
  <c r="U78"/>
  <c r="S80"/>
  <c r="T80"/>
  <c r="U80"/>
  <c r="M154"/>
  <c r="N154"/>
  <c r="O154"/>
  <c r="S140"/>
  <c r="T140"/>
  <c r="U140"/>
  <c r="V99"/>
  <c r="W99"/>
  <c r="X99"/>
  <c r="S164"/>
  <c r="T164"/>
  <c r="U164"/>
  <c r="S156"/>
  <c r="T156"/>
  <c r="U156"/>
  <c r="S148"/>
  <c r="T148"/>
  <c r="U148"/>
  <c r="V103"/>
  <c r="W103"/>
  <c r="X103"/>
  <c r="S142"/>
  <c r="T142"/>
  <c r="U142"/>
  <c r="S158"/>
  <c r="T158"/>
  <c r="U158"/>
  <c r="W119"/>
  <c r="X119"/>
  <c r="Z119"/>
  <c r="AA119"/>
  <c r="N119"/>
  <c r="O119"/>
  <c r="E18"/>
  <c r="P144"/>
  <c r="Q144"/>
  <c r="R144"/>
  <c r="G18"/>
  <c r="V144"/>
  <c r="W144"/>
  <c r="X144"/>
  <c r="P35"/>
  <c r="R35"/>
  <c r="P37"/>
  <c r="R37"/>
  <c r="P41"/>
  <c r="R41"/>
  <c r="L51"/>
  <c r="M68"/>
  <c r="N68"/>
  <c r="O68"/>
  <c r="M72"/>
  <c r="N72"/>
  <c r="O72"/>
  <c r="S74"/>
  <c r="T74"/>
  <c r="U74"/>
  <c r="P95"/>
  <c r="Q95"/>
  <c r="R95"/>
  <c r="V95"/>
  <c r="W95"/>
  <c r="X95"/>
  <c r="S144"/>
  <c r="T144"/>
  <c r="U144"/>
  <c r="S152"/>
  <c r="T152"/>
  <c r="U152"/>
  <c r="S160"/>
  <c r="T160"/>
  <c r="U160"/>
  <c r="S168"/>
  <c r="T168"/>
  <c r="U168"/>
  <c r="J144"/>
  <c r="K144"/>
  <c r="L144"/>
  <c r="S146"/>
  <c r="T146"/>
  <c r="U146"/>
  <c r="J152"/>
  <c r="K152"/>
  <c r="L152"/>
  <c r="V152"/>
  <c r="W152"/>
  <c r="X152"/>
  <c r="J160"/>
  <c r="K160"/>
  <c r="L160"/>
  <c r="V160"/>
  <c r="W160"/>
  <c r="X160"/>
  <c r="S162"/>
  <c r="T162"/>
  <c r="U162"/>
  <c r="J168"/>
  <c r="K168"/>
  <c r="L168"/>
  <c r="V168"/>
  <c r="W168"/>
  <c r="X168"/>
  <c r="M144"/>
  <c r="N144"/>
  <c r="O144"/>
  <c r="M152"/>
  <c r="N152"/>
  <c r="O152"/>
  <c r="M160"/>
  <c r="N160"/>
  <c r="O160"/>
  <c r="M168"/>
  <c r="N168"/>
  <c r="O168"/>
  <c r="P170"/>
  <c r="Q170"/>
  <c r="R170"/>
  <c r="D25" i="44"/>
  <c r="D17" i="45"/>
  <c r="D25"/>
  <c r="F18"/>
  <c r="S140"/>
  <c r="T140"/>
  <c r="U140"/>
  <c r="D21"/>
  <c r="F24"/>
  <c r="F26"/>
  <c r="S34"/>
  <c r="C18"/>
  <c r="F19"/>
  <c r="V91"/>
  <c r="W91"/>
  <c r="X91"/>
  <c r="D24"/>
  <c r="D26"/>
  <c r="O132"/>
  <c r="P132"/>
  <c r="Q132"/>
  <c r="F27"/>
  <c r="Q34"/>
  <c r="T117"/>
  <c r="D19"/>
  <c r="E25"/>
  <c r="O34"/>
  <c r="E17"/>
  <c r="D18"/>
  <c r="C19"/>
  <c r="G19"/>
  <c r="E21"/>
  <c r="C24"/>
  <c r="G24"/>
  <c r="E26"/>
  <c r="C27"/>
  <c r="G27"/>
  <c r="P34"/>
  <c r="O35"/>
  <c r="S35"/>
  <c r="O37"/>
  <c r="S37"/>
  <c r="Q41"/>
  <c r="P42"/>
  <c r="O43"/>
  <c r="S43"/>
  <c r="L52"/>
  <c r="W115"/>
  <c r="X115"/>
  <c r="S148"/>
  <c r="T148"/>
  <c r="U148"/>
  <c r="E20"/>
  <c r="R130"/>
  <c r="S130"/>
  <c r="T130"/>
  <c r="R35"/>
  <c r="R37"/>
  <c r="P41"/>
  <c r="O42"/>
  <c r="S42"/>
  <c r="R43"/>
  <c r="L51"/>
  <c r="L53"/>
  <c r="N115"/>
  <c r="O115"/>
  <c r="Z115"/>
  <c r="N117"/>
  <c r="O117"/>
  <c r="U117"/>
  <c r="V119"/>
  <c r="W119"/>
  <c r="X119"/>
  <c r="S168"/>
  <c r="T168"/>
  <c r="U168"/>
  <c r="C17"/>
  <c r="L130"/>
  <c r="M130"/>
  <c r="N130"/>
  <c r="G17"/>
  <c r="X130"/>
  <c r="Y130"/>
  <c r="Z130"/>
  <c r="E19"/>
  <c r="C21"/>
  <c r="G21"/>
  <c r="E24"/>
  <c r="C26"/>
  <c r="G26"/>
  <c r="X132"/>
  <c r="Y132"/>
  <c r="Z132"/>
  <c r="R34"/>
  <c r="Q35"/>
  <c r="Q37"/>
  <c r="R42"/>
  <c r="Q43"/>
  <c r="S66"/>
  <c r="T66"/>
  <c r="U66"/>
  <c r="S78"/>
  <c r="T78"/>
  <c r="U78"/>
  <c r="Q115"/>
  <c r="R115"/>
  <c r="Q117"/>
  <c r="R117"/>
  <c r="P95"/>
  <c r="Q95"/>
  <c r="R95"/>
  <c r="J168"/>
  <c r="K168"/>
  <c r="L168"/>
  <c r="V168"/>
  <c r="W168"/>
  <c r="X168"/>
  <c r="P35"/>
  <c r="P37"/>
  <c r="S70"/>
  <c r="T70"/>
  <c r="U70"/>
  <c r="AA115"/>
  <c r="M152"/>
  <c r="N152"/>
  <c r="O152"/>
  <c r="F17" i="44"/>
  <c r="D19"/>
  <c r="E25"/>
  <c r="D27"/>
  <c r="O34"/>
  <c r="O42"/>
  <c r="D17"/>
  <c r="P41"/>
  <c r="L51"/>
  <c r="D21"/>
  <c r="F24"/>
  <c r="F26"/>
  <c r="S34"/>
  <c r="L53"/>
  <c r="Y101"/>
  <c r="C18"/>
  <c r="F19"/>
  <c r="D24"/>
  <c r="O132"/>
  <c r="P132"/>
  <c r="Q132"/>
  <c r="F27"/>
  <c r="S42"/>
  <c r="W113"/>
  <c r="X113"/>
  <c r="S144"/>
  <c r="T144"/>
  <c r="U144"/>
  <c r="E20"/>
  <c r="R35"/>
  <c r="R37"/>
  <c r="R43"/>
  <c r="N111"/>
  <c r="O111"/>
  <c r="N113"/>
  <c r="O113"/>
  <c r="C17"/>
  <c r="G17"/>
  <c r="E19"/>
  <c r="D20"/>
  <c r="C21"/>
  <c r="G21"/>
  <c r="E24"/>
  <c r="P80"/>
  <c r="C26"/>
  <c r="G26"/>
  <c r="E27"/>
  <c r="R34"/>
  <c r="Q35"/>
  <c r="Q37"/>
  <c r="O41"/>
  <c r="S41"/>
  <c r="R42"/>
  <c r="Q43"/>
  <c r="L50"/>
  <c r="M68"/>
  <c r="N68"/>
  <c r="O68"/>
  <c r="S74"/>
  <c r="T74"/>
  <c r="U74"/>
  <c r="M76"/>
  <c r="N76"/>
  <c r="O76"/>
  <c r="Q113"/>
  <c r="S168"/>
  <c r="T168"/>
  <c r="U168"/>
  <c r="C20"/>
  <c r="P35"/>
  <c r="P37"/>
  <c r="Q42"/>
  <c r="P43"/>
  <c r="S66"/>
  <c r="T66"/>
  <c r="U66"/>
  <c r="S156"/>
  <c r="T156"/>
  <c r="U156"/>
  <c r="M164"/>
  <c r="N164"/>
  <c r="O164"/>
  <c r="E18"/>
  <c r="G20"/>
  <c r="C25"/>
  <c r="G25"/>
  <c r="E17"/>
  <c r="R130"/>
  <c r="S130"/>
  <c r="T130"/>
  <c r="C24"/>
  <c r="G24"/>
  <c r="X132"/>
  <c r="Y132"/>
  <c r="Z132"/>
  <c r="P34"/>
  <c r="O35"/>
  <c r="S35"/>
  <c r="O37"/>
  <c r="S37"/>
  <c r="S68"/>
  <c r="T68"/>
  <c r="U68"/>
  <c r="S70"/>
  <c r="T70"/>
  <c r="U70"/>
  <c r="M72"/>
  <c r="N72"/>
  <c r="O72"/>
  <c r="S78"/>
  <c r="T78"/>
  <c r="U78"/>
  <c r="M80"/>
  <c r="N80"/>
  <c r="O80"/>
  <c r="R113"/>
  <c r="M140"/>
  <c r="N140"/>
  <c r="O140"/>
  <c r="F27" i="27"/>
  <c r="N42" i="32"/>
  <c r="S80" i="44"/>
  <c r="T80"/>
  <c r="U80"/>
  <c r="R132" i="46"/>
  <c r="S132"/>
  <c r="T132"/>
  <c r="M140"/>
  <c r="N140"/>
  <c r="O140"/>
  <c r="P113"/>
  <c r="Q113"/>
  <c r="O132"/>
  <c r="P132"/>
  <c r="Q132"/>
  <c r="O130" i="45"/>
  <c r="P130"/>
  <c r="Q130"/>
  <c r="R130" i="46"/>
  <c r="S130"/>
  <c r="T130"/>
  <c r="U130"/>
  <c r="V130"/>
  <c r="W130"/>
  <c r="U132"/>
  <c r="V132"/>
  <c r="W132"/>
  <c r="U130" i="45"/>
  <c r="V130"/>
  <c r="W130"/>
  <c r="P170" i="44"/>
  <c r="Q170"/>
  <c r="R170"/>
  <c r="X130" i="46"/>
  <c r="Y130"/>
  <c r="Z130"/>
  <c r="J140"/>
  <c r="O130"/>
  <c r="P130"/>
  <c r="Q130"/>
  <c r="U132" i="45"/>
  <c r="V132"/>
  <c r="W132"/>
  <c r="X132" i="46"/>
  <c r="Y132"/>
  <c r="Z132"/>
  <c r="P76" i="44"/>
  <c r="L130" i="46"/>
  <c r="M130"/>
  <c r="N130"/>
  <c r="R132" i="45"/>
  <c r="S132"/>
  <c r="T132"/>
  <c r="P72" i="44"/>
  <c r="N44" i="32"/>
  <c r="F51" i="18"/>
  <c r="G27" i="27"/>
  <c r="O44" i="32"/>
  <c r="S150" i="45"/>
  <c r="T150"/>
  <c r="U150"/>
  <c r="M76" i="46"/>
  <c r="N76"/>
  <c r="O76"/>
  <c r="F67" i="18"/>
  <c r="F38"/>
  <c r="F25"/>
  <c r="F15"/>
  <c r="F66"/>
  <c r="F50"/>
  <c r="F37"/>
  <c r="F24"/>
  <c r="F14"/>
  <c r="P162" i="44"/>
  <c r="Q162"/>
  <c r="R162"/>
  <c r="R132"/>
  <c r="S132"/>
  <c r="T132"/>
  <c r="J154" i="45"/>
  <c r="K154"/>
  <c r="L154"/>
  <c r="L132"/>
  <c r="M132"/>
  <c r="N132"/>
  <c r="AA130"/>
  <c r="L132" i="44"/>
  <c r="M132"/>
  <c r="N132"/>
  <c r="X130"/>
  <c r="Y130"/>
  <c r="Z130"/>
  <c r="U132"/>
  <c r="V132"/>
  <c r="W132"/>
  <c r="O130"/>
  <c r="P130"/>
  <c r="Q130"/>
  <c r="U130"/>
  <c r="V130"/>
  <c r="W130"/>
  <c r="P101" i="45"/>
  <c r="Q101"/>
  <c r="R101"/>
  <c r="M170" i="46"/>
  <c r="N170"/>
  <c r="O170"/>
  <c r="S154"/>
  <c r="T154"/>
  <c r="U154"/>
  <c r="M146"/>
  <c r="N146"/>
  <c r="O146"/>
  <c r="S72"/>
  <c r="T72"/>
  <c r="U72"/>
  <c r="S68"/>
  <c r="T68"/>
  <c r="U68"/>
  <c r="M113"/>
  <c r="N113"/>
  <c r="S150"/>
  <c r="T150"/>
  <c r="U150"/>
  <c r="S166"/>
  <c r="T166"/>
  <c r="U166"/>
  <c r="M162"/>
  <c r="N162"/>
  <c r="O162"/>
  <c r="S170"/>
  <c r="T170"/>
  <c r="U170"/>
  <c r="M80"/>
  <c r="N80"/>
  <c r="O80"/>
  <c r="S76"/>
  <c r="T76"/>
  <c r="U76"/>
  <c r="J170"/>
  <c r="K170"/>
  <c r="L170"/>
  <c r="L132"/>
  <c r="M132"/>
  <c r="N132"/>
  <c r="AA130"/>
  <c r="L130" i="44"/>
  <c r="M130"/>
  <c r="N130"/>
  <c r="AA130"/>
  <c r="M115" i="46"/>
  <c r="N115"/>
  <c r="O115"/>
  <c r="AB117" i="45"/>
  <c r="AB115"/>
  <c r="S142"/>
  <c r="T142"/>
  <c r="U142"/>
  <c r="M72"/>
  <c r="N72"/>
  <c r="O72"/>
  <c r="V97" i="44"/>
  <c r="W97"/>
  <c r="X97"/>
  <c r="S76"/>
  <c r="T76"/>
  <c r="U76"/>
  <c r="S150"/>
  <c r="T150"/>
  <c r="U150"/>
  <c r="S72"/>
  <c r="T72"/>
  <c r="U72"/>
  <c r="S146"/>
  <c r="T146"/>
  <c r="U146"/>
  <c r="S166"/>
  <c r="T166"/>
  <c r="U166"/>
  <c r="M158"/>
  <c r="N158"/>
  <c r="O158"/>
  <c r="S154"/>
  <c r="T154"/>
  <c r="U154"/>
  <c r="M80" i="45"/>
  <c r="N80"/>
  <c r="O80"/>
  <c r="M146"/>
  <c r="N146"/>
  <c r="O146"/>
  <c r="P162"/>
  <c r="Q162"/>
  <c r="R162"/>
  <c r="M99" i="44"/>
  <c r="N99"/>
  <c r="O99"/>
  <c r="P99"/>
  <c r="V117"/>
  <c r="W117"/>
  <c r="X117"/>
  <c r="P109" i="45"/>
  <c r="Q109"/>
  <c r="M156"/>
  <c r="N156"/>
  <c r="O156"/>
  <c r="M162"/>
  <c r="N162"/>
  <c r="O162"/>
  <c r="V170" i="46"/>
  <c r="W170"/>
  <c r="X170"/>
  <c r="J170" i="44"/>
  <c r="K170"/>
  <c r="L170"/>
  <c r="M148"/>
  <c r="N148"/>
  <c r="O148"/>
  <c r="M68" i="45"/>
  <c r="N68"/>
  <c r="O68"/>
  <c r="S164"/>
  <c r="T164"/>
  <c r="U164"/>
  <c r="S156"/>
  <c r="T156"/>
  <c r="U156"/>
  <c r="S160"/>
  <c r="T160"/>
  <c r="U160"/>
  <c r="M144"/>
  <c r="N144"/>
  <c r="O144"/>
  <c r="S166"/>
  <c r="T166"/>
  <c r="U166"/>
  <c r="S158"/>
  <c r="T158"/>
  <c r="U158"/>
  <c r="M148"/>
  <c r="N148"/>
  <c r="O148"/>
  <c r="S76"/>
  <c r="T76"/>
  <c r="U76"/>
  <c r="M160"/>
  <c r="N160"/>
  <c r="O160"/>
  <c r="V101"/>
  <c r="W101"/>
  <c r="X101"/>
  <c r="P119"/>
  <c r="Q119"/>
  <c r="R119"/>
  <c r="S162"/>
  <c r="T162"/>
  <c r="U162"/>
  <c r="S154"/>
  <c r="T154"/>
  <c r="U154"/>
  <c r="P99"/>
  <c r="Q99"/>
  <c r="R99"/>
  <c r="S170"/>
  <c r="T170"/>
  <c r="U170"/>
  <c r="M164"/>
  <c r="N164"/>
  <c r="O164"/>
  <c r="S146"/>
  <c r="T146"/>
  <c r="U146"/>
  <c r="Y107" i="46"/>
  <c r="M107"/>
  <c r="S107"/>
  <c r="V107"/>
  <c r="W107"/>
  <c r="Y101"/>
  <c r="Y105"/>
  <c r="Y93"/>
  <c r="Y97"/>
  <c r="Y111"/>
  <c r="M70"/>
  <c r="N70"/>
  <c r="O70"/>
  <c r="V113"/>
  <c r="S113"/>
  <c r="T113"/>
  <c r="P115"/>
  <c r="Q115"/>
  <c r="Y109"/>
  <c r="Z109"/>
  <c r="AA109"/>
  <c r="P105"/>
  <c r="Q105"/>
  <c r="R105"/>
  <c r="P97"/>
  <c r="Q97"/>
  <c r="R97"/>
  <c r="P101"/>
  <c r="P93"/>
  <c r="P111"/>
  <c r="V93"/>
  <c r="W93"/>
  <c r="X93"/>
  <c r="V105"/>
  <c r="W105"/>
  <c r="X105"/>
  <c r="V97"/>
  <c r="W97"/>
  <c r="X97"/>
  <c r="V101"/>
  <c r="W101"/>
  <c r="X101"/>
  <c r="V111"/>
  <c r="V109"/>
  <c r="S109"/>
  <c r="T109"/>
  <c r="U109"/>
  <c r="P109"/>
  <c r="Q109"/>
  <c r="M109"/>
  <c r="N109"/>
  <c r="O109"/>
  <c r="M101"/>
  <c r="M105"/>
  <c r="M93"/>
  <c r="M97"/>
  <c r="M111"/>
  <c r="W117"/>
  <c r="X117"/>
  <c r="S117"/>
  <c r="T117"/>
  <c r="U117"/>
  <c r="P117"/>
  <c r="Q117"/>
  <c r="R117"/>
  <c r="Y117"/>
  <c r="Z117"/>
  <c r="AA117"/>
  <c r="Y115"/>
  <c r="Z115"/>
  <c r="AA115"/>
  <c r="S93"/>
  <c r="S97"/>
  <c r="S101"/>
  <c r="S105"/>
  <c r="T105"/>
  <c r="U105"/>
  <c r="S111"/>
  <c r="X107"/>
  <c r="P107"/>
  <c r="V115"/>
  <c r="S115"/>
  <c r="T115"/>
  <c r="U115"/>
  <c r="M117"/>
  <c r="N117"/>
  <c r="O117"/>
  <c r="AB117"/>
  <c r="Y113"/>
  <c r="Z113"/>
  <c r="J146" i="45"/>
  <c r="K146"/>
  <c r="L146"/>
  <c r="M97"/>
  <c r="N97"/>
  <c r="O97"/>
  <c r="M121"/>
  <c r="M93"/>
  <c r="Y97"/>
  <c r="Y121"/>
  <c r="Z121"/>
  <c r="AA121"/>
  <c r="Y93"/>
  <c r="S93"/>
  <c r="S97"/>
  <c r="S121"/>
  <c r="T121"/>
  <c r="U121"/>
  <c r="V121"/>
  <c r="V93"/>
  <c r="W93"/>
  <c r="X93"/>
  <c r="V97"/>
  <c r="W97"/>
  <c r="X97"/>
  <c r="P93"/>
  <c r="Q93"/>
  <c r="R93"/>
  <c r="P97"/>
  <c r="Q97"/>
  <c r="R97"/>
  <c r="P121"/>
  <c r="Q121"/>
  <c r="R121"/>
  <c r="V119" i="44"/>
  <c r="W119"/>
  <c r="X119"/>
  <c r="S119"/>
  <c r="T119"/>
  <c r="U119"/>
  <c r="Y105"/>
  <c r="V107"/>
  <c r="W107"/>
  <c r="X107"/>
  <c r="P109"/>
  <c r="Q109"/>
  <c r="R109"/>
  <c r="P117"/>
  <c r="Q117"/>
  <c r="R117"/>
  <c r="S121"/>
  <c r="M97"/>
  <c r="N97"/>
  <c r="O97"/>
  <c r="M117"/>
  <c r="M121"/>
  <c r="M93"/>
  <c r="S158"/>
  <c r="T158"/>
  <c r="U158"/>
  <c r="Y109"/>
  <c r="Z109"/>
  <c r="AA109"/>
  <c r="V105"/>
  <c r="W105"/>
  <c r="X105"/>
  <c r="S107"/>
  <c r="P93"/>
  <c r="S117"/>
  <c r="T117"/>
  <c r="U117"/>
  <c r="Y121"/>
  <c r="Y93"/>
  <c r="V121"/>
  <c r="W121"/>
  <c r="X121"/>
  <c r="V93"/>
  <c r="W93"/>
  <c r="X93"/>
  <c r="M109"/>
  <c r="V109"/>
  <c r="W109"/>
  <c r="X109"/>
  <c r="S105"/>
  <c r="T105"/>
  <c r="U105"/>
  <c r="S93"/>
  <c r="Y99"/>
  <c r="Z99"/>
  <c r="AA99"/>
  <c r="Y119"/>
  <c r="P107"/>
  <c r="Q107"/>
  <c r="R107"/>
  <c r="Y107"/>
  <c r="Z107"/>
  <c r="AA107"/>
  <c r="S109"/>
  <c r="P121"/>
  <c r="Q121"/>
  <c r="R121"/>
  <c r="P113" i="45"/>
  <c r="Q113"/>
  <c r="R113"/>
  <c r="M103"/>
  <c r="V99"/>
  <c r="W99"/>
  <c r="X99"/>
  <c r="M166"/>
  <c r="N166"/>
  <c r="O166"/>
  <c r="M150"/>
  <c r="N150"/>
  <c r="O150"/>
  <c r="M70"/>
  <c r="N70"/>
  <c r="O70"/>
  <c r="V99" i="44"/>
  <c r="W99"/>
  <c r="X99"/>
  <c r="Y103" i="45"/>
  <c r="M170"/>
  <c r="N170"/>
  <c r="O170"/>
  <c r="S152"/>
  <c r="T152"/>
  <c r="U152"/>
  <c r="V91" i="46"/>
  <c r="W91"/>
  <c r="X91"/>
  <c r="V109" i="45"/>
  <c r="P70" i="46"/>
  <c r="Y107" i="45"/>
  <c r="J160" i="44"/>
  <c r="K160"/>
  <c r="L160"/>
  <c r="M115"/>
  <c r="N115"/>
  <c r="O115"/>
  <c r="M91"/>
  <c r="J154"/>
  <c r="K154"/>
  <c r="L154"/>
  <c r="V154"/>
  <c r="W154"/>
  <c r="X154"/>
  <c r="M146"/>
  <c r="N146"/>
  <c r="O146"/>
  <c r="S140"/>
  <c r="T140"/>
  <c r="U140"/>
  <c r="M166"/>
  <c r="N166"/>
  <c r="O166"/>
  <c r="S148"/>
  <c r="T148"/>
  <c r="U148"/>
  <c r="S160"/>
  <c r="T160"/>
  <c r="U160"/>
  <c r="J162" i="45"/>
  <c r="K162"/>
  <c r="L162"/>
  <c r="W121"/>
  <c r="X121"/>
  <c r="V107"/>
  <c r="M91" i="46"/>
  <c r="P91"/>
  <c r="Q91"/>
  <c r="R91"/>
  <c r="P74"/>
  <c r="P105" i="45"/>
  <c r="Q105"/>
  <c r="R105"/>
  <c r="V105"/>
  <c r="W105"/>
  <c r="X105"/>
  <c r="Q93" i="44"/>
  <c r="R93"/>
  <c r="P91" i="45"/>
  <c r="Q91"/>
  <c r="R91"/>
  <c r="S97" i="44"/>
  <c r="S113" i="45"/>
  <c r="T113"/>
  <c r="U113"/>
  <c r="Y113"/>
  <c r="S101" i="44"/>
  <c r="T101"/>
  <c r="U101"/>
  <c r="V101"/>
  <c r="W101"/>
  <c r="X101"/>
  <c r="N109"/>
  <c r="O109"/>
  <c r="M103"/>
  <c r="N103"/>
  <c r="O103"/>
  <c r="M66"/>
  <c r="N66"/>
  <c r="O66"/>
  <c r="Q99"/>
  <c r="P91"/>
  <c r="P95"/>
  <c r="Q95"/>
  <c r="R95"/>
  <c r="P119"/>
  <c r="Q119"/>
  <c r="R119"/>
  <c r="M78"/>
  <c r="N78"/>
  <c r="O78"/>
  <c r="P115"/>
  <c r="Q115"/>
  <c r="R115"/>
  <c r="M70"/>
  <c r="N70"/>
  <c r="O70"/>
  <c r="M74"/>
  <c r="N74"/>
  <c r="O74"/>
  <c r="S99"/>
  <c r="T99"/>
  <c r="U99"/>
  <c r="P74"/>
  <c r="S91"/>
  <c r="P78"/>
  <c r="P70"/>
  <c r="S107" i="45"/>
  <c r="P80"/>
  <c r="Q80"/>
  <c r="R80"/>
  <c r="P72"/>
  <c r="P76"/>
  <c r="Q76"/>
  <c r="R76"/>
  <c r="M76"/>
  <c r="N76"/>
  <c r="O76"/>
  <c r="P107"/>
  <c r="Q107"/>
  <c r="R107"/>
  <c r="V95" i="44"/>
  <c r="W95"/>
  <c r="X95"/>
  <c r="V91"/>
  <c r="W91"/>
  <c r="X91"/>
  <c r="M162"/>
  <c r="N162"/>
  <c r="O162"/>
  <c r="M142"/>
  <c r="N142"/>
  <c r="O142"/>
  <c r="M170"/>
  <c r="N170"/>
  <c r="O170"/>
  <c r="M150"/>
  <c r="N150"/>
  <c r="O150"/>
  <c r="V103"/>
  <c r="W103"/>
  <c r="X103"/>
  <c r="J170" i="45"/>
  <c r="K170"/>
  <c r="L170"/>
  <c r="M140"/>
  <c r="N140"/>
  <c r="O140"/>
  <c r="P168" i="46"/>
  <c r="Q168"/>
  <c r="R168"/>
  <c r="P160"/>
  <c r="Q160"/>
  <c r="R160"/>
  <c r="P152"/>
  <c r="Q152"/>
  <c r="R152"/>
  <c r="M74"/>
  <c r="N74"/>
  <c r="O74"/>
  <c r="S105" i="45"/>
  <c r="T105"/>
  <c r="U105"/>
  <c r="Y105"/>
  <c r="Z105"/>
  <c r="AA105"/>
  <c r="P103" i="44"/>
  <c r="M74" i="45"/>
  <c r="N74"/>
  <c r="O74"/>
  <c r="S103" i="44"/>
  <c r="Y109" i="45"/>
  <c r="Z109"/>
  <c r="AA109"/>
  <c r="V111"/>
  <c r="W111"/>
  <c r="X111"/>
  <c r="Y97" i="44"/>
  <c r="Z97"/>
  <c r="AA97"/>
  <c r="Y103"/>
  <c r="M107" i="45"/>
  <c r="N107"/>
  <c r="O107"/>
  <c r="Q93" i="46"/>
  <c r="R93"/>
  <c r="M78"/>
  <c r="N78"/>
  <c r="O78"/>
  <c r="P78"/>
  <c r="M105" i="45"/>
  <c r="N105"/>
  <c r="O105"/>
  <c r="M78"/>
  <c r="N78"/>
  <c r="O78"/>
  <c r="P103"/>
  <c r="Q103"/>
  <c r="R103"/>
  <c r="V113"/>
  <c r="W113"/>
  <c r="X113"/>
  <c r="S109"/>
  <c r="T109"/>
  <c r="U109"/>
  <c r="M105" i="44"/>
  <c r="N105"/>
  <c r="O105"/>
  <c r="T107"/>
  <c r="U107"/>
  <c r="P144" i="45"/>
  <c r="Q144"/>
  <c r="R144"/>
  <c r="S103"/>
  <c r="P78"/>
  <c r="Q78"/>
  <c r="R78"/>
  <c r="P74"/>
  <c r="P70"/>
  <c r="Q70"/>
  <c r="R70"/>
  <c r="P76" i="46"/>
  <c r="Q76"/>
  <c r="R76"/>
  <c r="P80"/>
  <c r="P72"/>
  <c r="S164" i="44"/>
  <c r="T164"/>
  <c r="U164"/>
  <c r="S152"/>
  <c r="T152"/>
  <c r="U152"/>
  <c r="V103" i="45"/>
  <c r="W103"/>
  <c r="X103"/>
  <c r="M109"/>
  <c r="N109"/>
  <c r="O109"/>
  <c r="P97" i="44"/>
  <c r="Q97"/>
  <c r="R97"/>
  <c r="S111" i="45"/>
  <c r="T111"/>
  <c r="U111"/>
  <c r="M107" i="44"/>
  <c r="N107"/>
  <c r="O107"/>
  <c r="P105"/>
  <c r="Q105"/>
  <c r="R105"/>
  <c r="P101"/>
  <c r="Q101"/>
  <c r="R101"/>
  <c r="M101"/>
  <c r="M158" i="46"/>
  <c r="N158"/>
  <c r="O158"/>
  <c r="M154" i="44"/>
  <c r="N154"/>
  <c r="P154"/>
  <c r="Q154"/>
  <c r="R154"/>
  <c r="S74" i="45"/>
  <c r="T74"/>
  <c r="U74"/>
  <c r="M111"/>
  <c r="N111"/>
  <c r="O111"/>
  <c r="S72"/>
  <c r="T72"/>
  <c r="U72"/>
  <c r="M113"/>
  <c r="N113"/>
  <c r="O113"/>
  <c r="R99" i="44"/>
  <c r="M160"/>
  <c r="N160"/>
  <c r="O160"/>
  <c r="M144"/>
  <c r="N144"/>
  <c r="O144"/>
  <c r="Q91"/>
  <c r="R91"/>
  <c r="S162"/>
  <c r="T162"/>
  <c r="U162"/>
  <c r="Z105"/>
  <c r="AA105"/>
  <c r="S142"/>
  <c r="T142"/>
  <c r="U142"/>
  <c r="P111" i="45"/>
  <c r="Q111"/>
  <c r="R111"/>
  <c r="M158"/>
  <c r="N158"/>
  <c r="O158"/>
  <c r="M154"/>
  <c r="N154"/>
  <c r="O154"/>
  <c r="V95"/>
  <c r="W95"/>
  <c r="X95"/>
  <c r="S80"/>
  <c r="T80"/>
  <c r="U80"/>
  <c r="S144"/>
  <c r="T144"/>
  <c r="U144"/>
  <c r="R113" i="46"/>
  <c r="M142"/>
  <c r="N142"/>
  <c r="O142"/>
  <c r="AB121"/>
  <c r="Q101"/>
  <c r="R101"/>
  <c r="M150"/>
  <c r="N150"/>
  <c r="O150"/>
  <c r="M166"/>
  <c r="N166"/>
  <c r="O166"/>
  <c r="AB119"/>
  <c r="P166"/>
  <c r="Q166"/>
  <c r="R166"/>
  <c r="P162"/>
  <c r="Q162"/>
  <c r="R162"/>
  <c r="P158"/>
  <c r="Q158"/>
  <c r="R158"/>
  <c r="P154"/>
  <c r="Q154"/>
  <c r="R154"/>
  <c r="P150"/>
  <c r="Q150"/>
  <c r="R150"/>
  <c r="P146"/>
  <c r="Q146"/>
  <c r="R146"/>
  <c r="T101"/>
  <c r="U101"/>
  <c r="P142"/>
  <c r="Q142"/>
  <c r="R142"/>
  <c r="T97"/>
  <c r="U97"/>
  <c r="T93"/>
  <c r="U93"/>
  <c r="Q80"/>
  <c r="R80"/>
  <c r="Q72"/>
  <c r="R72"/>
  <c r="P68"/>
  <c r="Q68"/>
  <c r="R68"/>
  <c r="V164"/>
  <c r="W164"/>
  <c r="X164"/>
  <c r="V156"/>
  <c r="W156"/>
  <c r="X156"/>
  <c r="V148"/>
  <c r="W148"/>
  <c r="X148"/>
  <c r="Y103"/>
  <c r="Z103"/>
  <c r="AA103"/>
  <c r="V140"/>
  <c r="W140"/>
  <c r="X140"/>
  <c r="Y99"/>
  <c r="Z99"/>
  <c r="AA99"/>
  <c r="Z107"/>
  <c r="Y91"/>
  <c r="Z91"/>
  <c r="AA91"/>
  <c r="V78"/>
  <c r="W78"/>
  <c r="X78"/>
  <c r="V70"/>
  <c r="W70"/>
  <c r="X70"/>
  <c r="V66"/>
  <c r="W66"/>
  <c r="X66"/>
  <c r="Y95"/>
  <c r="Z95"/>
  <c r="AA95"/>
  <c r="V74"/>
  <c r="W74"/>
  <c r="X74"/>
  <c r="J164"/>
  <c r="K164"/>
  <c r="L164"/>
  <c r="J156"/>
  <c r="K156"/>
  <c r="L156"/>
  <c r="J148"/>
  <c r="K148"/>
  <c r="L148"/>
  <c r="K140"/>
  <c r="L140"/>
  <c r="M99"/>
  <c r="N99"/>
  <c r="O99"/>
  <c r="N107"/>
  <c r="N91"/>
  <c r="O91"/>
  <c r="J78"/>
  <c r="K78"/>
  <c r="L78"/>
  <c r="J70"/>
  <c r="K70"/>
  <c r="L70"/>
  <c r="J66"/>
  <c r="K66"/>
  <c r="L66"/>
  <c r="M103"/>
  <c r="N103"/>
  <c r="O103"/>
  <c r="M95"/>
  <c r="N95"/>
  <c r="O95"/>
  <c r="J74"/>
  <c r="K74"/>
  <c r="L74"/>
  <c r="Y144"/>
  <c r="AA113"/>
  <c r="O113"/>
  <c r="AA107"/>
  <c r="O107"/>
  <c r="R109"/>
  <c r="N111"/>
  <c r="O111"/>
  <c r="W109"/>
  <c r="W115"/>
  <c r="X115"/>
  <c r="P103"/>
  <c r="Q103"/>
  <c r="R103"/>
  <c r="M156"/>
  <c r="N156"/>
  <c r="O156"/>
  <c r="Q107"/>
  <c r="W111"/>
  <c r="X111"/>
  <c r="V166"/>
  <c r="W166"/>
  <c r="X166"/>
  <c r="V162"/>
  <c r="W162"/>
  <c r="X162"/>
  <c r="V158"/>
  <c r="W158"/>
  <c r="X158"/>
  <c r="V154"/>
  <c r="W154"/>
  <c r="X154"/>
  <c r="V150"/>
  <c r="W150"/>
  <c r="X150"/>
  <c r="V146"/>
  <c r="W146"/>
  <c r="X146"/>
  <c r="Z101"/>
  <c r="AA101"/>
  <c r="V142"/>
  <c r="W142"/>
  <c r="X142"/>
  <c r="Z111"/>
  <c r="AA111"/>
  <c r="Z105"/>
  <c r="AA105"/>
  <c r="Z97"/>
  <c r="AA97"/>
  <c r="Z93"/>
  <c r="AA93"/>
  <c r="V80"/>
  <c r="W80"/>
  <c r="X80"/>
  <c r="V76"/>
  <c r="W76"/>
  <c r="X76"/>
  <c r="V72"/>
  <c r="W72"/>
  <c r="X72"/>
  <c r="V68"/>
  <c r="W68"/>
  <c r="X68"/>
  <c r="J166"/>
  <c r="K166"/>
  <c r="L166"/>
  <c r="J162"/>
  <c r="K162"/>
  <c r="J158"/>
  <c r="K158"/>
  <c r="L158"/>
  <c r="J154"/>
  <c r="K154"/>
  <c r="J150"/>
  <c r="K150"/>
  <c r="L150"/>
  <c r="J146"/>
  <c r="K146"/>
  <c r="N101"/>
  <c r="O101"/>
  <c r="J142"/>
  <c r="K142"/>
  <c r="L142"/>
  <c r="N105"/>
  <c r="O105"/>
  <c r="N93"/>
  <c r="O93"/>
  <c r="J80"/>
  <c r="K80"/>
  <c r="L80"/>
  <c r="J76"/>
  <c r="K76"/>
  <c r="L76"/>
  <c r="N97"/>
  <c r="O97"/>
  <c r="J72"/>
  <c r="K72"/>
  <c r="L72"/>
  <c r="J68"/>
  <c r="K68"/>
  <c r="L68"/>
  <c r="P164"/>
  <c r="Q164"/>
  <c r="R164"/>
  <c r="P156"/>
  <c r="Q156"/>
  <c r="R156"/>
  <c r="P148"/>
  <c r="Q148"/>
  <c r="R148"/>
  <c r="S103"/>
  <c r="T103"/>
  <c r="U103"/>
  <c r="P140"/>
  <c r="Q140"/>
  <c r="R140"/>
  <c r="S99"/>
  <c r="T99"/>
  <c r="U99"/>
  <c r="T107"/>
  <c r="U107"/>
  <c r="S91"/>
  <c r="T91"/>
  <c r="U91"/>
  <c r="Q78"/>
  <c r="R78"/>
  <c r="Q70"/>
  <c r="R70"/>
  <c r="P66"/>
  <c r="Q66"/>
  <c r="R66"/>
  <c r="S95"/>
  <c r="T95"/>
  <c r="U95"/>
  <c r="Q74"/>
  <c r="R74"/>
  <c r="Y168"/>
  <c r="Y160"/>
  <c r="Y152"/>
  <c r="R107"/>
  <c r="R115"/>
  <c r="AB115"/>
  <c r="U113"/>
  <c r="X109"/>
  <c r="T111"/>
  <c r="U111"/>
  <c r="Q111"/>
  <c r="R111"/>
  <c r="W113"/>
  <c r="X113"/>
  <c r="M148"/>
  <c r="N148"/>
  <c r="O148"/>
  <c r="M164"/>
  <c r="N164"/>
  <c r="O164"/>
  <c r="P99"/>
  <c r="Q99"/>
  <c r="R99"/>
  <c r="P170" i="45"/>
  <c r="Q170"/>
  <c r="R170"/>
  <c r="S68"/>
  <c r="T68"/>
  <c r="U68"/>
  <c r="W107"/>
  <c r="X107"/>
  <c r="P146"/>
  <c r="Q146"/>
  <c r="R146"/>
  <c r="P152"/>
  <c r="Q152"/>
  <c r="R152"/>
  <c r="M142"/>
  <c r="N142"/>
  <c r="O142"/>
  <c r="P154"/>
  <c r="Q154"/>
  <c r="R154"/>
  <c r="V154"/>
  <c r="W154"/>
  <c r="X154"/>
  <c r="M91"/>
  <c r="N91"/>
  <c r="O91"/>
  <c r="J78"/>
  <c r="K78"/>
  <c r="L78"/>
  <c r="J66"/>
  <c r="K66"/>
  <c r="L66"/>
  <c r="J160"/>
  <c r="K160"/>
  <c r="L160"/>
  <c r="J152"/>
  <c r="K152"/>
  <c r="L152"/>
  <c r="J144"/>
  <c r="K144"/>
  <c r="L144"/>
  <c r="M119"/>
  <c r="N119"/>
  <c r="O119"/>
  <c r="M99"/>
  <c r="N99"/>
  <c r="O99"/>
  <c r="J164"/>
  <c r="K164"/>
  <c r="L164"/>
  <c r="J156"/>
  <c r="K156"/>
  <c r="L156"/>
  <c r="J148"/>
  <c r="K148"/>
  <c r="L148"/>
  <c r="M95"/>
  <c r="N95"/>
  <c r="O95"/>
  <c r="N103"/>
  <c r="O103"/>
  <c r="J74"/>
  <c r="K74"/>
  <c r="L74"/>
  <c r="J140"/>
  <c r="K140"/>
  <c r="L140"/>
  <c r="J70"/>
  <c r="K70"/>
  <c r="L70"/>
  <c r="P160"/>
  <c r="Q160"/>
  <c r="R160"/>
  <c r="T107"/>
  <c r="U107"/>
  <c r="Z113"/>
  <c r="V146"/>
  <c r="W146"/>
  <c r="X146"/>
  <c r="S101"/>
  <c r="T101"/>
  <c r="U101"/>
  <c r="Q72"/>
  <c r="R72"/>
  <c r="P68"/>
  <c r="Q68"/>
  <c r="R68"/>
  <c r="P166"/>
  <c r="Q166"/>
  <c r="R166"/>
  <c r="P158"/>
  <c r="Q158"/>
  <c r="R158"/>
  <c r="P150"/>
  <c r="Q150"/>
  <c r="R150"/>
  <c r="T93"/>
  <c r="U93"/>
  <c r="P142"/>
  <c r="Q142"/>
  <c r="R142"/>
  <c r="T97"/>
  <c r="U97"/>
  <c r="Y91"/>
  <c r="Z91"/>
  <c r="AA91"/>
  <c r="V78"/>
  <c r="W78"/>
  <c r="X78"/>
  <c r="V66"/>
  <c r="W66"/>
  <c r="X66"/>
  <c r="V160"/>
  <c r="W160"/>
  <c r="X160"/>
  <c r="V152"/>
  <c r="W152"/>
  <c r="X152"/>
  <c r="V144"/>
  <c r="W144"/>
  <c r="X144"/>
  <c r="Y119"/>
  <c r="Z119"/>
  <c r="AA119"/>
  <c r="Y99"/>
  <c r="Z99"/>
  <c r="AA99"/>
  <c r="V164"/>
  <c r="W164"/>
  <c r="X164"/>
  <c r="V156"/>
  <c r="W156"/>
  <c r="X156"/>
  <c r="V148"/>
  <c r="W148"/>
  <c r="X148"/>
  <c r="Y95"/>
  <c r="Z95"/>
  <c r="AA95"/>
  <c r="Z103"/>
  <c r="AA103"/>
  <c r="V74"/>
  <c r="W74"/>
  <c r="X74"/>
  <c r="V140"/>
  <c r="W140"/>
  <c r="X140"/>
  <c r="V70"/>
  <c r="W70"/>
  <c r="X70"/>
  <c r="P164"/>
  <c r="Q164"/>
  <c r="R164"/>
  <c r="P156"/>
  <c r="Q156"/>
  <c r="R156"/>
  <c r="P148"/>
  <c r="Q148"/>
  <c r="R148"/>
  <c r="S95"/>
  <c r="T95"/>
  <c r="U95"/>
  <c r="T103"/>
  <c r="U103"/>
  <c r="Q74"/>
  <c r="R74"/>
  <c r="P140"/>
  <c r="Q140"/>
  <c r="R140"/>
  <c r="S91"/>
  <c r="T91"/>
  <c r="U91"/>
  <c r="P66"/>
  <c r="Q66"/>
  <c r="R66"/>
  <c r="P168"/>
  <c r="Q168"/>
  <c r="R168"/>
  <c r="S119"/>
  <c r="T119"/>
  <c r="U119"/>
  <c r="S99"/>
  <c r="T99"/>
  <c r="U99"/>
  <c r="W109"/>
  <c r="X109"/>
  <c r="M66"/>
  <c r="N66"/>
  <c r="O66"/>
  <c r="M168"/>
  <c r="N168"/>
  <c r="O168"/>
  <c r="V162"/>
  <c r="W162"/>
  <c r="J166"/>
  <c r="K166"/>
  <c r="L166"/>
  <c r="J158"/>
  <c r="K158"/>
  <c r="L158"/>
  <c r="J150"/>
  <c r="K150"/>
  <c r="L150"/>
  <c r="N121"/>
  <c r="O121"/>
  <c r="N93"/>
  <c r="O93"/>
  <c r="J76"/>
  <c r="K76"/>
  <c r="L76"/>
  <c r="J142"/>
  <c r="K142"/>
  <c r="L142"/>
  <c r="M101"/>
  <c r="N101"/>
  <c r="O101"/>
  <c r="J80"/>
  <c r="K80"/>
  <c r="L80"/>
  <c r="J72"/>
  <c r="K72"/>
  <c r="L72"/>
  <c r="J68"/>
  <c r="K68"/>
  <c r="L68"/>
  <c r="V166"/>
  <c r="W166"/>
  <c r="X166"/>
  <c r="V158"/>
  <c r="W158"/>
  <c r="X158"/>
  <c r="V150"/>
  <c r="W150"/>
  <c r="X150"/>
  <c r="Z93"/>
  <c r="AA93"/>
  <c r="V76"/>
  <c r="W76"/>
  <c r="X76"/>
  <c r="V142"/>
  <c r="W142"/>
  <c r="X142"/>
  <c r="Z97"/>
  <c r="AA97"/>
  <c r="Z107"/>
  <c r="AA107"/>
  <c r="Y101"/>
  <c r="Z101"/>
  <c r="AA101"/>
  <c r="V80"/>
  <c r="W80"/>
  <c r="X80"/>
  <c r="V72"/>
  <c r="W72"/>
  <c r="X72"/>
  <c r="V68"/>
  <c r="W68"/>
  <c r="X68"/>
  <c r="R109"/>
  <c r="AA113"/>
  <c r="V170"/>
  <c r="W170"/>
  <c r="V115" i="44"/>
  <c r="W115"/>
  <c r="X115"/>
  <c r="N101"/>
  <c r="O101"/>
  <c r="S170"/>
  <c r="T170"/>
  <c r="U170"/>
  <c r="Q103"/>
  <c r="R103"/>
  <c r="Z101"/>
  <c r="AA101"/>
  <c r="T109"/>
  <c r="U109"/>
  <c r="V160"/>
  <c r="W160"/>
  <c r="X160"/>
  <c r="T103"/>
  <c r="U103"/>
  <c r="J166"/>
  <c r="K166"/>
  <c r="L166"/>
  <c r="J150"/>
  <c r="K150"/>
  <c r="L150"/>
  <c r="N121"/>
  <c r="O121"/>
  <c r="N117"/>
  <c r="O117"/>
  <c r="J80"/>
  <c r="K80"/>
  <c r="L80"/>
  <c r="J72"/>
  <c r="K72"/>
  <c r="L72"/>
  <c r="J158"/>
  <c r="K158"/>
  <c r="L158"/>
  <c r="N93"/>
  <c r="O93"/>
  <c r="J142"/>
  <c r="K142"/>
  <c r="L142"/>
  <c r="J76"/>
  <c r="K76"/>
  <c r="L76"/>
  <c r="J68"/>
  <c r="K68"/>
  <c r="L68"/>
  <c r="J162"/>
  <c r="K162"/>
  <c r="L162"/>
  <c r="V146"/>
  <c r="W146"/>
  <c r="X146"/>
  <c r="M156"/>
  <c r="N156"/>
  <c r="O156"/>
  <c r="M168"/>
  <c r="N168"/>
  <c r="O168"/>
  <c r="P164"/>
  <c r="Q164"/>
  <c r="R164"/>
  <c r="P148"/>
  <c r="Q148"/>
  <c r="R148"/>
  <c r="S115"/>
  <c r="T115"/>
  <c r="U115"/>
  <c r="P160"/>
  <c r="Q160"/>
  <c r="R160"/>
  <c r="T91"/>
  <c r="U91"/>
  <c r="S95"/>
  <c r="T95"/>
  <c r="U95"/>
  <c r="Q78"/>
  <c r="R78"/>
  <c r="Q70"/>
  <c r="R70"/>
  <c r="P156"/>
  <c r="Q156"/>
  <c r="R156"/>
  <c r="P66"/>
  <c r="Q66"/>
  <c r="R66"/>
  <c r="P140"/>
  <c r="Q140"/>
  <c r="R140"/>
  <c r="Q74"/>
  <c r="R74"/>
  <c r="V166"/>
  <c r="W166"/>
  <c r="X166"/>
  <c r="V150"/>
  <c r="W150"/>
  <c r="X150"/>
  <c r="Z121"/>
  <c r="AA121"/>
  <c r="Y117"/>
  <c r="Z117"/>
  <c r="AA117"/>
  <c r="V80"/>
  <c r="W80"/>
  <c r="X80"/>
  <c r="V72"/>
  <c r="W72"/>
  <c r="X72"/>
  <c r="V158"/>
  <c r="W158"/>
  <c r="X158"/>
  <c r="Z93"/>
  <c r="AA93"/>
  <c r="V142"/>
  <c r="W142"/>
  <c r="X142"/>
  <c r="Z103"/>
  <c r="AA103"/>
  <c r="V76"/>
  <c r="W76"/>
  <c r="X76"/>
  <c r="V68"/>
  <c r="W68"/>
  <c r="X68"/>
  <c r="J156"/>
  <c r="K156"/>
  <c r="L156"/>
  <c r="J66"/>
  <c r="K66"/>
  <c r="L66"/>
  <c r="J168"/>
  <c r="K168"/>
  <c r="L168"/>
  <c r="J152"/>
  <c r="K152"/>
  <c r="L152"/>
  <c r="J140"/>
  <c r="K140"/>
  <c r="L140"/>
  <c r="M119"/>
  <c r="N119"/>
  <c r="O119"/>
  <c r="J74"/>
  <c r="K74"/>
  <c r="L74"/>
  <c r="J164"/>
  <c r="K164"/>
  <c r="L164"/>
  <c r="J148"/>
  <c r="K148"/>
  <c r="L148"/>
  <c r="N91"/>
  <c r="O91"/>
  <c r="M95"/>
  <c r="N95"/>
  <c r="O95"/>
  <c r="J78"/>
  <c r="K78"/>
  <c r="L78"/>
  <c r="J70"/>
  <c r="K70"/>
  <c r="L70"/>
  <c r="AB113"/>
  <c r="P152"/>
  <c r="Q152"/>
  <c r="R152"/>
  <c r="M152"/>
  <c r="N152"/>
  <c r="O152"/>
  <c r="V156"/>
  <c r="W156"/>
  <c r="X156"/>
  <c r="V66"/>
  <c r="W66"/>
  <c r="X66"/>
  <c r="V168"/>
  <c r="W168"/>
  <c r="X168"/>
  <c r="V152"/>
  <c r="W152"/>
  <c r="X152"/>
  <c r="V140"/>
  <c r="W140"/>
  <c r="X140"/>
  <c r="Z119"/>
  <c r="AA119"/>
  <c r="V74"/>
  <c r="W74"/>
  <c r="X74"/>
  <c r="V164"/>
  <c r="W164"/>
  <c r="X164"/>
  <c r="V148"/>
  <c r="W148"/>
  <c r="X148"/>
  <c r="Y115"/>
  <c r="Z115"/>
  <c r="AA115"/>
  <c r="Y91"/>
  <c r="Z91"/>
  <c r="AA91"/>
  <c r="Y95"/>
  <c r="Z95"/>
  <c r="AA95"/>
  <c r="V78"/>
  <c r="W78"/>
  <c r="X78"/>
  <c r="V70"/>
  <c r="W70"/>
  <c r="X70"/>
  <c r="P144"/>
  <c r="Q144"/>
  <c r="R144"/>
  <c r="AB111"/>
  <c r="V162"/>
  <c r="W162"/>
  <c r="X162"/>
  <c r="J146"/>
  <c r="K146"/>
  <c r="L146"/>
  <c r="P168"/>
  <c r="Q168"/>
  <c r="R168"/>
  <c r="J144"/>
  <c r="K144"/>
  <c r="L144"/>
  <c r="V170"/>
  <c r="W170"/>
  <c r="P158"/>
  <c r="Q158"/>
  <c r="R158"/>
  <c r="P146"/>
  <c r="Q146"/>
  <c r="R146"/>
  <c r="T93"/>
  <c r="U93"/>
  <c r="P142"/>
  <c r="Q142"/>
  <c r="R142"/>
  <c r="T97"/>
  <c r="U97"/>
  <c r="Q76"/>
  <c r="R76"/>
  <c r="P68"/>
  <c r="Q68"/>
  <c r="R68"/>
  <c r="P166"/>
  <c r="Q166"/>
  <c r="R166"/>
  <c r="P150"/>
  <c r="Q150"/>
  <c r="R150"/>
  <c r="T121"/>
  <c r="U121"/>
  <c r="Q80"/>
  <c r="R80"/>
  <c r="Q72"/>
  <c r="R72"/>
  <c r="V144"/>
  <c r="W144"/>
  <c r="X144"/>
  <c r="G31" i="21"/>
  <c r="H31"/>
  <c r="O41" i="32"/>
  <c r="Y170" i="46"/>
  <c r="I66" i="18"/>
  <c r="N41" i="32"/>
  <c r="AB130" i="46"/>
  <c r="AB130" i="45"/>
  <c r="AB130" i="44"/>
  <c r="AB93" i="45"/>
  <c r="Y68" i="46"/>
  <c r="AB97" i="45"/>
  <c r="AB121"/>
  <c r="AB103"/>
  <c r="AB119"/>
  <c r="AB91"/>
  <c r="AB113"/>
  <c r="Y111"/>
  <c r="Z111"/>
  <c r="AA111"/>
  <c r="AB111"/>
  <c r="AB107"/>
  <c r="AB101"/>
  <c r="AB95"/>
  <c r="AB99"/>
  <c r="AB109"/>
  <c r="AB105"/>
  <c r="Y80" i="46"/>
  <c r="Y72"/>
  <c r="L146"/>
  <c r="Y146"/>
  <c r="L154"/>
  <c r="Y154"/>
  <c r="L162"/>
  <c r="Y162"/>
  <c r="X170" i="45"/>
  <c r="Y170"/>
  <c r="X162"/>
  <c r="Y162"/>
  <c r="X170" i="44"/>
  <c r="Y170"/>
  <c r="O154"/>
  <c r="Y154"/>
  <c r="Y168" i="45"/>
  <c r="Y158" i="46"/>
  <c r="Y146" i="45"/>
  <c r="Y76" i="46"/>
  <c r="AB105"/>
  <c r="AB93"/>
  <c r="Y160" i="44"/>
  <c r="AB101" i="46"/>
  <c r="AB97"/>
  <c r="Y142"/>
  <c r="Y150"/>
  <c r="Y166"/>
  <c r="AB101" i="44"/>
  <c r="AB105"/>
  <c r="AB109" i="46"/>
  <c r="AB111"/>
  <c r="AB95"/>
  <c r="AC95"/>
  <c r="Y66"/>
  <c r="Z66"/>
  <c r="AA66"/>
  <c r="D11" i="32"/>
  <c r="Y78" i="46"/>
  <c r="Y148"/>
  <c r="Y164"/>
  <c r="AB107"/>
  <c r="AB113"/>
  <c r="Y74"/>
  <c r="AB103"/>
  <c r="Y70"/>
  <c r="Z70"/>
  <c r="AA70"/>
  <c r="D15" i="32"/>
  <c r="AB91" i="46"/>
  <c r="AB99"/>
  <c r="AC99"/>
  <c r="Y140"/>
  <c r="Y156"/>
  <c r="Y154" i="45"/>
  <c r="Y80"/>
  <c r="Y76"/>
  <c r="Y150"/>
  <c r="Y142"/>
  <c r="Y68"/>
  <c r="Y166"/>
  <c r="Y70"/>
  <c r="Y164"/>
  <c r="Y152"/>
  <c r="Y158"/>
  <c r="Y74"/>
  <c r="Y156"/>
  <c r="Y144"/>
  <c r="Y78"/>
  <c r="Y140"/>
  <c r="Y148"/>
  <c r="Y66"/>
  <c r="Z66"/>
  <c r="AA66"/>
  <c r="D10" i="32"/>
  <c r="Y72" i="45"/>
  <c r="Y160"/>
  <c r="AB109" i="44"/>
  <c r="AB103"/>
  <c r="AB107"/>
  <c r="Y144"/>
  <c r="AB99"/>
  <c r="Y148"/>
  <c r="Y140"/>
  <c r="Y156"/>
  <c r="AB97"/>
  <c r="Y72"/>
  <c r="Y146"/>
  <c r="AB95"/>
  <c r="AB115"/>
  <c r="AB119"/>
  <c r="Y66"/>
  <c r="Y162"/>
  <c r="Y76"/>
  <c r="Y158"/>
  <c r="AB121"/>
  <c r="Y78"/>
  <c r="Y74"/>
  <c r="Y168"/>
  <c r="Y68"/>
  <c r="AB93"/>
  <c r="AB117"/>
  <c r="Y166"/>
  <c r="Y70"/>
  <c r="AB91"/>
  <c r="AC91"/>
  <c r="Y164"/>
  <c r="Y152"/>
  <c r="Y142"/>
  <c r="Y80"/>
  <c r="Y150"/>
  <c r="E12" i="21"/>
  <c r="E24"/>
  <c r="AC99" i="45"/>
  <c r="D41" i="32"/>
  <c r="Z164" i="46"/>
  <c r="AA164"/>
  <c r="D74" i="32"/>
  <c r="Z78" i="46"/>
  <c r="AA78"/>
  <c r="D23" i="32"/>
  <c r="AC91" i="46"/>
  <c r="D34" i="32"/>
  <c r="AC95" i="45"/>
  <c r="D37" i="32"/>
  <c r="F24" i="21"/>
  <c r="L17" i="32"/>
  <c r="AC119" i="45"/>
  <c r="AC91"/>
  <c r="D33" i="32"/>
  <c r="AD91" i="44"/>
  <c r="F32" i="32"/>
  <c r="D32"/>
  <c r="AD91" i="46"/>
  <c r="F34" i="32"/>
  <c r="AD95" i="46"/>
  <c r="F38" i="32"/>
  <c r="D38"/>
  <c r="AD99" i="46"/>
  <c r="D42" i="32"/>
  <c r="AD95" i="45"/>
  <c r="F37" i="32"/>
  <c r="AD119" i="45"/>
  <c r="F45" i="32"/>
  <c r="D45"/>
  <c r="AC115" i="44"/>
  <c r="AC119"/>
  <c r="AC95"/>
  <c r="AC103" i="46"/>
  <c r="AD99" i="45"/>
  <c r="F41" i="32"/>
  <c r="Z74" i="46"/>
  <c r="AA74"/>
  <c r="D19" i="32"/>
  <c r="Z148" i="46"/>
  <c r="AA148"/>
  <c r="D66" i="32"/>
  <c r="Z156" i="46"/>
  <c r="AA156"/>
  <c r="D70" i="32"/>
  <c r="Z140" i="46"/>
  <c r="AA140"/>
  <c r="D62" i="32"/>
  <c r="Z78" i="45"/>
  <c r="AA78"/>
  <c r="D22" i="32"/>
  <c r="Z140" i="45"/>
  <c r="AA140"/>
  <c r="D61" i="32"/>
  <c r="Z74" i="45"/>
  <c r="AA74"/>
  <c r="D18" i="32"/>
  <c r="F42"/>
  <c r="Z164" i="45"/>
  <c r="AA164"/>
  <c r="D73" i="32"/>
  <c r="Z74" i="44"/>
  <c r="AA74"/>
  <c r="D17" i="32"/>
  <c r="Z70" i="44"/>
  <c r="AA70"/>
  <c r="D13" i="32"/>
  <c r="I25" i="18"/>
  <c r="J25"/>
  <c r="I51"/>
  <c r="J51"/>
  <c r="I67"/>
  <c r="J67"/>
  <c r="I38"/>
  <c r="J38"/>
  <c r="I50"/>
  <c r="I24"/>
  <c r="I37"/>
  <c r="Z148" i="45"/>
  <c r="AA148"/>
  <c r="D65" i="32"/>
  <c r="Z70" i="45"/>
  <c r="AA70"/>
  <c r="D14" i="32"/>
  <c r="Z156" i="45"/>
  <c r="AA156"/>
  <c r="D69" i="32"/>
  <c r="Z66" i="44"/>
  <c r="AA66"/>
  <c r="D9" i="32"/>
  <c r="Z156" i="44"/>
  <c r="AA156"/>
  <c r="D68" i="32"/>
  <c r="Z78" i="44"/>
  <c r="AA78"/>
  <c r="D21" i="32"/>
  <c r="Z148" i="44"/>
  <c r="AA148"/>
  <c r="D64" i="32"/>
  <c r="Z164" i="44"/>
  <c r="AA164"/>
  <c r="D72" i="32"/>
  <c r="Z140" i="44"/>
  <c r="AA140"/>
  <c r="D60" i="32"/>
  <c r="F13" i="18"/>
  <c r="I13"/>
  <c r="I14"/>
  <c r="J14"/>
  <c r="I15"/>
  <c r="J15"/>
  <c r="E12" i="29"/>
  <c r="AD91" i="45"/>
  <c r="F33" i="32"/>
  <c r="AD95" i="44"/>
  <c r="F36" i="32"/>
  <c r="D36"/>
  <c r="AD115" i="44"/>
  <c r="F40" i="32"/>
  <c r="D40"/>
  <c r="AD119" i="44"/>
  <c r="F44" i="32"/>
  <c r="D44"/>
  <c r="AD103" i="46"/>
  <c r="F46" i="32"/>
  <c r="D46"/>
  <c r="G171" i="42"/>
  <c r="G10"/>
  <c r="F10"/>
  <c r="D10"/>
  <c r="C10"/>
  <c r="L36"/>
  <c r="L34"/>
  <c r="D93"/>
  <c r="D91"/>
  <c r="K36"/>
  <c r="P27"/>
  <c r="C33"/>
  <c r="C32"/>
  <c r="C31"/>
  <c r="C30"/>
  <c r="S33"/>
  <c r="R33"/>
  <c r="Q33"/>
  <c r="P33"/>
  <c r="O33"/>
  <c r="Y15" i="16"/>
  <c r="Y14"/>
  <c r="R42" i="42"/>
  <c r="R37"/>
  <c r="R35"/>
  <c r="S43"/>
  <c r="S35"/>
  <c r="S37"/>
  <c r="Q42"/>
  <c r="Q35"/>
  <c r="Q37"/>
  <c r="O43"/>
  <c r="O35"/>
  <c r="O37"/>
  <c r="P42"/>
  <c r="P35"/>
  <c r="P37"/>
  <c r="Q43"/>
  <c r="P41"/>
  <c r="Q41"/>
  <c r="P43"/>
  <c r="R41"/>
  <c r="O42"/>
  <c r="S42"/>
  <c r="R43"/>
  <c r="O41"/>
  <c r="S41"/>
  <c r="S34"/>
  <c r="X154"/>
  <c r="U154"/>
  <c r="R154"/>
  <c r="O154"/>
  <c r="L154"/>
  <c r="F6" i="18"/>
  <c r="I197" i="42"/>
  <c r="H197"/>
  <c r="G197"/>
  <c r="I195"/>
  <c r="H195"/>
  <c r="G195"/>
  <c r="E195"/>
  <c r="D195"/>
  <c r="I189"/>
  <c r="H189"/>
  <c r="G189"/>
  <c r="I187"/>
  <c r="H187"/>
  <c r="G187"/>
  <c r="E187"/>
  <c r="D187"/>
  <c r="I181"/>
  <c r="H181"/>
  <c r="G181"/>
  <c r="I179"/>
  <c r="H179"/>
  <c r="G179"/>
  <c r="E179"/>
  <c r="D179"/>
  <c r="I173"/>
  <c r="H173"/>
  <c r="G173"/>
  <c r="I171"/>
  <c r="H171"/>
  <c r="D171"/>
  <c r="V164"/>
  <c r="S164"/>
  <c r="P164"/>
  <c r="M164"/>
  <c r="J164"/>
  <c r="Y88"/>
  <c r="V88"/>
  <c r="S88"/>
  <c r="P88"/>
  <c r="M88"/>
  <c r="V63"/>
  <c r="S63"/>
  <c r="P63"/>
  <c r="M63"/>
  <c r="J63"/>
  <c r="M54"/>
  <c r="N53"/>
  <c r="M53"/>
  <c r="N52"/>
  <c r="M52"/>
  <c r="L49"/>
  <c r="N36"/>
  <c r="R34"/>
  <c r="G23"/>
  <c r="F23"/>
  <c r="E23"/>
  <c r="D23"/>
  <c r="C23"/>
  <c r="G16"/>
  <c r="F16"/>
  <c r="F20"/>
  <c r="E16"/>
  <c r="E21"/>
  <c r="D16"/>
  <c r="D18"/>
  <c r="C16"/>
  <c r="C19"/>
  <c r="G13"/>
  <c r="F13"/>
  <c r="E13"/>
  <c r="D13"/>
  <c r="C13"/>
  <c r="W11"/>
  <c r="W10"/>
  <c r="S107"/>
  <c r="T107"/>
  <c r="U107"/>
  <c r="S109"/>
  <c r="M107"/>
  <c r="N107"/>
  <c r="O107"/>
  <c r="V107"/>
  <c r="W107"/>
  <c r="X107"/>
  <c r="Y107"/>
  <c r="Z107"/>
  <c r="AA107"/>
  <c r="P107"/>
  <c r="Q107"/>
  <c r="R107"/>
  <c r="P109"/>
  <c r="Q109"/>
  <c r="R109"/>
  <c r="T109"/>
  <c r="U109"/>
  <c r="V109"/>
  <c r="W109"/>
  <c r="X109"/>
  <c r="Y109"/>
  <c r="Z109"/>
  <c r="AA109"/>
  <c r="M109"/>
  <c r="N109"/>
  <c r="O109"/>
  <c r="F55" i="18"/>
  <c r="I55"/>
  <c r="F42"/>
  <c r="I42"/>
  <c r="F29"/>
  <c r="I29"/>
  <c r="I6"/>
  <c r="G19" i="42"/>
  <c r="G18"/>
  <c r="C21"/>
  <c r="G17"/>
  <c r="C17"/>
  <c r="G21"/>
  <c r="D27"/>
  <c r="C24"/>
  <c r="G24"/>
  <c r="D17"/>
  <c r="F19"/>
  <c r="Q34"/>
  <c r="F25"/>
  <c r="L53"/>
  <c r="L51"/>
  <c r="L50"/>
  <c r="P34"/>
  <c r="E26"/>
  <c r="C18"/>
  <c r="D21"/>
  <c r="O34"/>
  <c r="F18"/>
  <c r="F17"/>
  <c r="U157"/>
  <c r="F21"/>
  <c r="E25"/>
  <c r="D25"/>
  <c r="F24"/>
  <c r="E24"/>
  <c r="D26"/>
  <c r="D24"/>
  <c r="C27"/>
  <c r="G27"/>
  <c r="L52"/>
  <c r="E19"/>
  <c r="D20"/>
  <c r="C26"/>
  <c r="E20"/>
  <c r="F27"/>
  <c r="E18"/>
  <c r="D19"/>
  <c r="C20"/>
  <c r="L157"/>
  <c r="G20"/>
  <c r="C25"/>
  <c r="G25"/>
  <c r="F26"/>
  <c r="U159"/>
  <c r="E27"/>
  <c r="G26"/>
  <c r="X159"/>
  <c r="E17"/>
  <c r="R157"/>
  <c r="O157"/>
  <c r="O159"/>
  <c r="L159"/>
  <c r="R159"/>
  <c r="Y115"/>
  <c r="X157"/>
  <c r="Y157"/>
  <c r="Z157"/>
  <c r="Y117"/>
  <c r="Y121"/>
  <c r="Z121"/>
  <c r="AA121"/>
  <c r="Y113"/>
  <c r="P111"/>
  <c r="M99"/>
  <c r="N99"/>
  <c r="O99"/>
  <c r="M117"/>
  <c r="M121"/>
  <c r="M113"/>
  <c r="N113"/>
  <c r="O113"/>
  <c r="S117"/>
  <c r="S121"/>
  <c r="S113"/>
  <c r="V99"/>
  <c r="W99"/>
  <c r="X99"/>
  <c r="V121"/>
  <c r="V113"/>
  <c r="V117"/>
  <c r="M115"/>
  <c r="M111"/>
  <c r="P117"/>
  <c r="P121"/>
  <c r="Q121"/>
  <c r="R121"/>
  <c r="P113"/>
  <c r="M95"/>
  <c r="M91"/>
  <c r="V95"/>
  <c r="W95"/>
  <c r="X95"/>
  <c r="S95"/>
  <c r="P74"/>
  <c r="P78"/>
  <c r="P70"/>
  <c r="Q70"/>
  <c r="R70"/>
  <c r="Y105"/>
  <c r="M97"/>
  <c r="P97"/>
  <c r="P101"/>
  <c r="Q101"/>
  <c r="R101"/>
  <c r="Y103"/>
  <c r="S103"/>
  <c r="S101"/>
  <c r="V97"/>
  <c r="W97"/>
  <c r="X97"/>
  <c r="P103"/>
  <c r="V105"/>
  <c r="V101"/>
  <c r="S105"/>
  <c r="T105"/>
  <c r="U105"/>
  <c r="M105"/>
  <c r="N105"/>
  <c r="O105"/>
  <c r="Y97"/>
  <c r="V103"/>
  <c r="P105"/>
  <c r="Q105"/>
  <c r="R105"/>
  <c r="Y101"/>
  <c r="S97"/>
  <c r="M101"/>
  <c r="P99"/>
  <c r="Q99"/>
  <c r="R99"/>
  <c r="Y95"/>
  <c r="Y91"/>
  <c r="S99"/>
  <c r="P76"/>
  <c r="P80"/>
  <c r="P72"/>
  <c r="Y99"/>
  <c r="P115"/>
  <c r="P95"/>
  <c r="M78"/>
  <c r="M70"/>
  <c r="P119"/>
  <c r="Q119"/>
  <c r="R119"/>
  <c r="M74"/>
  <c r="V187"/>
  <c r="W187"/>
  <c r="X187"/>
  <c r="V183"/>
  <c r="V175"/>
  <c r="V195"/>
  <c r="V191"/>
  <c r="W191"/>
  <c r="X191"/>
  <c r="V171"/>
  <c r="V167"/>
  <c r="W167"/>
  <c r="X167"/>
  <c r="V179"/>
  <c r="Y119"/>
  <c r="Z119"/>
  <c r="AA119"/>
  <c r="Y111"/>
  <c r="S78"/>
  <c r="V119"/>
  <c r="S179"/>
  <c r="T179"/>
  <c r="U179"/>
  <c r="S171"/>
  <c r="S187"/>
  <c r="S189"/>
  <c r="S185"/>
  <c r="T185"/>
  <c r="U185"/>
  <c r="S173"/>
  <c r="S169"/>
  <c r="S177"/>
  <c r="S197"/>
  <c r="T197"/>
  <c r="U197"/>
  <c r="S193"/>
  <c r="T193"/>
  <c r="U193"/>
  <c r="S181"/>
  <c r="V93"/>
  <c r="V189"/>
  <c r="V185"/>
  <c r="V173"/>
  <c r="V169"/>
  <c r="V181"/>
  <c r="W181"/>
  <c r="X181"/>
  <c r="V197"/>
  <c r="V193"/>
  <c r="V177"/>
  <c r="Y93"/>
  <c r="Z93"/>
  <c r="AA93"/>
  <c r="M187"/>
  <c r="M183"/>
  <c r="M179"/>
  <c r="M195"/>
  <c r="N195"/>
  <c r="O195"/>
  <c r="M191"/>
  <c r="N191"/>
  <c r="O191"/>
  <c r="M171"/>
  <c r="M167"/>
  <c r="M175"/>
  <c r="N175"/>
  <c r="O175"/>
  <c r="V91"/>
  <c r="S167"/>
  <c r="S183"/>
  <c r="J171"/>
  <c r="J167"/>
  <c r="K167"/>
  <c r="L167"/>
  <c r="J179"/>
  <c r="J175"/>
  <c r="J187"/>
  <c r="K187"/>
  <c r="L187"/>
  <c r="J183"/>
  <c r="J195"/>
  <c r="K195"/>
  <c r="L195"/>
  <c r="J191"/>
  <c r="J173"/>
  <c r="K173"/>
  <c r="L173"/>
  <c r="J169"/>
  <c r="J181"/>
  <c r="J177"/>
  <c r="M93"/>
  <c r="N93"/>
  <c r="O93"/>
  <c r="J189"/>
  <c r="J185"/>
  <c r="J197"/>
  <c r="J193"/>
  <c r="K193"/>
  <c r="L193"/>
  <c r="T97"/>
  <c r="U97"/>
  <c r="M103"/>
  <c r="N103"/>
  <c r="O103"/>
  <c r="M189"/>
  <c r="N189"/>
  <c r="O189"/>
  <c r="M185"/>
  <c r="M173"/>
  <c r="M169"/>
  <c r="M197"/>
  <c r="N197"/>
  <c r="O197"/>
  <c r="M193"/>
  <c r="M181"/>
  <c r="M177"/>
  <c r="N177"/>
  <c r="O177"/>
  <c r="Q117"/>
  <c r="R117"/>
  <c r="P93"/>
  <c r="Q93"/>
  <c r="R93"/>
  <c r="V111"/>
  <c r="W111"/>
  <c r="X111"/>
  <c r="S175"/>
  <c r="T175"/>
  <c r="U175"/>
  <c r="S195"/>
  <c r="P187"/>
  <c r="P183"/>
  <c r="Q183"/>
  <c r="R183"/>
  <c r="P175"/>
  <c r="P195"/>
  <c r="P191"/>
  <c r="P171"/>
  <c r="P167"/>
  <c r="P179"/>
  <c r="P189"/>
  <c r="Q189"/>
  <c r="R189"/>
  <c r="P185"/>
  <c r="Q185"/>
  <c r="R185"/>
  <c r="P173"/>
  <c r="Q173"/>
  <c r="R173"/>
  <c r="P169"/>
  <c r="Q169"/>
  <c r="R169"/>
  <c r="P181"/>
  <c r="Q181"/>
  <c r="R181"/>
  <c r="P197"/>
  <c r="Q197"/>
  <c r="R197"/>
  <c r="P193"/>
  <c r="Q193"/>
  <c r="R193"/>
  <c r="P177"/>
  <c r="Q177"/>
  <c r="R177"/>
  <c r="T113"/>
  <c r="U113"/>
  <c r="T117"/>
  <c r="U117"/>
  <c r="S93"/>
  <c r="T93"/>
  <c r="U93"/>
  <c r="V115"/>
  <c r="V157"/>
  <c r="W157"/>
  <c r="S191"/>
  <c r="T191"/>
  <c r="U191"/>
  <c r="M66"/>
  <c r="S66"/>
  <c r="J72"/>
  <c r="K72"/>
  <c r="L72"/>
  <c r="J76"/>
  <c r="J80"/>
  <c r="J68"/>
  <c r="W103"/>
  <c r="X103"/>
  <c r="M72"/>
  <c r="N72"/>
  <c r="O72"/>
  <c r="M76"/>
  <c r="M80"/>
  <c r="M68"/>
  <c r="N68"/>
  <c r="O68"/>
  <c r="S70"/>
  <c r="V72"/>
  <c r="V76"/>
  <c r="W76"/>
  <c r="X76"/>
  <c r="V80"/>
  <c r="W80"/>
  <c r="X80"/>
  <c r="V68"/>
  <c r="S111"/>
  <c r="S115"/>
  <c r="S119"/>
  <c r="T119"/>
  <c r="U119"/>
  <c r="S91"/>
  <c r="T169"/>
  <c r="U169"/>
  <c r="S72"/>
  <c r="T72"/>
  <c r="U72"/>
  <c r="S76"/>
  <c r="T76"/>
  <c r="U76"/>
  <c r="S80"/>
  <c r="S68"/>
  <c r="J70"/>
  <c r="K70"/>
  <c r="L70"/>
  <c r="J74"/>
  <c r="M119"/>
  <c r="J78"/>
  <c r="J66"/>
  <c r="K66"/>
  <c r="L66"/>
  <c r="P66"/>
  <c r="N173"/>
  <c r="O173"/>
  <c r="Q76"/>
  <c r="R76"/>
  <c r="Q80"/>
  <c r="R80"/>
  <c r="P68"/>
  <c r="Q95"/>
  <c r="R95"/>
  <c r="P91"/>
  <c r="Q91"/>
  <c r="R91"/>
  <c r="S74"/>
  <c r="T74"/>
  <c r="U74"/>
  <c r="W195"/>
  <c r="X195"/>
  <c r="V70"/>
  <c r="V74"/>
  <c r="W74"/>
  <c r="X74"/>
  <c r="V78"/>
  <c r="W78"/>
  <c r="X78"/>
  <c r="V66"/>
  <c r="T171"/>
  <c r="U171"/>
  <c r="T183"/>
  <c r="U183"/>
  <c r="T187"/>
  <c r="U187"/>
  <c r="AB109"/>
  <c r="AB107"/>
  <c r="T66"/>
  <c r="U66"/>
  <c r="N185"/>
  <c r="O185"/>
  <c r="Q72"/>
  <c r="R72"/>
  <c r="T121"/>
  <c r="U121"/>
  <c r="Z95"/>
  <c r="AA95"/>
  <c r="T95"/>
  <c r="U95"/>
  <c r="N169"/>
  <c r="O169"/>
  <c r="N95"/>
  <c r="O95"/>
  <c r="Z105"/>
  <c r="AA105"/>
  <c r="S159"/>
  <c r="T159"/>
  <c r="W105"/>
  <c r="X105"/>
  <c r="T195"/>
  <c r="U195"/>
  <c r="W119"/>
  <c r="X119"/>
  <c r="Z103"/>
  <c r="AA103"/>
  <c r="T103"/>
  <c r="U103"/>
  <c r="Q103"/>
  <c r="R103"/>
  <c r="N181"/>
  <c r="O181"/>
  <c r="N80"/>
  <c r="O80"/>
  <c r="Q113"/>
  <c r="R113"/>
  <c r="P159"/>
  <c r="Q159"/>
  <c r="Q68"/>
  <c r="R68"/>
  <c r="V159"/>
  <c r="W159"/>
  <c r="K181"/>
  <c r="L181"/>
  <c r="T70"/>
  <c r="U70"/>
  <c r="N193"/>
  <c r="O193"/>
  <c r="W91"/>
  <c r="X91"/>
  <c r="T167"/>
  <c r="U167"/>
  <c r="T80"/>
  <c r="U80"/>
  <c r="T181"/>
  <c r="U181"/>
  <c r="W113"/>
  <c r="X113"/>
  <c r="W115"/>
  <c r="X115"/>
  <c r="T177"/>
  <c r="U177"/>
  <c r="T78"/>
  <c r="U78"/>
  <c r="W121"/>
  <c r="X121"/>
  <c r="T101"/>
  <c r="U101"/>
  <c r="W101"/>
  <c r="X101"/>
  <c r="Z101"/>
  <c r="AA101"/>
  <c r="N101"/>
  <c r="O101"/>
  <c r="N76"/>
  <c r="O76"/>
  <c r="W197"/>
  <c r="X197"/>
  <c r="T173"/>
  <c r="U173"/>
  <c r="W185"/>
  <c r="X185"/>
  <c r="Z113"/>
  <c r="AA113"/>
  <c r="W193"/>
  <c r="X193"/>
  <c r="K80"/>
  <c r="L80"/>
  <c r="N117"/>
  <c r="O117"/>
  <c r="K68"/>
  <c r="L68"/>
  <c r="K177"/>
  <c r="L177"/>
  <c r="M159"/>
  <c r="N159"/>
  <c r="W179"/>
  <c r="X179"/>
  <c r="N97"/>
  <c r="O97"/>
  <c r="K191"/>
  <c r="L191"/>
  <c r="K179"/>
  <c r="L179"/>
  <c r="K183"/>
  <c r="L183"/>
  <c r="N179"/>
  <c r="O179"/>
  <c r="N167"/>
  <c r="O167"/>
  <c r="N78"/>
  <c r="O78"/>
  <c r="N70"/>
  <c r="O70"/>
  <c r="Q97"/>
  <c r="R97"/>
  <c r="P157"/>
  <c r="Q157"/>
  <c r="N187"/>
  <c r="O187"/>
  <c r="N171"/>
  <c r="O171"/>
  <c r="N74"/>
  <c r="O74"/>
  <c r="N66"/>
  <c r="O66"/>
  <c r="N183"/>
  <c r="O183"/>
  <c r="T189"/>
  <c r="U189"/>
  <c r="W117"/>
  <c r="X117"/>
  <c r="W169"/>
  <c r="X169"/>
  <c r="W173"/>
  <c r="X173"/>
  <c r="K189"/>
  <c r="L189"/>
  <c r="N121"/>
  <c r="O121"/>
  <c r="K197"/>
  <c r="L197"/>
  <c r="Z115"/>
  <c r="AA115"/>
  <c r="W171"/>
  <c r="X171"/>
  <c r="W175"/>
  <c r="X175"/>
  <c r="W183"/>
  <c r="X183"/>
  <c r="M157"/>
  <c r="N157"/>
  <c r="K175"/>
  <c r="L175"/>
  <c r="N115"/>
  <c r="O115"/>
  <c r="Q191"/>
  <c r="R191"/>
  <c r="Q175"/>
  <c r="R175"/>
  <c r="S157"/>
  <c r="T157"/>
  <c r="Q187"/>
  <c r="R187"/>
  <c r="Q171"/>
  <c r="R171"/>
  <c r="Q74"/>
  <c r="R74"/>
  <c r="Q66"/>
  <c r="R66"/>
  <c r="T91"/>
  <c r="U91"/>
  <c r="Q195"/>
  <c r="R195"/>
  <c r="Q179"/>
  <c r="R179"/>
  <c r="Q167"/>
  <c r="R167"/>
  <c r="Q78"/>
  <c r="R78"/>
  <c r="Q111"/>
  <c r="R111"/>
  <c r="Z111"/>
  <c r="AA111"/>
  <c r="K171"/>
  <c r="L171"/>
  <c r="Z117"/>
  <c r="AA117"/>
  <c r="W68"/>
  <c r="X68"/>
  <c r="W177"/>
  <c r="X177"/>
  <c r="Y159"/>
  <c r="Z159"/>
  <c r="K185"/>
  <c r="L185"/>
  <c r="Z97"/>
  <c r="AA97"/>
  <c r="Z91"/>
  <c r="AA91"/>
  <c r="N119"/>
  <c r="O119"/>
  <c r="K78"/>
  <c r="L78"/>
  <c r="N91"/>
  <c r="O91"/>
  <c r="T111"/>
  <c r="U111"/>
  <c r="T115"/>
  <c r="U115"/>
  <c r="T68"/>
  <c r="U68"/>
  <c r="Q115"/>
  <c r="R115"/>
  <c r="W93"/>
  <c r="X93"/>
  <c r="W72"/>
  <c r="X72"/>
  <c r="Z99"/>
  <c r="AA99"/>
  <c r="W189"/>
  <c r="X189"/>
  <c r="K169"/>
  <c r="L169"/>
  <c r="K76"/>
  <c r="L76"/>
  <c r="W66"/>
  <c r="X66"/>
  <c r="W70"/>
  <c r="X70"/>
  <c r="K74"/>
  <c r="L74"/>
  <c r="N111"/>
  <c r="O111"/>
  <c r="AA157"/>
  <c r="D51" i="32"/>
  <c r="Y193" i="42"/>
  <c r="T99"/>
  <c r="U99"/>
  <c r="AB99"/>
  <c r="AB113"/>
  <c r="Y197"/>
  <c r="Y173"/>
  <c r="Y169"/>
  <c r="Y181"/>
  <c r="Y187"/>
  <c r="AB91"/>
  <c r="Y78"/>
  <c r="Y74"/>
  <c r="Y76"/>
  <c r="Y171"/>
  <c r="AB105"/>
  <c r="AB103"/>
  <c r="AB111"/>
  <c r="AB101"/>
  <c r="Y70"/>
  <c r="AB95"/>
  <c r="Y195"/>
  <c r="AB115"/>
  <c r="AB97"/>
  <c r="Y68"/>
  <c r="Y189"/>
  <c r="Y191"/>
  <c r="Y177"/>
  <c r="AB93"/>
  <c r="Y175"/>
  <c r="AB121"/>
  <c r="Y179"/>
  <c r="Y80"/>
  <c r="AB119"/>
  <c r="Y185"/>
  <c r="Y167"/>
  <c r="Y72"/>
  <c r="Y183"/>
  <c r="Y66"/>
  <c r="AB117"/>
  <c r="AC119"/>
  <c r="AD119"/>
  <c r="F43" i="32"/>
  <c r="AC111" i="42"/>
  <c r="AD111"/>
  <c r="F35" i="32"/>
  <c r="I57" i="18"/>
  <c r="J57"/>
  <c r="F69"/>
  <c r="F58"/>
  <c r="AB157" i="42"/>
  <c r="F51" i="32"/>
  <c r="D35"/>
  <c r="D43"/>
  <c r="AC115" i="42"/>
  <c r="AC91"/>
  <c r="Z78"/>
  <c r="AA78"/>
  <c r="D20" i="32"/>
  <c r="Z66" i="42"/>
  <c r="Z74"/>
  <c r="AA74"/>
  <c r="D16" i="32"/>
  <c r="Z70" i="42"/>
  <c r="AA70"/>
  <c r="D12" i="32"/>
  <c r="Z167" i="42"/>
  <c r="AA167"/>
  <c r="Z183"/>
  <c r="AA183"/>
  <c r="Z191"/>
  <c r="AA191"/>
  <c r="Z175"/>
  <c r="AA175"/>
  <c r="F12" i="23"/>
  <c r="AD115" i="42"/>
  <c r="F39" i="32"/>
  <c r="D39"/>
  <c r="AD91" i="42"/>
  <c r="F31" i="32"/>
  <c r="D31"/>
  <c r="F30" i="18"/>
  <c r="I30"/>
  <c r="J30"/>
  <c r="F43"/>
  <c r="I43"/>
  <c r="J43"/>
  <c r="I58"/>
  <c r="J58"/>
  <c r="I69"/>
  <c r="J69"/>
  <c r="B70"/>
  <c r="G43" i="32"/>
  <c r="AA66" i="42"/>
  <c r="D8" i="32"/>
  <c r="D63"/>
  <c r="E63"/>
  <c r="D67"/>
  <c r="E67"/>
  <c r="D71"/>
  <c r="E71"/>
  <c r="D59"/>
  <c r="E59"/>
  <c r="P26" i="23"/>
  <c r="Q26"/>
  <c r="E43" i="32"/>
  <c r="E39"/>
  <c r="E31"/>
  <c r="E35"/>
  <c r="J66" i="18"/>
  <c r="B67"/>
  <c r="J50"/>
  <c r="J37"/>
  <c r="J24"/>
  <c r="F5"/>
  <c r="I5"/>
  <c r="R26" i="23"/>
  <c r="R27"/>
  <c r="R28"/>
  <c r="F28" i="18"/>
  <c r="I28"/>
  <c r="F54"/>
  <c r="I54"/>
  <c r="F41"/>
  <c r="I41"/>
  <c r="H12" i="23"/>
  <c r="G12"/>
  <c r="D47"/>
  <c r="E12"/>
  <c r="D12"/>
  <c r="J5" i="18"/>
  <c r="O16" i="32"/>
  <c r="S26" i="23"/>
  <c r="T26"/>
  <c r="U28"/>
  <c r="H11" i="14"/>
  <c r="J11"/>
  <c r="H28"/>
  <c r="J28"/>
  <c r="H20"/>
  <c r="J20"/>
  <c r="H36"/>
  <c r="J36"/>
  <c r="J10" i="16"/>
  <c r="I10"/>
  <c r="H10"/>
  <c r="G10"/>
  <c r="F10"/>
  <c r="E10"/>
  <c r="D10"/>
  <c r="B10"/>
  <c r="U26" i="23"/>
  <c r="U27"/>
  <c r="S38" i="20"/>
  <c r="E8" i="32"/>
  <c r="M17"/>
  <c r="E14" i="30"/>
  <c r="E13"/>
  <c r="E12"/>
  <c r="E14" i="29"/>
  <c r="G29"/>
  <c r="E13"/>
  <c r="E9"/>
  <c r="S41" i="20"/>
  <c r="F20" i="27"/>
  <c r="G20"/>
  <c r="H37" i="14"/>
  <c r="J37"/>
  <c r="H12"/>
  <c r="J12"/>
  <c r="H44"/>
  <c r="J44"/>
  <c r="H21"/>
  <c r="J21"/>
  <c r="H29"/>
  <c r="J29"/>
  <c r="G30" i="29"/>
  <c r="H30"/>
  <c r="I30"/>
  <c r="G29" i="30"/>
  <c r="H29"/>
  <c r="I29"/>
  <c r="G30"/>
  <c r="H30"/>
  <c r="I30"/>
  <c r="J30"/>
  <c r="O39" i="32"/>
  <c r="I22" i="30"/>
  <c r="I22" i="29"/>
  <c r="J22"/>
  <c r="K22"/>
  <c r="L22"/>
  <c r="M19" i="32"/>
  <c r="J55" i="18"/>
  <c r="J13"/>
  <c r="J42"/>
  <c r="J29"/>
  <c r="M16" i="32"/>
  <c r="N36"/>
  <c r="F47" i="18"/>
  <c r="I47"/>
  <c r="J47"/>
  <c r="J30" i="29"/>
  <c r="O36" i="32"/>
  <c r="N38"/>
  <c r="F11" i="18"/>
  <c r="I11"/>
  <c r="J11"/>
  <c r="J29" i="30"/>
  <c r="O38" i="32"/>
  <c r="N39"/>
  <c r="L12"/>
  <c r="F34" i="18"/>
  <c r="I34"/>
  <c r="J34"/>
  <c r="H29" i="29"/>
  <c r="I29"/>
  <c r="J22" i="30"/>
  <c r="F10" i="18"/>
  <c r="F21"/>
  <c r="I21"/>
  <c r="J21"/>
  <c r="F35"/>
  <c r="I35"/>
  <c r="J35"/>
  <c r="F22"/>
  <c r="I22"/>
  <c r="J22"/>
  <c r="F48"/>
  <c r="I48"/>
  <c r="J48"/>
  <c r="N35" i="32"/>
  <c r="F9" i="18"/>
  <c r="I9"/>
  <c r="J29" i="29"/>
  <c r="O35" i="32"/>
  <c r="K22" i="30"/>
  <c r="L22"/>
  <c r="M14" i="32"/>
  <c r="I10" i="18"/>
  <c r="J10"/>
  <c r="F36"/>
  <c r="I36"/>
  <c r="J36"/>
  <c r="F49"/>
  <c r="I49"/>
  <c r="J49"/>
  <c r="F23"/>
  <c r="I23"/>
  <c r="J23"/>
  <c r="F12"/>
  <c r="I12"/>
  <c r="J12"/>
  <c r="H42" i="14"/>
  <c r="J42"/>
  <c r="H26"/>
  <c r="J26"/>
  <c r="H18"/>
  <c r="J18"/>
  <c r="H9"/>
  <c r="J9"/>
  <c r="H34"/>
  <c r="J34"/>
  <c r="M12" i="32"/>
  <c r="F33" i="18"/>
  <c r="I33"/>
  <c r="J33"/>
  <c r="F20"/>
  <c r="I20"/>
  <c r="F46"/>
  <c r="I46"/>
  <c r="J46"/>
  <c r="L14" i="32"/>
  <c r="H10" i="14"/>
  <c r="J10"/>
  <c r="E12" i="32"/>
  <c r="E20"/>
  <c r="G35"/>
  <c r="E16"/>
  <c r="H27" i="14"/>
  <c r="J27"/>
  <c r="H35"/>
  <c r="J35"/>
  <c r="H43"/>
  <c r="J43"/>
  <c r="H19"/>
  <c r="J19"/>
  <c r="G39" i="32"/>
  <c r="F39" i="14"/>
  <c r="J39"/>
  <c r="F31"/>
  <c r="F6"/>
  <c r="J6"/>
  <c r="F23"/>
  <c r="F15"/>
  <c r="J26" i="23"/>
  <c r="K26"/>
  <c r="M37"/>
  <c r="Y26"/>
  <c r="Z26"/>
  <c r="V26"/>
  <c r="W26"/>
  <c r="M26"/>
  <c r="N26"/>
  <c r="N37"/>
  <c r="N38"/>
  <c r="N39"/>
  <c r="L26"/>
  <c r="L27"/>
  <c r="L28"/>
  <c r="AA27"/>
  <c r="AA26"/>
  <c r="AA28"/>
  <c r="X26"/>
  <c r="X27"/>
  <c r="X28"/>
  <c r="O26"/>
  <c r="O27"/>
  <c r="O28"/>
  <c r="J54" i="18"/>
  <c r="J41"/>
  <c r="J28"/>
  <c r="J20"/>
  <c r="O37" i="23"/>
  <c r="AB27"/>
  <c r="AB28"/>
  <c r="AB26"/>
  <c r="N33" i="32"/>
  <c r="B20" i="18"/>
  <c r="P37" i="23"/>
  <c r="O33" i="32"/>
  <c r="AC26" i="23"/>
  <c r="I20" i="15"/>
  <c r="I19"/>
  <c r="J19"/>
  <c r="H20"/>
  <c r="G20"/>
  <c r="F45" i="18"/>
  <c r="I45"/>
  <c r="J45"/>
  <c r="B45"/>
  <c r="F32"/>
  <c r="I32"/>
  <c r="J32"/>
  <c r="B32"/>
  <c r="AD26" i="23"/>
  <c r="AE26"/>
  <c r="F8" i="18"/>
  <c r="I8"/>
  <c r="J8"/>
  <c r="B60"/>
  <c r="J20" i="15"/>
  <c r="K20"/>
  <c r="L19"/>
  <c r="S36" i="20"/>
  <c r="S42"/>
  <c r="S37"/>
  <c r="S39"/>
  <c r="S40"/>
  <c r="J6" i="18"/>
  <c r="J9"/>
  <c r="J7"/>
  <c r="M19" i="15"/>
  <c r="M8" i="32"/>
  <c r="N19" i="15"/>
  <c r="L8" i="32"/>
  <c r="H32" i="14"/>
  <c r="J32"/>
  <c r="B8" i="18"/>
  <c r="H40" i="14"/>
  <c r="J40"/>
  <c r="H24"/>
  <c r="J24"/>
  <c r="H7"/>
  <c r="J7"/>
  <c r="H16"/>
  <c r="J16"/>
  <c r="J23"/>
  <c r="J31"/>
  <c r="J15"/>
  <c r="G31" i="32"/>
  <c r="M10"/>
  <c r="L10"/>
  <c r="H33" i="14"/>
  <c r="J33"/>
  <c r="B34"/>
  <c r="H8"/>
  <c r="H25"/>
  <c r="H41"/>
  <c r="H17"/>
  <c r="J41"/>
  <c r="B44"/>
  <c r="J17"/>
  <c r="B18"/>
  <c r="J8"/>
  <c r="B9"/>
  <c r="J25"/>
  <c r="B26"/>
</calcChain>
</file>

<file path=xl/comments1.xml><?xml version="1.0" encoding="utf-8"?>
<comments xmlns="http://schemas.openxmlformats.org/spreadsheetml/2006/main">
  <authors>
    <author>Marja</author>
  </authors>
  <commentList>
    <comment ref="H132" authorId="0">
      <text>
        <r>
          <rPr>
            <b/>
            <sz val="9"/>
            <color indexed="81"/>
            <rFont val="Tahoma"/>
            <family val="2"/>
          </rPr>
          <t>NCS:</t>
        </r>
        <r>
          <rPr>
            <sz val="9"/>
            <color indexed="81"/>
            <rFont val="Tahoma"/>
            <family val="2"/>
          </rPr>
          <t xml:space="preserve">
Voor alle linacs tezamen</t>
        </r>
      </text>
    </comment>
    <comment ref="E141" authorId="0">
      <text>
        <r>
          <rPr>
            <b/>
            <sz val="9"/>
            <color indexed="81"/>
            <rFont val="Tahoma"/>
            <family val="2"/>
          </rPr>
          <t xml:space="preserve">NCS:
Voor alle linacs tezamen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9" authorId="0">
      <text>
        <r>
          <rPr>
            <b/>
            <sz val="9"/>
            <color indexed="81"/>
            <rFont val="Tahoma"/>
            <family val="2"/>
          </rPr>
          <t>NCS:</t>
        </r>
        <r>
          <rPr>
            <sz val="9"/>
            <color indexed="81"/>
            <rFont val="Tahoma"/>
            <family val="2"/>
          </rPr>
          <t xml:space="preserve">
voor alle linacs tezamen</t>
        </r>
      </text>
    </comment>
  </commentList>
</comments>
</file>

<file path=xl/comments2.xml><?xml version="1.0" encoding="utf-8"?>
<comments xmlns="http://schemas.openxmlformats.org/spreadsheetml/2006/main">
  <authors>
    <author>H Harbers</author>
  </authors>
  <commentList>
    <comment ref="A11" authorId="0">
      <text>
        <r>
          <rPr>
            <b/>
            <sz val="8"/>
            <color indexed="81"/>
            <rFont val="Tahoma"/>
            <family val="2"/>
          </rPr>
          <t>NCS:</t>
        </r>
        <r>
          <rPr>
            <sz val="8"/>
            <color indexed="81"/>
            <rFont val="Tahoma"/>
            <family val="2"/>
          </rPr>
          <t xml:space="preserve">
energie verstrooide straling wordt op 0,5 MeV gesteld.
</t>
        </r>
      </text>
    </comment>
    <comment ref="W12" authorId="0">
      <text>
        <r>
          <rPr>
            <b/>
            <sz val="8"/>
            <color indexed="81"/>
            <rFont val="Tahoma"/>
            <family val="2"/>
          </rPr>
          <t xml:space="preserve">NCSs:
geldig voor grote  verzwakking (~TVTe)
</t>
        </r>
        <r>
          <rPr>
            <sz val="8"/>
            <color indexed="81"/>
            <rFont val="Tahoma"/>
            <family val="2"/>
          </rPr>
          <t xml:space="preserve">
gebasseerd op Varian data</t>
        </r>
      </text>
    </comment>
    <comment ref="X13" authorId="0">
      <text>
        <r>
          <rPr>
            <b/>
            <sz val="8"/>
            <color indexed="81"/>
            <rFont val="Tahoma"/>
            <family val="2"/>
          </rPr>
          <t>H Harbers:</t>
        </r>
        <r>
          <rPr>
            <sz val="8"/>
            <color indexed="81"/>
            <rFont val="Tahoma"/>
            <family val="2"/>
          </rPr>
          <t xml:space="preserve">
Varian geeft ook nog TVL lek voor lood en staal
</t>
        </r>
      </text>
    </comment>
    <comment ref="AJ17" authorId="0">
      <text>
        <r>
          <rPr>
            <b/>
            <sz val="8"/>
            <color indexed="81"/>
            <rFont val="Tahoma"/>
            <family val="2"/>
          </rPr>
          <t>H Harbers:</t>
        </r>
        <r>
          <rPr>
            <sz val="8"/>
            <color indexed="81"/>
            <rFont val="Tahoma"/>
            <family val="2"/>
          </rPr>
          <t xml:space="preserve">
uit NCRP 79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H Harbers:</t>
        </r>
        <r>
          <rPr>
            <sz val="8"/>
            <color indexed="81"/>
            <rFont val="Tahoma"/>
            <family val="2"/>
          </rPr>
          <t xml:space="preserve">
tabel 3
</t>
        </r>
      </text>
    </comment>
    <comment ref="C38" authorId="0">
      <text>
        <r>
          <rPr>
            <b/>
            <sz val="8"/>
            <color indexed="81"/>
            <rFont val="Tahoma"/>
            <family val="2"/>
          </rPr>
          <t>NCS:</t>
        </r>
        <r>
          <rPr>
            <sz val="8"/>
            <color indexed="81"/>
            <rFont val="Tahoma"/>
            <family val="2"/>
          </rPr>
          <t xml:space="preserve">
geinterpoleerd uit IAEA TVT's
</t>
        </r>
      </text>
    </comment>
  </commentList>
</comments>
</file>

<file path=xl/sharedStrings.xml><?xml version="1.0" encoding="utf-8"?>
<sst xmlns="http://schemas.openxmlformats.org/spreadsheetml/2006/main" count="2733" uniqueCount="602">
  <si>
    <t>Fr</t>
  </si>
  <si>
    <t>lek</t>
  </si>
  <si>
    <t xml:space="preserve">beton </t>
  </si>
  <si>
    <t>beton</t>
  </si>
  <si>
    <t>staal</t>
  </si>
  <si>
    <t>afstand</t>
  </si>
  <si>
    <t>hoek van</t>
  </si>
  <si>
    <t>TVT</t>
  </si>
  <si>
    <t>transm</t>
  </si>
  <si>
    <t>Punt</t>
  </si>
  <si>
    <t>m</t>
  </si>
  <si>
    <t>inval</t>
  </si>
  <si>
    <t>recht</t>
  </si>
  <si>
    <t>afscherming</t>
  </si>
  <si>
    <t>ICRP 33</t>
  </si>
  <si>
    <t>totaal</t>
  </si>
  <si>
    <t>aard</t>
  </si>
  <si>
    <t>straling</t>
  </si>
  <si>
    <t>primair</t>
  </si>
  <si>
    <t>omschrijving</t>
  </si>
  <si>
    <t>dosistempo</t>
  </si>
  <si>
    <t>Dosistempo</t>
  </si>
  <si>
    <t>Type nuclide</t>
  </si>
  <si>
    <t>Ir-192</t>
  </si>
  <si>
    <t>primaire straling</t>
  </si>
  <si>
    <t>lek straling</t>
  </si>
  <si>
    <t>bedieningsruimte</t>
  </si>
  <si>
    <t>lood</t>
  </si>
  <si>
    <t>hoek</t>
  </si>
  <si>
    <t>per bijdrage</t>
  </si>
  <si>
    <t>bron</t>
  </si>
  <si>
    <t>aard straling</t>
  </si>
  <si>
    <t>ruimte-</t>
  </si>
  <si>
    <t>(cm)</t>
  </si>
  <si>
    <t>primair skyshine</t>
  </si>
  <si>
    <t>lek skyshine</t>
  </si>
  <si>
    <t>halve</t>
  </si>
  <si>
    <t>tophoek</t>
  </si>
  <si>
    <t>(graden)</t>
  </si>
  <si>
    <t>(sterad)</t>
  </si>
  <si>
    <t>IAEA 47</t>
  </si>
  <si>
    <t>NCRP 49</t>
  </si>
  <si>
    <t>NCRP 151</t>
  </si>
  <si>
    <t>mSv/jaar</t>
  </si>
  <si>
    <t>neutronen</t>
  </si>
  <si>
    <t>TVT1</t>
  </si>
  <si>
    <t>TVTe</t>
  </si>
  <si>
    <t>parafine</t>
  </si>
  <si>
    <t>water</t>
  </si>
  <si>
    <t>verstrooide</t>
  </si>
  <si>
    <t>labyrinth &lt; 5 m</t>
  </si>
  <si>
    <t>labyrinth &gt; 5 m</t>
  </si>
  <si>
    <t>BPE</t>
  </si>
  <si>
    <t>primaire</t>
  </si>
  <si>
    <t>NCRP 51</t>
  </si>
  <si>
    <t>werkplek</t>
  </si>
  <si>
    <t>Philips</t>
  </si>
  <si>
    <t>CT</t>
  </si>
  <si>
    <t>kV</t>
  </si>
  <si>
    <t>DLP per scan (mGycm)</t>
  </si>
  <si>
    <t>α</t>
  </si>
  <si>
    <t>β</t>
  </si>
  <si>
    <t>γ</t>
  </si>
  <si>
    <t>kVp</t>
  </si>
  <si>
    <t>Thorax</t>
  </si>
  <si>
    <t>punt</t>
  </si>
  <si>
    <t>Versneller</t>
  </si>
  <si>
    <t>6847-2</t>
  </si>
  <si>
    <t>DIN</t>
  </si>
  <si>
    <t>verstrooide neutronen</t>
  </si>
  <si>
    <t>energie (MV)</t>
  </si>
  <si>
    <t>1,5/2,2</t>
  </si>
  <si>
    <t>Voorziene onbedoelde gebeurtenis</t>
  </si>
  <si>
    <t>Dosis (mSv)</t>
  </si>
  <si>
    <t>Maximale Fine-Kinney factor</t>
  </si>
  <si>
    <t>W</t>
  </si>
  <si>
    <t>bijna niet denkbaar</t>
  </si>
  <si>
    <t>praktisch onmogelijk</t>
  </si>
  <si>
    <t>zeer wel mogelijk</t>
  </si>
  <si>
    <t>te verwachten</t>
  </si>
  <si>
    <t>R</t>
  </si>
  <si>
    <t>R &lt; 20</t>
  </si>
  <si>
    <t>20 &lt;R &lt;70</t>
  </si>
  <si>
    <t>aandacht vereist</t>
  </si>
  <si>
    <t>70 &lt;R &lt;200</t>
  </si>
  <si>
    <t>maatregelen vereist</t>
  </si>
  <si>
    <t>200&lt;R&lt;400</t>
  </si>
  <si>
    <t>directe verbetering vereist</t>
  </si>
  <si>
    <t>R&gt;400</t>
  </si>
  <si>
    <t>werkzaamheden stoppen</t>
  </si>
  <si>
    <t>E</t>
  </si>
  <si>
    <t>Radiotherapie</t>
  </si>
  <si>
    <t>Brachytherapie HDR</t>
  </si>
  <si>
    <t>Klinisch Fysicus</t>
  </si>
  <si>
    <t>Novalis</t>
  </si>
  <si>
    <t>Brainlab/</t>
  </si>
  <si>
    <t>bariet</t>
  </si>
  <si>
    <t>Een 'overzicht' van reflectiecoefficienten zoals te vinden in diverse publicaties.</t>
  </si>
  <si>
    <t>reflectiehoek (tov de normaal)</t>
  </si>
  <si>
    <t>fig 21: 45 graden inval, 45 graden reflectie</t>
  </si>
  <si>
    <t>op 50 cm</t>
  </si>
  <si>
    <t>op 1 m</t>
  </si>
  <si>
    <t>Toegepaste reflectiecoefficienten</t>
  </si>
  <si>
    <t>hoek van inval</t>
  </si>
  <si>
    <t>hoek van reflectie</t>
  </si>
  <si>
    <t>Hoofd</t>
  </si>
  <si>
    <t>Fitparameters voor secundaire straling CT</t>
  </si>
  <si>
    <t>verrichting</t>
  </si>
  <si>
    <t>mm</t>
  </si>
  <si>
    <t>fitparameters</t>
  </si>
  <si>
    <t>Omschrijving</t>
  </si>
  <si>
    <t>Secundaire straling op 1 m, per scan (mGy)</t>
  </si>
  <si>
    <t>materiaal</t>
  </si>
  <si>
    <t>afscherming (cm)</t>
  </si>
  <si>
    <t>(m)</t>
  </si>
  <si>
    <t>Ω</t>
  </si>
  <si>
    <t>schuin</t>
  </si>
  <si>
    <t>ϴ</t>
  </si>
  <si>
    <t>versneller</t>
  </si>
  <si>
    <t xml:space="preserve"> Totale dosis mSv</t>
  </si>
  <si>
    <t>uren per</t>
  </si>
  <si>
    <t>brachytherapie HDR</t>
  </si>
  <si>
    <t>jaardosis</t>
  </si>
  <si>
    <t>Klinisch fysicus</t>
  </si>
  <si>
    <t>Klinisch fysicus medewerker</t>
  </si>
  <si>
    <t>Medisch Specialist</t>
  </si>
  <si>
    <t>Klinisch Fysisch medewerker</t>
  </si>
  <si>
    <t>HVL</t>
  </si>
  <si>
    <t>fig 22: loodrechte inval op beton</t>
  </si>
  <si>
    <t>reflectiehoek</t>
  </si>
  <si>
    <t>Tabel b.8a: loodrechte inval op beton</t>
  </si>
  <si>
    <t>tabel 28</t>
  </si>
  <si>
    <t>Belastingsfactoren</t>
  </si>
  <si>
    <t>zeer zelden</t>
  </si>
  <si>
    <t>zelden</t>
  </si>
  <si>
    <t>soms</t>
  </si>
  <si>
    <t>af en toe</t>
  </si>
  <si>
    <t>regelmatig</t>
  </si>
  <si>
    <t>continue</t>
  </si>
  <si>
    <t>&lt; 1 maal per jaar</t>
  </si>
  <si>
    <t>jaarlijks</t>
  </si>
  <si>
    <t>maandelijks</t>
  </si>
  <si>
    <t>wekelijks</t>
  </si>
  <si>
    <t>dagelijks</t>
  </si>
  <si>
    <t>8 uur per dag/continue</t>
  </si>
  <si>
    <t>Waarschijnlijkheidsfactoren</t>
  </si>
  <si>
    <t>B</t>
  </si>
  <si>
    <t>denkbaar</t>
  </si>
  <si>
    <t>onwaarschijnlijk</t>
  </si>
  <si>
    <t>ongewoon</t>
  </si>
  <si>
    <r>
      <t xml:space="preserve"> 0,0001% = 10</t>
    </r>
    <r>
      <rPr>
        <vertAlign val="superscript"/>
        <sz val="11"/>
        <rFont val="Arial"/>
        <family val="2"/>
      </rPr>
      <t>-6</t>
    </r>
  </si>
  <si>
    <r>
      <t xml:space="preserve"> 0,001% = 10</t>
    </r>
    <r>
      <rPr>
        <vertAlign val="superscript"/>
        <sz val="11"/>
        <rFont val="Arial"/>
        <family val="2"/>
      </rPr>
      <t>-5</t>
    </r>
  </si>
  <si>
    <r>
      <t xml:space="preserve"> 0,01% = 10</t>
    </r>
    <r>
      <rPr>
        <vertAlign val="superscript"/>
        <sz val="11"/>
        <rFont val="Arial"/>
        <family val="2"/>
      </rPr>
      <t>-4</t>
    </r>
  </si>
  <si>
    <r>
      <t xml:space="preserve"> 0,1% = 10</t>
    </r>
    <r>
      <rPr>
        <vertAlign val="superscript"/>
        <sz val="11"/>
        <rFont val="Arial"/>
        <family val="2"/>
      </rPr>
      <t>-3</t>
    </r>
  </si>
  <si>
    <r>
      <t xml:space="preserve"> 1% = 10</t>
    </r>
    <r>
      <rPr>
        <vertAlign val="superscript"/>
        <sz val="11"/>
        <rFont val="Arial"/>
        <family val="2"/>
      </rPr>
      <t>-2</t>
    </r>
  </si>
  <si>
    <t>10 - 50 %</t>
  </si>
  <si>
    <t>&gt; 50 %</t>
  </si>
  <si>
    <t xml:space="preserve">Effectfactoren </t>
  </si>
  <si>
    <t>effectieve dosis</t>
  </si>
  <si>
    <t>equivalante dosis</t>
  </si>
  <si>
    <t>Risicogetallen</t>
  </si>
  <si>
    <t>zeer beperkt risico</t>
  </si>
  <si>
    <t xml:space="preserve">Omschrijving </t>
  </si>
  <si>
    <t xml:space="preserve"> huid/extremiteiten</t>
  </si>
  <si>
    <t>frequentie</t>
  </si>
  <si>
    <t>kans</t>
  </si>
  <si>
    <t>I-125</t>
  </si>
  <si>
    <t>zaadjesbereider</t>
  </si>
  <si>
    <t>ingang labyrint</t>
  </si>
  <si>
    <t>Dosis</t>
  </si>
  <si>
    <t xml:space="preserve">aantal </t>
  </si>
  <si>
    <t>per jaar</t>
  </si>
  <si>
    <t>week op</t>
  </si>
  <si>
    <t>I-125 implantatie</t>
  </si>
  <si>
    <t>door gebruiker in te vullen</t>
  </si>
  <si>
    <t>Brachytherapie PDR</t>
  </si>
  <si>
    <t>brachytherapie PDR</t>
  </si>
  <si>
    <t>Orthovolt</t>
  </si>
  <si>
    <t>tabel 18 uit IAEA 47</t>
  </si>
  <si>
    <t>gamma-capture fotonen</t>
  </si>
  <si>
    <t>F-18-FDG</t>
  </si>
  <si>
    <t>1: uit DIN 6847-2</t>
  </si>
  <si>
    <t>Laborant</t>
  </si>
  <si>
    <t>PET-CT</t>
  </si>
  <si>
    <t>terreingrens 1</t>
  </si>
  <si>
    <t>terreingrens 2</t>
  </si>
  <si>
    <t>terreingrens 4</t>
  </si>
  <si>
    <t>terreingrens 3</t>
  </si>
  <si>
    <t>Werkplek</t>
  </si>
  <si>
    <t>Gegevens algemeen</t>
  </si>
  <si>
    <t>gemiddelde activiteit bron</t>
  </si>
  <si>
    <t>transmissie patient</t>
  </si>
  <si>
    <t>behandelruimte</t>
  </si>
  <si>
    <t>Dosisberekening</t>
  </si>
  <si>
    <t>aantal implantaten per jaar</t>
  </si>
  <si>
    <t>gemiddelde aantal zaadjes per implantaat</t>
  </si>
  <si>
    <t>zaadjes bereiden</t>
  </si>
  <si>
    <t>Versnellers</t>
  </si>
  <si>
    <t>Brachytherapie met Iridium 192</t>
  </si>
  <si>
    <t>tabel 4</t>
  </si>
  <si>
    <t>TVT's en HVL's voor Ir-192 (cm)</t>
  </si>
  <si>
    <t>implanteren</t>
  </si>
  <si>
    <t xml:space="preserve">Versneller technicus </t>
  </si>
  <si>
    <t>Correctie schuine inval: minus 2 HVL (1 HVL = 0,301 TVT), toegepast voor beton</t>
  </si>
  <si>
    <t>tabel 3 uit ICRP 33</t>
  </si>
  <si>
    <t>tabel 27 uit NCRP 49</t>
  </si>
  <si>
    <t>Regulier</t>
  </si>
  <si>
    <t>Medisch specialist</t>
  </si>
  <si>
    <t>Versneller technicus</t>
  </si>
  <si>
    <t>(mSv)</t>
  </si>
  <si>
    <t>factor</t>
  </si>
  <si>
    <t>factor R</t>
  </si>
  <si>
    <t>lijkheidsfactor</t>
  </si>
  <si>
    <t>Belastings-</t>
  </si>
  <si>
    <t>Waarschijn-</t>
  </si>
  <si>
    <t>Effect-</t>
  </si>
  <si>
    <t>Risico-</t>
  </si>
  <si>
    <r>
      <t>2: berekenen mbv dichtheid beton: TVT bariet = TVT beton * ρ</t>
    </r>
    <r>
      <rPr>
        <vertAlign val="subscript"/>
        <sz val="11"/>
        <color indexed="8"/>
        <rFont val="Arial"/>
        <family val="2"/>
      </rPr>
      <t>beton</t>
    </r>
    <r>
      <rPr>
        <sz val="11"/>
        <color indexed="8"/>
        <rFont val="Arial"/>
        <family val="2"/>
      </rPr>
      <t>/ρ</t>
    </r>
    <r>
      <rPr>
        <vertAlign val="subscript"/>
        <sz val="11"/>
        <color indexed="8"/>
        <rFont val="Arial"/>
        <family val="2"/>
      </rPr>
      <t>bariet</t>
    </r>
  </si>
  <si>
    <r>
      <t>beton 2,35 g.cm</t>
    </r>
    <r>
      <rPr>
        <vertAlign val="superscript"/>
        <sz val="11"/>
        <color indexed="8"/>
        <rFont val="Arial"/>
        <family val="2"/>
      </rPr>
      <t>-3</t>
    </r>
  </si>
  <si>
    <r>
      <t>bariet 3,4 g.cm</t>
    </r>
    <r>
      <rPr>
        <vertAlign val="superscript"/>
        <sz val="11"/>
        <color indexed="8"/>
        <rFont val="Arial"/>
        <family val="2"/>
      </rPr>
      <t>-3</t>
    </r>
  </si>
  <si>
    <r>
      <t>staal 7,8 g.cm</t>
    </r>
    <r>
      <rPr>
        <vertAlign val="superscript"/>
        <sz val="11"/>
        <color indexed="8"/>
        <rFont val="Arial"/>
        <family val="2"/>
      </rPr>
      <t>-3</t>
    </r>
  </si>
  <si>
    <r>
      <t>lood 11,3 g.cm</t>
    </r>
    <r>
      <rPr>
        <vertAlign val="superscript"/>
        <sz val="11"/>
        <color indexed="8"/>
        <rFont val="Arial"/>
        <family val="2"/>
      </rPr>
      <t>-3</t>
    </r>
  </si>
  <si>
    <r>
      <t>Alle coefficienten zijn per 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 xml:space="preserve"> op 1 m</t>
    </r>
  </si>
  <si>
    <r>
      <t>Tabel b.8b: 45 graden inval op beton (per m</t>
    </r>
    <r>
      <rPr>
        <vertAlign val="superscript"/>
        <sz val="11"/>
        <color indexed="8"/>
        <rFont val="Arial"/>
        <family val="2"/>
      </rPr>
      <t xml:space="preserve">2 </t>
    </r>
    <r>
      <rPr>
        <sz val="11"/>
        <color indexed="8"/>
        <rFont val="Arial"/>
        <family val="2"/>
      </rPr>
      <t>op 1 m)</t>
    </r>
  </si>
  <si>
    <r>
      <t>% per 100 cm</t>
    </r>
    <r>
      <rPr>
        <vertAlign val="superscript"/>
        <sz val="11"/>
        <color indexed="8"/>
        <rFont val="Arial"/>
        <family val="2"/>
      </rPr>
      <t>2</t>
    </r>
  </si>
  <si>
    <r>
      <t>per m</t>
    </r>
    <r>
      <rPr>
        <vertAlign val="superscript"/>
        <sz val="11"/>
        <color indexed="8"/>
        <rFont val="Arial"/>
        <family val="2"/>
      </rPr>
      <t>2</t>
    </r>
  </si>
  <si>
    <r>
      <t>lekstraling (D</t>
    </r>
    <r>
      <rPr>
        <vertAlign val="subscript"/>
        <sz val="11"/>
        <color indexed="8"/>
        <rFont val="Arial"/>
        <family val="2"/>
      </rPr>
      <t>lek</t>
    </r>
    <r>
      <rPr>
        <sz val="11"/>
        <color indexed="8"/>
        <rFont val="Arial"/>
        <family val="2"/>
      </rPr>
      <t>/D</t>
    </r>
    <r>
      <rPr>
        <vertAlign val="subscript"/>
        <sz val="11"/>
        <color indexed="8"/>
        <rFont val="Arial"/>
        <family val="2"/>
      </rPr>
      <t>primair</t>
    </r>
    <r>
      <rPr>
        <sz val="11"/>
        <color indexed="8"/>
        <rFont val="Arial"/>
        <family val="2"/>
      </rPr>
      <t>)</t>
    </r>
  </si>
  <si>
    <r>
      <t>lekstraling (D</t>
    </r>
    <r>
      <rPr>
        <vertAlign val="subscript"/>
        <sz val="11"/>
        <color indexed="8"/>
        <rFont val="Calibri"/>
        <family val="2"/>
      </rPr>
      <t>lek</t>
    </r>
    <r>
      <rPr>
        <sz val="11"/>
        <color theme="1"/>
        <rFont val="Calibri"/>
        <family val="2"/>
        <scheme val="minor"/>
      </rPr>
      <t>/D</t>
    </r>
    <r>
      <rPr>
        <vertAlign val="subscript"/>
        <sz val="11"/>
        <color indexed="8"/>
        <rFont val="Calibri"/>
        <family val="2"/>
      </rPr>
      <t>primair</t>
    </r>
    <r>
      <rPr>
        <sz val="11"/>
        <color theme="1"/>
        <rFont val="Calibri"/>
        <family val="2"/>
        <scheme val="minor"/>
      </rPr>
      <t>), F</t>
    </r>
    <r>
      <rPr>
        <vertAlign val="subscript"/>
        <sz val="11"/>
        <color indexed="8"/>
        <rFont val="Calibri"/>
        <family val="2"/>
      </rPr>
      <t>L</t>
    </r>
  </si>
  <si>
    <r>
      <t>fractie toegepast, F</t>
    </r>
    <r>
      <rPr>
        <vertAlign val="subscript"/>
        <sz val="11"/>
        <color indexed="8"/>
        <rFont val="Calibri"/>
        <family val="2"/>
      </rPr>
      <t>e</t>
    </r>
  </si>
  <si>
    <r>
      <t>fractie conventioneel, F</t>
    </r>
    <r>
      <rPr>
        <vertAlign val="subscript"/>
        <sz val="11"/>
        <color indexed="8"/>
        <rFont val="Calibri"/>
        <family val="2"/>
      </rPr>
      <t>c</t>
    </r>
  </si>
  <si>
    <r>
      <t>fractie IMRT, F</t>
    </r>
    <r>
      <rPr>
        <vertAlign val="subscript"/>
        <sz val="11"/>
        <color indexed="8"/>
        <rFont val="Calibri"/>
        <family val="2"/>
      </rPr>
      <t>I</t>
    </r>
  </si>
  <si>
    <r>
      <t>IMRT factor, C</t>
    </r>
    <r>
      <rPr>
        <vertAlign val="subscript"/>
        <sz val="11"/>
        <color indexed="8"/>
        <rFont val="Calibri"/>
        <family val="2"/>
      </rPr>
      <t>I</t>
    </r>
  </si>
  <si>
    <t>medewerker</t>
  </si>
  <si>
    <t xml:space="preserve">Gebruikte TVT </t>
  </si>
  <si>
    <t>Gepubliceerde TVT</t>
  </si>
  <si>
    <t>Gepubliceerde reflectiecoefficienten</t>
  </si>
  <si>
    <t>dosis per</t>
  </si>
  <si>
    <t>Versie beheerder</t>
  </si>
  <si>
    <t>versie 1</t>
  </si>
  <si>
    <t>Datum</t>
  </si>
  <si>
    <t>Versie</t>
  </si>
  <si>
    <t>Comments</t>
  </si>
  <si>
    <t>Autors</t>
  </si>
  <si>
    <t>Status</t>
  </si>
  <si>
    <t>concept</t>
  </si>
  <si>
    <t>Radiofamacon</t>
  </si>
  <si>
    <t>aantal behandelingen per jaar</t>
  </si>
  <si>
    <t>tabel B.2</t>
  </si>
  <si>
    <t>tabel B.7</t>
  </si>
  <si>
    <t>lekstraling</t>
  </si>
  <si>
    <t>NCRP 151 (pg 46), IAEA 47 (pg 42)</t>
  </si>
  <si>
    <t>TVT (cm) voor neutronen</t>
  </si>
  <si>
    <t>DIN 6847/2</t>
  </si>
  <si>
    <t>labyrint &lt; 5 m</t>
  </si>
  <si>
    <t>labyrint &gt; 5 m</t>
  </si>
  <si>
    <t>deur labyrint</t>
  </si>
  <si>
    <t>Alle TVT's in cm</t>
  </si>
  <si>
    <t>TVT (cm) voor neutronen verstrooid in labyrint en gamma-capture fotonen</t>
  </si>
  <si>
    <t>McGinley, shielding techniques, tabel 4-5</t>
  </si>
  <si>
    <t>direkte neutronen</t>
  </si>
  <si>
    <t>directe neutronen (0,34 MeV)</t>
  </si>
  <si>
    <t>gamma-capture fotonen (3,6 MeV)</t>
  </si>
  <si>
    <t>45 !!!</t>
  </si>
  <si>
    <t>NCRP 79</t>
  </si>
  <si>
    <t>TVT neutronen (cm)</t>
  </si>
  <si>
    <t>voor beton: 15,6 + 5,6 * MV van de neutronen</t>
  </si>
  <si>
    <t>voor BPE: 6,2 + 3,4 * MV van de neutronen</t>
  </si>
  <si>
    <t xml:space="preserve">capture </t>
  </si>
  <si>
    <t xml:space="preserve"> TVT (cm)</t>
  </si>
  <si>
    <r>
      <t xml:space="preserve">capture </t>
    </r>
    <r>
      <rPr>
        <sz val="11"/>
        <color indexed="8"/>
        <rFont val="Calibri"/>
        <family val="2"/>
      </rPr>
      <t>γ</t>
    </r>
  </si>
  <si>
    <t>afstand (m)</t>
  </si>
  <si>
    <t>Afstanden (m)</t>
  </si>
  <si>
    <t>Voor de energie van de bundels kan genomen worden de versnelspanning</t>
  </si>
  <si>
    <t>alsook de monoenergetische energie van de bundel.</t>
  </si>
  <si>
    <t>Energie is de  versnelspanning</t>
  </si>
  <si>
    <t>NCRP 151 (IAEA (tabel 6 en 7) komt met vrijwel identiek waarden)</t>
  </si>
  <si>
    <t>TVT (cm)</t>
  </si>
  <si>
    <r>
      <t>% per 100 cm</t>
    </r>
    <r>
      <rPr>
        <vertAlign val="superscript"/>
        <sz val="11"/>
        <color indexed="8"/>
        <rFont val="Arial"/>
        <family val="2"/>
      </rPr>
      <t xml:space="preserve">2 </t>
    </r>
    <r>
      <rPr>
        <sz val="11"/>
        <color indexed="8"/>
        <rFont val="Arial"/>
        <family val="2"/>
      </rPr>
      <t>op 1 m</t>
    </r>
  </si>
  <si>
    <t xml:space="preserve">door gebruiker in te vullen </t>
  </si>
  <si>
    <t>(mSv/jaar)</t>
  </si>
  <si>
    <t>per bron</t>
  </si>
  <si>
    <t>HDR</t>
  </si>
  <si>
    <t>PDR</t>
  </si>
  <si>
    <r>
      <t>m</t>
    </r>
    <r>
      <rPr>
        <sz val="11"/>
        <color indexed="8"/>
        <rFont val="Arial"/>
        <family val="2"/>
      </rPr>
      <t>Sv/jaar</t>
    </r>
  </si>
  <si>
    <r>
      <t>(m</t>
    </r>
    <r>
      <rPr>
        <sz val="11"/>
        <color indexed="8"/>
        <rFont val="Arial"/>
        <family val="2"/>
      </rPr>
      <t>Sv/jaar)</t>
    </r>
  </si>
  <si>
    <t>T1</t>
  </si>
  <si>
    <r>
      <t>d</t>
    </r>
    <r>
      <rPr>
        <vertAlign val="subscript"/>
        <sz val="11"/>
        <color indexed="8"/>
        <rFont val="Arial"/>
        <family val="2"/>
      </rPr>
      <t xml:space="preserve">i </t>
    </r>
    <r>
      <rPr>
        <sz val="11"/>
        <color indexed="8"/>
        <rFont val="Arial"/>
        <family val="2"/>
      </rPr>
      <t>(m)</t>
    </r>
  </si>
  <si>
    <t>afscherming (dakdikte)</t>
  </si>
  <si>
    <t>skyshine tgv primaire bundel</t>
  </si>
  <si>
    <t>skyshine tgv lekstraling</t>
  </si>
  <si>
    <r>
      <t>(</t>
    </r>
    <r>
      <rPr>
        <sz val="11"/>
        <rFont val="Calibri"/>
        <family val="2"/>
      </rPr>
      <t>µ</t>
    </r>
    <r>
      <rPr>
        <sz val="11"/>
        <color indexed="8"/>
        <rFont val="Arial"/>
        <family val="2"/>
      </rPr>
      <t>Sv/wk)</t>
    </r>
  </si>
  <si>
    <r>
      <rPr>
        <sz val="11"/>
        <rFont val="Calibri"/>
        <family val="2"/>
      </rPr>
      <t>(µ</t>
    </r>
    <r>
      <rPr>
        <sz val="11"/>
        <color indexed="8"/>
        <rFont val="Arial"/>
        <family val="2"/>
      </rPr>
      <t>Sv/wk)</t>
    </r>
  </si>
  <si>
    <t>T2</t>
  </si>
  <si>
    <t>T3</t>
  </si>
  <si>
    <t>T4</t>
  </si>
  <si>
    <t>verstrooide fotonen</t>
  </si>
  <si>
    <t>Voorzien onbedoeld</t>
  </si>
  <si>
    <t xml:space="preserve">totaal </t>
  </si>
  <si>
    <t>B1</t>
  </si>
  <si>
    <t>B2</t>
  </si>
  <si>
    <t>B3</t>
  </si>
  <si>
    <t>B4</t>
  </si>
  <si>
    <t>L1</t>
  </si>
  <si>
    <t>L2</t>
  </si>
  <si>
    <t>L3</t>
  </si>
  <si>
    <t>L4</t>
  </si>
  <si>
    <t>C1</t>
  </si>
  <si>
    <r>
      <t>A</t>
    </r>
    <r>
      <rPr>
        <vertAlign val="subscript"/>
        <sz val="11"/>
        <rFont val="Arial"/>
        <family val="2"/>
      </rPr>
      <t>3</t>
    </r>
    <r>
      <rPr>
        <sz val="11"/>
        <rFont val="Arial"/>
        <family val="2"/>
      </rPr>
      <t>, verstrooiiend oppervlak verstrooide primaire bundel in 1e hoek labyrint</t>
    </r>
  </si>
  <si>
    <r>
      <t>A</t>
    </r>
    <r>
      <rPr>
        <vertAlign val="subscript"/>
        <sz val="11"/>
        <rFont val="Arial"/>
        <family val="2"/>
      </rPr>
      <t>5</t>
    </r>
    <r>
      <rPr>
        <sz val="11"/>
        <rFont val="Arial"/>
        <family val="2"/>
      </rPr>
      <t>, verstrooiiend oppervlak verstrooide straling in 2e hoek labyrint</t>
    </r>
  </si>
  <si>
    <t>6 FFF</t>
  </si>
  <si>
    <t>10 FFF</t>
  </si>
  <si>
    <t>(tabel 3)</t>
  </si>
  <si>
    <t>TVT bariet</t>
  </si>
  <si>
    <t>Let op: veel tabelwaarden gelden alleen voor sterk verzwakte bundels: gebruik transmissiegrafieken of een combinatie van TVT1 en TVTe</t>
  </si>
  <si>
    <t>Zeker niet compleet.</t>
  </si>
  <si>
    <t>(lit  Nelson)</t>
  </si>
  <si>
    <t>*: Varian/Kry</t>
  </si>
  <si>
    <t>Varian (+ artikel Kry)</t>
  </si>
  <si>
    <t>bild 1</t>
  </si>
  <si>
    <t>Een 'overzicht/selectie' van TVT waarden zoals te vinden in diverse publicaties.</t>
  </si>
  <si>
    <t>figuren</t>
  </si>
  <si>
    <t>lek strooi  hoek labyrint</t>
  </si>
  <si>
    <t>prim strooi labyrint</t>
  </si>
  <si>
    <t>prim strooi wand bunker</t>
  </si>
  <si>
    <r>
      <t>α</t>
    </r>
    <r>
      <rPr>
        <vertAlign val="subscript"/>
        <sz val="10"/>
        <rFont val="Arial"/>
        <family val="2"/>
      </rPr>
      <t>1</t>
    </r>
  </si>
  <si>
    <r>
      <t>α</t>
    </r>
    <r>
      <rPr>
        <vertAlign val="subscript"/>
        <sz val="10"/>
        <rFont val="Arial"/>
        <family val="2"/>
      </rPr>
      <t>2</t>
    </r>
  </si>
  <si>
    <r>
      <t>α</t>
    </r>
    <r>
      <rPr>
        <vertAlign val="subscript"/>
        <sz val="10"/>
        <rFont val="Arial"/>
        <family val="2"/>
      </rPr>
      <t>3</t>
    </r>
  </si>
  <si>
    <r>
      <t>α</t>
    </r>
    <r>
      <rPr>
        <vertAlign val="subscript"/>
        <sz val="10"/>
        <rFont val="Arial"/>
        <family val="2"/>
      </rPr>
      <t>4</t>
    </r>
  </si>
  <si>
    <r>
      <t>α</t>
    </r>
    <r>
      <rPr>
        <vertAlign val="subscript"/>
        <sz val="10"/>
        <rFont val="Arial"/>
        <family val="2"/>
      </rPr>
      <t>5</t>
    </r>
  </si>
  <si>
    <t>trans-</t>
  </si>
  <si>
    <t>missie</t>
  </si>
  <si>
    <t>TVT's</t>
  </si>
  <si>
    <r>
      <t xml:space="preserve">afstand </t>
    </r>
    <r>
      <rPr>
        <vertAlign val="subscript"/>
        <sz val="11"/>
        <color indexed="8"/>
        <rFont val="Arial"/>
        <family val="2"/>
      </rPr>
      <t xml:space="preserve"> </t>
    </r>
    <r>
      <rPr>
        <sz val="11"/>
        <color indexed="8"/>
        <rFont val="Arial"/>
        <family val="2"/>
      </rPr>
      <t>(m)</t>
    </r>
  </si>
  <si>
    <t>primair   direct</t>
  </si>
  <si>
    <t>lek         direct</t>
  </si>
  <si>
    <r>
      <t>Q</t>
    </r>
    <r>
      <rPr>
        <vertAlign val="subscript"/>
        <sz val="11"/>
        <color indexed="8"/>
        <rFont val="Calibri"/>
        <family val="2"/>
      </rPr>
      <t>n</t>
    </r>
    <r>
      <rPr>
        <sz val="11"/>
        <color theme="1"/>
        <rFont val="Calibri"/>
        <family val="2"/>
        <scheme val="minor"/>
      </rPr>
      <t>, neutronen/Gy (*10</t>
    </r>
    <r>
      <rPr>
        <vertAlign val="superscript"/>
        <sz val="11"/>
        <color indexed="8"/>
        <rFont val="Calibri"/>
        <family val="2"/>
      </rPr>
      <t>12</t>
    </r>
    <r>
      <rPr>
        <sz val="11"/>
        <color theme="1"/>
        <rFont val="Calibri"/>
        <family val="2"/>
        <scheme val="minor"/>
      </rPr>
      <t>)</t>
    </r>
  </si>
  <si>
    <t>(deur ingang labyrint)</t>
  </si>
  <si>
    <r>
      <t>φ</t>
    </r>
    <r>
      <rPr>
        <vertAlign val="subscript"/>
        <sz val="11"/>
        <color indexed="8"/>
        <rFont val="Andale WT"/>
        <family val="2"/>
      </rPr>
      <t>A</t>
    </r>
    <r>
      <rPr>
        <sz val="11"/>
        <color indexed="8"/>
        <rFont val="Andale WT"/>
        <family val="2"/>
      </rPr>
      <t xml:space="preserve">, </t>
    </r>
    <r>
      <rPr>
        <sz val="11"/>
        <color indexed="8"/>
        <rFont val="Arial"/>
        <family val="2"/>
      </rPr>
      <t xml:space="preserve">neutronenfluentie punt A </t>
    </r>
  </si>
  <si>
    <t>week- produktie</t>
  </si>
  <si>
    <t>buisspanning (kV)</t>
  </si>
  <si>
    <t>energie (kV)</t>
  </si>
  <si>
    <t>aantal fracties per week</t>
  </si>
  <si>
    <t>O1</t>
  </si>
  <si>
    <t>aantal   TVT's</t>
  </si>
  <si>
    <r>
      <t>(</t>
    </r>
    <r>
      <rPr>
        <sz val="11"/>
        <color indexed="8"/>
        <rFont val="Calibri"/>
        <family val="2"/>
      </rPr>
      <t>µ</t>
    </r>
    <r>
      <rPr>
        <sz val="11"/>
        <color indexed="8"/>
        <rFont val="Arial"/>
        <family val="2"/>
      </rPr>
      <t>Sv/fractie)</t>
    </r>
  </si>
  <si>
    <t>Dosis  (mSv/jaar)</t>
  </si>
  <si>
    <t>H1</t>
  </si>
  <si>
    <t>P1</t>
  </si>
  <si>
    <t>BH1</t>
  </si>
  <si>
    <t>BP1</t>
  </si>
  <si>
    <t>noodprocedure, effectieve dosis</t>
  </si>
  <si>
    <t>noodprocedure, equivalente handdosis</t>
  </si>
  <si>
    <t>OK medewerkers</t>
  </si>
  <si>
    <t>Dosis + risicoafschatting medewerkers</t>
  </si>
  <si>
    <t>SSD (m)</t>
  </si>
  <si>
    <r>
      <t>strooi, 90</t>
    </r>
    <r>
      <rPr>
        <vertAlign val="superscript"/>
        <sz val="11"/>
        <color indexed="8"/>
        <rFont val="Arial"/>
        <family val="2"/>
      </rPr>
      <t>0</t>
    </r>
  </si>
  <si>
    <r>
      <t>scatterfactor, a (90</t>
    </r>
    <r>
      <rPr>
        <vertAlign val="superscript"/>
        <sz val="11"/>
        <color indexed="8"/>
        <rFont val="Arial"/>
        <family val="2"/>
      </rPr>
      <t>0</t>
    </r>
    <r>
      <rPr>
        <sz val="11"/>
        <color indexed="8"/>
        <rFont val="Arial"/>
        <family val="2"/>
      </rPr>
      <t>)</t>
    </r>
  </si>
  <si>
    <r>
      <t>veldgrootte op SSD (cm</t>
    </r>
    <r>
      <rPr>
        <vertAlign val="super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)</t>
    </r>
  </si>
  <si>
    <t>gemiddeld</t>
  </si>
  <si>
    <t>Uit: AAPM Task group 108:PET and PET/CT Shielding Requirements 19 dec. 2005, pg 8</t>
  </si>
  <si>
    <t>Ontleend aan RIAS-NG</t>
  </si>
  <si>
    <t>extremiteiten (handen) doses</t>
  </si>
  <si>
    <t>handeling</t>
  </si>
  <si>
    <t>tijdsduur</t>
  </si>
  <si>
    <t>(min)</t>
  </si>
  <si>
    <t>(mm)</t>
  </si>
  <si>
    <t>HVT's</t>
  </si>
  <si>
    <t>aantal</t>
  </si>
  <si>
    <t>transmissie</t>
  </si>
  <si>
    <t>(uur)</t>
  </si>
  <si>
    <t>handeling)</t>
  </si>
  <si>
    <t>Uit: Radiat.Prot.Dosim 76 (1998)</t>
  </si>
  <si>
    <t>fractie</t>
  </si>
  <si>
    <t>fracties</t>
  </si>
  <si>
    <t>puls</t>
  </si>
  <si>
    <t xml:space="preserve">per </t>
  </si>
  <si>
    <t>jaar</t>
  </si>
  <si>
    <t>pulsen*</t>
  </si>
  <si>
    <t>*: alleen die pulsen tellen waar een medewerker bij aanwezig is</t>
  </si>
  <si>
    <t>lood (cm)</t>
  </si>
  <si>
    <t>implantatie)</t>
  </si>
  <si>
    <r>
      <t xml:space="preserve">Uit: L.T. Dauer, brachytherapy, 2004: 1,5 GBq geeft 6 </t>
    </r>
    <r>
      <rPr>
        <sz val="11"/>
        <color indexed="8"/>
        <rFont val="Calibri"/>
        <family val="2"/>
      </rPr>
      <t>µ</t>
    </r>
    <r>
      <rPr>
        <sz val="11"/>
        <color indexed="8"/>
        <rFont val="Arial"/>
        <family val="2"/>
      </rPr>
      <t>Sv/uur op 30 cm</t>
    </r>
  </si>
  <si>
    <t>verblijftijd</t>
  </si>
  <si>
    <t>(uur/dag)</t>
  </si>
  <si>
    <t>Ontleend aan RIAS-RAD (conform NCRP Report No. 147)</t>
  </si>
  <si>
    <t>gemiddelde</t>
  </si>
  <si>
    <r>
      <t>(mGy</t>
    </r>
    <r>
      <rPr>
        <sz val="11"/>
        <color indexed="8"/>
        <rFont val="Arial"/>
        <family val="2"/>
      </rPr>
      <t>/wk)</t>
    </r>
  </si>
  <si>
    <t>(mGy/jaar)</t>
  </si>
  <si>
    <t xml:space="preserve">Extremiteitendosis </t>
  </si>
  <si>
    <t>*: handeling kan ook zijn scan (CT). fractie (HDR), puls (PDR),  implantatie (I-125) of handeling (PET-CT)</t>
  </si>
  <si>
    <t>handelingen</t>
  </si>
  <si>
    <t>Gegevens berekening terreingrens</t>
  </si>
  <si>
    <t>workload fotonen (Gy/week)</t>
  </si>
  <si>
    <t>Gegevens dosis ingang labyrint (zie plattegronden)</t>
  </si>
  <si>
    <r>
      <t>S</t>
    </r>
    <r>
      <rPr>
        <vertAlign val="subscript"/>
        <sz val="11"/>
        <rFont val="Arial"/>
        <family val="2"/>
      </rPr>
      <t>r</t>
    </r>
    <r>
      <rPr>
        <sz val="11"/>
        <rFont val="Arial"/>
        <family val="2"/>
      </rPr>
      <t>, totale oppervlakte  versnellerruimte (vloer, plafond + muren)</t>
    </r>
  </si>
  <si>
    <r>
      <t>Oppervlakten (m</t>
    </r>
    <r>
      <rPr>
        <b/>
        <vertAlign val="superscript"/>
        <sz val="11"/>
        <color indexed="8"/>
        <rFont val="Arial"/>
        <family val="2"/>
      </rPr>
      <t>2</t>
    </r>
    <r>
      <rPr>
        <b/>
        <sz val="11"/>
        <color indexed="8"/>
        <rFont val="Arial"/>
        <family val="2"/>
      </rPr>
      <t>)</t>
    </r>
  </si>
  <si>
    <r>
      <t>V</t>
    </r>
    <r>
      <rPr>
        <vertAlign val="subscript"/>
        <sz val="11"/>
        <rFont val="Arial"/>
        <family val="2"/>
      </rPr>
      <t xml:space="preserve">n,BPE, </t>
    </r>
    <r>
      <rPr>
        <sz val="11"/>
        <color indexed="8"/>
        <rFont val="Arial"/>
        <family val="2"/>
      </rPr>
      <t>reductiefactor voor neutronen</t>
    </r>
    <r>
      <rPr>
        <sz val="11"/>
        <color theme="1"/>
        <rFont val="Calibri"/>
        <family val="2"/>
        <scheme val="minor"/>
      </rPr>
      <t xml:space="preserve"> </t>
    </r>
  </si>
  <si>
    <r>
      <t>V</t>
    </r>
    <r>
      <rPr>
        <vertAlign val="subscript"/>
        <sz val="11"/>
        <rFont val="Arial"/>
        <family val="2"/>
      </rPr>
      <t xml:space="preserve">cg,BPE, </t>
    </r>
    <r>
      <rPr>
        <sz val="11"/>
        <rFont val="Arial"/>
        <family val="2"/>
      </rPr>
      <t>reductie</t>
    </r>
    <r>
      <rPr>
        <sz val="11"/>
        <color indexed="8"/>
        <rFont val="Arial"/>
        <family val="2"/>
      </rPr>
      <t xml:space="preserve">factor voor capture gamma </t>
    </r>
  </si>
  <si>
    <r>
      <t xml:space="preserve">Reflectiecoefficienten </t>
    </r>
    <r>
      <rPr>
        <sz val="11"/>
        <rFont val="Arial"/>
        <family val="2"/>
      </rPr>
      <t>(inval op betonwand)</t>
    </r>
  </si>
  <si>
    <r>
      <rPr>
        <b/>
        <sz val="11"/>
        <rFont val="Arial"/>
        <family val="2"/>
      </rPr>
      <t>Reductiefactor</t>
    </r>
    <r>
      <rPr>
        <sz val="11"/>
        <rFont val="Arial"/>
        <family val="2"/>
      </rPr>
      <t xml:space="preserve"> voor neutronen en capture γ (als BPE platen in hoek labyrint)</t>
    </r>
  </si>
  <si>
    <t>γ fotonen</t>
  </si>
  <si>
    <t>Aantal bochten in labyrint</t>
  </si>
  <si>
    <t>Orientatie versneller in bunker (parallel aan of loodrecht draaien op labyrint)</t>
  </si>
  <si>
    <r>
      <t>A</t>
    </r>
    <r>
      <rPr>
        <vertAlign val="subscript"/>
        <sz val="11"/>
        <rFont val="Arial"/>
        <family val="2"/>
      </rPr>
      <t>1</t>
    </r>
    <r>
      <rPr>
        <sz val="11"/>
        <rFont val="Arial"/>
        <family val="2"/>
      </rPr>
      <t xml:space="preserve"> verstrooiiend oppervlak primaire bundel tegen bunkerwand</t>
    </r>
  </si>
  <si>
    <t>Versneller draait parallel aan labyrint</t>
  </si>
  <si>
    <t>Versneller draait loodrecht op labyrint</t>
  </si>
  <si>
    <t>scatterhoek (tov centale as)</t>
  </si>
  <si>
    <t>tabel 14:</t>
  </si>
  <si>
    <t>TVT's voor Orthovolt Voltages (cm)</t>
  </si>
  <si>
    <t>TVT (cm) voor megavoltfotonenstraling</t>
  </si>
  <si>
    <t>Dosis (Gy/fractie)</t>
  </si>
  <si>
    <t>halveringstijd Ir-192 (dagen)</t>
  </si>
  <si>
    <r>
      <t>activiteit bron</t>
    </r>
    <r>
      <rPr>
        <sz val="11"/>
        <rFont val="Arial"/>
        <family val="2"/>
      </rPr>
      <t xml:space="preserve"> bij levering (GBq)</t>
    </r>
  </si>
  <si>
    <r>
      <t>h(10), bronconstante (µSv.h</t>
    </r>
    <r>
      <rPr>
        <vertAlign val="superscript"/>
        <sz val="11"/>
        <color indexed="8"/>
        <rFont val="Arial"/>
        <family val="2"/>
      </rPr>
      <t xml:space="preserve">-1 </t>
    </r>
    <r>
      <rPr>
        <sz val="11"/>
        <color indexed="8"/>
        <rFont val="Arial"/>
        <family val="2"/>
      </rPr>
      <t>per</t>
    </r>
    <r>
      <rPr>
        <vertAlign val="superscript"/>
        <sz val="11"/>
        <color indexed="8"/>
        <rFont val="Arial"/>
        <family val="2"/>
      </rPr>
      <t xml:space="preserve"> </t>
    </r>
    <r>
      <rPr>
        <sz val="11"/>
        <color indexed="8"/>
        <rFont val="Arial"/>
        <family val="2"/>
      </rPr>
      <t>MBq op 1 m)</t>
    </r>
  </si>
  <si>
    <r>
      <t>h(10), bronconstante (µSv.h</t>
    </r>
    <r>
      <rPr>
        <vertAlign val="superscript"/>
        <sz val="11"/>
        <color indexed="8"/>
        <rFont val="Arial"/>
        <family val="2"/>
      </rPr>
      <t>-1</t>
    </r>
    <r>
      <rPr>
        <sz val="11"/>
        <color indexed="8"/>
        <rFont val="Arial"/>
        <family val="2"/>
      </rPr>
      <t xml:space="preserve"> per MBq op 1 m)</t>
    </r>
  </si>
  <si>
    <t>halveringstijd I-125 (dagen)</t>
  </si>
  <si>
    <t>activiteit per zaadje (MBq)</t>
  </si>
  <si>
    <t>Uit: ICRP-74, tabel A.17</t>
  </si>
  <si>
    <t>scanonderzoek voor diagnostiek, begeleiding en positionering patient</t>
  </si>
  <si>
    <t>HVT lood (mm)</t>
  </si>
  <si>
    <t>jaardosis medewerkers</t>
  </si>
  <si>
    <t xml:space="preserve">Dosisberekening </t>
  </si>
  <si>
    <t>(s)</t>
  </si>
  <si>
    <t>beam on</t>
  </si>
  <si>
    <t>medewerkers onderhoud</t>
  </si>
  <si>
    <t>dosis</t>
  </si>
  <si>
    <t xml:space="preserve">dosistempo </t>
  </si>
  <si>
    <t>Gepubliceerde scatterfactoren</t>
  </si>
  <si>
    <t>Legenda</t>
  </si>
  <si>
    <t>in te vullen cel</t>
  </si>
  <si>
    <t>in te vullen cel met een aanwijzing</t>
  </si>
  <si>
    <t>inhoud cel heeft betrekking op reguliere handelingen</t>
  </si>
  <si>
    <t>inhoud cel heeft betrekking op voorzien onbedoelde gebeurtenissen</t>
  </si>
  <si>
    <t>risicofacor voor voorzien onbedoeld gebeurtenissen</t>
  </si>
  <si>
    <r>
      <t>TVT</t>
    </r>
    <r>
      <rPr>
        <vertAlign val="subscript"/>
        <sz val="11"/>
        <color indexed="8"/>
        <rFont val="Arial"/>
        <family val="2"/>
      </rPr>
      <t>1</t>
    </r>
  </si>
  <si>
    <r>
      <t>TVT</t>
    </r>
    <r>
      <rPr>
        <vertAlign val="subscript"/>
        <sz val="11"/>
        <color indexed="8"/>
        <rFont val="Arial"/>
        <family val="2"/>
      </rPr>
      <t>e</t>
    </r>
  </si>
  <si>
    <t>De waarden die zijn afgelezen uit een grafiek: door de gebruiker te controleren</t>
  </si>
  <si>
    <r>
      <t>beton TVT</t>
    </r>
    <r>
      <rPr>
        <vertAlign val="subscript"/>
        <sz val="11"/>
        <color indexed="8"/>
        <rFont val="Arial"/>
        <family val="2"/>
      </rPr>
      <t>1</t>
    </r>
  </si>
  <si>
    <r>
      <t xml:space="preserve">                   TVT</t>
    </r>
    <r>
      <rPr>
        <vertAlign val="subscript"/>
        <sz val="11"/>
        <color indexed="8"/>
        <rFont val="Arial"/>
        <family val="2"/>
      </rPr>
      <t>e</t>
    </r>
  </si>
  <si>
    <r>
      <t>Correctie schuine inval: minus 1 HVL (1 HVL = 0,301 TVT</t>
    </r>
    <r>
      <rPr>
        <vertAlign val="subscript"/>
        <sz val="11"/>
        <color indexed="8"/>
        <rFont val="Arial"/>
        <family val="2"/>
      </rPr>
      <t>e</t>
    </r>
    <r>
      <rPr>
        <sz val="11"/>
        <color indexed="8"/>
        <rFont val="Arial"/>
        <family val="2"/>
      </rPr>
      <t>), toegepast voor beton en bariet</t>
    </r>
  </si>
  <si>
    <t>inhoud van de cel is het resultaat van verwijzing naar andere cellen</t>
  </si>
  <si>
    <r>
      <t>TVT</t>
    </r>
    <r>
      <rPr>
        <vertAlign val="subscript"/>
        <sz val="11"/>
        <color indexed="8"/>
        <rFont val="Arial"/>
        <family val="2"/>
      </rPr>
      <t>1</t>
    </r>
    <r>
      <rPr>
        <sz val="11"/>
        <color indexed="8"/>
        <rFont val="Arial"/>
        <family val="2"/>
      </rPr>
      <t xml:space="preserve"> = TVT</t>
    </r>
    <r>
      <rPr>
        <vertAlign val="subscript"/>
        <sz val="11"/>
        <color indexed="8"/>
        <rFont val="Arial"/>
        <family val="2"/>
      </rPr>
      <t>e</t>
    </r>
  </si>
  <si>
    <r>
      <t>scatter factoren, a, op 1 m, voor veldgrootte 400 cm</t>
    </r>
    <r>
      <rPr>
        <vertAlign val="superscript"/>
        <sz val="11"/>
        <color indexed="8"/>
        <rFont val="Arial"/>
        <family val="2"/>
      </rPr>
      <t>2</t>
    </r>
  </si>
  <si>
    <t>voor afstand focus patient van 1 m</t>
  </si>
  <si>
    <r>
      <t>scatter factoren, a, op 1 m, voor veldgrootte 400 cm</t>
    </r>
    <r>
      <rPr>
        <vertAlign val="superscript"/>
        <sz val="11"/>
        <color indexed="8"/>
        <rFont val="Arial"/>
        <family val="2"/>
      </rPr>
      <t>2,</t>
    </r>
  </si>
  <si>
    <t>Co-60</t>
  </si>
  <si>
    <t>NCRP 151, tabel B.4</t>
  </si>
  <si>
    <t>Energie (MV)</t>
  </si>
  <si>
    <t xml:space="preserve">IAEA, tabel 5 </t>
  </si>
  <si>
    <t xml:space="preserve">scatterfactoren voor 4, 15 en 20 MV uit: </t>
  </si>
  <si>
    <t>shielding Design methods for linear accelerators, M. Martin, AAPM 51st annual meeting, july 2009</t>
  </si>
  <si>
    <t>18 FFF</t>
  </si>
  <si>
    <t>fig A.1</t>
  </si>
  <si>
    <t>strooi (patient en primair/lek na reflectie wand)</t>
  </si>
  <si>
    <t>Patient scatterfactoren</t>
  </si>
  <si>
    <r>
      <t>45</t>
    </r>
    <r>
      <rPr>
        <vertAlign val="superscript"/>
        <sz val="11"/>
        <color indexed="8"/>
        <rFont val="Arial"/>
        <family val="2"/>
      </rPr>
      <t>0</t>
    </r>
  </si>
  <si>
    <t>loodrecht</t>
  </si>
  <si>
    <t xml:space="preserve">scatterfactoren voor 6 FFF, 10 FFF en 18 FFF uit: Vault shielding for a flattening filter-free linac, Kry, PMB, 2009 </t>
  </si>
  <si>
    <r>
      <t>90</t>
    </r>
    <r>
      <rPr>
        <vertAlign val="superscript"/>
        <sz val="11"/>
        <color indexed="8"/>
        <rFont val="Arial"/>
        <family val="2"/>
      </rPr>
      <t>0</t>
    </r>
  </si>
  <si>
    <r>
      <t>0</t>
    </r>
    <r>
      <rPr>
        <vertAlign val="superscript"/>
        <sz val="11"/>
        <rFont val="Arial"/>
        <family val="2"/>
      </rPr>
      <t xml:space="preserve">0 </t>
    </r>
    <r>
      <rPr>
        <sz val="11"/>
        <rFont val="Arial"/>
        <family val="2"/>
      </rPr>
      <t xml:space="preserve"> en 180</t>
    </r>
    <r>
      <rPr>
        <vertAlign val="superscript"/>
        <sz val="11"/>
        <rFont val="Arial"/>
        <family val="2"/>
      </rPr>
      <t xml:space="preserve">0 </t>
    </r>
    <r>
      <rPr>
        <sz val="11"/>
        <rFont val="Arial"/>
        <family val="2"/>
      </rPr>
      <t xml:space="preserve"> </t>
    </r>
  </si>
  <si>
    <r>
      <t>135</t>
    </r>
    <r>
      <rPr>
        <vertAlign val="superscript"/>
        <sz val="11"/>
        <color indexed="8"/>
        <rFont val="Arial"/>
        <family val="2"/>
      </rPr>
      <t>0</t>
    </r>
  </si>
  <si>
    <t>richting (begin) labyrint</t>
  </si>
  <si>
    <t>van (begin) labyrint afgekeerd</t>
  </si>
  <si>
    <t>richting primaire bundel</t>
  </si>
  <si>
    <r>
      <rPr>
        <sz val="11"/>
        <color indexed="8"/>
        <rFont val="Arial"/>
        <family val="2"/>
      </rPr>
      <t>d</t>
    </r>
    <r>
      <rPr>
        <vertAlign val="subscript"/>
        <sz val="11"/>
        <color indexed="8"/>
        <rFont val="Arial"/>
        <family val="2"/>
      </rPr>
      <t xml:space="preserve">p </t>
    </r>
    <r>
      <rPr>
        <sz val="11"/>
        <color indexed="8"/>
        <rFont val="Arial"/>
        <family val="2"/>
      </rPr>
      <t>(afstand focus - z'')</t>
    </r>
  </si>
  <si>
    <r>
      <rPr>
        <sz val="11"/>
        <color indexed="8"/>
        <rFont val="Arial"/>
        <family val="2"/>
      </rPr>
      <t>d</t>
    </r>
    <r>
      <rPr>
        <vertAlign val="subscript"/>
        <sz val="11"/>
        <color indexed="8"/>
        <rFont val="Arial"/>
        <family val="2"/>
      </rPr>
      <t xml:space="preserve">p1 </t>
    </r>
    <r>
      <rPr>
        <sz val="11"/>
        <color indexed="8"/>
        <rFont val="Arial"/>
        <family val="2"/>
      </rPr>
      <t>(afstand focus - opp A1)</t>
    </r>
  </si>
  <si>
    <r>
      <rPr>
        <sz val="11"/>
        <color indexed="8"/>
        <rFont val="Arial"/>
        <family val="2"/>
      </rPr>
      <t>d</t>
    </r>
    <r>
      <rPr>
        <vertAlign val="subscript"/>
        <sz val="11"/>
        <color indexed="8"/>
        <rFont val="Arial"/>
        <family val="2"/>
      </rPr>
      <t xml:space="preserve">l </t>
    </r>
    <r>
      <rPr>
        <sz val="11"/>
        <color indexed="8"/>
        <rFont val="Arial"/>
        <family val="2"/>
      </rPr>
      <t>(afstand isocentrum - ingang labyrint (z' of z''))</t>
    </r>
  </si>
  <si>
    <r>
      <rPr>
        <sz val="11"/>
        <color indexed="8"/>
        <rFont val="Arial"/>
        <family val="2"/>
      </rPr>
      <t>d</t>
    </r>
    <r>
      <rPr>
        <vertAlign val="subscript"/>
        <sz val="11"/>
        <color indexed="8"/>
        <rFont val="Arial"/>
        <family val="2"/>
      </rPr>
      <t xml:space="preserve">z1 </t>
    </r>
    <r>
      <rPr>
        <sz val="11"/>
        <color indexed="8"/>
        <rFont val="Arial"/>
        <family val="2"/>
      </rPr>
      <t>(afstand opp A1 - opp A3/punt r)</t>
    </r>
  </si>
  <si>
    <r>
      <rPr>
        <sz val="11"/>
        <color indexed="8"/>
        <rFont val="Arial"/>
        <family val="2"/>
      </rPr>
      <t>d</t>
    </r>
    <r>
      <rPr>
        <vertAlign val="subscript"/>
        <sz val="11"/>
        <color indexed="8"/>
        <rFont val="Arial"/>
        <family val="2"/>
      </rPr>
      <t xml:space="preserve">z5 </t>
    </r>
    <r>
      <rPr>
        <sz val="11"/>
        <color indexed="8"/>
        <rFont val="Arial"/>
        <family val="2"/>
      </rPr>
      <t>(afstand punt z' - punt z'')</t>
    </r>
  </si>
  <si>
    <r>
      <rPr>
        <sz val="11"/>
        <color indexed="8"/>
        <rFont val="Arial"/>
        <family val="2"/>
      </rPr>
      <t>d</t>
    </r>
    <r>
      <rPr>
        <vertAlign val="subscript"/>
        <sz val="11"/>
        <color indexed="8"/>
        <rFont val="Arial"/>
        <family val="2"/>
      </rPr>
      <t>n1</t>
    </r>
    <r>
      <rPr>
        <sz val="11"/>
        <color indexed="8"/>
        <rFont val="Arial"/>
        <family val="2"/>
      </rPr>
      <t xml:space="preserve"> (afstand isocentrum - begin labyrint, punt A)</t>
    </r>
  </si>
  <si>
    <r>
      <rPr>
        <sz val="11"/>
        <rFont val="Arial"/>
        <family val="2"/>
      </rPr>
      <t>d</t>
    </r>
    <r>
      <rPr>
        <vertAlign val="subscript"/>
        <sz val="11"/>
        <color indexed="8"/>
        <rFont val="Arial"/>
        <family val="2"/>
      </rPr>
      <t xml:space="preserve">n2 </t>
    </r>
    <r>
      <rPr>
        <sz val="11"/>
        <color indexed="8"/>
        <rFont val="Arial"/>
        <family val="2"/>
      </rPr>
      <t>(labyrintlengte vanaf punt A tot ingang labyrint (z' of z''))</t>
    </r>
  </si>
  <si>
    <r>
      <t>S</t>
    </r>
    <r>
      <rPr>
        <vertAlign val="subscript"/>
        <sz val="11"/>
        <color indexed="8"/>
        <rFont val="Arial"/>
        <family val="2"/>
      </rPr>
      <t>0</t>
    </r>
    <r>
      <rPr>
        <sz val="11"/>
        <color indexed="8"/>
        <rFont val="Arial"/>
        <family val="2"/>
      </rPr>
      <t>, dwarsdoorsnede van het labyrint bij begin van het labyrint in de bunker</t>
    </r>
  </si>
  <si>
    <r>
      <t>S</t>
    </r>
    <r>
      <rPr>
        <vertAlign val="subscript"/>
        <sz val="11"/>
        <color indexed="8"/>
        <rFont val="Arial"/>
        <family val="2"/>
      </rPr>
      <t>1</t>
    </r>
    <r>
      <rPr>
        <sz val="11"/>
        <color indexed="8"/>
        <rFont val="Arial"/>
        <family val="2"/>
      </rPr>
      <t>, dwarsdoorsnede van het labyrinth in de gang</t>
    </r>
  </si>
  <si>
    <t>primaire en secundaire afscherming (+ strooistraling van 0,5 MeV</t>
  </si>
  <si>
    <t>scatterhoek (θ)</t>
  </si>
  <si>
    <r>
      <t>patient strooi  θ= 45</t>
    </r>
    <r>
      <rPr>
        <vertAlign val="superscript"/>
        <sz val="11"/>
        <color indexed="8"/>
        <rFont val="Arial"/>
        <family val="2"/>
      </rPr>
      <t>0</t>
    </r>
  </si>
  <si>
    <r>
      <t>patient strooi θ=90</t>
    </r>
    <r>
      <rPr>
        <vertAlign val="superscript"/>
        <sz val="11"/>
        <color indexed="8"/>
        <rFont val="Arial"/>
        <family val="2"/>
      </rPr>
      <t>0</t>
    </r>
  </si>
  <si>
    <r>
      <t>patient strooi θ=135</t>
    </r>
    <r>
      <rPr>
        <vertAlign val="superscript"/>
        <sz val="11"/>
        <color indexed="8"/>
        <rFont val="Arial"/>
        <family val="2"/>
      </rPr>
      <t>0</t>
    </r>
  </si>
  <si>
    <t>Toegepaste patientscatterfactoren</t>
  </si>
  <si>
    <r>
      <t>d</t>
    </r>
    <r>
      <rPr>
        <vertAlign val="subscript"/>
        <sz val="11"/>
        <color indexed="8"/>
        <rFont val="Arial"/>
        <family val="2"/>
      </rPr>
      <t xml:space="preserve">z3 </t>
    </r>
    <r>
      <rPr>
        <sz val="11"/>
        <color indexed="8"/>
        <rFont val="Arial"/>
        <family val="2"/>
      </rPr>
      <t>(afstand opp A3/punt r - punt z')</t>
    </r>
  </si>
  <si>
    <r>
      <t>d</t>
    </r>
    <r>
      <rPr>
        <vertAlign val="subscript"/>
        <sz val="11"/>
        <color indexed="8"/>
        <rFont val="Arial"/>
        <family val="2"/>
      </rPr>
      <t xml:space="preserve">z2 </t>
    </r>
    <r>
      <rPr>
        <sz val="11"/>
        <color indexed="8"/>
        <rFont val="Arial"/>
        <family val="2"/>
      </rPr>
      <t>(afstand opp A2 - punt z')</t>
    </r>
  </si>
  <si>
    <r>
      <t>F, veldgrootte op patient (cm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)</t>
    </r>
  </si>
  <si>
    <r>
      <t>A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, verstrooiiend oppervlak primaire bundel in labyrint</t>
    </r>
  </si>
  <si>
    <r>
      <t>α</t>
    </r>
    <r>
      <rPr>
        <vertAlign val="subscript"/>
        <sz val="11"/>
        <rFont val="Arial"/>
        <family val="2"/>
      </rPr>
      <t>1</t>
    </r>
  </si>
  <si>
    <r>
      <t>α</t>
    </r>
    <r>
      <rPr>
        <vertAlign val="subscript"/>
        <sz val="11"/>
        <rFont val="Arial"/>
        <family val="2"/>
      </rPr>
      <t>2</t>
    </r>
  </si>
  <si>
    <r>
      <t>α</t>
    </r>
    <r>
      <rPr>
        <vertAlign val="subscript"/>
        <sz val="11"/>
        <color indexed="8"/>
        <rFont val="Arial"/>
        <family val="2"/>
      </rPr>
      <t>3</t>
    </r>
    <r>
      <rPr>
        <sz val="11"/>
        <color indexed="8"/>
        <rFont val="Arial"/>
        <family val="2"/>
      </rPr>
      <t/>
    </r>
  </si>
  <si>
    <r>
      <t>α</t>
    </r>
    <r>
      <rPr>
        <vertAlign val="subscript"/>
        <sz val="11"/>
        <color indexed="8"/>
        <rFont val="Arial"/>
        <family val="2"/>
      </rPr>
      <t>4</t>
    </r>
    <r>
      <rPr>
        <sz val="11"/>
        <color indexed="8"/>
        <rFont val="Arial"/>
        <family val="2"/>
      </rPr>
      <t/>
    </r>
  </si>
  <si>
    <r>
      <t>α</t>
    </r>
    <r>
      <rPr>
        <vertAlign val="subscript"/>
        <sz val="11"/>
        <color indexed="8"/>
        <rFont val="Arial"/>
        <family val="2"/>
      </rPr>
      <t>5</t>
    </r>
  </si>
  <si>
    <r>
      <t>d</t>
    </r>
    <r>
      <rPr>
        <vertAlign val="subscript"/>
        <sz val="11"/>
        <color indexed="8"/>
        <rFont val="Arial"/>
        <family val="2"/>
      </rPr>
      <t xml:space="preserve">p2 </t>
    </r>
    <r>
      <rPr>
        <sz val="11"/>
        <color indexed="8"/>
        <rFont val="Arial"/>
        <family val="2"/>
      </rPr>
      <t>(afstand focus - opp A2)</t>
    </r>
  </si>
  <si>
    <r>
      <t>d</t>
    </r>
    <r>
      <rPr>
        <vertAlign val="subscript"/>
        <sz val="11"/>
        <color indexed="8"/>
        <rFont val="Arial"/>
        <family val="2"/>
      </rPr>
      <t>l1</t>
    </r>
    <r>
      <rPr>
        <sz val="11"/>
        <color indexed="8"/>
        <rFont val="Arial"/>
        <family val="2"/>
      </rPr>
      <t xml:space="preserve"> = d</t>
    </r>
    <r>
      <rPr>
        <vertAlign val="subscript"/>
        <sz val="11"/>
        <color indexed="8"/>
        <rFont val="Arial"/>
        <family val="2"/>
      </rPr>
      <t>pat</t>
    </r>
    <r>
      <rPr>
        <sz val="11"/>
        <color indexed="8"/>
        <rFont val="Arial"/>
        <family val="2"/>
      </rPr>
      <t xml:space="preserve"> (afstand isocentrum - opp A4)</t>
    </r>
  </si>
  <si>
    <r>
      <t>A</t>
    </r>
    <r>
      <rPr>
        <vertAlign val="subscript"/>
        <sz val="11"/>
        <rFont val="Arial"/>
        <family val="2"/>
      </rPr>
      <t>4</t>
    </r>
    <r>
      <rPr>
        <sz val="11"/>
        <rFont val="Arial"/>
        <family val="2"/>
      </rPr>
      <t>, verstrooiiend oppervlak lek- en patientstrooistraling in 1e hoek labyrint</t>
    </r>
  </si>
  <si>
    <r>
      <t>d</t>
    </r>
    <r>
      <rPr>
        <vertAlign val="subscript"/>
        <sz val="11"/>
        <color indexed="8"/>
        <rFont val="Arial"/>
        <family val="2"/>
      </rPr>
      <t xml:space="preserve">z4 </t>
    </r>
    <r>
      <rPr>
        <sz val="11"/>
        <color indexed="8"/>
        <rFont val="Arial"/>
        <family val="2"/>
      </rPr>
      <t>(afstand opp A4 - punt z')</t>
    </r>
  </si>
  <si>
    <t>Werkwijze</t>
  </si>
  <si>
    <t>1. verwijder de tabbladen met modaliteiten die niet van toepassingen zijn</t>
  </si>
  <si>
    <t>2. kopieer de tabbladen met modaliteiten waarvan er meerdere in gebuik zijn</t>
  </si>
  <si>
    <r>
      <t xml:space="preserve">4. vul de tabbladen </t>
    </r>
    <r>
      <rPr>
        <sz val="11"/>
        <color indexed="10"/>
        <rFont val="Calibri"/>
        <family val="2"/>
      </rPr>
      <t>TVT's afscherming, reflectiecoeff en scatterfactoren</t>
    </r>
    <r>
      <rPr>
        <sz val="11"/>
        <color theme="1"/>
        <rFont val="Calibri"/>
        <family val="2"/>
        <scheme val="minor"/>
      </rPr>
      <t xml:space="preserve"> in</t>
    </r>
  </si>
  <si>
    <t>5. vul de tabbladen voor de verschillende modaliteiten in.</t>
  </si>
  <si>
    <r>
      <t>Γ</t>
    </r>
    <r>
      <rPr>
        <vertAlign val="subscript"/>
        <sz val="11"/>
        <color indexed="8"/>
        <rFont val="Arial"/>
        <family val="2"/>
      </rPr>
      <t xml:space="preserve">10 </t>
    </r>
    <r>
      <rPr>
        <sz val="11"/>
        <color indexed="8"/>
        <rFont val="Arial"/>
        <family val="2"/>
      </rPr>
      <t>(µGy h</t>
    </r>
    <r>
      <rPr>
        <vertAlign val="superscript"/>
        <sz val="11"/>
        <color indexed="8"/>
        <rFont val="Arial"/>
        <family val="2"/>
      </rPr>
      <t>-1</t>
    </r>
    <r>
      <rPr>
        <sz val="11"/>
        <color indexed="8"/>
        <rFont val="Arial"/>
        <family val="2"/>
      </rPr>
      <t xml:space="preserve"> per MBq op 1 m)</t>
    </r>
  </si>
  <si>
    <r>
      <t>dosistempo op 30 cm van de patient (µGy h</t>
    </r>
    <r>
      <rPr>
        <vertAlign val="superscript"/>
        <sz val="11"/>
        <color indexed="8"/>
        <rFont val="Arial"/>
        <family val="2"/>
      </rPr>
      <t>-1</t>
    </r>
    <r>
      <rPr>
        <sz val="11"/>
        <color indexed="8"/>
        <rFont val="Arial"/>
        <family val="2"/>
      </rPr>
      <t xml:space="preserve"> per zaadje) </t>
    </r>
  </si>
  <si>
    <t>aantal bronwisselingen per jaar</t>
  </si>
  <si>
    <t>bronnen</t>
  </si>
  <si>
    <t xml:space="preserve">tijd  </t>
  </si>
  <si>
    <t>conversiefactor equivalente huiddosis (Sv/Gy)</t>
  </si>
  <si>
    <r>
      <t>conversiefactor E/K</t>
    </r>
    <r>
      <rPr>
        <vertAlign val="subscript"/>
        <sz val="11"/>
        <color indexed="8"/>
        <rFont val="Arial"/>
        <family val="2"/>
      </rPr>
      <t xml:space="preserve">a </t>
    </r>
    <r>
      <rPr>
        <sz val="11"/>
        <color indexed="8"/>
        <rFont val="Arial"/>
        <family val="2"/>
      </rPr>
      <t>(Sv/Gy)</t>
    </r>
  </si>
  <si>
    <t>achterblijven zaadje(s) in behandelruimte</t>
  </si>
  <si>
    <t>zaadje(s) beperkte tijd onafschermd</t>
  </si>
  <si>
    <t>bron blijft vastzitten (noodprocedure)</t>
  </si>
  <si>
    <t>Dosis overzicht</t>
  </si>
  <si>
    <t xml:space="preserve">Dosis  </t>
  </si>
  <si>
    <t>Dosis terreingrens</t>
  </si>
  <si>
    <t>landurig ingespoten patient begeleiden (bijv.: evacuatie, hulpbehoevende patient)</t>
  </si>
  <si>
    <t>Regulier:</t>
  </si>
  <si>
    <t>Voorzien onbdoeld:</t>
  </si>
  <si>
    <t xml:space="preserve">Voorzien onbedoeld: </t>
  </si>
  <si>
    <t>Voorzien onbedoeld:</t>
  </si>
  <si>
    <t>1 of meerdere bronnen blijven achter in de behandelruimte (volledig verval)</t>
  </si>
  <si>
    <t xml:space="preserve">Voorzien onbdoeld: </t>
  </si>
  <si>
    <t>1 of meerdere bronnen liggen een beperkte tijd onafgeschermd in de behandelruimte.</t>
  </si>
  <si>
    <t xml:space="preserve">Regulier: </t>
  </si>
  <si>
    <t xml:space="preserve">wachten bij ingang labyrint </t>
  </si>
  <si>
    <r>
      <rPr>
        <sz val="11"/>
        <color indexed="8"/>
        <rFont val="Calibri"/>
        <family val="2"/>
      </rPr>
      <t>(m</t>
    </r>
    <r>
      <rPr>
        <sz val="11"/>
        <color indexed="8"/>
        <rFont val="Arial"/>
        <family val="2"/>
      </rPr>
      <t>Sv)</t>
    </r>
  </si>
  <si>
    <t>(mSv/handeling)</t>
  </si>
  <si>
    <t>lineaire versnellers</t>
  </si>
  <si>
    <t>overige modaliteiten</t>
  </si>
  <si>
    <t xml:space="preserve">Voorzien onbedoeld </t>
  </si>
  <si>
    <t xml:space="preserve">Terreingrens </t>
  </si>
  <si>
    <t>Linac 1</t>
  </si>
  <si>
    <t>Linac 2</t>
  </si>
  <si>
    <t>Linac 3</t>
  </si>
  <si>
    <t xml:space="preserve">Naam: </t>
  </si>
  <si>
    <t>Linac 4</t>
  </si>
  <si>
    <t>CT 1</t>
  </si>
  <si>
    <t>positionering patient</t>
  </si>
  <si>
    <t>wachten bij ingang labyrinth</t>
  </si>
  <si>
    <t>wachten bij ingang labyrint</t>
  </si>
  <si>
    <t>gecontroleerde ruimte</t>
  </si>
  <si>
    <t>begeleiding</t>
  </si>
  <si>
    <t>van</t>
  </si>
  <si>
    <t>tot</t>
  </si>
  <si>
    <t>5</t>
  </si>
  <si>
    <t>achterblijven in CT-ruimte</t>
  </si>
  <si>
    <t>achterblijven in bestralingruimte tijdens bestraling</t>
  </si>
  <si>
    <t>1 m van patient</t>
  </si>
  <si>
    <t>achterblijven in Orthovolt ruimte</t>
  </si>
  <si>
    <r>
      <t>(m</t>
    </r>
    <r>
      <rPr>
        <sz val="11"/>
        <color indexed="8"/>
        <rFont val="Arial"/>
        <family val="2"/>
      </rPr>
      <t>Sv/fractie)</t>
    </r>
  </si>
  <si>
    <r>
      <t>(m</t>
    </r>
    <r>
      <rPr>
        <sz val="11"/>
        <color indexed="8"/>
        <rFont val="Arial"/>
        <family val="2"/>
      </rPr>
      <t>Gy/scan)</t>
    </r>
  </si>
  <si>
    <r>
      <t>(</t>
    </r>
    <r>
      <rPr>
        <sz val="11"/>
        <color indexed="8"/>
        <rFont val="Calibri"/>
        <family val="2"/>
      </rPr>
      <t>µ</t>
    </r>
    <r>
      <rPr>
        <sz val="11"/>
        <color indexed="8"/>
        <rFont val="Arial"/>
        <family val="2"/>
      </rPr>
      <t>Sv/week)</t>
    </r>
  </si>
  <si>
    <t>onderstaande tabel "vult zichzelf"</t>
  </si>
  <si>
    <t>achterblijven</t>
  </si>
  <si>
    <t>Dosistempo (Gy/min op SSD)</t>
  </si>
  <si>
    <t>dosistempo op SSD (Gy/min op SSD)</t>
  </si>
  <si>
    <t xml:space="preserve">achterblijven in Orthovolt ruimte gedurende (deel van) fractie </t>
  </si>
  <si>
    <t>achterblijven in bestralingsruimte met ingeschakeld bestralingstoestel.</t>
  </si>
  <si>
    <t>uitgaan van maximale fotonenenergie en 0,1% lekstraling</t>
  </si>
  <si>
    <t>isocentrum (cGy/min)</t>
  </si>
  <si>
    <t>neutronen-</t>
  </si>
  <si>
    <t>produktie</t>
  </si>
  <si>
    <t>(%Sv/Gy)</t>
  </si>
  <si>
    <t xml:space="preserve">neutronenproduktie is inclusief kwaliteitsfactor Q van 20 </t>
  </si>
  <si>
    <t>in bestralingsruimte</t>
  </si>
  <si>
    <t>werkzaamheden uitvoeren in gecontroleerde ruimte (buiten de bestralingsruimte) terwijl er gestraald word: bv dak wegens reparaties</t>
  </si>
  <si>
    <t>werkzaamheden uitvoeren in gecontroleerde ruimte</t>
  </si>
  <si>
    <t>uitvoeren van werkzaamheden in de nabijheid van geactiveerde onderdelen</t>
  </si>
  <si>
    <t>per keer</t>
  </si>
  <si>
    <t>aantal keer</t>
  </si>
  <si>
    <t>werken in nabijheid geactiveerde onderdelen</t>
  </si>
  <si>
    <t>werken in nabijheid geactiveerde target</t>
  </si>
  <si>
    <t>I-125 1</t>
  </si>
  <si>
    <t>I-125 2</t>
  </si>
  <si>
    <t>zaadjes implanteren</t>
  </si>
  <si>
    <t>deur aan eind (kort) labyrint (cm)</t>
  </si>
  <si>
    <t>fractie van de scanduur in scanruimte</t>
  </si>
  <si>
    <t>achterblijven in CT ruimte gedurende een (fractie van) patient scan</t>
  </si>
  <si>
    <t>inval op betonwand</t>
  </si>
  <si>
    <t>(mSv/keer)</t>
  </si>
  <si>
    <r>
      <t>(m</t>
    </r>
    <r>
      <rPr>
        <sz val="12"/>
        <color indexed="8"/>
        <rFont val="Arial"/>
        <family val="2"/>
      </rPr>
      <t>Sv/jaar)</t>
    </r>
  </si>
  <si>
    <r>
      <rPr>
        <sz val="11"/>
        <rFont val="Calibri"/>
        <family val="2"/>
      </rPr>
      <t>(µ</t>
    </r>
    <r>
      <rPr>
        <sz val="11"/>
        <color indexed="8"/>
        <rFont val="Arial"/>
        <family val="2"/>
      </rPr>
      <t>Sv/keer)</t>
    </r>
  </si>
  <si>
    <t>tijdsduur per keer (min)</t>
  </si>
  <si>
    <t>aantal keer per jaar</t>
  </si>
  <si>
    <t>voorzien onbedoeld</t>
  </si>
  <si>
    <t>Dosis  (mSv/keer)</t>
  </si>
  <si>
    <t xml:space="preserve">uitvoeren van werkzaamheden in de directe nabijheid van het geactiveerde target </t>
  </si>
  <si>
    <r>
      <t>(m</t>
    </r>
    <r>
      <rPr>
        <sz val="12"/>
        <color indexed="8"/>
        <rFont val="Arial"/>
        <family val="2"/>
      </rPr>
      <t>Sv/keer)</t>
    </r>
  </si>
  <si>
    <r>
      <t>(µ</t>
    </r>
    <r>
      <rPr>
        <sz val="8.4"/>
        <color indexed="8"/>
        <rFont val="Arial"/>
        <family val="2"/>
      </rPr>
      <t>Sv</t>
    </r>
    <r>
      <rPr>
        <sz val="12"/>
        <color indexed="8"/>
        <rFont val="Arial"/>
        <family val="2"/>
      </rPr>
      <t>/uur)</t>
    </r>
  </si>
  <si>
    <r>
      <t>(µ</t>
    </r>
    <r>
      <rPr>
        <sz val="11"/>
        <color indexed="8"/>
        <rFont val="Arial"/>
        <family val="2"/>
      </rPr>
      <t>Sv/keer)</t>
    </r>
  </si>
  <si>
    <t>(mGy/keer)</t>
  </si>
  <si>
    <t>(mGv/jaar)</t>
  </si>
  <si>
    <r>
      <t>(m</t>
    </r>
    <r>
      <rPr>
        <sz val="11"/>
        <color indexed="8"/>
        <rFont val="Arial"/>
        <family val="2"/>
      </rPr>
      <t>Sv/keer)</t>
    </r>
  </si>
  <si>
    <r>
      <t>m</t>
    </r>
    <r>
      <rPr>
        <sz val="11"/>
        <color indexed="8"/>
        <rFont val="Arial"/>
        <family val="2"/>
      </rPr>
      <t>Sv/puls</t>
    </r>
  </si>
  <si>
    <r>
      <t>(m</t>
    </r>
    <r>
      <rPr>
        <sz val="11"/>
        <color indexed="8"/>
        <rFont val="Arial"/>
        <family val="2"/>
      </rPr>
      <t>Sv/</t>
    </r>
  </si>
  <si>
    <r>
      <rPr>
        <sz val="11"/>
        <color indexed="8"/>
        <rFont val="Calibri"/>
        <family val="2"/>
      </rPr>
      <t>(m</t>
    </r>
    <r>
      <rPr>
        <sz val="11"/>
        <color indexed="8"/>
        <rFont val="Arial"/>
        <family val="2"/>
      </rPr>
      <t>Sv/keer)</t>
    </r>
  </si>
  <si>
    <r>
      <rPr>
        <sz val="11"/>
        <color indexed="8"/>
        <rFont val="Calibri"/>
        <family val="2"/>
      </rPr>
      <t>(m</t>
    </r>
    <r>
      <rPr>
        <sz val="11"/>
        <color indexed="8"/>
        <rFont val="Arial"/>
        <family val="2"/>
      </rPr>
      <t>Sv/jaar)</t>
    </r>
  </si>
  <si>
    <t>achterblijven in bestralingsruimte tijdens bestraling</t>
  </si>
  <si>
    <t>langdurig ingespoten patient begeleiden</t>
  </si>
  <si>
    <r>
      <t>3. werk het tabblad dosisoverzicht</t>
    </r>
    <r>
      <rPr>
        <sz val="11"/>
        <color theme="1"/>
        <rFont val="Calibri"/>
        <family val="2"/>
        <scheme val="minor"/>
      </rPr>
      <t xml:space="preserve"> bij</t>
    </r>
  </si>
  <si>
    <t>3. werk de tabbladen  regulier jaardosis medewerkers en voorzien onbedoeld bij</t>
  </si>
  <si>
    <t>The NCS frequently publishes reports for fellow professionals in which recommendations are given for</t>
  </si>
  <si>
    <t>various quality control procedures or otherwise. The members of the NCS board and the members of</t>
  </si>
  <si>
    <t>the concerning subcommittee do not claim any authority exceeding that of their professional expertise.</t>
  </si>
  <si>
    <t>Responsibility on how the NCS recommendations are implemented lies with the user, taking into</t>
  </si>
  <si>
    <t>account the practice in his/her institution.</t>
  </si>
  <si>
    <t>This spreadsheet is to be used as a starting point, not as an exhaustive source.</t>
  </si>
</sst>
</file>

<file path=xl/styles.xml><?xml version="1.0" encoding="utf-8"?>
<styleSheet xmlns="http://schemas.openxmlformats.org/spreadsheetml/2006/main">
  <numFmts count="13">
    <numFmt numFmtId="172" formatCode="_-&quot;€&quot;\ * #,##0.00_-;_-&quot;€&quot;\ * #,##0.00\-;_-&quot;€&quot;\ * &quot;-&quot;??_-;_-@_-"/>
    <numFmt numFmtId="173" formatCode="0.0E+00"/>
    <numFmt numFmtId="174" formatCode="0.0"/>
    <numFmt numFmtId="175" formatCode="0.000"/>
    <numFmt numFmtId="176" formatCode="0.0000"/>
    <numFmt numFmtId="177" formatCode="0.000E+00"/>
    <numFmt numFmtId="178" formatCode="#_-&quot;mm&quot;"/>
    <numFmt numFmtId="179" formatCode="0.0_-&quot;m&quot;"/>
    <numFmt numFmtId="181" formatCode="&quot;fl&quot;\ #,##0_-;&quot;fl&quot;\ #,##0\-"/>
    <numFmt numFmtId="182" formatCode="0.00000"/>
    <numFmt numFmtId="183" formatCode="0.000000E+00"/>
    <numFmt numFmtId="184" formatCode="0.0000000000E+00"/>
    <numFmt numFmtId="185" formatCode="0.0000E+00"/>
  </numFmts>
  <fonts count="6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20"/>
      <color indexed="8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1"/>
      <color indexed="18"/>
      <name val="Arial"/>
      <family val="2"/>
    </font>
    <font>
      <b/>
      <sz val="11"/>
      <name val="Arial"/>
      <family val="2"/>
    </font>
    <font>
      <b/>
      <sz val="14"/>
      <color indexed="8"/>
      <name val="Arial"/>
      <family val="2"/>
    </font>
    <font>
      <sz val="11"/>
      <color indexed="1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color indexed="10"/>
      <name val="Arial"/>
      <family val="2"/>
    </font>
    <font>
      <b/>
      <sz val="11"/>
      <color indexed="8"/>
      <name val="Arial"/>
      <family val="2"/>
    </font>
    <font>
      <b/>
      <sz val="14"/>
      <color indexed="10"/>
      <name val="Arial"/>
      <family val="2"/>
    </font>
    <font>
      <vertAlign val="superscript"/>
      <sz val="11"/>
      <name val="Arial"/>
      <family val="2"/>
    </font>
    <font>
      <sz val="14"/>
      <color indexed="8"/>
      <name val="Arial"/>
      <family val="2"/>
    </font>
    <font>
      <sz val="11"/>
      <name val="Calibri"/>
      <family val="2"/>
    </font>
    <font>
      <b/>
      <sz val="11"/>
      <color indexed="12"/>
      <name val="Arial"/>
      <family val="2"/>
    </font>
    <font>
      <vertAlign val="subscript"/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sz val="11"/>
      <name val="Calibri"/>
      <family val="2"/>
    </font>
    <font>
      <i/>
      <sz val="11"/>
      <name val="Arial"/>
      <family val="2"/>
    </font>
    <font>
      <sz val="11"/>
      <color indexed="9"/>
      <name val="Arial"/>
      <family val="2"/>
    </font>
    <font>
      <b/>
      <sz val="20"/>
      <color indexed="9"/>
      <name val="Arial"/>
      <family val="2"/>
    </font>
    <font>
      <vertAlign val="subscript"/>
      <sz val="11"/>
      <color indexed="8"/>
      <name val="Andale WT"/>
      <family val="2"/>
    </font>
    <font>
      <sz val="11"/>
      <color indexed="8"/>
      <name val="Andale WT"/>
      <family val="2"/>
    </font>
    <font>
      <vertAlign val="subscript"/>
      <sz val="11"/>
      <name val="Arial"/>
      <family val="2"/>
    </font>
    <font>
      <vertAlign val="superscript"/>
      <sz val="11"/>
      <color indexed="8"/>
      <name val="Calibri"/>
      <family val="2"/>
    </font>
    <font>
      <sz val="11"/>
      <color indexed="17"/>
      <name val="Arial"/>
      <family val="2"/>
    </font>
    <font>
      <vertAlign val="subscript"/>
      <sz val="10"/>
      <name val="Arial"/>
      <family val="2"/>
    </font>
    <font>
      <sz val="8"/>
      <color indexed="8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sz val="16"/>
      <color indexed="8"/>
      <name val="Calibri"/>
      <family val="2"/>
    </font>
    <font>
      <b/>
      <vertAlign val="superscript"/>
      <sz val="11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Calibri"/>
      <family val="2"/>
    </font>
    <font>
      <b/>
      <sz val="12"/>
      <color indexed="8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sz val="36"/>
      <color indexed="8"/>
      <name val="Arial"/>
      <family val="2"/>
    </font>
    <font>
      <sz val="16"/>
      <color indexed="8"/>
      <name val="Arial"/>
      <family val="2"/>
    </font>
    <font>
      <sz val="8.4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</fills>
  <borders count="98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10"/>
      </left>
      <right style="medium">
        <color indexed="64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3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" fontId="12" fillId="0" borderId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 applyNumberFormat="0" applyFont="0" applyFill="0" applyBorder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3" fillId="0" borderId="0"/>
    <xf numFmtId="0" fontId="20" fillId="0" borderId="0"/>
    <xf numFmtId="0" fontId="3" fillId="0" borderId="0"/>
    <xf numFmtId="0" fontId="12" fillId="0" borderId="0">
      <alignment vertical="top"/>
    </xf>
    <xf numFmtId="0" fontId="12" fillId="0" borderId="1" applyNumberFormat="0" applyFont="0" applyFill="0" applyAlignment="0" applyProtection="0"/>
    <xf numFmtId="172" fontId="12" fillId="0" borderId="0" applyFont="0" applyFill="0" applyBorder="0" applyAlignment="0" applyProtection="0"/>
  </cellStyleXfs>
  <cellXfs count="1954">
    <xf numFmtId="0" fontId="0" fillId="0" borderId="0" xfId="0"/>
    <xf numFmtId="0" fontId="26" fillId="2" borderId="0" xfId="0" applyFont="1" applyFill="1"/>
    <xf numFmtId="0" fontId="24" fillId="2" borderId="0" xfId="0" applyFont="1" applyFill="1" applyAlignment="1">
      <alignment vertical="top"/>
    </xf>
    <xf numFmtId="0" fontId="8" fillId="2" borderId="0" xfId="0" applyFont="1" applyFill="1"/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8" fillId="2" borderId="3" xfId="0" applyFont="1" applyFill="1" applyBorder="1"/>
    <xf numFmtId="0" fontId="25" fillId="2" borderId="3" xfId="0" applyFont="1" applyFill="1" applyBorder="1" applyAlignment="1">
      <alignment horizontal="center"/>
    </xf>
    <xf numFmtId="0" fontId="28" fillId="2" borderId="4" xfId="14" applyFont="1" applyFill="1" applyBorder="1"/>
    <xf numFmtId="174" fontId="4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/>
    <xf numFmtId="2" fontId="8" fillId="2" borderId="0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8" fillId="2" borderId="5" xfId="0" applyFont="1" applyFill="1" applyBorder="1"/>
    <xf numFmtId="0" fontId="25" fillId="2" borderId="5" xfId="0" applyFont="1" applyFill="1" applyBorder="1" applyAlignment="1">
      <alignment horizontal="center"/>
    </xf>
    <xf numFmtId="9" fontId="4" fillId="2" borderId="0" xfId="0" applyNumberFormat="1" applyFont="1" applyFill="1" applyBorder="1" applyAlignment="1">
      <alignment horizontal="center"/>
    </xf>
    <xf numFmtId="0" fontId="8" fillId="2" borderId="6" xfId="0" applyFont="1" applyFill="1" applyBorder="1"/>
    <xf numFmtId="0" fontId="10" fillId="2" borderId="0" xfId="0" applyFont="1" applyFill="1"/>
    <xf numFmtId="0" fontId="19" fillId="3" borderId="7" xfId="0" applyFont="1" applyFill="1" applyBorder="1"/>
    <xf numFmtId="0" fontId="26" fillId="3" borderId="8" xfId="0" applyFont="1" applyFill="1" applyBorder="1"/>
    <xf numFmtId="0" fontId="8" fillId="3" borderId="8" xfId="0" applyFont="1" applyFill="1" applyBorder="1"/>
    <xf numFmtId="0" fontId="0" fillId="3" borderId="8" xfId="0" applyFill="1" applyBorder="1"/>
    <xf numFmtId="0" fontId="10" fillId="2" borderId="0" xfId="14" applyFont="1" applyFill="1"/>
    <xf numFmtId="0" fontId="14" fillId="3" borderId="7" xfId="11" applyFont="1" applyFill="1" applyBorder="1"/>
    <xf numFmtId="0" fontId="12" fillId="3" borderId="8" xfId="11" applyFill="1" applyBorder="1"/>
    <xf numFmtId="0" fontId="3" fillId="3" borderId="8" xfId="11" applyFont="1" applyFill="1" applyBorder="1"/>
    <xf numFmtId="0" fontId="14" fillId="2" borderId="0" xfId="14" applyFont="1" applyFill="1"/>
    <xf numFmtId="0" fontId="3" fillId="2" borderId="0" xfId="14" applyFont="1" applyFill="1"/>
    <xf numFmtId="0" fontId="3" fillId="2" borderId="0" xfId="14" applyFont="1" applyFill="1" applyBorder="1"/>
    <xf numFmtId="0" fontId="10" fillId="2" borderId="0" xfId="14" applyFont="1" applyFill="1" applyBorder="1" applyAlignment="1">
      <alignment horizontal="left"/>
    </xf>
    <xf numFmtId="0" fontId="3" fillId="2" borderId="4" xfId="14" applyFont="1" applyFill="1" applyBorder="1"/>
    <xf numFmtId="0" fontId="10" fillId="2" borderId="0" xfId="14" applyFont="1" applyFill="1" applyBorder="1"/>
    <xf numFmtId="0" fontId="10" fillId="2" borderId="0" xfId="14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3" fillId="2" borderId="0" xfId="14" applyFont="1" applyFill="1" applyAlignment="1">
      <alignment horizontal="center"/>
    </xf>
    <xf numFmtId="0" fontId="10" fillId="2" borderId="0" xfId="0" applyFont="1" applyFill="1" applyAlignment="1">
      <alignment vertical="top" wrapText="1"/>
    </xf>
    <xf numFmtId="0" fontId="10" fillId="2" borderId="0" xfId="0" applyFont="1" applyFill="1" applyBorder="1" applyAlignment="1">
      <alignment vertical="top" wrapText="1"/>
    </xf>
    <xf numFmtId="0" fontId="22" fillId="2" borderId="0" xfId="14" applyFont="1" applyFill="1"/>
    <xf numFmtId="1" fontId="4" fillId="2" borderId="0" xfId="14" applyNumberFormat="1" applyFont="1" applyFill="1" applyAlignment="1">
      <alignment horizontal="center"/>
    </xf>
    <xf numFmtId="0" fontId="8" fillId="4" borderId="8" xfId="0" applyFont="1" applyFill="1" applyBorder="1"/>
    <xf numFmtId="0" fontId="0" fillId="2" borderId="0" xfId="0" applyFill="1"/>
    <xf numFmtId="0" fontId="24" fillId="2" borderId="0" xfId="0" applyFont="1" applyFill="1"/>
    <xf numFmtId="0" fontId="33" fillId="2" borderId="0" xfId="0" applyFont="1" applyFill="1"/>
    <xf numFmtId="0" fontId="23" fillId="2" borderId="0" xfId="0" applyFont="1" applyFill="1"/>
    <xf numFmtId="0" fontId="0" fillId="2" borderId="0" xfId="0" applyFont="1" applyFill="1"/>
    <xf numFmtId="0" fontId="30" fillId="2" borderId="3" xfId="0" applyFont="1" applyFill="1" applyBorder="1"/>
    <xf numFmtId="0" fontId="8" fillId="2" borderId="9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9" xfId="0" applyFont="1" applyFill="1" applyBorder="1"/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0" fillId="2" borderId="0" xfId="0" applyFont="1" applyFill="1" applyBorder="1"/>
    <xf numFmtId="0" fontId="8" fillId="2" borderId="11" xfId="0" applyFont="1" applyFill="1" applyBorder="1"/>
    <xf numFmtId="0" fontId="30" fillId="2" borderId="0" xfId="0" applyFont="1" applyFill="1" applyBorder="1"/>
    <xf numFmtId="0" fontId="8" fillId="2" borderId="12" xfId="0" applyFont="1" applyFill="1" applyBorder="1"/>
    <xf numFmtId="0" fontId="30" fillId="2" borderId="0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center"/>
    </xf>
    <xf numFmtId="0" fontId="8" fillId="2" borderId="4" xfId="0" applyFont="1" applyFill="1" applyBorder="1"/>
    <xf numFmtId="0" fontId="8" fillId="2" borderId="13" xfId="0" applyFont="1" applyFill="1" applyBorder="1"/>
    <xf numFmtId="0" fontId="30" fillId="2" borderId="0" xfId="0" applyFont="1" applyFill="1"/>
    <xf numFmtId="0" fontId="8" fillId="2" borderId="14" xfId="0" applyFont="1" applyFill="1" applyBorder="1"/>
    <xf numFmtId="9" fontId="10" fillId="2" borderId="0" xfId="9" applyFont="1" applyFill="1" applyBorder="1"/>
    <xf numFmtId="0" fontId="8" fillId="2" borderId="0" xfId="0" applyFont="1" applyFill="1" applyAlignment="1">
      <alignment horizontal="center" vertical="center"/>
    </xf>
    <xf numFmtId="0" fontId="8" fillId="2" borderId="10" xfId="0" applyFont="1" applyFill="1" applyBorder="1"/>
    <xf numFmtId="0" fontId="0" fillId="2" borderId="0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8" fillId="2" borderId="16" xfId="0" applyFont="1" applyFill="1" applyBorder="1" applyAlignment="1">
      <alignment horizontal="center"/>
    </xf>
    <xf numFmtId="0" fontId="8" fillId="2" borderId="16" xfId="0" applyFont="1" applyFill="1" applyBorder="1"/>
    <xf numFmtId="0" fontId="10" fillId="2" borderId="0" xfId="0" applyNumberFormat="1" applyFont="1" applyFill="1" applyBorder="1" applyAlignment="1">
      <alignment horizontal="center"/>
    </xf>
    <xf numFmtId="0" fontId="8" fillId="2" borderId="17" xfId="0" applyFont="1" applyFill="1" applyBorder="1"/>
    <xf numFmtId="0" fontId="8" fillId="2" borderId="17" xfId="0" applyFont="1" applyFill="1" applyBorder="1" applyAlignment="1">
      <alignment horizontal="center"/>
    </xf>
    <xf numFmtId="0" fontId="26" fillId="2" borderId="0" xfId="0" applyFont="1" applyFill="1" applyAlignment="1">
      <alignment horizontal="center"/>
    </xf>
    <xf numFmtId="0" fontId="11" fillId="2" borderId="0" xfId="0" applyFont="1" applyFill="1"/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left"/>
    </xf>
    <xf numFmtId="11" fontId="8" fillId="2" borderId="0" xfId="0" applyNumberFormat="1" applyFont="1" applyFill="1" applyBorder="1"/>
    <xf numFmtId="0" fontId="0" fillId="2" borderId="0" xfId="0" applyFont="1" applyFill="1" applyAlignment="1">
      <alignment horizontal="center"/>
    </xf>
    <xf numFmtId="0" fontId="8" fillId="2" borderId="12" xfId="0" applyFont="1" applyFill="1" applyBorder="1" applyAlignment="1">
      <alignment horizontal="center"/>
    </xf>
    <xf numFmtId="174" fontId="8" fillId="2" borderId="9" xfId="0" applyNumberFormat="1" applyFont="1" applyFill="1" applyBorder="1" applyAlignment="1">
      <alignment horizontal="center"/>
    </xf>
    <xf numFmtId="174" fontId="8" fillId="2" borderId="0" xfId="0" applyNumberFormat="1" applyFont="1" applyFill="1" applyBorder="1" applyAlignment="1">
      <alignment horizontal="center"/>
    </xf>
    <xf numFmtId="0" fontId="8" fillId="2" borderId="18" xfId="0" applyFont="1" applyFill="1" applyBorder="1"/>
    <xf numFmtId="0" fontId="8" fillId="2" borderId="19" xfId="0" applyFont="1" applyFill="1" applyBorder="1"/>
    <xf numFmtId="0" fontId="8" fillId="2" borderId="18" xfId="0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center"/>
    </xf>
    <xf numFmtId="0" fontId="25" fillId="2" borderId="0" xfId="0" applyFont="1" applyFill="1" applyBorder="1"/>
    <xf numFmtId="175" fontId="8" fillId="2" borderId="0" xfId="0" applyNumberFormat="1" applyFont="1" applyFill="1" applyBorder="1" applyAlignment="1">
      <alignment horizontal="center"/>
    </xf>
    <xf numFmtId="0" fontId="10" fillId="2" borderId="0" xfId="0" applyFont="1" applyFill="1" applyBorder="1"/>
    <xf numFmtId="11" fontId="8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23" fillId="2" borderId="0" xfId="0" applyFont="1" applyFill="1" applyBorder="1"/>
    <xf numFmtId="0" fontId="8" fillId="2" borderId="15" xfId="0" applyFont="1" applyFill="1" applyBorder="1"/>
    <xf numFmtId="0" fontId="30" fillId="2" borderId="17" xfId="0" applyFont="1" applyFill="1" applyBorder="1"/>
    <xf numFmtId="0" fontId="8" fillId="2" borderId="0" xfId="0" applyNumberFormat="1" applyFont="1" applyFill="1" applyBorder="1" applyAlignment="1">
      <alignment horizontal="center"/>
    </xf>
    <xf numFmtId="0" fontId="26" fillId="2" borderId="0" xfId="0" applyFont="1" applyFill="1" applyBorder="1"/>
    <xf numFmtId="11" fontId="26" fillId="2" borderId="0" xfId="0" applyNumberFormat="1" applyFont="1" applyFill="1" applyBorder="1"/>
    <xf numFmtId="1" fontId="26" fillId="2" borderId="0" xfId="0" applyNumberFormat="1" applyFont="1" applyFill="1" applyBorder="1" applyAlignment="1">
      <alignment horizontal="center"/>
    </xf>
    <xf numFmtId="2" fontId="26" fillId="2" borderId="0" xfId="0" applyNumberFormat="1" applyFont="1" applyFill="1" applyBorder="1" applyAlignment="1">
      <alignment horizontal="center"/>
    </xf>
    <xf numFmtId="11" fontId="26" fillId="2" borderId="0" xfId="0" applyNumberFormat="1" applyFont="1" applyFill="1" applyBorder="1" applyAlignment="1">
      <alignment horizontal="center"/>
    </xf>
    <xf numFmtId="0" fontId="13" fillId="2" borderId="0" xfId="0" applyFont="1" applyFill="1"/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left"/>
    </xf>
    <xf numFmtId="0" fontId="8" fillId="2" borderId="20" xfId="0" applyFont="1" applyFill="1" applyBorder="1"/>
    <xf numFmtId="11" fontId="0" fillId="2" borderId="0" xfId="0" applyNumberFormat="1" applyFont="1" applyFill="1" applyBorder="1"/>
    <xf numFmtId="0" fontId="10" fillId="2" borderId="19" xfId="0" applyFont="1" applyFill="1" applyBorder="1" applyAlignment="1">
      <alignment horizontal="center"/>
    </xf>
    <xf numFmtId="0" fontId="8" fillId="2" borderId="18" xfId="0" applyFont="1" applyFill="1" applyBorder="1" applyAlignment="1">
      <alignment horizontal="left"/>
    </xf>
    <xf numFmtId="0" fontId="25" fillId="2" borderId="18" xfId="0" applyFont="1" applyFill="1" applyBorder="1" applyAlignment="1">
      <alignment horizontal="center"/>
    </xf>
    <xf numFmtId="2" fontId="8" fillId="2" borderId="18" xfId="0" applyNumberFormat="1" applyFont="1" applyFill="1" applyBorder="1" applyAlignment="1">
      <alignment horizontal="center"/>
    </xf>
    <xf numFmtId="0" fontId="13" fillId="2" borderId="0" xfId="0" applyFont="1" applyFill="1" applyBorder="1"/>
    <xf numFmtId="0" fontId="10" fillId="2" borderId="0" xfId="11" applyFont="1" applyFill="1"/>
    <xf numFmtId="0" fontId="10" fillId="2" borderId="0" xfId="11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1" fontId="10" fillId="2" borderId="11" xfId="11" applyNumberFormat="1" applyFont="1" applyFill="1" applyBorder="1" applyAlignment="1">
      <alignment horizontal="center"/>
    </xf>
    <xf numFmtId="1" fontId="10" fillId="2" borderId="16" xfId="11" applyNumberFormat="1" applyFont="1" applyFill="1" applyBorder="1" applyAlignment="1">
      <alignment horizontal="center"/>
    </xf>
    <xf numFmtId="2" fontId="10" fillId="2" borderId="13" xfId="11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10" fillId="2" borderId="0" xfId="15" applyFont="1" applyFill="1" applyAlignment="1"/>
    <xf numFmtId="0" fontId="10" fillId="2" borderId="0" xfId="15" applyFont="1" applyFill="1" applyAlignment="1">
      <alignment horizontal="center"/>
    </xf>
    <xf numFmtId="0" fontId="23" fillId="2" borderId="0" xfId="11" applyFont="1" applyFill="1"/>
    <xf numFmtId="1" fontId="10" fillId="2" borderId="0" xfId="11" applyNumberFormat="1" applyFont="1" applyFill="1"/>
    <xf numFmtId="0" fontId="10" fillId="2" borderId="0" xfId="11" applyFont="1" applyFill="1" applyBorder="1"/>
    <xf numFmtId="178" fontId="23" fillId="2" borderId="0" xfId="11" applyNumberFormat="1" applyFont="1" applyFill="1" applyBorder="1"/>
    <xf numFmtId="1" fontId="23" fillId="2" borderId="0" xfId="11" applyNumberFormat="1" applyFont="1" applyFill="1" applyBorder="1"/>
    <xf numFmtId="179" fontId="23" fillId="2" borderId="0" xfId="11" applyNumberFormat="1" applyFont="1" applyFill="1" applyBorder="1"/>
    <xf numFmtId="178" fontId="10" fillId="2" borderId="0" xfId="11" applyNumberFormat="1" applyFont="1" applyFill="1" applyBorder="1"/>
    <xf numFmtId="1" fontId="10" fillId="2" borderId="0" xfId="11" applyNumberFormat="1" applyFont="1" applyFill="1" applyBorder="1"/>
    <xf numFmtId="0" fontId="39" fillId="2" borderId="0" xfId="11" applyFont="1" applyFill="1"/>
    <xf numFmtId="0" fontId="4" fillId="2" borderId="0" xfId="11" applyFont="1" applyFill="1" applyBorder="1"/>
    <xf numFmtId="0" fontId="12" fillId="2" borderId="0" xfId="11" applyFill="1" applyBorder="1"/>
    <xf numFmtId="0" fontId="12" fillId="2" borderId="0" xfId="11" applyFill="1"/>
    <xf numFmtId="0" fontId="3" fillId="2" borderId="0" xfId="15" applyFont="1" applyFill="1" applyBorder="1" applyAlignment="1" applyProtection="1">
      <alignment horizontal="center" textRotation="90" wrapText="1"/>
    </xf>
    <xf numFmtId="0" fontId="4" fillId="2" borderId="0" xfId="15" applyFont="1" applyFill="1" applyBorder="1" applyAlignment="1" applyProtection="1">
      <alignment horizontal="center" textRotation="90" wrapText="1"/>
    </xf>
    <xf numFmtId="2" fontId="4" fillId="2" borderId="0" xfId="17" applyNumberFormat="1" applyFont="1" applyFill="1" applyBorder="1" applyAlignment="1" applyProtection="1">
      <alignment horizontal="center" textRotation="90" wrapText="1"/>
    </xf>
    <xf numFmtId="0" fontId="3" fillId="2" borderId="0" xfId="15" applyFont="1" applyFill="1" applyAlignment="1" applyProtection="1">
      <alignment horizontal="center" textRotation="90" wrapText="1"/>
    </xf>
    <xf numFmtId="11" fontId="3" fillId="2" borderId="0" xfId="15" applyNumberFormat="1" applyFont="1" applyFill="1" applyAlignment="1" applyProtection="1">
      <alignment horizontal="center" textRotation="90" wrapText="1"/>
    </xf>
    <xf numFmtId="0" fontId="3" fillId="2" borderId="0" xfId="15" applyFont="1" applyFill="1" applyBorder="1" applyAlignment="1" applyProtection="1">
      <alignment horizontal="left"/>
      <protection locked="0"/>
    </xf>
    <xf numFmtId="0" fontId="4" fillId="2" borderId="0" xfId="15" applyFont="1" applyFill="1" applyBorder="1" applyAlignment="1" applyProtection="1">
      <alignment horizontal="left"/>
      <protection locked="0"/>
    </xf>
    <xf numFmtId="2" fontId="12" fillId="2" borderId="0" xfId="15" applyNumberFormat="1" applyFill="1" applyBorder="1" applyAlignment="1" applyProtection="1">
      <alignment horizontal="center"/>
    </xf>
    <xf numFmtId="0" fontId="12" fillId="2" borderId="0" xfId="15" applyNumberFormat="1" applyFill="1" applyBorder="1" applyAlignment="1" applyProtection="1">
      <alignment horizontal="center"/>
      <protection locked="0"/>
    </xf>
    <xf numFmtId="173" fontId="12" fillId="2" borderId="0" xfId="15" applyNumberFormat="1" applyFont="1" applyFill="1" applyBorder="1" applyAlignment="1" applyProtection="1">
      <alignment horizontal="center"/>
      <protection locked="0"/>
    </xf>
    <xf numFmtId="0" fontId="12" fillId="2" borderId="0" xfId="15" applyFont="1" applyFill="1" applyBorder="1" applyAlignment="1" applyProtection="1">
      <alignment horizontal="center"/>
      <protection locked="0"/>
    </xf>
    <xf numFmtId="177" fontId="12" fillId="2" borderId="0" xfId="0" applyNumberFormat="1" applyFont="1" applyFill="1" applyAlignment="1" applyProtection="1">
      <alignment horizontal="center"/>
      <protection locked="0"/>
    </xf>
    <xf numFmtId="11" fontId="12" fillId="2" borderId="0" xfId="0" applyNumberFormat="1" applyFont="1" applyFill="1" applyAlignment="1" applyProtection="1">
      <alignment horizontal="center"/>
    </xf>
    <xf numFmtId="175" fontId="12" fillId="2" borderId="0" xfId="11" applyNumberFormat="1" applyFill="1" applyAlignment="1" applyProtection="1">
      <alignment horizontal="center"/>
    </xf>
    <xf numFmtId="174" fontId="12" fillId="2" borderId="0" xfId="15" applyNumberFormat="1" applyFill="1" applyBorder="1" applyAlignment="1" applyProtection="1">
      <alignment horizontal="center"/>
    </xf>
    <xf numFmtId="173" fontId="12" fillId="2" borderId="0" xfId="15" applyNumberFormat="1" applyFill="1" applyBorder="1" applyAlignment="1" applyProtection="1">
      <alignment horizontal="center"/>
      <protection locked="0"/>
    </xf>
    <xf numFmtId="2" fontId="12" fillId="2" borderId="0" xfId="11" applyNumberFormat="1" applyFill="1" applyBorder="1"/>
    <xf numFmtId="0" fontId="4" fillId="2" borderId="0" xfId="11" applyFont="1" applyFill="1"/>
    <xf numFmtId="1" fontId="12" fillId="2" borderId="0" xfId="11" applyNumberFormat="1" applyFill="1"/>
    <xf numFmtId="2" fontId="12" fillId="2" borderId="0" xfId="11" applyNumberFormat="1" applyFill="1"/>
    <xf numFmtId="0" fontId="12" fillId="2" borderId="0" xfId="15" applyFill="1" applyAlignment="1"/>
    <xf numFmtId="176" fontId="8" fillId="2" borderId="0" xfId="0" applyNumberFormat="1" applyFont="1" applyFill="1" applyBorder="1" applyAlignment="1">
      <alignment horizontal="center"/>
    </xf>
    <xf numFmtId="176" fontId="8" fillId="2" borderId="0" xfId="0" applyNumberFormat="1" applyFont="1" applyFill="1" applyBorder="1"/>
    <xf numFmtId="174" fontId="8" fillId="2" borderId="0" xfId="0" applyNumberFormat="1" applyFont="1" applyFill="1" applyBorder="1" applyAlignment="1">
      <alignment horizontal="left"/>
    </xf>
    <xf numFmtId="174" fontId="25" fillId="2" borderId="0" xfId="0" applyNumberFormat="1" applyFont="1" applyFill="1" applyBorder="1" applyAlignment="1">
      <alignment horizontal="center"/>
    </xf>
    <xf numFmtId="2" fontId="25" fillId="2" borderId="0" xfId="0" applyNumberFormat="1" applyFont="1" applyFill="1" applyBorder="1" applyAlignment="1">
      <alignment horizontal="center"/>
    </xf>
    <xf numFmtId="175" fontId="8" fillId="2" borderId="0" xfId="0" applyNumberFormat="1" applyFont="1" applyFill="1" applyBorder="1"/>
    <xf numFmtId="0" fontId="8" fillId="2" borderId="19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left"/>
    </xf>
    <xf numFmtId="174" fontId="26" fillId="2" borderId="0" xfId="0" applyNumberFormat="1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175" fontId="26" fillId="2" borderId="0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right"/>
    </xf>
    <xf numFmtId="0" fontId="13" fillId="2" borderId="0" xfId="15" applyFont="1" applyFill="1" applyBorder="1" applyAlignment="1"/>
    <xf numFmtId="0" fontId="13" fillId="2" borderId="0" xfId="11" applyFont="1" applyFill="1"/>
    <xf numFmtId="0" fontId="13" fillId="2" borderId="0" xfId="15" applyFont="1" applyFill="1" applyAlignment="1"/>
    <xf numFmtId="0" fontId="13" fillId="2" borderId="0" xfId="15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26" fillId="2" borderId="11" xfId="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0" fontId="26" fillId="2" borderId="0" xfId="0" applyFont="1" applyFill="1" applyAlignment="1">
      <alignment horizontal="left"/>
    </xf>
    <xf numFmtId="176" fontId="10" fillId="2" borderId="0" xfId="0" applyNumberFormat="1" applyFont="1" applyFill="1" applyBorder="1" applyAlignment="1">
      <alignment horizontal="center"/>
    </xf>
    <xf numFmtId="175" fontId="26" fillId="2" borderId="0" xfId="0" applyNumberFormat="1" applyFont="1" applyFill="1" applyBorder="1"/>
    <xf numFmtId="175" fontId="29" fillId="2" borderId="0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8" fillId="2" borderId="0" xfId="0" applyFont="1" applyFill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 vertical="top"/>
    </xf>
    <xf numFmtId="0" fontId="10" fillId="2" borderId="0" xfId="0" applyFont="1" applyFill="1" applyBorder="1" applyAlignment="1">
      <alignment horizontal="center" vertical="top" wrapText="1"/>
    </xf>
    <xf numFmtId="0" fontId="10" fillId="2" borderId="0" xfId="0" applyFont="1" applyFill="1" applyBorder="1" applyAlignment="1">
      <alignment vertical="top"/>
    </xf>
    <xf numFmtId="0" fontId="25" fillId="2" borderId="4" xfId="0" applyFont="1" applyFill="1" applyBorder="1" applyAlignment="1">
      <alignment horizontal="center"/>
    </xf>
    <xf numFmtId="0" fontId="25" fillId="2" borderId="21" xfId="0" applyFont="1" applyFill="1" applyBorder="1" applyAlignment="1">
      <alignment horizontal="center"/>
    </xf>
    <xf numFmtId="0" fontId="8" fillId="2" borderId="22" xfId="0" applyFont="1" applyFill="1" applyBorder="1"/>
    <xf numFmtId="0" fontId="30" fillId="2" borderId="23" xfId="0" applyFont="1" applyFill="1" applyBorder="1" applyAlignment="1">
      <alignment horizontal="center"/>
    </xf>
    <xf numFmtId="0" fontId="8" fillId="2" borderId="24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21" xfId="0" applyFont="1" applyFill="1" applyBorder="1"/>
    <xf numFmtId="0" fontId="8" fillId="2" borderId="21" xfId="0" applyFont="1" applyFill="1" applyBorder="1" applyAlignment="1">
      <alignment horizontal="center"/>
    </xf>
    <xf numFmtId="0" fontId="8" fillId="2" borderId="25" xfId="0" applyFont="1" applyFill="1" applyBorder="1"/>
    <xf numFmtId="0" fontId="8" fillId="2" borderId="26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left"/>
    </xf>
    <xf numFmtId="0" fontId="24" fillId="2" borderId="27" xfId="0" applyFont="1" applyFill="1" applyBorder="1"/>
    <xf numFmtId="0" fontId="8" fillId="2" borderId="23" xfId="0" applyFont="1" applyFill="1" applyBorder="1" applyAlignment="1">
      <alignment horizontal="center"/>
    </xf>
    <xf numFmtId="0" fontId="8" fillId="2" borderId="0" xfId="0" applyFont="1" applyFill="1" applyAlignment="1">
      <alignment vertical="center"/>
    </xf>
    <xf numFmtId="0" fontId="8" fillId="2" borderId="28" xfId="0" applyFont="1" applyFill="1" applyBorder="1" applyAlignment="1">
      <alignment horizontal="right"/>
    </xf>
    <xf numFmtId="0" fontId="30" fillId="2" borderId="17" xfId="0" applyFont="1" applyFill="1" applyBorder="1" applyAlignment="1">
      <alignment horizontal="center"/>
    </xf>
    <xf numFmtId="0" fontId="8" fillId="2" borderId="29" xfId="0" applyFont="1" applyFill="1" applyBorder="1"/>
    <xf numFmtId="0" fontId="25" fillId="2" borderId="0" xfId="0" applyFont="1" applyFill="1"/>
    <xf numFmtId="0" fontId="8" fillId="2" borderId="17" xfId="0" applyFont="1" applyFill="1" applyBorder="1" applyAlignment="1">
      <alignment horizontal="left"/>
    </xf>
    <xf numFmtId="0" fontId="8" fillId="2" borderId="30" xfId="0" applyFont="1" applyFill="1" applyBorder="1" applyAlignment="1">
      <alignment horizontal="center"/>
    </xf>
    <xf numFmtId="174" fontId="8" fillId="2" borderId="12" xfId="0" applyNumberFormat="1" applyFont="1" applyFill="1" applyBorder="1" applyAlignment="1">
      <alignment horizontal="center"/>
    </xf>
    <xf numFmtId="0" fontId="8" fillId="2" borderId="23" xfId="0" applyFont="1" applyFill="1" applyBorder="1"/>
    <xf numFmtId="0" fontId="8" fillId="2" borderId="31" xfId="0" applyFont="1" applyFill="1" applyBorder="1" applyAlignment="1">
      <alignment horizontal="left"/>
    </xf>
    <xf numFmtId="0" fontId="8" fillId="2" borderId="32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left"/>
    </xf>
    <xf numFmtId="0" fontId="31" fillId="2" borderId="27" xfId="0" applyFont="1" applyFill="1" applyBorder="1"/>
    <xf numFmtId="0" fontId="24" fillId="2" borderId="4" xfId="0" applyFont="1" applyFill="1" applyBorder="1"/>
    <xf numFmtId="0" fontId="31" fillId="2" borderId="4" xfId="0" applyFont="1" applyFill="1" applyBorder="1"/>
    <xf numFmtId="0" fontId="25" fillId="2" borderId="4" xfId="0" applyFont="1" applyFill="1" applyBorder="1"/>
    <xf numFmtId="0" fontId="8" fillId="2" borderId="6" xfId="0" applyFont="1" applyFill="1" applyBorder="1" applyAlignment="1">
      <alignment horizontal="left"/>
    </xf>
    <xf numFmtId="1" fontId="3" fillId="2" borderId="18" xfId="9" applyNumberFormat="1" applyFont="1" applyFill="1" applyBorder="1" applyAlignment="1">
      <alignment horizontal="center"/>
    </xf>
    <xf numFmtId="0" fontId="14" fillId="4" borderId="7" xfId="11" applyFont="1" applyFill="1" applyBorder="1"/>
    <xf numFmtId="0" fontId="8" fillId="4" borderId="8" xfId="0" applyFont="1" applyFill="1" applyBorder="1" applyAlignment="1">
      <alignment horizontal="center"/>
    </xf>
    <xf numFmtId="0" fontId="31" fillId="4" borderId="8" xfId="0" applyFont="1" applyFill="1" applyBorder="1"/>
    <xf numFmtId="0" fontId="31" fillId="2" borderId="23" xfId="0" applyFont="1" applyFill="1" applyBorder="1"/>
    <xf numFmtId="0" fontId="31" fillId="2" borderId="0" xfId="0" applyFont="1" applyFill="1" applyBorder="1" applyAlignment="1">
      <alignment horizontal="right"/>
    </xf>
    <xf numFmtId="0" fontId="34" fillId="3" borderId="8" xfId="0" applyFont="1" applyFill="1" applyBorder="1"/>
    <xf numFmtId="0" fontId="8" fillId="2" borderId="34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11" fontId="8" fillId="2" borderId="19" xfId="0" applyNumberFormat="1" applyFont="1" applyFill="1" applyBorder="1" applyAlignment="1">
      <alignment horizontal="center"/>
    </xf>
    <xf numFmtId="0" fontId="8" fillId="2" borderId="0" xfId="0" applyFont="1" applyFill="1" applyAlignment="1">
      <alignment wrapText="1"/>
    </xf>
    <xf numFmtId="0" fontId="8" fillId="2" borderId="5" xfId="0" applyFont="1" applyFill="1" applyBorder="1" applyAlignment="1">
      <alignment horizontal="center"/>
    </xf>
    <xf numFmtId="0" fontId="27" fillId="2" borderId="27" xfId="14" applyFont="1" applyFill="1" applyBorder="1"/>
    <xf numFmtId="0" fontId="3" fillId="2" borderId="25" xfId="14" applyFont="1" applyFill="1" applyBorder="1"/>
    <xf numFmtId="0" fontId="14" fillId="2" borderId="0" xfId="14" applyFont="1" applyFill="1" applyAlignment="1">
      <alignment horizontal="left"/>
    </xf>
    <xf numFmtId="0" fontId="3" fillId="2" borderId="0" xfId="14" applyFont="1" applyFill="1" applyAlignment="1">
      <alignment horizontal="left"/>
    </xf>
    <xf numFmtId="0" fontId="27" fillId="2" borderId="23" xfId="14" applyFont="1" applyFill="1" applyBorder="1" applyAlignment="1">
      <alignment horizontal="left"/>
    </xf>
    <xf numFmtId="0" fontId="28" fillId="2" borderId="0" xfId="14" applyFont="1" applyFill="1" applyBorder="1" applyAlignment="1">
      <alignment horizontal="left"/>
    </xf>
    <xf numFmtId="0" fontId="3" fillId="2" borderId="0" xfId="14" applyFont="1" applyFill="1" applyBorder="1" applyAlignment="1">
      <alignment horizontal="left"/>
    </xf>
    <xf numFmtId="0" fontId="3" fillId="2" borderId="26" xfId="14" applyFont="1" applyFill="1" applyBorder="1" applyAlignment="1">
      <alignment horizontal="left"/>
    </xf>
    <xf numFmtId="0" fontId="3" fillId="2" borderId="36" xfId="14" applyFont="1" applyFill="1" applyBorder="1" applyAlignment="1">
      <alignment horizontal="left"/>
    </xf>
    <xf numFmtId="0" fontId="10" fillId="2" borderId="4" xfId="0" applyFont="1" applyFill="1" applyBorder="1" applyAlignment="1">
      <alignment horizontal="right" vertical="center"/>
    </xf>
    <xf numFmtId="0" fontId="10" fillId="2" borderId="25" xfId="0" applyFont="1" applyFill="1" applyBorder="1" applyAlignment="1">
      <alignment horizontal="right" vertical="center"/>
    </xf>
    <xf numFmtId="174" fontId="4" fillId="2" borderId="26" xfId="0" applyNumberFormat="1" applyFont="1" applyFill="1" applyBorder="1" applyAlignment="1">
      <alignment horizontal="center" vertical="center"/>
    </xf>
    <xf numFmtId="0" fontId="8" fillId="2" borderId="26" xfId="0" applyFont="1" applyFill="1" applyBorder="1"/>
    <xf numFmtId="0" fontId="3" fillId="2" borderId="4" xfId="0" applyFont="1" applyFill="1" applyBorder="1" applyAlignment="1">
      <alignment horizontal="right"/>
    </xf>
    <xf numFmtId="0" fontId="8" fillId="2" borderId="37" xfId="0" applyFont="1" applyFill="1" applyBorder="1"/>
    <xf numFmtId="0" fontId="8" fillId="2" borderId="30" xfId="0" applyFont="1" applyFill="1" applyBorder="1"/>
    <xf numFmtId="0" fontId="8" fillId="2" borderId="0" xfId="0" applyFont="1" applyFill="1" applyAlignment="1">
      <alignment horizontal="left" vertical="center" wrapText="1"/>
    </xf>
    <xf numFmtId="0" fontId="10" fillId="2" borderId="0" xfId="14" applyFont="1" applyFill="1" applyAlignment="1">
      <alignment horizontal="left" vertical="center" wrapText="1"/>
    </xf>
    <xf numFmtId="0" fontId="10" fillId="2" borderId="9" xfId="14" applyFont="1" applyFill="1" applyBorder="1" applyAlignment="1">
      <alignment horizontal="left" vertical="center" wrapText="1"/>
    </xf>
    <xf numFmtId="0" fontId="10" fillId="2" borderId="40" xfId="14" applyFont="1" applyFill="1" applyBorder="1" applyAlignment="1">
      <alignment horizontal="left" vertical="center" wrapText="1"/>
    </xf>
    <xf numFmtId="0" fontId="10" fillId="2" borderId="19" xfId="14" applyFont="1" applyFill="1" applyBorder="1" applyAlignment="1">
      <alignment horizontal="left" vertical="center" wrapText="1"/>
    </xf>
    <xf numFmtId="0" fontId="3" fillId="2" borderId="0" xfId="14" applyFont="1" applyFill="1" applyAlignment="1">
      <alignment horizontal="left" vertical="center" wrapText="1"/>
    </xf>
    <xf numFmtId="1" fontId="10" fillId="2" borderId="41" xfId="14" applyNumberFormat="1" applyFont="1" applyFill="1" applyBorder="1" applyAlignment="1">
      <alignment horizontal="center" vertical="center"/>
    </xf>
    <xf numFmtId="1" fontId="10" fillId="2" borderId="0" xfId="14" applyNumberFormat="1" applyFont="1" applyFill="1" applyBorder="1" applyAlignment="1">
      <alignment horizontal="center" vertical="center"/>
    </xf>
    <xf numFmtId="1" fontId="10" fillId="2" borderId="0" xfId="14" applyNumberFormat="1" applyFont="1" applyFill="1" applyAlignment="1">
      <alignment horizontal="center" vertical="center"/>
    </xf>
    <xf numFmtId="0" fontId="10" fillId="2" borderId="42" xfId="14" applyFont="1" applyFill="1" applyBorder="1" applyAlignment="1">
      <alignment vertical="top"/>
    </xf>
    <xf numFmtId="0" fontId="10" fillId="2" borderId="17" xfId="14" applyFont="1" applyFill="1" applyBorder="1" applyAlignment="1">
      <alignment horizontal="left" vertical="top"/>
    </xf>
    <xf numFmtId="0" fontId="10" fillId="2" borderId="15" xfId="14" applyFont="1" applyFill="1" applyBorder="1" applyAlignment="1">
      <alignment vertical="top"/>
    </xf>
    <xf numFmtId="0" fontId="10" fillId="2" borderId="15" xfId="14" applyFont="1" applyFill="1" applyBorder="1" applyAlignment="1">
      <alignment horizontal="left" vertical="top"/>
    </xf>
    <xf numFmtId="0" fontId="10" fillId="2" borderId="43" xfId="14" applyFont="1" applyFill="1" applyBorder="1" applyAlignment="1">
      <alignment horizontal="left" vertical="top"/>
    </xf>
    <xf numFmtId="0" fontId="10" fillId="2" borderId="18" xfId="14" applyFont="1" applyFill="1" applyBorder="1" applyAlignment="1">
      <alignment horizontal="left" vertical="top"/>
    </xf>
    <xf numFmtId="0" fontId="10" fillId="2" borderId="44" xfId="14" applyFont="1" applyFill="1" applyBorder="1" applyAlignment="1">
      <alignment horizontal="left" vertical="top"/>
    </xf>
    <xf numFmtId="0" fontId="10" fillId="2" borderId="4" xfId="14" applyFont="1" applyFill="1" applyBorder="1"/>
    <xf numFmtId="174" fontId="23" fillId="2" borderId="0" xfId="0" applyNumberFormat="1" applyFont="1" applyFill="1" applyBorder="1" applyAlignment="1">
      <alignment horizontal="center" vertical="center"/>
    </xf>
    <xf numFmtId="174" fontId="10" fillId="2" borderId="0" xfId="0" applyNumberFormat="1" applyFont="1" applyFill="1" applyBorder="1" applyAlignment="1">
      <alignment horizontal="center" vertical="center"/>
    </xf>
    <xf numFmtId="174" fontId="23" fillId="2" borderId="26" xfId="0" applyNumberFormat="1" applyFont="1" applyFill="1" applyBorder="1" applyAlignment="1">
      <alignment horizontal="center" vertical="center"/>
    </xf>
    <xf numFmtId="9" fontId="23" fillId="2" borderId="0" xfId="0" applyNumberFormat="1" applyFont="1" applyFill="1" applyBorder="1" applyAlignment="1">
      <alignment horizontal="center"/>
    </xf>
    <xf numFmtId="0" fontId="8" fillId="2" borderId="27" xfId="0" applyFont="1" applyFill="1" applyBorder="1"/>
    <xf numFmtId="0" fontId="40" fillId="6" borderId="8" xfId="0" applyFont="1" applyFill="1" applyBorder="1"/>
    <xf numFmtId="0" fontId="40" fillId="6" borderId="8" xfId="0" applyFont="1" applyFill="1" applyBorder="1" applyAlignment="1">
      <alignment wrapText="1"/>
    </xf>
    <xf numFmtId="0" fontId="41" fillId="6" borderId="7" xfId="11" applyFont="1" applyFill="1" applyBorder="1"/>
    <xf numFmtId="0" fontId="8" fillId="2" borderId="16" xfId="0" applyFont="1" applyFill="1" applyBorder="1" applyAlignment="1">
      <alignment wrapText="1"/>
    </xf>
    <xf numFmtId="0" fontId="8" fillId="2" borderId="17" xfId="0" applyFont="1" applyFill="1" applyBorder="1" applyAlignment="1">
      <alignment wrapText="1"/>
    </xf>
    <xf numFmtId="0" fontId="40" fillId="6" borderId="15" xfId="0" applyFont="1" applyFill="1" applyBorder="1"/>
    <xf numFmtId="0" fontId="40" fillId="6" borderId="15" xfId="0" applyFont="1" applyFill="1" applyBorder="1" applyAlignment="1">
      <alignment wrapText="1"/>
    </xf>
    <xf numFmtId="14" fontId="8" fillId="2" borderId="16" xfId="0" applyNumberFormat="1" applyFont="1" applyFill="1" applyBorder="1" applyAlignment="1">
      <alignment horizontal="left"/>
    </xf>
    <xf numFmtId="0" fontId="8" fillId="2" borderId="0" xfId="0" applyFont="1" applyFill="1" applyBorder="1" applyAlignment="1">
      <alignment vertical="top"/>
    </xf>
    <xf numFmtId="0" fontId="27" fillId="2" borderId="0" xfId="0" applyFont="1" applyFill="1" applyBorder="1"/>
    <xf numFmtId="0" fontId="25" fillId="2" borderId="0" xfId="0" applyFont="1" applyFill="1" applyBorder="1" applyAlignment="1">
      <alignment horizontal="left"/>
    </xf>
    <xf numFmtId="0" fontId="30" fillId="2" borderId="16" xfId="0" applyFont="1" applyFill="1" applyBorder="1" applyAlignment="1">
      <alignment horizontal="center"/>
    </xf>
    <xf numFmtId="0" fontId="30" fillId="2" borderId="11" xfId="0" applyFont="1" applyFill="1" applyBorder="1" applyAlignment="1">
      <alignment horizontal="center"/>
    </xf>
    <xf numFmtId="0" fontId="30" fillId="2" borderId="15" xfId="0" applyFont="1" applyFill="1" applyBorder="1" applyAlignment="1">
      <alignment horizontal="center"/>
    </xf>
    <xf numFmtId="0" fontId="30" fillId="2" borderId="9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30" fillId="2" borderId="12" xfId="0" applyFont="1" applyFill="1" applyBorder="1" applyAlignment="1">
      <alignment horizontal="center"/>
    </xf>
    <xf numFmtId="0" fontId="30" fillId="2" borderId="5" xfId="0" applyFont="1" applyFill="1" applyBorder="1" applyAlignment="1">
      <alignment horizontal="center"/>
    </xf>
    <xf numFmtId="0" fontId="8" fillId="2" borderId="27" xfId="0" applyFont="1" applyFill="1" applyBorder="1" applyAlignment="1">
      <alignment horizontal="left"/>
    </xf>
    <xf numFmtId="0" fontId="8" fillId="2" borderId="29" xfId="0" applyFont="1" applyFill="1" applyBorder="1" applyAlignment="1">
      <alignment horizontal="left"/>
    </xf>
    <xf numFmtId="0" fontId="8" fillId="2" borderId="46" xfId="0" applyFont="1" applyFill="1" applyBorder="1" applyAlignment="1">
      <alignment horizontal="center"/>
    </xf>
    <xf numFmtId="0" fontId="8" fillId="2" borderId="26" xfId="0" applyFont="1" applyFill="1" applyBorder="1" applyAlignment="1">
      <alignment horizontal="left"/>
    </xf>
    <xf numFmtId="0" fontId="8" fillId="2" borderId="47" xfId="0" applyFont="1" applyFill="1" applyBorder="1"/>
    <xf numFmtId="0" fontId="8" fillId="2" borderId="40" xfId="0" applyFont="1" applyFill="1" applyBorder="1" applyAlignment="1">
      <alignment horizontal="center"/>
    </xf>
    <xf numFmtId="0" fontId="8" fillId="2" borderId="43" xfId="0" applyFont="1" applyFill="1" applyBorder="1" applyAlignment="1">
      <alignment horizontal="center"/>
    </xf>
    <xf numFmtId="0" fontId="30" fillId="2" borderId="26" xfId="0" applyFont="1" applyFill="1" applyBorder="1"/>
    <xf numFmtId="0" fontId="8" fillId="2" borderId="23" xfId="0" applyFont="1" applyFill="1" applyBorder="1" applyAlignment="1">
      <alignment horizontal="left"/>
    </xf>
    <xf numFmtId="0" fontId="8" fillId="2" borderId="23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48" xfId="0" applyFont="1" applyFill="1" applyBorder="1"/>
    <xf numFmtId="0" fontId="30" fillId="2" borderId="46" xfId="0" applyFont="1" applyFill="1" applyBorder="1"/>
    <xf numFmtId="0" fontId="30" fillId="2" borderId="5" xfId="0" applyFont="1" applyFill="1" applyBorder="1"/>
    <xf numFmtId="0" fontId="8" fillId="2" borderId="49" xfId="0" applyFont="1" applyFill="1" applyBorder="1" applyAlignment="1">
      <alignment horizontal="center"/>
    </xf>
    <xf numFmtId="0" fontId="8" fillId="2" borderId="50" xfId="0" applyFont="1" applyFill="1" applyBorder="1" applyAlignment="1">
      <alignment horizontal="center"/>
    </xf>
    <xf numFmtId="0" fontId="8" fillId="2" borderId="51" xfId="0" applyFont="1" applyFill="1" applyBorder="1"/>
    <xf numFmtId="0" fontId="8" fillId="2" borderId="8" xfId="0" applyFont="1" applyFill="1" applyBorder="1" applyAlignment="1">
      <alignment horizontal="center"/>
    </xf>
    <xf numFmtId="0" fontId="8" fillId="2" borderId="8" xfId="0" applyFont="1" applyFill="1" applyBorder="1"/>
    <xf numFmtId="0" fontId="8" fillId="2" borderId="54" xfId="0" applyFont="1" applyFill="1" applyBorder="1" applyAlignment="1">
      <alignment horizontal="center"/>
    </xf>
    <xf numFmtId="0" fontId="8" fillId="2" borderId="41" xfId="0" applyFont="1" applyFill="1" applyBorder="1" applyAlignment="1">
      <alignment horizontal="center"/>
    </xf>
    <xf numFmtId="0" fontId="8" fillId="2" borderId="55" xfId="0" applyFont="1" applyFill="1" applyBorder="1" applyAlignment="1">
      <alignment horizontal="center"/>
    </xf>
    <xf numFmtId="0" fontId="8" fillId="2" borderId="56" xfId="0" applyFont="1" applyFill="1" applyBorder="1"/>
    <xf numFmtId="0" fontId="30" fillId="2" borderId="4" xfId="0" applyFont="1" applyFill="1" applyBorder="1"/>
    <xf numFmtId="0" fontId="8" fillId="2" borderId="13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0" borderId="0" xfId="0" applyFont="1" applyFill="1"/>
    <xf numFmtId="1" fontId="3" fillId="2" borderId="0" xfId="9" applyNumberFormat="1" applyFont="1" applyFill="1" applyBorder="1" applyAlignment="1">
      <alignment horizontal="center"/>
    </xf>
    <xf numFmtId="0" fontId="10" fillId="2" borderId="18" xfId="0" applyFont="1" applyFill="1" applyBorder="1"/>
    <xf numFmtId="0" fontId="25" fillId="2" borderId="46" xfId="0" applyFont="1" applyFill="1" applyBorder="1"/>
    <xf numFmtId="0" fontId="33" fillId="2" borderId="4" xfId="0" applyFont="1" applyFill="1" applyBorder="1"/>
    <xf numFmtId="0" fontId="8" fillId="2" borderId="15" xfId="0" applyFont="1" applyFill="1" applyBorder="1" applyAlignment="1">
      <alignment horizontal="center" vertical="center" wrapText="1"/>
    </xf>
    <xf numFmtId="0" fontId="10" fillId="2" borderId="4" xfId="0" applyFont="1" applyFill="1" applyBorder="1"/>
    <xf numFmtId="0" fontId="10" fillId="2" borderId="18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center"/>
    </xf>
    <xf numFmtId="0" fontId="8" fillId="0" borderId="42" xfId="0" applyFont="1" applyFill="1" applyBorder="1"/>
    <xf numFmtId="0" fontId="0" fillId="0" borderId="0" xfId="0" applyBorder="1"/>
    <xf numFmtId="0" fontId="0" fillId="0" borderId="0" xfId="0" applyFont="1" applyFill="1"/>
    <xf numFmtId="0" fontId="8" fillId="0" borderId="16" xfId="0" applyFont="1" applyFill="1" applyBorder="1"/>
    <xf numFmtId="0" fontId="8" fillId="0" borderId="13" xfId="0" applyFont="1" applyFill="1" applyBorder="1"/>
    <xf numFmtId="0" fontId="8" fillId="0" borderId="15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top"/>
    </xf>
    <xf numFmtId="0" fontId="26" fillId="0" borderId="0" xfId="0" applyFont="1" applyFill="1"/>
    <xf numFmtId="0" fontId="24" fillId="0" borderId="0" xfId="0" applyFont="1" applyFill="1"/>
    <xf numFmtId="0" fontId="33" fillId="0" borderId="0" xfId="0" applyFont="1" applyFill="1"/>
    <xf numFmtId="0" fontId="27" fillId="0" borderId="0" xfId="0" applyFont="1" applyFill="1" applyBorder="1"/>
    <xf numFmtId="0" fontId="23" fillId="0" borderId="0" xfId="0" applyFont="1" applyFill="1" applyBorder="1"/>
    <xf numFmtId="0" fontId="8" fillId="0" borderId="0" xfId="0" applyFont="1" applyFill="1" applyBorder="1"/>
    <xf numFmtId="11" fontId="8" fillId="0" borderId="0" xfId="0" applyNumberFormat="1" applyFont="1" applyFill="1" applyBorder="1"/>
    <xf numFmtId="2" fontId="8" fillId="0" borderId="0" xfId="0" applyNumberFormat="1" applyFont="1" applyFill="1" applyBorder="1"/>
    <xf numFmtId="0" fontId="8" fillId="0" borderId="27" xfId="0" applyFont="1" applyFill="1" applyBorder="1" applyAlignment="1">
      <alignment vertical="center"/>
    </xf>
    <xf numFmtId="0" fontId="0" fillId="0" borderId="23" xfId="0" applyFont="1" applyFill="1" applyBorder="1"/>
    <xf numFmtId="0" fontId="0" fillId="0" borderId="24" xfId="0" applyFont="1" applyFill="1" applyBorder="1"/>
    <xf numFmtId="0" fontId="8" fillId="0" borderId="3" xfId="0" applyFont="1" applyFill="1" applyBorder="1"/>
    <xf numFmtId="0" fontId="8" fillId="0" borderId="4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10" fillId="0" borderId="11" xfId="0" applyFont="1" applyFill="1" applyBorder="1" applyAlignment="1">
      <alignment horizontal="center"/>
    </xf>
    <xf numFmtId="0" fontId="8" fillId="0" borderId="4" xfId="0" applyFont="1" applyFill="1" applyBorder="1"/>
    <xf numFmtId="0" fontId="30" fillId="0" borderId="0" xfId="0" applyFont="1" applyFill="1" applyBorder="1"/>
    <xf numFmtId="0" fontId="6" fillId="0" borderId="0" xfId="0" applyFont="1" applyFill="1"/>
    <xf numFmtId="9" fontId="10" fillId="0" borderId="0" xfId="9" applyFont="1" applyFill="1" applyBorder="1"/>
    <xf numFmtId="0" fontId="10" fillId="0" borderId="26" xfId="0" applyFont="1" applyFill="1" applyBorder="1"/>
    <xf numFmtId="0" fontId="8" fillId="0" borderId="26" xfId="0" applyFont="1" applyFill="1" applyBorder="1"/>
    <xf numFmtId="0" fontId="8" fillId="0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8" fillId="0" borderId="27" xfId="0" applyFont="1" applyFill="1" applyBorder="1"/>
    <xf numFmtId="0" fontId="10" fillId="0" borderId="4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center"/>
    </xf>
    <xf numFmtId="0" fontId="10" fillId="0" borderId="23" xfId="0" applyFont="1" applyFill="1" applyBorder="1" applyAlignment="1">
      <alignment horizontal="left"/>
    </xf>
    <xf numFmtId="0" fontId="8" fillId="0" borderId="23" xfId="0" applyFont="1" applyFill="1" applyBorder="1"/>
    <xf numFmtId="0" fontId="10" fillId="0" borderId="29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left" vertical="center"/>
    </xf>
    <xf numFmtId="0" fontId="8" fillId="0" borderId="59" xfId="0" applyFont="1" applyFill="1" applyBorder="1"/>
    <xf numFmtId="0" fontId="8" fillId="0" borderId="42" xfId="0" applyFont="1" applyFill="1" applyBorder="1" applyAlignment="1">
      <alignment horizontal="center"/>
    </xf>
    <xf numFmtId="0" fontId="8" fillId="0" borderId="49" xfId="0" applyFont="1" applyFill="1" applyBorder="1" applyAlignment="1">
      <alignment horizontal="center" vertical="center"/>
    </xf>
    <xf numFmtId="0" fontId="25" fillId="0" borderId="29" xfId="0" applyFont="1" applyFill="1" applyBorder="1"/>
    <xf numFmtId="0" fontId="8" fillId="0" borderId="3" xfId="0" applyFont="1" applyFill="1" applyBorder="1" applyAlignment="1">
      <alignment horizontal="right"/>
    </xf>
    <xf numFmtId="0" fontId="8" fillId="0" borderId="50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/>
    </xf>
    <xf numFmtId="0" fontId="8" fillId="0" borderId="25" xfId="0" applyFont="1" applyFill="1" applyBorder="1"/>
    <xf numFmtId="0" fontId="10" fillId="0" borderId="0" xfId="0" applyFont="1" applyFill="1" applyBorder="1"/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26" fillId="0" borderId="0" xfId="0" applyFont="1" applyFill="1" applyAlignment="1">
      <alignment vertical="center" wrapText="1"/>
    </xf>
    <xf numFmtId="0" fontId="0" fillId="0" borderId="0" xfId="0" applyFill="1" applyBorder="1"/>
    <xf numFmtId="0" fontId="0" fillId="0" borderId="0" xfId="0" applyFont="1" applyFill="1" applyAlignment="1">
      <alignment horizontal="center"/>
    </xf>
    <xf numFmtId="0" fontId="8" fillId="0" borderId="32" xfId="0" applyFont="1" applyFill="1" applyBorder="1"/>
    <xf numFmtId="175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16" xfId="0" applyFont="1" applyFill="1" applyBorder="1" applyAlignment="1"/>
    <xf numFmtId="173" fontId="13" fillId="0" borderId="0" xfId="0" applyNumberFormat="1" applyFont="1" applyFill="1" applyBorder="1"/>
    <xf numFmtId="2" fontId="13" fillId="0" borderId="0" xfId="0" applyNumberFormat="1" applyFont="1" applyFill="1" applyBorder="1"/>
    <xf numFmtId="0" fontId="26" fillId="0" borderId="0" xfId="0" applyFont="1" applyFill="1" applyBorder="1"/>
    <xf numFmtId="173" fontId="13" fillId="0" borderId="0" xfId="0" applyNumberFormat="1" applyFont="1" applyFill="1"/>
    <xf numFmtId="0" fontId="13" fillId="0" borderId="0" xfId="0" applyFont="1" applyFill="1"/>
    <xf numFmtId="11" fontId="13" fillId="0" borderId="0" xfId="0" applyNumberFormat="1" applyFont="1" applyFill="1"/>
    <xf numFmtId="2" fontId="3" fillId="0" borderId="0" xfId="0" applyNumberFormat="1" applyFont="1" applyFill="1" applyBorder="1" applyAlignment="1">
      <alignment horizontal="center"/>
    </xf>
    <xf numFmtId="11" fontId="3" fillId="0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right"/>
    </xf>
    <xf numFmtId="0" fontId="0" fillId="0" borderId="42" xfId="0" applyFont="1" applyFill="1" applyBorder="1"/>
    <xf numFmtId="0" fontId="25" fillId="0" borderId="0" xfId="0" applyFont="1" applyFill="1" applyBorder="1"/>
    <xf numFmtId="0" fontId="25" fillId="2" borderId="43" xfId="0" applyFont="1" applyFill="1" applyBorder="1" applyAlignment="1">
      <alignment horizontal="center"/>
    </xf>
    <xf numFmtId="0" fontId="29" fillId="0" borderId="0" xfId="0" applyFont="1" applyFill="1"/>
    <xf numFmtId="0" fontId="10" fillId="2" borderId="19" xfId="0" applyFont="1" applyFill="1" applyBorder="1"/>
    <xf numFmtId="0" fontId="2" fillId="0" borderId="0" xfId="0" applyFont="1"/>
    <xf numFmtId="174" fontId="10" fillId="8" borderId="0" xfId="0" applyNumberFormat="1" applyFont="1" applyFill="1" applyBorder="1" applyAlignment="1">
      <alignment horizontal="center" vertical="center"/>
    </xf>
    <xf numFmtId="0" fontId="14" fillId="2" borderId="0" xfId="14" applyFont="1" applyFill="1" applyAlignment="1">
      <alignment horizontal="center"/>
    </xf>
    <xf numFmtId="0" fontId="27" fillId="2" borderId="23" xfId="14" applyFont="1" applyFill="1" applyBorder="1" applyAlignment="1">
      <alignment horizontal="center"/>
    </xf>
    <xf numFmtId="0" fontId="28" fillId="2" borderId="0" xfId="14" applyFont="1" applyFill="1" applyBorder="1" applyAlignment="1">
      <alignment horizontal="center"/>
    </xf>
    <xf numFmtId="0" fontId="3" fillId="2" borderId="0" xfId="14" applyFont="1" applyFill="1" applyBorder="1" applyAlignment="1">
      <alignment horizontal="center"/>
    </xf>
    <xf numFmtId="0" fontId="3" fillId="2" borderId="26" xfId="14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 vertical="center"/>
    </xf>
    <xf numFmtId="0" fontId="10" fillId="0" borderId="4" xfId="0" applyFont="1" applyFill="1" applyBorder="1"/>
    <xf numFmtId="2" fontId="8" fillId="0" borderId="0" xfId="0" applyNumberFormat="1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9" xfId="0" applyFont="1" applyFill="1" applyBorder="1" applyAlignment="1"/>
    <xf numFmtId="0" fontId="8" fillId="2" borderId="31" xfId="0" applyFont="1" applyFill="1" applyBorder="1" applyAlignment="1">
      <alignment horizontal="right"/>
    </xf>
    <xf numFmtId="0" fontId="8" fillId="2" borderId="1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0" fontId="30" fillId="2" borderId="13" xfId="0" applyFont="1" applyFill="1" applyBorder="1" applyAlignment="1">
      <alignment horizontal="center"/>
    </xf>
    <xf numFmtId="0" fontId="30" fillId="2" borderId="14" xfId="0" applyFont="1" applyFill="1" applyBorder="1" applyAlignment="1">
      <alignment horizontal="center"/>
    </xf>
    <xf numFmtId="0" fontId="8" fillId="2" borderId="5" xfId="0" applyFont="1" applyFill="1" applyBorder="1" applyAlignment="1"/>
    <xf numFmtId="0" fontId="46" fillId="2" borderId="15" xfId="0" applyFont="1" applyFill="1" applyBorder="1"/>
    <xf numFmtId="0" fontId="46" fillId="2" borderId="15" xfId="0" applyFont="1" applyFill="1" applyBorder="1" applyAlignment="1">
      <alignment horizontal="center"/>
    </xf>
    <xf numFmtId="0" fontId="46" fillId="2" borderId="9" xfId="0" applyFont="1" applyFill="1" applyBorder="1" applyAlignment="1">
      <alignment horizontal="center"/>
    </xf>
    <xf numFmtId="0" fontId="46" fillId="2" borderId="11" xfId="0" applyFont="1" applyFill="1" applyBorder="1" applyAlignment="1">
      <alignment horizontal="center"/>
    </xf>
    <xf numFmtId="0" fontId="46" fillId="2" borderId="11" xfId="0" applyFont="1" applyFill="1" applyBorder="1"/>
    <xf numFmtId="0" fontId="8" fillId="0" borderId="13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0" borderId="49" xfId="0" applyFont="1" applyFill="1" applyBorder="1"/>
    <xf numFmtId="0" fontId="8" fillId="0" borderId="60" xfId="0" applyFont="1" applyFill="1" applyBorder="1" applyAlignment="1">
      <alignment horizontal="center"/>
    </xf>
    <xf numFmtId="11" fontId="8" fillId="0" borderId="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horizontal="left"/>
    </xf>
    <xf numFmtId="0" fontId="3" fillId="2" borderId="18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left"/>
    </xf>
    <xf numFmtId="0" fontId="25" fillId="2" borderId="32" xfId="0" applyFont="1" applyFill="1" applyBorder="1" applyAlignment="1">
      <alignment horizontal="center"/>
    </xf>
    <xf numFmtId="0" fontId="8" fillId="2" borderId="32" xfId="0" applyFont="1" applyFill="1" applyBorder="1"/>
    <xf numFmtId="0" fontId="25" fillId="2" borderId="21" xfId="0" applyFont="1" applyFill="1" applyBorder="1"/>
    <xf numFmtId="0" fontId="25" fillId="2" borderId="32" xfId="0" applyFont="1" applyFill="1" applyBorder="1"/>
    <xf numFmtId="0" fontId="26" fillId="0" borderId="0" xfId="0" applyFont="1" applyFill="1" applyBorder="1" applyAlignment="1">
      <alignment horizontal="center"/>
    </xf>
    <xf numFmtId="0" fontId="26" fillId="0" borderId="5" xfId="0" applyFont="1" applyFill="1" applyBorder="1" applyAlignment="1">
      <alignment vertical="center" wrapText="1"/>
    </xf>
    <xf numFmtId="0" fontId="48" fillId="2" borderId="9" xfId="0" quotePrefix="1" applyFont="1" applyFill="1" applyBorder="1" applyAlignment="1">
      <alignment horizontal="center"/>
    </xf>
    <xf numFmtId="0" fontId="10" fillId="0" borderId="17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4" xfId="0" applyFont="1" applyFill="1" applyBorder="1"/>
    <xf numFmtId="0" fontId="8" fillId="0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8" fillId="0" borderId="4" xfId="0" applyFont="1" applyFill="1" applyBorder="1" applyAlignment="1"/>
    <xf numFmtId="0" fontId="10" fillId="0" borderId="32" xfId="0" applyFont="1" applyFill="1" applyBorder="1" applyAlignment="1">
      <alignment horizontal="center"/>
    </xf>
    <xf numFmtId="0" fontId="25" fillId="0" borderId="4" xfId="0" applyFont="1" applyFill="1" applyBorder="1"/>
    <xf numFmtId="0" fontId="0" fillId="0" borderId="26" xfId="0" applyFont="1" applyFill="1" applyBorder="1"/>
    <xf numFmtId="0" fontId="8" fillId="0" borderId="25" xfId="0" applyFont="1" applyFill="1" applyBorder="1" applyAlignment="1">
      <alignment vertical="center"/>
    </xf>
    <xf numFmtId="11" fontId="8" fillId="0" borderId="54" xfId="0" applyNumberFormat="1" applyFont="1" applyFill="1" applyBorder="1" applyAlignment="1">
      <alignment vertical="center"/>
    </xf>
    <xf numFmtId="11" fontId="8" fillId="0" borderId="62" xfId="0" applyNumberFormat="1" applyFont="1" applyFill="1" applyBorder="1" applyAlignment="1">
      <alignment vertical="center"/>
    </xf>
    <xf numFmtId="11" fontId="8" fillId="0" borderId="0" xfId="0" applyNumberFormat="1" applyFont="1" applyFill="1" applyBorder="1" applyAlignment="1">
      <alignment vertical="center"/>
    </xf>
    <xf numFmtId="2" fontId="10" fillId="2" borderId="42" xfId="0" applyNumberFormat="1" applyFont="1" applyFill="1" applyBorder="1" applyAlignment="1">
      <alignment horizontal="center" vertical="center"/>
    </xf>
    <xf numFmtId="2" fontId="10" fillId="2" borderId="43" xfId="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/>
    </xf>
    <xf numFmtId="0" fontId="8" fillId="0" borderId="26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left"/>
    </xf>
    <xf numFmtId="174" fontId="8" fillId="2" borderId="0" xfId="0" applyNumberFormat="1" applyFont="1" applyFill="1" applyBorder="1"/>
    <xf numFmtId="0" fontId="8" fillId="2" borderId="63" xfId="0" applyFont="1" applyFill="1" applyBorder="1" applyAlignment="1">
      <alignment horizontal="center"/>
    </xf>
    <xf numFmtId="176" fontId="0" fillId="2" borderId="0" xfId="0" applyNumberFormat="1" applyFont="1" applyFill="1" applyAlignment="1">
      <alignment horizontal="center"/>
    </xf>
    <xf numFmtId="0" fontId="8" fillId="2" borderId="64" xfId="0" applyFont="1" applyFill="1" applyBorder="1" applyAlignment="1">
      <alignment horizontal="center"/>
    </xf>
    <xf numFmtId="2" fontId="8" fillId="2" borderId="28" xfId="0" applyNumberFormat="1" applyFont="1" applyFill="1" applyBorder="1" applyAlignment="1">
      <alignment horizontal="center"/>
    </xf>
    <xf numFmtId="0" fontId="8" fillId="0" borderId="0" xfId="0" applyFont="1" applyBorder="1"/>
    <xf numFmtId="0" fontId="26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vertical="center"/>
    </xf>
    <xf numFmtId="0" fontId="26" fillId="0" borderId="0" xfId="0" applyFont="1" applyFill="1" applyBorder="1" applyAlignment="1"/>
    <xf numFmtId="0" fontId="8" fillId="0" borderId="0" xfId="0" applyFont="1" applyFill="1" applyBorder="1" applyAlignment="1">
      <alignment vertical="center"/>
    </xf>
    <xf numFmtId="0" fontId="10" fillId="0" borderId="0" xfId="14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2" fontId="8" fillId="2" borderId="65" xfId="0" applyNumberFormat="1" applyFont="1" applyFill="1" applyBorder="1" applyAlignment="1">
      <alignment horizontal="center"/>
    </xf>
    <xf numFmtId="2" fontId="8" fillId="2" borderId="28" xfId="0" applyNumberFormat="1" applyFont="1" applyFill="1" applyBorder="1" applyAlignment="1">
      <alignment horizontal="left"/>
    </xf>
    <xf numFmtId="174" fontId="10" fillId="2" borderId="43" xfId="14" applyNumberFormat="1" applyFont="1" applyFill="1" applyBorder="1" applyAlignment="1">
      <alignment horizontal="center" vertical="center"/>
    </xf>
    <xf numFmtId="174" fontId="10" fillId="2" borderId="0" xfId="14" applyNumberFormat="1" applyFont="1" applyFill="1" applyBorder="1" applyAlignment="1">
      <alignment horizontal="center" vertical="center"/>
    </xf>
    <xf numFmtId="174" fontId="10" fillId="2" borderId="0" xfId="14" applyNumberFormat="1" applyFont="1" applyFill="1" applyAlignment="1">
      <alignment horizontal="center" vertical="center"/>
    </xf>
    <xf numFmtId="0" fontId="10" fillId="2" borderId="25" xfId="14" applyFont="1" applyFill="1" applyBorder="1"/>
    <xf numFmtId="0" fontId="28" fillId="2" borderId="26" xfId="14" applyFont="1" applyFill="1" applyBorder="1" applyAlignment="1">
      <alignment horizontal="left"/>
    </xf>
    <xf numFmtId="0" fontId="10" fillId="0" borderId="0" xfId="14" applyFont="1" applyFill="1" applyBorder="1" applyAlignment="1">
      <alignment horizontal="center"/>
    </xf>
    <xf numFmtId="0" fontId="8" fillId="2" borderId="66" xfId="0" applyFont="1" applyFill="1" applyBorder="1" applyAlignment="1">
      <alignment horizontal="left"/>
    </xf>
    <xf numFmtId="0" fontId="8" fillId="2" borderId="16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top" wrapText="1"/>
    </xf>
    <xf numFmtId="0" fontId="8" fillId="2" borderId="61" xfId="0" applyFont="1" applyFill="1" applyBorder="1"/>
    <xf numFmtId="174" fontId="10" fillId="0" borderId="0" xfId="0" applyNumberFormat="1" applyFont="1" applyFill="1" applyBorder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26" fillId="2" borderId="15" xfId="0" applyFont="1" applyFill="1" applyBorder="1" applyAlignment="1">
      <alignment horizontal="center"/>
    </xf>
    <xf numFmtId="0" fontId="26" fillId="0" borderId="15" xfId="0" applyFont="1" applyFill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49" fillId="0" borderId="0" xfId="0" applyFont="1"/>
    <xf numFmtId="0" fontId="49" fillId="0" borderId="0" xfId="0" applyFont="1" applyAlignment="1">
      <alignment horizontal="center"/>
    </xf>
    <xf numFmtId="0" fontId="49" fillId="0" borderId="0" xfId="0" applyFont="1" applyBorder="1"/>
    <xf numFmtId="2" fontId="8" fillId="2" borderId="19" xfId="0" applyNumberFormat="1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0" fontId="0" fillId="2" borderId="3" xfId="0" applyFont="1" applyFill="1" applyBorder="1"/>
    <xf numFmtId="0" fontId="26" fillId="2" borderId="5" xfId="0" applyFont="1" applyFill="1" applyBorder="1"/>
    <xf numFmtId="0" fontId="26" fillId="2" borderId="5" xfId="0" applyFont="1" applyFill="1" applyBorder="1" applyAlignment="1">
      <alignment horizontal="left"/>
    </xf>
    <xf numFmtId="0" fontId="30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2" xfId="0" applyFont="1" applyFill="1" applyBorder="1"/>
    <xf numFmtId="0" fontId="8" fillId="0" borderId="0" xfId="0" applyFont="1" applyFill="1" applyAlignment="1">
      <alignment horizontal="left" vertical="top"/>
    </xf>
    <xf numFmtId="0" fontId="8" fillId="2" borderId="0" xfId="0" applyFont="1" applyFill="1" applyBorder="1" applyAlignment="1"/>
    <xf numFmtId="0" fontId="8" fillId="2" borderId="9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10" fillId="2" borderId="17" xfId="15" applyFont="1" applyFill="1" applyBorder="1" applyAlignment="1" applyProtection="1">
      <alignment horizontal="center" vertical="center" wrapText="1"/>
    </xf>
    <xf numFmtId="0" fontId="3" fillId="0" borderId="0" xfId="11" applyFont="1" applyFill="1" applyBorder="1"/>
    <xf numFmtId="0" fontId="12" fillId="0" borderId="0" xfId="11" applyFill="1" applyBorder="1"/>
    <xf numFmtId="0" fontId="8" fillId="3" borderId="8" xfId="0" applyFont="1" applyFill="1" applyBorder="1" applyAlignment="1">
      <alignment horizontal="center"/>
    </xf>
    <xf numFmtId="0" fontId="3" fillId="3" borderId="68" xfId="11" applyFont="1" applyFill="1" applyBorder="1"/>
    <xf numFmtId="0" fontId="8" fillId="0" borderId="11" xfId="0" applyFont="1" applyFill="1" applyBorder="1" applyAlignment="1">
      <alignment horizontal="center"/>
    </xf>
    <xf numFmtId="0" fontId="8" fillId="2" borderId="18" xfId="0" applyFont="1" applyFill="1" applyBorder="1" applyAlignment="1">
      <alignment vertical="center"/>
    </xf>
    <xf numFmtId="0" fontId="49" fillId="0" borderId="0" xfId="0" applyFont="1" applyAlignment="1"/>
    <xf numFmtId="0" fontId="49" fillId="0" borderId="0" xfId="0" applyFont="1" applyFill="1"/>
    <xf numFmtId="0" fontId="26" fillId="0" borderId="0" xfId="0" applyFont="1" applyBorder="1" applyAlignment="1">
      <alignment horizontal="center" vertical="center"/>
    </xf>
    <xf numFmtId="0" fontId="26" fillId="0" borderId="0" xfId="0" applyFont="1" applyFill="1" applyBorder="1" applyAlignment="1">
      <alignment vertical="center" wrapText="1"/>
    </xf>
    <xf numFmtId="2" fontId="26" fillId="0" borderId="0" xfId="0" applyNumberFormat="1" applyFont="1" applyBorder="1" applyAlignment="1">
      <alignment horizontal="center"/>
    </xf>
    <xf numFmtId="0" fontId="26" fillId="0" borderId="0" xfId="0" applyFont="1" applyBorder="1"/>
    <xf numFmtId="0" fontId="26" fillId="0" borderId="0" xfId="0" applyFont="1" applyBorder="1" applyAlignment="1">
      <alignment horizontal="center"/>
    </xf>
    <xf numFmtId="0" fontId="10" fillId="2" borderId="42" xfId="14" applyFont="1" applyFill="1" applyBorder="1" applyAlignment="1">
      <alignment horizontal="left" vertical="top"/>
    </xf>
    <xf numFmtId="0" fontId="34" fillId="0" borderId="0" xfId="0" applyFont="1" applyFill="1" applyBorder="1"/>
    <xf numFmtId="0" fontId="34" fillId="3" borderId="68" xfId="0" applyFont="1" applyFill="1" applyBorder="1"/>
    <xf numFmtId="0" fontId="26" fillId="0" borderId="9" xfId="0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2" fontId="8" fillId="2" borderId="59" xfId="0" applyNumberFormat="1" applyFont="1" applyFill="1" applyBorder="1" applyAlignment="1">
      <alignment horizontal="center"/>
    </xf>
    <xf numFmtId="0" fontId="25" fillId="2" borderId="23" xfId="0" applyFont="1" applyFill="1" applyBorder="1" applyAlignment="1">
      <alignment horizontal="center"/>
    </xf>
    <xf numFmtId="0" fontId="30" fillId="0" borderId="27" xfId="0" applyFont="1" applyFill="1" applyBorder="1" applyAlignment="1">
      <alignment vertical="center"/>
    </xf>
    <xf numFmtId="0" fontId="30" fillId="0" borderId="27" xfId="0" applyFont="1" applyFill="1" applyBorder="1"/>
    <xf numFmtId="0" fontId="23" fillId="0" borderId="27" xfId="0" applyFont="1" applyFill="1" applyBorder="1" applyAlignment="1">
      <alignment horizontal="left"/>
    </xf>
    <xf numFmtId="0" fontId="8" fillId="0" borderId="23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8" fillId="0" borderId="26" xfId="0" applyFont="1" applyFill="1" applyBorder="1" applyAlignment="1">
      <alignment vertical="center"/>
    </xf>
    <xf numFmtId="0" fontId="30" fillId="0" borderId="4" xfId="0" applyFont="1" applyFill="1" applyBorder="1"/>
    <xf numFmtId="0" fontId="10" fillId="0" borderId="25" xfId="0" applyFont="1" applyFill="1" applyBorder="1"/>
    <xf numFmtId="0" fontId="26" fillId="0" borderId="26" xfId="0" applyFont="1" applyFill="1" applyBorder="1"/>
    <xf numFmtId="0" fontId="6" fillId="0" borderId="0" xfId="0" applyFont="1" applyFill="1" applyBorder="1"/>
    <xf numFmtId="0" fontId="8" fillId="0" borderId="0" xfId="0" applyFont="1" applyFill="1" applyBorder="1" applyAlignment="1"/>
    <xf numFmtId="0" fontId="10" fillId="9" borderId="42" xfId="0" applyFont="1" applyFill="1" applyBorder="1" applyAlignment="1">
      <alignment horizontal="center" vertical="center"/>
    </xf>
    <xf numFmtId="0" fontId="10" fillId="9" borderId="60" xfId="0" applyFont="1" applyFill="1" applyBorder="1" applyAlignment="1">
      <alignment horizontal="center" vertical="center"/>
    </xf>
    <xf numFmtId="0" fontId="10" fillId="9" borderId="43" xfId="0" applyFont="1" applyFill="1" applyBorder="1" applyAlignment="1">
      <alignment horizontal="center" vertical="center"/>
    </xf>
    <xf numFmtId="0" fontId="10" fillId="9" borderId="49" xfId="0" applyFont="1" applyFill="1" applyBorder="1" applyAlignment="1">
      <alignment horizontal="center" vertical="center"/>
    </xf>
    <xf numFmtId="0" fontId="10" fillId="9" borderId="41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0" fontId="8" fillId="8" borderId="4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center"/>
    </xf>
    <xf numFmtId="0" fontId="8" fillId="8" borderId="32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16" xfId="0" applyFont="1" applyFill="1" applyBorder="1" applyAlignment="1">
      <alignment horizontal="center"/>
    </xf>
    <xf numFmtId="2" fontId="8" fillId="8" borderId="49" xfId="0" applyNumberFormat="1" applyFont="1" applyFill="1" applyBorder="1" applyAlignment="1">
      <alignment horizontal="center"/>
    </xf>
    <xf numFmtId="2" fontId="8" fillId="8" borderId="11" xfId="0" applyNumberFormat="1" applyFont="1" applyFill="1" applyBorder="1" applyAlignment="1">
      <alignment horizontal="center"/>
    </xf>
    <xf numFmtId="2" fontId="8" fillId="8" borderId="32" xfId="0" applyNumberFormat="1" applyFont="1" applyFill="1" applyBorder="1" applyAlignment="1">
      <alignment horizontal="center"/>
    </xf>
    <xf numFmtId="2" fontId="8" fillId="8" borderId="11" xfId="0" applyNumberFormat="1" applyFont="1" applyFill="1" applyBorder="1"/>
    <xf numFmtId="2" fontId="8" fillId="8" borderId="32" xfId="0" applyNumberFormat="1" applyFont="1" applyFill="1" applyBorder="1"/>
    <xf numFmtId="2" fontId="8" fillId="8" borderId="54" xfId="0" applyNumberFormat="1" applyFont="1" applyFill="1" applyBorder="1"/>
    <xf numFmtId="2" fontId="8" fillId="8" borderId="62" xfId="0" applyNumberFormat="1" applyFont="1" applyFill="1" applyBorder="1"/>
    <xf numFmtId="0" fontId="8" fillId="8" borderId="16" xfId="0" applyFont="1" applyFill="1" applyBorder="1"/>
    <xf numFmtId="0" fontId="19" fillId="8" borderId="7" xfId="0" applyFont="1" applyFill="1" applyBorder="1"/>
    <xf numFmtId="0" fontId="26" fillId="8" borderId="8" xfId="0" applyFont="1" applyFill="1" applyBorder="1"/>
    <xf numFmtId="11" fontId="9" fillId="0" borderId="0" xfId="0" applyNumberFormat="1" applyFont="1" applyFill="1" applyBorder="1"/>
    <xf numFmtId="0" fontId="8" fillId="0" borderId="13" xfId="0" applyFont="1" applyFill="1" applyBorder="1" applyAlignment="1">
      <alignment horizontal="right"/>
    </xf>
    <xf numFmtId="0" fontId="10" fillId="0" borderId="11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center"/>
    </xf>
    <xf numFmtId="2" fontId="8" fillId="8" borderId="50" xfId="0" applyNumberFormat="1" applyFont="1" applyFill="1" applyBorder="1" applyAlignment="1">
      <alignment horizontal="center"/>
    </xf>
    <xf numFmtId="2" fontId="8" fillId="8" borderId="65" xfId="0" applyNumberFormat="1" applyFont="1" applyFill="1" applyBorder="1" applyAlignment="1">
      <alignment horizontal="center"/>
    </xf>
    <xf numFmtId="0" fontId="8" fillId="8" borderId="44" xfId="0" applyFont="1" applyFill="1" applyBorder="1"/>
    <xf numFmtId="176" fontId="8" fillId="2" borderId="15" xfId="0" applyNumberFormat="1" applyFont="1" applyFill="1" applyBorder="1" applyAlignment="1">
      <alignment horizontal="center"/>
    </xf>
    <xf numFmtId="176" fontId="8" fillId="2" borderId="18" xfId="0" applyNumberFormat="1" applyFont="1" applyFill="1" applyBorder="1" applyAlignment="1">
      <alignment horizontal="center"/>
    </xf>
    <xf numFmtId="176" fontId="8" fillId="2" borderId="16" xfId="0" applyNumberFormat="1" applyFont="1" applyFill="1" applyBorder="1" applyAlignment="1">
      <alignment horizontal="center"/>
    </xf>
    <xf numFmtId="182" fontId="8" fillId="2" borderId="1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25" fillId="2" borderId="26" xfId="0" applyFont="1" applyFill="1" applyBorder="1" applyAlignment="1">
      <alignment horizontal="center"/>
    </xf>
    <xf numFmtId="0" fontId="8" fillId="2" borderId="5" xfId="0" applyFont="1" applyFill="1" applyBorder="1" applyAlignment="1">
      <alignment vertical="center"/>
    </xf>
    <xf numFmtId="0" fontId="8" fillId="2" borderId="37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right"/>
    </xf>
    <xf numFmtId="0" fontId="25" fillId="2" borderId="2" xfId="0" applyFont="1" applyFill="1" applyBorder="1" applyAlignment="1">
      <alignment horizontal="center"/>
    </xf>
    <xf numFmtId="0" fontId="48" fillId="2" borderId="15" xfId="0" quotePrefix="1" applyFont="1" applyFill="1" applyBorder="1" applyAlignment="1">
      <alignment horizontal="center"/>
    </xf>
    <xf numFmtId="0" fontId="48" fillId="2" borderId="50" xfId="0" quotePrefix="1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44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left"/>
    </xf>
    <xf numFmtId="0" fontId="0" fillId="2" borderId="22" xfId="0" applyFont="1" applyFill="1" applyBorder="1"/>
    <xf numFmtId="0" fontId="0" fillId="2" borderId="6" xfId="0" applyFont="1" applyFill="1" applyBorder="1"/>
    <xf numFmtId="176" fontId="8" fillId="2" borderId="6" xfId="0" applyNumberFormat="1" applyFont="1" applyFill="1" applyBorder="1" applyAlignment="1">
      <alignment horizontal="left"/>
    </xf>
    <xf numFmtId="0" fontId="0" fillId="2" borderId="3" xfId="0" applyFill="1" applyBorder="1"/>
    <xf numFmtId="0" fontId="10" fillId="9" borderId="19" xfId="0" applyFont="1" applyFill="1" applyBorder="1" applyAlignment="1">
      <alignment horizontal="center"/>
    </xf>
    <xf numFmtId="176" fontId="8" fillId="8" borderId="32" xfId="0" applyNumberFormat="1" applyFont="1" applyFill="1" applyBorder="1"/>
    <xf numFmtId="176" fontId="8" fillId="8" borderId="62" xfId="0" applyNumberFormat="1" applyFont="1" applyFill="1" applyBorder="1"/>
    <xf numFmtId="0" fontId="0" fillId="8" borderId="4" xfId="0" applyFont="1" applyFill="1" applyBorder="1"/>
    <xf numFmtId="0" fontId="0" fillId="8" borderId="21" xfId="0" applyFont="1" applyFill="1" applyBorder="1"/>
    <xf numFmtId="0" fontId="8" fillId="8" borderId="31" xfId="0" applyFont="1" applyFill="1" applyBorder="1" applyAlignment="1">
      <alignment horizontal="center"/>
    </xf>
    <xf numFmtId="2" fontId="8" fillId="8" borderId="41" xfId="0" applyNumberFormat="1" applyFont="1" applyFill="1" applyBorder="1" applyAlignment="1">
      <alignment horizontal="center"/>
    </xf>
    <xf numFmtId="0" fontId="8" fillId="10" borderId="27" xfId="0" applyFont="1" applyFill="1" applyBorder="1" applyAlignment="1">
      <alignment horizontal="center"/>
    </xf>
    <xf numFmtId="0" fontId="8" fillId="10" borderId="46" xfId="0" applyFont="1" applyFill="1" applyBorder="1" applyAlignment="1">
      <alignment horizontal="center"/>
    </xf>
    <xf numFmtId="2" fontId="8" fillId="10" borderId="74" xfId="0" applyNumberFormat="1" applyFont="1" applyFill="1" applyBorder="1" applyAlignment="1">
      <alignment horizontal="center"/>
    </xf>
    <xf numFmtId="0" fontId="8" fillId="8" borderId="33" xfId="0" applyFont="1" applyFill="1" applyBorder="1" applyAlignment="1">
      <alignment horizontal="center"/>
    </xf>
    <xf numFmtId="0" fontId="8" fillId="10" borderId="34" xfId="0" applyFont="1" applyFill="1" applyBorder="1" applyAlignment="1">
      <alignment horizontal="center"/>
    </xf>
    <xf numFmtId="0" fontId="8" fillId="10" borderId="75" xfId="0" applyFont="1" applyFill="1" applyBorder="1" applyAlignment="1">
      <alignment horizontal="center"/>
    </xf>
    <xf numFmtId="0" fontId="8" fillId="8" borderId="4" xfId="0" applyFont="1" applyFill="1" applyBorder="1" applyAlignment="1">
      <alignment horizontal="center" wrapText="1"/>
    </xf>
    <xf numFmtId="0" fontId="8" fillId="8" borderId="46" xfId="0" applyFont="1" applyFill="1" applyBorder="1" applyAlignment="1">
      <alignment horizontal="center" wrapText="1"/>
    </xf>
    <xf numFmtId="174" fontId="8" fillId="8" borderId="76" xfId="0" applyNumberFormat="1" applyFont="1" applyFill="1" applyBorder="1" applyAlignment="1">
      <alignment horizontal="center"/>
    </xf>
    <xf numFmtId="2" fontId="8" fillId="8" borderId="63" xfId="0" applyNumberFormat="1" applyFont="1" applyFill="1" applyBorder="1" applyAlignment="1">
      <alignment horizontal="center"/>
    </xf>
    <xf numFmtId="0" fontId="8" fillId="8" borderId="34" xfId="0" applyFont="1" applyFill="1" applyBorder="1" applyAlignment="1">
      <alignment horizontal="center"/>
    </xf>
    <xf numFmtId="0" fontId="8" fillId="8" borderId="31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2" fontId="8" fillId="10" borderId="47" xfId="0" applyNumberFormat="1" applyFont="1" applyFill="1" applyBorder="1" applyAlignment="1">
      <alignment horizontal="center"/>
    </xf>
    <xf numFmtId="2" fontId="8" fillId="8" borderId="47" xfId="0" applyNumberFormat="1" applyFont="1" applyFill="1" applyBorder="1" applyAlignment="1">
      <alignment horizontal="center"/>
    </xf>
    <xf numFmtId="0" fontId="8" fillId="8" borderId="8" xfId="0" applyFont="1" applyFill="1" applyBorder="1"/>
    <xf numFmtId="0" fontId="26" fillId="8" borderId="68" xfId="0" applyFont="1" applyFill="1" applyBorder="1"/>
    <xf numFmtId="0" fontId="19" fillId="10" borderId="7" xfId="0" applyFont="1" applyFill="1" applyBorder="1"/>
    <xf numFmtId="0" fontId="26" fillId="10" borderId="8" xfId="0" applyFont="1" applyFill="1" applyBorder="1" applyAlignment="1">
      <alignment horizontal="center"/>
    </xf>
    <xf numFmtId="0" fontId="26" fillId="10" borderId="8" xfId="0" applyFont="1" applyFill="1" applyBorder="1" applyAlignment="1">
      <alignment horizontal="left"/>
    </xf>
    <xf numFmtId="0" fontId="8" fillId="10" borderId="8" xfId="0" applyFont="1" applyFill="1" applyBorder="1"/>
    <xf numFmtId="0" fontId="10" fillId="10" borderId="8" xfId="14" applyFont="1" applyFill="1" applyBorder="1" applyAlignment="1">
      <alignment horizontal="left" vertical="center" wrapText="1"/>
    </xf>
    <xf numFmtId="0" fontId="10" fillId="10" borderId="8" xfId="14" applyFont="1" applyFill="1" applyBorder="1" applyAlignment="1">
      <alignment horizontal="center"/>
    </xf>
    <xf numFmtId="0" fontId="26" fillId="10" borderId="8" xfId="0" applyFont="1" applyFill="1" applyBorder="1"/>
    <xf numFmtId="0" fontId="26" fillId="10" borderId="68" xfId="0" applyFont="1" applyFill="1" applyBorder="1"/>
    <xf numFmtId="0" fontId="8" fillId="8" borderId="35" xfId="0" applyFont="1" applyFill="1" applyBorder="1" applyAlignment="1">
      <alignment horizontal="center"/>
    </xf>
    <xf numFmtId="0" fontId="8" fillId="8" borderId="64" xfId="0" applyFont="1" applyFill="1" applyBorder="1" applyAlignment="1">
      <alignment horizontal="center"/>
    </xf>
    <xf numFmtId="2" fontId="8" fillId="8" borderId="34" xfId="0" applyNumberFormat="1" applyFont="1" applyFill="1" applyBorder="1" applyAlignment="1">
      <alignment horizontal="center"/>
    </xf>
    <xf numFmtId="2" fontId="8" fillId="8" borderId="77" xfId="0" applyNumberFormat="1" applyFont="1" applyFill="1" applyBorder="1" applyAlignment="1">
      <alignment horizontal="center"/>
    </xf>
    <xf numFmtId="2" fontId="8" fillId="8" borderId="74" xfId="0" applyNumberFormat="1" applyFont="1" applyFill="1" applyBorder="1" applyAlignment="1">
      <alignment horizontal="center"/>
    </xf>
    <xf numFmtId="0" fontId="10" fillId="9" borderId="6" xfId="0" applyFont="1" applyFill="1" applyBorder="1" applyAlignment="1">
      <alignment horizontal="center"/>
    </xf>
    <xf numFmtId="0" fontId="10" fillId="9" borderId="40" xfId="0" applyFont="1" applyFill="1" applyBorder="1" applyAlignment="1">
      <alignment horizontal="center"/>
    </xf>
    <xf numFmtId="2" fontId="49" fillId="8" borderId="48" xfId="0" applyNumberFormat="1" applyFont="1" applyFill="1" applyBorder="1" applyAlignment="1">
      <alignment horizontal="center"/>
    </xf>
    <xf numFmtId="2" fontId="26" fillId="8" borderId="28" xfId="0" applyNumberFormat="1" applyFont="1" applyFill="1" applyBorder="1" applyAlignment="1">
      <alignment horizontal="center"/>
    </xf>
    <xf numFmtId="2" fontId="26" fillId="8" borderId="63" xfId="0" applyNumberFormat="1" applyFont="1" applyFill="1" applyBorder="1" applyAlignment="1">
      <alignment horizontal="center"/>
    </xf>
    <xf numFmtId="2" fontId="26" fillId="8" borderId="65" xfId="0" applyNumberFormat="1" applyFont="1" applyFill="1" applyBorder="1" applyAlignment="1">
      <alignment horizontal="center"/>
    </xf>
    <xf numFmtId="2" fontId="26" fillId="8" borderId="41" xfId="0" applyNumberFormat="1" applyFont="1" applyFill="1" applyBorder="1" applyAlignment="1">
      <alignment horizontal="center"/>
    </xf>
    <xf numFmtId="0" fontId="27" fillId="0" borderId="0" xfId="0" applyFont="1" applyFill="1"/>
    <xf numFmtId="0" fontId="11" fillId="8" borderId="0" xfId="0" applyFont="1" applyFill="1"/>
    <xf numFmtId="0" fontId="26" fillId="0" borderId="3" xfId="0" applyFont="1" applyFill="1" applyBorder="1" applyAlignment="1">
      <alignment horizontal="center"/>
    </xf>
    <xf numFmtId="0" fontId="26" fillId="0" borderId="16" xfId="0" applyFont="1" applyFill="1" applyBorder="1" applyAlignment="1">
      <alignment horizontal="center"/>
    </xf>
    <xf numFmtId="0" fontId="0" fillId="0" borderId="4" xfId="0" applyFill="1" applyBorder="1"/>
    <xf numFmtId="0" fontId="8" fillId="0" borderId="17" xfId="0" applyFont="1" applyFill="1" applyBorder="1"/>
    <xf numFmtId="0" fontId="30" fillId="8" borderId="0" xfId="0" applyFont="1" applyFill="1"/>
    <xf numFmtId="0" fontId="27" fillId="2" borderId="27" xfId="14" applyFont="1" applyFill="1" applyBorder="1" applyAlignment="1">
      <alignment vertical="center"/>
    </xf>
    <xf numFmtId="174" fontId="25" fillId="0" borderId="15" xfId="14" applyNumberFormat="1" applyFont="1" applyFill="1" applyBorder="1" applyAlignment="1">
      <alignment horizontal="center" vertical="center"/>
    </xf>
    <xf numFmtId="174" fontId="10" fillId="0" borderId="18" xfId="14" applyNumberFormat="1" applyFont="1" applyFill="1" applyBorder="1" applyAlignment="1">
      <alignment horizontal="center" vertical="center"/>
    </xf>
    <xf numFmtId="174" fontId="10" fillId="0" borderId="43" xfId="14" applyNumberFormat="1" applyFont="1" applyFill="1" applyBorder="1" applyAlignment="1">
      <alignment horizontal="center" vertical="center"/>
    </xf>
    <xf numFmtId="1" fontId="10" fillId="0" borderId="63" xfId="14" applyNumberFormat="1" applyFont="1" applyFill="1" applyBorder="1" applyAlignment="1">
      <alignment horizontal="center" vertical="center"/>
    </xf>
    <xf numFmtId="1" fontId="10" fillId="0" borderId="50" xfId="14" applyNumberFormat="1" applyFont="1" applyFill="1" applyBorder="1" applyAlignment="1">
      <alignment horizontal="center" vertical="center"/>
    </xf>
    <xf numFmtId="1" fontId="10" fillId="0" borderId="41" xfId="14" applyNumberFormat="1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left"/>
    </xf>
    <xf numFmtId="0" fontId="30" fillId="10" borderId="0" xfId="0" applyFont="1" applyFill="1" applyBorder="1" applyAlignment="1">
      <alignment horizontal="left"/>
    </xf>
    <xf numFmtId="0" fontId="8" fillId="10" borderId="0" xfId="0" applyFont="1" applyFill="1" applyBorder="1" applyAlignment="1">
      <alignment horizontal="left"/>
    </xf>
    <xf numFmtId="0" fontId="23" fillId="8" borderId="0" xfId="0" applyFont="1" applyFill="1"/>
    <xf numFmtId="0" fontId="10" fillId="8" borderId="0" xfId="0" applyFont="1" applyFill="1"/>
    <xf numFmtId="0" fontId="8" fillId="8" borderId="0" xfId="0" applyFont="1" applyFill="1"/>
    <xf numFmtId="0" fontId="23" fillId="8" borderId="0" xfId="0" applyFont="1" applyFill="1" applyAlignment="1">
      <alignment horizontal="center"/>
    </xf>
    <xf numFmtId="0" fontId="23" fillId="8" borderId="0" xfId="0" applyFont="1" applyFill="1" applyBorder="1" applyAlignment="1">
      <alignment horizontal="left"/>
    </xf>
    <xf numFmtId="0" fontId="3" fillId="0" borderId="4" xfId="11" applyFont="1" applyFill="1" applyBorder="1"/>
    <xf numFmtId="0" fontId="13" fillId="8" borderId="0" xfId="0" applyFont="1" applyFill="1"/>
    <xf numFmtId="0" fontId="8" fillId="2" borderId="78" xfId="0" applyFont="1" applyFill="1" applyBorder="1" applyAlignment="1">
      <alignment horizontal="center"/>
    </xf>
    <xf numFmtId="0" fontId="8" fillId="2" borderId="28" xfId="0" applyFont="1" applyFill="1" applyBorder="1" applyAlignment="1">
      <alignment horizontal="center"/>
    </xf>
    <xf numFmtId="1" fontId="3" fillId="2" borderId="28" xfId="9" applyNumberFormat="1" applyFont="1" applyFill="1" applyBorder="1" applyAlignment="1">
      <alignment horizontal="center"/>
    </xf>
    <xf numFmtId="0" fontId="8" fillId="2" borderId="31" xfId="0" applyFont="1" applyFill="1" applyBorder="1" applyAlignment="1">
      <alignment horizontal="center"/>
    </xf>
    <xf numFmtId="0" fontId="10" fillId="2" borderId="47" xfId="0" applyFont="1" applyFill="1" applyBorder="1" applyAlignment="1">
      <alignment horizontal="center"/>
    </xf>
    <xf numFmtId="0" fontId="25" fillId="2" borderId="30" xfId="0" applyFont="1" applyFill="1" applyBorder="1" applyAlignment="1">
      <alignment horizontal="center"/>
    </xf>
    <xf numFmtId="0" fontId="0" fillId="9" borderId="0" xfId="0" applyFill="1"/>
    <xf numFmtId="0" fontId="0" fillId="10" borderId="0" xfId="0" applyFill="1"/>
    <xf numFmtId="174" fontId="10" fillId="10" borderId="79" xfId="14" applyNumberFormat="1" applyFont="1" applyFill="1" applyBorder="1" applyAlignment="1">
      <alignment horizontal="center" vertical="center"/>
    </xf>
    <xf numFmtId="174" fontId="10" fillId="10" borderId="17" xfId="14" applyNumberFormat="1" applyFont="1" applyFill="1" applyBorder="1" applyAlignment="1">
      <alignment horizontal="center" vertical="center"/>
    </xf>
    <xf numFmtId="174" fontId="10" fillId="10" borderId="15" xfId="14" applyNumberFormat="1" applyFont="1" applyFill="1" applyBorder="1" applyAlignment="1">
      <alignment horizontal="center" vertical="center"/>
    </xf>
    <xf numFmtId="174" fontId="10" fillId="10" borderId="18" xfId="14" applyNumberFormat="1" applyFont="1" applyFill="1" applyBorder="1" applyAlignment="1">
      <alignment horizontal="center" vertical="center"/>
    </xf>
    <xf numFmtId="1" fontId="10" fillId="11" borderId="80" xfId="14" applyNumberFormat="1" applyFont="1" applyFill="1" applyBorder="1" applyAlignment="1">
      <alignment horizontal="center" vertical="center"/>
    </xf>
    <xf numFmtId="1" fontId="10" fillId="11" borderId="32" xfId="14" applyNumberFormat="1" applyFont="1" applyFill="1" applyBorder="1" applyAlignment="1">
      <alignment horizontal="center" vertical="center"/>
    </xf>
    <xf numFmtId="1" fontId="10" fillId="11" borderId="63" xfId="14" applyNumberFormat="1" applyFont="1" applyFill="1" applyBorder="1" applyAlignment="1">
      <alignment horizontal="center" vertical="center"/>
    </xf>
    <xf numFmtId="1" fontId="10" fillId="11" borderId="41" xfId="14" applyNumberFormat="1" applyFont="1" applyFill="1" applyBorder="1" applyAlignment="1">
      <alignment horizontal="center" vertical="center"/>
    </xf>
    <xf numFmtId="1" fontId="10" fillId="11" borderId="50" xfId="14" applyNumberFormat="1" applyFont="1" applyFill="1" applyBorder="1" applyAlignment="1">
      <alignment horizontal="center" vertical="center"/>
    </xf>
    <xf numFmtId="0" fontId="10" fillId="11" borderId="0" xfId="14" applyFont="1" applyFill="1" applyBorder="1" applyAlignment="1">
      <alignment horizontal="center" vertical="center"/>
    </xf>
    <xf numFmtId="0" fontId="10" fillId="11" borderId="26" xfId="14" applyFont="1" applyFill="1" applyBorder="1" applyAlignment="1">
      <alignment horizontal="center" vertical="center"/>
    </xf>
    <xf numFmtId="0" fontId="0" fillId="11" borderId="0" xfId="0" applyFill="1"/>
    <xf numFmtId="0" fontId="0" fillId="9" borderId="81" xfId="0" applyFill="1" applyBorder="1"/>
    <xf numFmtId="0" fontId="0" fillId="8" borderId="0" xfId="0" applyFill="1"/>
    <xf numFmtId="0" fontId="8" fillId="2" borderId="23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46" fillId="2" borderId="4" xfId="0" applyFont="1" applyFill="1" applyBorder="1"/>
    <xf numFmtId="0" fontId="46" fillId="2" borderId="0" xfId="0" applyFont="1" applyFill="1" applyBorder="1" applyAlignment="1">
      <alignment vertical="center"/>
    </xf>
    <xf numFmtId="0" fontId="46" fillId="2" borderId="0" xfId="0" applyFont="1" applyFill="1" applyBorder="1"/>
    <xf numFmtId="0" fontId="46" fillId="2" borderId="16" xfId="0" applyFont="1" applyFill="1" applyBorder="1" applyAlignment="1">
      <alignment horizontal="center"/>
    </xf>
    <xf numFmtId="0" fontId="8" fillId="2" borderId="82" xfId="0" applyFont="1" applyFill="1" applyBorder="1" applyAlignment="1">
      <alignment horizontal="center"/>
    </xf>
    <xf numFmtId="0" fontId="8" fillId="2" borderId="78" xfId="0" applyFont="1" applyFill="1" applyBorder="1" applyAlignment="1">
      <alignment horizontal="left"/>
    </xf>
    <xf numFmtId="0" fontId="8" fillId="2" borderId="21" xfId="0" applyFont="1" applyFill="1" applyBorder="1" applyAlignment="1"/>
    <xf numFmtId="0" fontId="8" fillId="2" borderId="82" xfId="0" applyFont="1" applyFill="1" applyBorder="1"/>
    <xf numFmtId="0" fontId="8" fillId="2" borderId="33" xfId="0" applyFont="1" applyFill="1" applyBorder="1" applyAlignment="1">
      <alignment horizontal="center"/>
    </xf>
    <xf numFmtId="0" fontId="30" fillId="2" borderId="33" xfId="0" applyFont="1" applyFill="1" applyBorder="1" applyAlignment="1">
      <alignment horizontal="center"/>
    </xf>
    <xf numFmtId="0" fontId="8" fillId="2" borderId="82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1" fontId="3" fillId="2" borderId="31" xfId="9" applyNumberFormat="1" applyFont="1" applyFill="1" applyBorder="1" applyAlignment="1">
      <alignment horizontal="center"/>
    </xf>
    <xf numFmtId="0" fontId="8" fillId="2" borderId="51" xfId="0" applyFont="1" applyFill="1" applyBorder="1" applyAlignment="1">
      <alignment horizontal="center"/>
    </xf>
    <xf numFmtId="0" fontId="8" fillId="2" borderId="25" xfId="0" applyFont="1" applyFill="1" applyBorder="1" applyAlignment="1">
      <alignment horizontal="left"/>
    </xf>
    <xf numFmtId="0" fontId="8" fillId="2" borderId="78" xfId="0" applyFont="1" applyFill="1" applyBorder="1"/>
    <xf numFmtId="0" fontId="30" fillId="2" borderId="31" xfId="0" applyFont="1" applyFill="1" applyBorder="1"/>
    <xf numFmtId="0" fontId="30" fillId="2" borderId="33" xfId="0" applyFont="1" applyFill="1" applyBorder="1"/>
    <xf numFmtId="0" fontId="30" fillId="2" borderId="53" xfId="0" applyFont="1" applyFill="1" applyBorder="1"/>
    <xf numFmtId="0" fontId="8" fillId="2" borderId="44" xfId="0" applyFont="1" applyFill="1" applyBorder="1"/>
    <xf numFmtId="0" fontId="8" fillId="2" borderId="83" xfId="0" applyFont="1" applyFill="1" applyBorder="1"/>
    <xf numFmtId="0" fontId="8" fillId="2" borderId="76" xfId="0" applyFont="1" applyFill="1" applyBorder="1"/>
    <xf numFmtId="0" fontId="8" fillId="2" borderId="39" xfId="0" applyFont="1" applyFill="1" applyBorder="1"/>
    <xf numFmtId="0" fontId="8" fillId="2" borderId="78" xfId="0" applyFont="1" applyFill="1" applyBorder="1" applyAlignment="1">
      <alignment vertical="center"/>
    </xf>
    <xf numFmtId="0" fontId="8" fillId="2" borderId="38" xfId="0" applyFont="1" applyFill="1" applyBorder="1" applyAlignment="1">
      <alignment horizontal="center"/>
    </xf>
    <xf numFmtId="0" fontId="8" fillId="2" borderId="78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left"/>
    </xf>
    <xf numFmtId="0" fontId="8" fillId="2" borderId="53" xfId="0" applyFont="1" applyFill="1" applyBorder="1" applyAlignment="1">
      <alignment horizontal="left"/>
    </xf>
    <xf numFmtId="0" fontId="8" fillId="2" borderId="36" xfId="0" applyFont="1" applyFill="1" applyBorder="1" applyAlignment="1">
      <alignment horizontal="center"/>
    </xf>
    <xf numFmtId="0" fontId="8" fillId="2" borderId="62" xfId="0" applyFont="1" applyFill="1" applyBorder="1" applyAlignment="1">
      <alignment horizontal="center"/>
    </xf>
    <xf numFmtId="0" fontId="25" fillId="2" borderId="82" xfId="0" applyFont="1" applyFill="1" applyBorder="1" applyAlignment="1">
      <alignment horizontal="center"/>
    </xf>
    <xf numFmtId="0" fontId="25" fillId="2" borderId="24" xfId="0" applyFont="1" applyFill="1" applyBorder="1" applyAlignment="1">
      <alignment horizontal="center"/>
    </xf>
    <xf numFmtId="0" fontId="6" fillId="0" borderId="4" xfId="0" applyFont="1" applyFill="1" applyBorder="1"/>
    <xf numFmtId="0" fontId="0" fillId="0" borderId="3" xfId="0" applyFont="1" applyFill="1" applyBorder="1"/>
    <xf numFmtId="0" fontId="0" fillId="0" borderId="4" xfId="0" applyFill="1" applyBorder="1" applyAlignment="1">
      <alignment horizontal="center"/>
    </xf>
    <xf numFmtId="0" fontId="0" fillId="5" borderId="0" xfId="0" applyFill="1"/>
    <xf numFmtId="0" fontId="10" fillId="5" borderId="9" xfId="0" applyNumberFormat="1" applyFont="1" applyFill="1" applyBorder="1" applyAlignment="1">
      <alignment horizontal="center"/>
    </xf>
    <xf numFmtId="0" fontId="10" fillId="5" borderId="15" xfId="0" applyNumberFormat="1" applyFont="1" applyFill="1" applyBorder="1" applyAlignment="1">
      <alignment horizontal="center"/>
    </xf>
    <xf numFmtId="0" fontId="10" fillId="5" borderId="16" xfId="0" applyNumberFormat="1" applyFont="1" applyFill="1" applyBorder="1" applyAlignment="1">
      <alignment horizontal="center"/>
    </xf>
    <xf numFmtId="0" fontId="10" fillId="5" borderId="32" xfId="0" applyNumberFormat="1" applyFont="1" applyFill="1" applyBorder="1" applyAlignment="1">
      <alignment horizontal="center"/>
    </xf>
    <xf numFmtId="0" fontId="10" fillId="5" borderId="11" xfId="0" applyNumberFormat="1" applyFont="1" applyFill="1" applyBorder="1" applyAlignment="1">
      <alignment horizontal="center"/>
    </xf>
    <xf numFmtId="0" fontId="10" fillId="5" borderId="50" xfId="0" applyNumberFormat="1" applyFont="1" applyFill="1" applyBorder="1" applyAlignment="1">
      <alignment horizontal="center"/>
    </xf>
    <xf numFmtId="0" fontId="10" fillId="5" borderId="54" xfId="0" applyNumberFormat="1" applyFont="1" applyFill="1" applyBorder="1" applyAlignment="1">
      <alignment horizontal="center"/>
    </xf>
    <xf numFmtId="0" fontId="10" fillId="5" borderId="44" xfId="0" applyNumberFormat="1" applyFont="1" applyFill="1" applyBorder="1" applyAlignment="1">
      <alignment horizontal="center"/>
    </xf>
    <xf numFmtId="0" fontId="10" fillId="5" borderId="62" xfId="0" applyNumberFormat="1" applyFont="1" applyFill="1" applyBorder="1" applyAlignment="1">
      <alignment horizontal="center"/>
    </xf>
    <xf numFmtId="0" fontId="25" fillId="5" borderId="9" xfId="0" applyFont="1" applyFill="1" applyBorder="1"/>
    <xf numFmtId="176" fontId="10" fillId="5" borderId="9" xfId="0" applyNumberFormat="1" applyFont="1" applyFill="1" applyBorder="1" applyAlignment="1">
      <alignment horizontal="center"/>
    </xf>
    <xf numFmtId="176" fontId="10" fillId="5" borderId="15" xfId="0" applyNumberFormat="1" applyFont="1" applyFill="1" applyBorder="1" applyAlignment="1">
      <alignment horizontal="center"/>
    </xf>
    <xf numFmtId="176" fontId="10" fillId="5" borderId="50" xfId="0" applyNumberFormat="1" applyFont="1" applyFill="1" applyBorder="1" applyAlignment="1">
      <alignment horizontal="center"/>
    </xf>
    <xf numFmtId="0" fontId="25" fillId="5" borderId="0" xfId="0" applyFont="1" applyFill="1" applyBorder="1"/>
    <xf numFmtId="176" fontId="10" fillId="5" borderId="11" xfId="0" applyNumberFormat="1" applyFont="1" applyFill="1" applyBorder="1" applyAlignment="1">
      <alignment horizontal="center"/>
    </xf>
    <xf numFmtId="176" fontId="10" fillId="5" borderId="16" xfId="0" applyNumberFormat="1" applyFont="1" applyFill="1" applyBorder="1" applyAlignment="1">
      <alignment horizontal="center"/>
    </xf>
    <xf numFmtId="176" fontId="10" fillId="5" borderId="32" xfId="0" applyNumberFormat="1" applyFont="1" applyFill="1" applyBorder="1" applyAlignment="1">
      <alignment horizontal="center"/>
    </xf>
    <xf numFmtId="176" fontId="10" fillId="5" borderId="0" xfId="0" applyNumberFormat="1" applyFont="1" applyFill="1" applyBorder="1" applyAlignment="1">
      <alignment horizontal="center"/>
    </xf>
    <xf numFmtId="176" fontId="25" fillId="5" borderId="11" xfId="0" applyNumberFormat="1" applyFont="1" applyFill="1" applyBorder="1" applyAlignment="1">
      <alignment horizontal="center"/>
    </xf>
    <xf numFmtId="176" fontId="10" fillId="5" borderId="44" xfId="0" applyNumberFormat="1" applyFont="1" applyFill="1" applyBorder="1" applyAlignment="1">
      <alignment horizontal="center"/>
    </xf>
    <xf numFmtId="176" fontId="10" fillId="5" borderId="62" xfId="0" applyNumberFormat="1" applyFont="1" applyFill="1" applyBorder="1" applyAlignment="1">
      <alignment horizontal="center"/>
    </xf>
    <xf numFmtId="0" fontId="10" fillId="5" borderId="16" xfId="0" applyFont="1" applyFill="1" applyBorder="1" applyAlignment="1">
      <alignment horizontal="center"/>
    </xf>
    <xf numFmtId="0" fontId="8" fillId="5" borderId="32" xfId="0" applyFont="1" applyFill="1" applyBorder="1" applyAlignment="1">
      <alignment horizontal="center"/>
    </xf>
    <xf numFmtId="0" fontId="10" fillId="5" borderId="44" xfId="0" applyFont="1" applyFill="1" applyBorder="1" applyAlignment="1">
      <alignment horizontal="center"/>
    </xf>
    <xf numFmtId="11" fontId="10" fillId="5" borderId="19" xfId="10" applyNumberFormat="1" applyFont="1" applyFill="1" applyBorder="1" applyAlignment="1" applyProtection="1">
      <alignment horizontal="center"/>
    </xf>
    <xf numFmtId="0" fontId="10" fillId="5" borderId="18" xfId="0" applyNumberFormat="1" applyFont="1" applyFill="1" applyBorder="1" applyAlignment="1">
      <alignment horizontal="center"/>
    </xf>
    <xf numFmtId="0" fontId="10" fillId="5" borderId="82" xfId="0" applyNumberFormat="1" applyFont="1" applyFill="1" applyBorder="1" applyAlignment="1">
      <alignment horizontal="center"/>
    </xf>
    <xf numFmtId="0" fontId="10" fillId="5" borderId="21" xfId="0" applyNumberFormat="1" applyFont="1" applyFill="1" applyBorder="1" applyAlignment="1">
      <alignment horizontal="center"/>
    </xf>
    <xf numFmtId="0" fontId="10" fillId="5" borderId="2" xfId="0" applyNumberFormat="1" applyFont="1" applyFill="1" applyBorder="1" applyAlignment="1">
      <alignment horizontal="center"/>
    </xf>
    <xf numFmtId="0" fontId="8" fillId="5" borderId="19" xfId="0" applyFont="1" applyFill="1" applyBorder="1" applyAlignment="1">
      <alignment horizontal="center"/>
    </xf>
    <xf numFmtId="0" fontId="8" fillId="5" borderId="18" xfId="0" applyFont="1" applyFill="1" applyBorder="1" applyAlignment="1">
      <alignment horizontal="center"/>
    </xf>
    <xf numFmtId="0" fontId="8" fillId="5" borderId="63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32" xfId="0" applyFont="1" applyFill="1" applyBorder="1" applyAlignment="1">
      <alignment horizontal="center" vertical="center"/>
    </xf>
    <xf numFmtId="11" fontId="8" fillId="8" borderId="60" xfId="0" applyNumberFormat="1" applyFont="1" applyFill="1" applyBorder="1" applyAlignment="1">
      <alignment horizontal="center"/>
    </xf>
    <xf numFmtId="11" fontId="8" fillId="8" borderId="11" xfId="0" applyNumberFormat="1" applyFont="1" applyFill="1" applyBorder="1" applyAlignment="1">
      <alignment horizontal="center"/>
    </xf>
    <xf numFmtId="11" fontId="8" fillId="8" borderId="11" xfId="0" applyNumberFormat="1" applyFont="1" applyFill="1" applyBorder="1"/>
    <xf numFmtId="11" fontId="8" fillId="8" borderId="54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11" fontId="8" fillId="0" borderId="17" xfId="0" applyNumberFormat="1" applyFont="1" applyFill="1" applyBorder="1" applyAlignment="1">
      <alignment horizontal="center"/>
    </xf>
    <xf numFmtId="11" fontId="8" fillId="0" borderId="16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176" fontId="10" fillId="2" borderId="18" xfId="9" applyNumberFormat="1" applyFont="1" applyFill="1" applyBorder="1" applyAlignment="1">
      <alignment horizontal="center"/>
    </xf>
    <xf numFmtId="0" fontId="8" fillId="2" borderId="29" xfId="0" applyFont="1" applyFill="1" applyBorder="1" applyAlignment="1">
      <alignment horizontal="center"/>
    </xf>
    <xf numFmtId="176" fontId="8" fillId="2" borderId="21" xfId="0" applyNumberFormat="1" applyFont="1" applyFill="1" applyBorder="1" applyAlignment="1">
      <alignment horizontal="center"/>
    </xf>
    <xf numFmtId="0" fontId="8" fillId="2" borderId="65" xfId="0" applyFont="1" applyFill="1" applyBorder="1" applyAlignment="1">
      <alignment horizontal="center"/>
    </xf>
    <xf numFmtId="176" fontId="8" fillId="2" borderId="11" xfId="0" applyNumberFormat="1" applyFont="1" applyFill="1" applyBorder="1" applyAlignment="1">
      <alignment horizontal="center"/>
    </xf>
    <xf numFmtId="176" fontId="8" fillId="2" borderId="0" xfId="0" applyNumberFormat="1" applyFont="1" applyFill="1" applyBorder="1" applyAlignment="1">
      <alignment horizontal="left"/>
    </xf>
    <xf numFmtId="1" fontId="3" fillId="2" borderId="78" xfId="9" applyNumberFormat="1" applyFont="1" applyFill="1" applyBorder="1" applyAlignment="1">
      <alignment horizontal="center"/>
    </xf>
    <xf numFmtId="0" fontId="0" fillId="0" borderId="25" xfId="0" applyFont="1" applyFill="1" applyBorder="1"/>
    <xf numFmtId="0" fontId="8" fillId="0" borderId="32" xfId="0" applyFont="1" applyFill="1" applyBorder="1" applyAlignment="1">
      <alignment horizontal="center" vertical="center"/>
    </xf>
    <xf numFmtId="174" fontId="8" fillId="2" borderId="11" xfId="0" applyNumberFormat="1" applyFont="1" applyFill="1" applyBorder="1" applyAlignment="1">
      <alignment horizontal="center"/>
    </xf>
    <xf numFmtId="0" fontId="8" fillId="2" borderId="78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1" fontId="10" fillId="2" borderId="28" xfId="9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/>
    </xf>
    <xf numFmtId="0" fontId="10" fillId="0" borderId="11" xfId="0" applyNumberFormat="1" applyFont="1" applyFill="1" applyBorder="1" applyAlignment="1">
      <alignment horizontal="center"/>
    </xf>
    <xf numFmtId="0" fontId="10" fillId="0" borderId="54" xfId="0" applyNumberFormat="1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10" fillId="0" borderId="21" xfId="0" applyNumberFormat="1" applyFont="1" applyFill="1" applyBorder="1" applyAlignment="1">
      <alignment horizontal="center"/>
    </xf>
    <xf numFmtId="0" fontId="10" fillId="0" borderId="26" xfId="0" applyNumberFormat="1" applyFont="1" applyFill="1" applyBorder="1" applyAlignment="1">
      <alignment horizontal="center"/>
    </xf>
    <xf numFmtId="0" fontId="10" fillId="0" borderId="2" xfId="0" applyNumberFormat="1" applyFont="1" applyFill="1" applyBorder="1" applyAlignment="1">
      <alignment horizontal="center"/>
    </xf>
    <xf numFmtId="49" fontId="8" fillId="0" borderId="29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center"/>
    </xf>
    <xf numFmtId="176" fontId="10" fillId="2" borderId="0" xfId="0" applyNumberFormat="1" applyFont="1" applyFill="1" applyBorder="1"/>
    <xf numFmtId="0" fontId="10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vertical="center"/>
    </xf>
    <xf numFmtId="0" fontId="25" fillId="0" borderId="10" xfId="0" applyFont="1" applyFill="1" applyBorder="1"/>
    <xf numFmtId="49" fontId="8" fillId="0" borderId="4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5" fillId="0" borderId="13" xfId="0" applyFont="1" applyFill="1" applyBorder="1"/>
    <xf numFmtId="49" fontId="8" fillId="0" borderId="25" xfId="0" applyNumberFormat="1" applyFont="1" applyFill="1" applyBorder="1" applyAlignment="1">
      <alignment horizontal="left" vertical="center"/>
    </xf>
    <xf numFmtId="0" fontId="10" fillId="0" borderId="26" xfId="0" applyFont="1" applyFill="1" applyBorder="1" applyAlignment="1">
      <alignment horizontal="left" vertical="center"/>
    </xf>
    <xf numFmtId="176" fontId="10" fillId="0" borderId="36" xfId="0" applyNumberFormat="1" applyFont="1" applyFill="1" applyBorder="1" applyAlignment="1">
      <alignment horizontal="center"/>
    </xf>
    <xf numFmtId="0" fontId="10" fillId="9" borderId="41" xfId="0" applyFont="1" applyFill="1" applyBorder="1" applyAlignment="1">
      <alignment horizontal="center"/>
    </xf>
    <xf numFmtId="176" fontId="10" fillId="5" borderId="54" xfId="0" applyNumberFormat="1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left"/>
    </xf>
    <xf numFmtId="0" fontId="10" fillId="0" borderId="9" xfId="0" applyFont="1" applyFill="1" applyBorder="1" applyAlignment="1">
      <alignment horizontal="left" vertical="center"/>
    </xf>
    <xf numFmtId="0" fontId="10" fillId="0" borderId="11" xfId="0" applyFont="1" applyFill="1" applyBorder="1" applyAlignment="1">
      <alignment horizontal="left" vertical="center"/>
    </xf>
    <xf numFmtId="0" fontId="10" fillId="0" borderId="54" xfId="0" applyFont="1" applyFill="1" applyBorder="1" applyAlignment="1">
      <alignment horizontal="left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10" fillId="0" borderId="44" xfId="0" applyFont="1" applyFill="1" applyBorder="1" applyAlignment="1">
      <alignment horizontal="center" vertical="center"/>
    </xf>
    <xf numFmtId="0" fontId="53" fillId="0" borderId="17" xfId="0" applyFont="1" applyFill="1" applyBorder="1" applyAlignment="1">
      <alignment horizontal="center" vertical="center"/>
    </xf>
    <xf numFmtId="0" fontId="53" fillId="0" borderId="16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0" fillId="0" borderId="44" xfId="0" applyNumberFormat="1" applyFont="1" applyFill="1" applyBorder="1" applyAlignment="1">
      <alignment horizontal="center"/>
    </xf>
    <xf numFmtId="0" fontId="0" fillId="0" borderId="62" xfId="0" applyFont="1" applyFill="1" applyBorder="1"/>
    <xf numFmtId="11" fontId="0" fillId="2" borderId="0" xfId="0" applyNumberFormat="1" applyFont="1" applyFill="1"/>
    <xf numFmtId="183" fontId="0" fillId="2" borderId="0" xfId="0" applyNumberFormat="1" applyFont="1" applyFill="1"/>
    <xf numFmtId="184" fontId="0" fillId="2" borderId="0" xfId="0" applyNumberFormat="1" applyFont="1" applyFill="1"/>
    <xf numFmtId="185" fontId="0" fillId="2" borderId="0" xfId="0" applyNumberFormat="1" applyFont="1" applyFill="1"/>
    <xf numFmtId="183" fontId="0" fillId="2" borderId="0" xfId="0" applyNumberFormat="1" applyFont="1" applyFill="1" applyBorder="1"/>
    <xf numFmtId="184" fontId="0" fillId="2" borderId="0" xfId="0" applyNumberFormat="1" applyFont="1" applyFill="1" applyBorder="1" applyAlignment="1">
      <alignment horizontal="center"/>
    </xf>
    <xf numFmtId="0" fontId="54" fillId="2" borderId="0" xfId="0" applyFont="1" applyFill="1"/>
    <xf numFmtId="0" fontId="23" fillId="2" borderId="0" xfId="14" applyFont="1" applyFill="1" applyBorder="1" applyAlignment="1">
      <alignment horizontal="center"/>
    </xf>
    <xf numFmtId="0" fontId="8" fillId="2" borderId="12" xfId="0" applyFont="1" applyFill="1" applyBorder="1" applyAlignment="1">
      <alignment horizontal="left"/>
    </xf>
    <xf numFmtId="174" fontId="10" fillId="10" borderId="74" xfId="0" applyNumberFormat="1" applyFont="1" applyFill="1" applyBorder="1" applyAlignment="1">
      <alignment horizontal="center"/>
    </xf>
    <xf numFmtId="174" fontId="10" fillId="10" borderId="42" xfId="14" applyNumberFormat="1" applyFont="1" applyFill="1" applyBorder="1" applyAlignment="1">
      <alignment horizontal="center" vertical="center"/>
    </xf>
    <xf numFmtId="1" fontId="10" fillId="11" borderId="49" xfId="14" applyNumberFormat="1" applyFont="1" applyFill="1" applyBorder="1" applyAlignment="1">
      <alignment horizontal="center" vertical="center"/>
    </xf>
    <xf numFmtId="0" fontId="19" fillId="2" borderId="7" xfId="0" applyFont="1" applyFill="1" applyBorder="1"/>
    <xf numFmtId="0" fontId="26" fillId="2" borderId="8" xfId="0" applyFont="1" applyFill="1" applyBorder="1"/>
    <xf numFmtId="0" fontId="26" fillId="2" borderId="8" xfId="0" applyFont="1" applyFill="1" applyBorder="1" applyAlignment="1">
      <alignment horizontal="center"/>
    </xf>
    <xf numFmtId="0" fontId="26" fillId="2" borderId="68" xfId="0" applyFont="1" applyFill="1" applyBorder="1" applyAlignment="1">
      <alignment horizontal="center"/>
    </xf>
    <xf numFmtId="0" fontId="26" fillId="0" borderId="26" xfId="0" applyFont="1" applyBorder="1" applyAlignment="1">
      <alignment vertical="center"/>
    </xf>
    <xf numFmtId="0" fontId="26" fillId="0" borderId="26" xfId="0" applyFont="1" applyBorder="1"/>
    <xf numFmtId="0" fontId="13" fillId="2" borderId="25" xfId="0" applyFont="1" applyFill="1" applyBorder="1" applyAlignment="1">
      <alignment horizontal="center"/>
    </xf>
    <xf numFmtId="0" fontId="26" fillId="2" borderId="62" xfId="0" applyFont="1" applyFill="1" applyBorder="1" applyAlignment="1">
      <alignment horizontal="center" vertical="center"/>
    </xf>
    <xf numFmtId="0" fontId="0" fillId="0" borderId="6" xfId="0" applyBorder="1"/>
    <xf numFmtId="0" fontId="26" fillId="0" borderId="6" xfId="0" applyFont="1" applyBorder="1" applyAlignment="1">
      <alignment horizontal="center"/>
    </xf>
    <xf numFmtId="0" fontId="26" fillId="0" borderId="0" xfId="0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/>
    </xf>
    <xf numFmtId="2" fontId="26" fillId="0" borderId="26" xfId="0" applyNumberFormat="1" applyFont="1" applyFill="1" applyBorder="1" applyAlignment="1">
      <alignment horizontal="center"/>
    </xf>
    <xf numFmtId="0" fontId="26" fillId="0" borderId="26" xfId="0" applyFont="1" applyFill="1" applyBorder="1" applyAlignment="1">
      <alignment horizontal="center"/>
    </xf>
    <xf numFmtId="0" fontId="26" fillId="2" borderId="26" xfId="0" applyFont="1" applyFill="1" applyBorder="1" applyAlignment="1">
      <alignment horizontal="center"/>
    </xf>
    <xf numFmtId="0" fontId="51" fillId="0" borderId="0" xfId="0" applyFont="1" applyFill="1" applyBorder="1"/>
    <xf numFmtId="174" fontId="26" fillId="0" borderId="0" xfId="0" applyNumberFormat="1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0" fontId="51" fillId="0" borderId="23" xfId="0" applyFont="1" applyFill="1" applyBorder="1" applyAlignment="1">
      <alignment horizontal="center"/>
    </xf>
    <xf numFmtId="0" fontId="51" fillId="0" borderId="23" xfId="0" applyFont="1" applyFill="1" applyBorder="1"/>
    <xf numFmtId="0" fontId="13" fillId="2" borderId="25" xfId="0" applyFont="1" applyFill="1" applyBorder="1" applyAlignment="1">
      <alignment horizontal="center" vertical="center"/>
    </xf>
    <xf numFmtId="2" fontId="26" fillId="8" borderId="57" xfId="0" applyNumberFormat="1" applyFont="1" applyFill="1" applyBorder="1" applyAlignment="1">
      <alignment horizontal="center" vertical="center"/>
    </xf>
    <xf numFmtId="2" fontId="26" fillId="8" borderId="31" xfId="0" applyNumberFormat="1" applyFont="1" applyFill="1" applyBorder="1" applyAlignment="1">
      <alignment horizontal="center" vertical="center"/>
    </xf>
    <xf numFmtId="2" fontId="26" fillId="8" borderId="78" xfId="0" applyNumberFormat="1" applyFont="1" applyFill="1" applyBorder="1" applyAlignment="1">
      <alignment horizontal="center" vertical="center"/>
    </xf>
    <xf numFmtId="0" fontId="26" fillId="0" borderId="0" xfId="0" applyFont="1" applyBorder="1" applyAlignment="1"/>
    <xf numFmtId="0" fontId="26" fillId="2" borderId="2" xfId="0" applyFont="1" applyFill="1" applyBorder="1" applyAlignment="1">
      <alignment horizontal="center"/>
    </xf>
    <xf numFmtId="0" fontId="49" fillId="8" borderId="80" xfId="0" applyFont="1" applyFill="1" applyBorder="1" applyAlignment="1"/>
    <xf numFmtId="0" fontId="26" fillId="0" borderId="18" xfId="0" applyFont="1" applyFill="1" applyBorder="1" applyAlignment="1"/>
    <xf numFmtId="0" fontId="26" fillId="8" borderId="63" xfId="0" applyFont="1" applyFill="1" applyBorder="1" applyAlignment="1">
      <alignment horizontal="center" wrapText="1"/>
    </xf>
    <xf numFmtId="2" fontId="26" fillId="10" borderId="23" xfId="0" applyNumberFormat="1" applyFont="1" applyFill="1" applyBorder="1" applyAlignment="1">
      <alignment horizontal="center" vertical="center"/>
    </xf>
    <xf numFmtId="2" fontId="26" fillId="10" borderId="50" xfId="0" applyNumberFormat="1" applyFont="1" applyFill="1" applyBorder="1" applyAlignment="1">
      <alignment horizontal="center" vertical="center"/>
    </xf>
    <xf numFmtId="2" fontId="26" fillId="10" borderId="31" xfId="0" applyNumberFormat="1" applyFont="1" applyFill="1" applyBorder="1" applyAlignment="1">
      <alignment horizontal="center" vertical="center"/>
    </xf>
    <xf numFmtId="0" fontId="26" fillId="10" borderId="32" xfId="0" applyFont="1" applyFill="1" applyBorder="1" applyAlignment="1">
      <alignment horizontal="center" vertical="center"/>
    </xf>
    <xf numFmtId="2" fontId="26" fillId="10" borderId="3" xfId="0" applyNumberFormat="1" applyFont="1" applyFill="1" applyBorder="1" applyAlignment="1">
      <alignment horizontal="center" vertical="center"/>
    </xf>
    <xf numFmtId="0" fontId="51" fillId="2" borderId="23" xfId="0" applyFont="1" applyFill="1" applyBorder="1" applyAlignment="1">
      <alignment horizontal="center"/>
    </xf>
    <xf numFmtId="0" fontId="26" fillId="0" borderId="15" xfId="0" applyFont="1" applyFill="1" applyBorder="1" applyAlignment="1">
      <alignment horizontal="left" vertical="center"/>
    </xf>
    <xf numFmtId="0" fontId="26" fillId="0" borderId="15" xfId="0" applyFont="1" applyFill="1" applyBorder="1" applyAlignment="1">
      <alignment horizontal="left"/>
    </xf>
    <xf numFmtId="0" fontId="26" fillId="2" borderId="2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87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horizontal="center" vertical="center"/>
    </xf>
    <xf numFmtId="0" fontId="8" fillId="0" borderId="83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2" fontId="26" fillId="7" borderId="49" xfId="0" applyNumberFormat="1" applyFont="1" applyFill="1" applyBorder="1" applyAlignment="1">
      <alignment horizontal="center"/>
    </xf>
    <xf numFmtId="2" fontId="26" fillId="7" borderId="31" xfId="0" applyNumberFormat="1" applyFont="1" applyFill="1" applyBorder="1" applyAlignment="1">
      <alignment horizontal="center"/>
    </xf>
    <xf numFmtId="0" fontId="26" fillId="7" borderId="32" xfId="0" applyFont="1" applyFill="1" applyBorder="1" applyAlignment="1">
      <alignment horizontal="center"/>
    </xf>
    <xf numFmtId="2" fontId="26" fillId="7" borderId="50" xfId="0" applyNumberFormat="1" applyFont="1" applyFill="1" applyBorder="1" applyAlignment="1">
      <alignment horizontal="center"/>
    </xf>
    <xf numFmtId="2" fontId="26" fillId="7" borderId="53" xfId="0" applyNumberFormat="1" applyFont="1" applyFill="1" applyBorder="1" applyAlignment="1">
      <alignment horizontal="center"/>
    </xf>
    <xf numFmtId="0" fontId="26" fillId="7" borderId="62" xfId="0" applyFont="1" applyFill="1" applyBorder="1" applyAlignment="1">
      <alignment horizontal="center"/>
    </xf>
    <xf numFmtId="0" fontId="11" fillId="7" borderId="0" xfId="0" applyFont="1" applyFill="1"/>
    <xf numFmtId="0" fontId="8" fillId="7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8" fillId="7" borderId="32" xfId="0" applyFont="1" applyFill="1" applyBorder="1" applyAlignment="1">
      <alignment horizontal="center"/>
    </xf>
    <xf numFmtId="11" fontId="8" fillId="7" borderId="60" xfId="0" applyNumberFormat="1" applyFont="1" applyFill="1" applyBorder="1" applyAlignment="1">
      <alignment horizontal="center"/>
    </xf>
    <xf numFmtId="2" fontId="8" fillId="7" borderId="49" xfId="0" applyNumberFormat="1" applyFont="1" applyFill="1" applyBorder="1" applyAlignment="1">
      <alignment horizontal="center"/>
    </xf>
    <xf numFmtId="11" fontId="8" fillId="7" borderId="16" xfId="0" applyNumberFormat="1" applyFont="1" applyFill="1" applyBorder="1"/>
    <xf numFmtId="0" fontId="8" fillId="7" borderId="32" xfId="0" applyFont="1" applyFill="1" applyBorder="1"/>
    <xf numFmtId="11" fontId="0" fillId="7" borderId="16" xfId="0" applyNumberFormat="1" applyFont="1" applyFill="1" applyBorder="1"/>
    <xf numFmtId="0" fontId="0" fillId="7" borderId="32" xfId="0" applyFont="1" applyFill="1" applyBorder="1"/>
    <xf numFmtId="11" fontId="0" fillId="7" borderId="44" xfId="0" applyNumberFormat="1" applyFont="1" applyFill="1" applyBorder="1"/>
    <xf numFmtId="0" fontId="0" fillId="7" borderId="62" xfId="0" applyFont="1" applyFill="1" applyBorder="1"/>
    <xf numFmtId="0" fontId="11" fillId="10" borderId="0" xfId="0" applyFont="1" applyFill="1"/>
    <xf numFmtId="0" fontId="10" fillId="0" borderId="0" xfId="0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11" fontId="8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0" fontId="0" fillId="10" borderId="0" xfId="0" applyFont="1" applyFill="1" applyBorder="1"/>
    <xf numFmtId="0" fontId="55" fillId="10" borderId="0" xfId="0" applyFont="1" applyFill="1"/>
    <xf numFmtId="0" fontId="11" fillId="10" borderId="0" xfId="14" applyFont="1" applyFill="1" applyBorder="1" applyAlignment="1">
      <alignment vertical="center"/>
    </xf>
    <xf numFmtId="0" fontId="55" fillId="7" borderId="5" xfId="0" applyFont="1" applyFill="1" applyBorder="1"/>
    <xf numFmtId="0" fontId="55" fillId="8" borderId="0" xfId="0" applyFont="1" applyFill="1"/>
    <xf numFmtId="0" fontId="55" fillId="0" borderId="0" xfId="0" applyFont="1" applyFill="1"/>
    <xf numFmtId="174" fontId="8" fillId="0" borderId="0" xfId="0" applyNumberFormat="1" applyFont="1" applyFill="1" applyBorder="1" applyAlignment="1">
      <alignment horizontal="center"/>
    </xf>
    <xf numFmtId="176" fontId="8" fillId="0" borderId="0" xfId="0" applyNumberFormat="1" applyFont="1" applyFill="1" applyBorder="1"/>
    <xf numFmtId="176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left"/>
    </xf>
    <xf numFmtId="0" fontId="8" fillId="0" borderId="0" xfId="0" applyFont="1" applyFill="1" applyAlignment="1">
      <alignment horizontal="left" vertical="top" wrapText="1"/>
    </xf>
    <xf numFmtId="0" fontId="8" fillId="0" borderId="19" xfId="0" applyFont="1" applyFill="1" applyBorder="1" applyAlignment="1">
      <alignment vertical="center"/>
    </xf>
    <xf numFmtId="0" fontId="8" fillId="0" borderId="6" xfId="0" applyFont="1" applyFill="1" applyBorder="1"/>
    <xf numFmtId="174" fontId="8" fillId="0" borderId="0" xfId="0" applyNumberFormat="1" applyFont="1" applyFill="1" applyBorder="1" applyAlignment="1">
      <alignment horizontal="left"/>
    </xf>
    <xf numFmtId="0" fontId="13" fillId="0" borderId="0" xfId="0" applyFont="1" applyFill="1" applyAlignment="1">
      <alignment horizontal="center"/>
    </xf>
    <xf numFmtId="0" fontId="30" fillId="0" borderId="0" xfId="0" applyFont="1" applyFill="1" applyBorder="1" applyAlignment="1">
      <alignment horizontal="left"/>
    </xf>
    <xf numFmtId="0" fontId="55" fillId="10" borderId="0" xfId="0" applyFont="1" applyFill="1" applyBorder="1" applyAlignment="1">
      <alignment horizontal="left"/>
    </xf>
    <xf numFmtId="0" fontId="55" fillId="10" borderId="0" xfId="0" applyFont="1" applyFill="1" applyBorder="1"/>
    <xf numFmtId="0" fontId="13" fillId="0" borderId="0" xfId="14" applyFont="1" applyFill="1" applyBorder="1" applyAlignment="1">
      <alignment vertical="center"/>
    </xf>
    <xf numFmtId="0" fontId="57" fillId="0" borderId="11" xfId="0" applyFont="1" applyFill="1" applyBorder="1" applyAlignment="1">
      <alignment horizontal="center"/>
    </xf>
    <xf numFmtId="0" fontId="57" fillId="0" borderId="0" xfId="0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56" fillId="0" borderId="5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2" fontId="55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1" fontId="10" fillId="11" borderId="38" xfId="14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/>
    </xf>
    <xf numFmtId="2" fontId="26" fillId="10" borderId="27" xfId="0" applyNumberFormat="1" applyFont="1" applyFill="1" applyBorder="1" applyAlignment="1">
      <alignment horizontal="center" vertical="center"/>
    </xf>
    <xf numFmtId="2" fontId="26" fillId="10" borderId="4" xfId="0" applyNumberFormat="1" applyFont="1" applyFill="1" applyBorder="1" applyAlignment="1">
      <alignment horizontal="center" vertical="center"/>
    </xf>
    <xf numFmtId="174" fontId="10" fillId="0" borderId="0" xfId="0" applyNumberFormat="1" applyFont="1" applyFill="1" applyBorder="1" applyAlignment="1">
      <alignment horizontal="center"/>
    </xf>
    <xf numFmtId="2" fontId="26" fillId="0" borderId="0" xfId="0" applyNumberFormat="1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horizontal="center"/>
    </xf>
    <xf numFmtId="0" fontId="51" fillId="0" borderId="68" xfId="0" applyFont="1" applyFill="1" applyBorder="1" applyAlignment="1">
      <alignment horizontal="center"/>
    </xf>
    <xf numFmtId="0" fontId="0" fillId="0" borderId="4" xfId="0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2" borderId="78" xfId="0" applyFont="1" applyFill="1" applyBorder="1" applyAlignment="1">
      <alignment horizontal="center" vertical="center"/>
    </xf>
    <xf numFmtId="0" fontId="51" fillId="0" borderId="26" xfId="0" applyFont="1" applyFill="1" applyBorder="1" applyAlignment="1">
      <alignment horizontal="center"/>
    </xf>
    <xf numFmtId="0" fontId="8" fillId="10" borderId="54" xfId="0" applyFont="1" applyFill="1" applyBorder="1" applyAlignment="1">
      <alignment horizontal="center"/>
    </xf>
    <xf numFmtId="2" fontId="8" fillId="10" borderId="23" xfId="0" applyNumberFormat="1" applyFont="1" applyFill="1" applyBorder="1" applyAlignment="1">
      <alignment horizontal="center"/>
    </xf>
    <xf numFmtId="2" fontId="8" fillId="10" borderId="0" xfId="0" applyNumberFormat="1" applyFont="1" applyFill="1" applyBorder="1" applyAlignment="1">
      <alignment horizontal="center"/>
    </xf>
    <xf numFmtId="2" fontId="8" fillId="10" borderId="0" xfId="0" applyNumberFormat="1" applyFont="1" applyFill="1" applyBorder="1"/>
    <xf numFmtId="2" fontId="8" fillId="10" borderId="26" xfId="0" applyNumberFormat="1" applyFont="1" applyFill="1" applyBorder="1"/>
    <xf numFmtId="2" fontId="26" fillId="10" borderId="29" xfId="0" applyNumberFormat="1" applyFont="1" applyFill="1" applyBorder="1" applyAlignment="1">
      <alignment horizontal="center" vertical="center"/>
    </xf>
    <xf numFmtId="0" fontId="51" fillId="0" borderId="21" xfId="0" applyFont="1" applyFill="1" applyBorder="1" applyAlignment="1">
      <alignment horizontal="center"/>
    </xf>
    <xf numFmtId="0" fontId="26" fillId="0" borderId="4" xfId="0" applyFont="1" applyBorder="1" applyAlignment="1">
      <alignment vertical="center"/>
    </xf>
    <xf numFmtId="0" fontId="26" fillId="0" borderId="76" xfId="0" applyFont="1" applyFill="1" applyBorder="1" applyAlignment="1">
      <alignment horizontal="left"/>
    </xf>
    <xf numFmtId="2" fontId="26" fillId="10" borderId="49" xfId="0" applyNumberFormat="1" applyFont="1" applyFill="1" applyBorder="1" applyAlignment="1">
      <alignment horizontal="center" vertical="center"/>
    </xf>
    <xf numFmtId="0" fontId="26" fillId="10" borderId="38" xfId="0" applyFont="1" applyFill="1" applyBorder="1" applyAlignment="1">
      <alignment horizontal="center" vertical="center"/>
    </xf>
    <xf numFmtId="2" fontId="26" fillId="10" borderId="32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1" fillId="2" borderId="68" xfId="0" applyFont="1" applyFill="1" applyBorder="1" applyAlignment="1">
      <alignment horizontal="center"/>
    </xf>
    <xf numFmtId="0" fontId="26" fillId="2" borderId="78" xfId="0" applyFont="1" applyFill="1" applyBorder="1" applyAlignment="1">
      <alignment horizontal="center"/>
    </xf>
    <xf numFmtId="0" fontId="51" fillId="0" borderId="27" xfId="0" applyFont="1" applyFill="1" applyBorder="1"/>
    <xf numFmtId="0" fontId="26" fillId="0" borderId="4" xfId="0" applyFont="1" applyBorder="1" applyAlignment="1">
      <alignment horizontal="center"/>
    </xf>
    <xf numFmtId="0" fontId="26" fillId="0" borderId="28" xfId="0" applyFont="1" applyFill="1" applyBorder="1" applyAlignment="1">
      <alignment horizontal="center"/>
    </xf>
    <xf numFmtId="0" fontId="26" fillId="0" borderId="28" xfId="0" applyFont="1" applyFill="1" applyBorder="1" applyAlignment="1"/>
    <xf numFmtId="0" fontId="51" fillId="0" borderId="46" xfId="0" applyFont="1" applyFill="1" applyBorder="1"/>
    <xf numFmtId="175" fontId="8" fillId="10" borderId="64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10" fillId="9" borderId="40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/>
    </xf>
    <xf numFmtId="0" fontId="26" fillId="2" borderId="54" xfId="0" applyFont="1" applyFill="1" applyBorder="1" applyAlignment="1">
      <alignment horizontal="center" vertical="center"/>
    </xf>
    <xf numFmtId="2" fontId="26" fillId="8" borderId="60" xfId="0" applyNumberFormat="1" applyFont="1" applyFill="1" applyBorder="1" applyAlignment="1">
      <alignment horizontal="center" vertical="center"/>
    </xf>
    <xf numFmtId="0" fontId="26" fillId="8" borderId="11" xfId="0" applyFont="1" applyFill="1" applyBorder="1" applyAlignment="1">
      <alignment horizontal="center" vertical="center"/>
    </xf>
    <xf numFmtId="2" fontId="26" fillId="8" borderId="9" xfId="0" applyNumberFormat="1" applyFont="1" applyFill="1" applyBorder="1" applyAlignment="1">
      <alignment horizontal="center" vertical="center"/>
    </xf>
    <xf numFmtId="0" fontId="51" fillId="0" borderId="24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center" vertical="center"/>
    </xf>
    <xf numFmtId="2" fontId="26" fillId="0" borderId="4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176" fontId="8" fillId="8" borderId="64" xfId="0" applyNumberFormat="1" applyFont="1" applyFill="1" applyBorder="1" applyAlignment="1">
      <alignment horizontal="center"/>
    </xf>
    <xf numFmtId="0" fontId="26" fillId="2" borderId="31" xfId="0" applyFont="1" applyFill="1" applyBorder="1" applyAlignment="1"/>
    <xf numFmtId="0" fontId="51" fillId="0" borderId="4" xfId="0" applyFont="1" applyFill="1" applyBorder="1"/>
    <xf numFmtId="0" fontId="0" fillId="0" borderId="0" xfId="0" applyAlignment="1">
      <alignment vertical="center"/>
    </xf>
    <xf numFmtId="0" fontId="8" fillId="0" borderId="0" xfId="0" applyFont="1"/>
    <xf numFmtId="0" fontId="10" fillId="2" borderId="60" xfId="14" applyFont="1" applyFill="1" applyBorder="1" applyAlignment="1">
      <alignment horizontal="left" vertical="center" wrapText="1"/>
    </xf>
    <xf numFmtId="0" fontId="10" fillId="9" borderId="42" xfId="0" applyFont="1" applyFill="1" applyBorder="1" applyAlignment="1" applyProtection="1">
      <alignment horizontal="center"/>
      <protection locked="0"/>
    </xf>
    <xf numFmtId="0" fontId="10" fillId="9" borderId="6" xfId="0" applyFont="1" applyFill="1" applyBorder="1" applyAlignment="1" applyProtection="1">
      <alignment horizontal="center"/>
      <protection locked="0"/>
    </xf>
    <xf numFmtId="0" fontId="10" fillId="9" borderId="30" xfId="0" applyFont="1" applyFill="1" applyBorder="1" applyAlignment="1" applyProtection="1">
      <alignment horizontal="center"/>
      <protection locked="0"/>
    </xf>
    <xf numFmtId="0" fontId="10" fillId="9" borderId="19" xfId="0" applyFont="1" applyFill="1" applyBorder="1" applyAlignment="1" applyProtection="1">
      <alignment horizontal="center"/>
      <protection locked="0"/>
    </xf>
    <xf numFmtId="0" fontId="10" fillId="9" borderId="40" xfId="0" applyFont="1" applyFill="1" applyBorder="1" applyAlignment="1" applyProtection="1">
      <alignment horizontal="center"/>
      <protection locked="0"/>
    </xf>
    <xf numFmtId="2" fontId="8" fillId="5" borderId="57" xfId="0" applyNumberFormat="1" applyFont="1" applyFill="1" applyBorder="1" applyAlignment="1">
      <alignment horizontal="center"/>
    </xf>
    <xf numFmtId="2" fontId="8" fillId="5" borderId="22" xfId="0" applyNumberFormat="1" applyFont="1" applyFill="1" applyBorder="1" applyAlignment="1">
      <alignment horizontal="center"/>
    </xf>
    <xf numFmtId="2" fontId="8" fillId="5" borderId="56" xfId="0" applyNumberFormat="1" applyFont="1" applyFill="1" applyBorder="1" applyAlignment="1">
      <alignment horizontal="center"/>
    </xf>
    <xf numFmtId="0" fontId="10" fillId="9" borderId="79" xfId="14" applyNumberFormat="1" applyFont="1" applyFill="1" applyBorder="1" applyAlignment="1" applyProtection="1">
      <alignment horizontal="center" vertical="center"/>
      <protection locked="0"/>
    </xf>
    <xf numFmtId="0" fontId="10" fillId="9" borderId="17" xfId="14" applyNumberFormat="1" applyFont="1" applyFill="1" applyBorder="1" applyAlignment="1" applyProtection="1">
      <alignment horizontal="center" vertical="center"/>
      <protection locked="0"/>
    </xf>
    <xf numFmtId="0" fontId="10" fillId="9" borderId="15" xfId="14" applyNumberFormat="1" applyFont="1" applyFill="1" applyBorder="1" applyAlignment="1" applyProtection="1">
      <alignment horizontal="center" vertical="center"/>
      <protection locked="0"/>
    </xf>
    <xf numFmtId="0" fontId="10" fillId="9" borderId="43" xfId="14" applyNumberFormat="1" applyFont="1" applyFill="1" applyBorder="1" applyAlignment="1" applyProtection="1">
      <alignment horizontal="center" vertical="center"/>
      <protection locked="0"/>
    </xf>
    <xf numFmtId="0" fontId="35" fillId="0" borderId="43" xfId="14" applyNumberFormat="1" applyFont="1" applyFill="1" applyBorder="1" applyAlignment="1" applyProtection="1">
      <alignment horizontal="center" vertical="center"/>
      <protection locked="0"/>
    </xf>
    <xf numFmtId="0" fontId="25" fillId="0" borderId="15" xfId="14" applyNumberFormat="1" applyFont="1" applyFill="1" applyBorder="1" applyAlignment="1" applyProtection="1">
      <alignment horizontal="center" vertical="center"/>
      <protection locked="0"/>
    </xf>
    <xf numFmtId="0" fontId="35" fillId="0" borderId="18" xfId="14" applyNumberFormat="1" applyFont="1" applyFill="1" applyBorder="1" applyAlignment="1" applyProtection="1">
      <alignment horizontal="center" vertical="center"/>
      <protection locked="0"/>
    </xf>
    <xf numFmtId="0" fontId="10" fillId="9" borderId="42" xfId="14" applyNumberFormat="1" applyFont="1" applyFill="1" applyBorder="1" applyAlignment="1" applyProtection="1">
      <alignment horizontal="center" vertical="center"/>
      <protection locked="0"/>
    </xf>
    <xf numFmtId="174" fontId="10" fillId="10" borderId="43" xfId="14" applyNumberFormat="1" applyFont="1" applyFill="1" applyBorder="1" applyAlignment="1">
      <alignment horizontal="center" vertical="center"/>
    </xf>
    <xf numFmtId="0" fontId="8" fillId="9" borderId="11" xfId="0" applyFont="1" applyFill="1" applyBorder="1"/>
    <xf numFmtId="0" fontId="10" fillId="9" borderId="9" xfId="0" applyFont="1" applyFill="1" applyBorder="1" applyAlignment="1">
      <alignment horizontal="center"/>
    </xf>
    <xf numFmtId="0" fontId="23" fillId="9" borderId="11" xfId="0" applyFont="1" applyFill="1" applyBorder="1" applyAlignment="1">
      <alignment horizontal="left"/>
    </xf>
    <xf numFmtId="0" fontId="23" fillId="9" borderId="11" xfId="0" applyFont="1" applyFill="1" applyBorder="1"/>
    <xf numFmtId="0" fontId="8" fillId="5" borderId="15" xfId="0" applyFont="1" applyFill="1" applyBorder="1"/>
    <xf numFmtId="0" fontId="0" fillId="5" borderId="16" xfId="0" applyFont="1" applyFill="1" applyBorder="1"/>
    <xf numFmtId="0" fontId="8" fillId="5" borderId="9" xfId="0" applyFont="1" applyFill="1" applyBorder="1" applyAlignment="1"/>
    <xf numFmtId="0" fontId="8" fillId="5" borderId="11" xfId="0" applyFont="1" applyFill="1" applyBorder="1" applyAlignment="1">
      <alignment horizontal="left" wrapText="1"/>
    </xf>
    <xf numFmtId="0" fontId="8" fillId="5" borderId="11" xfId="0" applyFont="1" applyFill="1" applyBorder="1"/>
    <xf numFmtId="0" fontId="8" fillId="5" borderId="12" xfId="0" applyFont="1" applyFill="1" applyBorder="1"/>
    <xf numFmtId="0" fontId="8" fillId="5" borderId="16" xfId="0" applyFont="1" applyFill="1" applyBorder="1"/>
    <xf numFmtId="0" fontId="8" fillId="5" borderId="9" xfId="0" applyFont="1" applyFill="1" applyBorder="1"/>
    <xf numFmtId="0" fontId="10" fillId="5" borderId="11" xfId="0" applyFont="1" applyFill="1" applyBorder="1" applyAlignment="1">
      <alignment horizontal="left"/>
    </xf>
    <xf numFmtId="0" fontId="8" fillId="5" borderId="14" xfId="0" applyFont="1" applyFill="1" applyBorder="1"/>
    <xf numFmtId="0" fontId="19" fillId="3" borderId="8" xfId="0" applyFont="1" applyFill="1" applyBorder="1"/>
    <xf numFmtId="0" fontId="19" fillId="0" borderId="7" xfId="0" applyFont="1" applyFill="1" applyBorder="1" applyAlignment="1">
      <alignment vertical="top"/>
    </xf>
    <xf numFmtId="0" fontId="8" fillId="0" borderId="8" xfId="0" applyFont="1" applyFill="1" applyBorder="1"/>
    <xf numFmtId="0" fontId="8" fillId="9" borderId="8" xfId="0" applyFont="1" applyFill="1" applyBorder="1"/>
    <xf numFmtId="0" fontId="8" fillId="9" borderId="8" xfId="0" applyFont="1" applyFill="1" applyBorder="1" applyAlignment="1">
      <alignment horizontal="center"/>
    </xf>
    <xf numFmtId="0" fontId="8" fillId="9" borderId="68" xfId="0" applyFont="1" applyFill="1" applyBorder="1" applyAlignment="1">
      <alignment horizontal="center"/>
    </xf>
    <xf numFmtId="0" fontId="8" fillId="5" borderId="17" xfId="0" applyFont="1" applyFill="1" applyBorder="1"/>
    <xf numFmtId="0" fontId="10" fillId="5" borderId="12" xfId="0" applyFont="1" applyFill="1" applyBorder="1" applyAlignment="1">
      <alignment horizontal="left"/>
    </xf>
    <xf numFmtId="0" fontId="23" fillId="5" borderId="11" xfId="0" applyFont="1" applyFill="1" applyBorder="1"/>
    <xf numFmtId="0" fontId="8" fillId="9" borderId="12" xfId="0" applyFont="1" applyFill="1" applyBorder="1"/>
    <xf numFmtId="0" fontId="26" fillId="5" borderId="16" xfId="0" applyFont="1" applyFill="1" applyBorder="1" applyAlignment="1">
      <alignment vertical="center" wrapText="1"/>
    </xf>
    <xf numFmtId="0" fontId="26" fillId="5" borderId="17" xfId="0" applyFont="1" applyFill="1" applyBorder="1" applyAlignment="1">
      <alignment vertical="center" wrapText="1"/>
    </xf>
    <xf numFmtId="0" fontId="0" fillId="5" borderId="9" xfId="0" applyFill="1" applyBorder="1"/>
    <xf numFmtId="0" fontId="26" fillId="5" borderId="11" xfId="0" applyFont="1" applyFill="1" applyBorder="1" applyAlignment="1">
      <alignment vertical="center" wrapText="1"/>
    </xf>
    <xf numFmtId="0" fontId="26" fillId="5" borderId="12" xfId="0" applyFont="1" applyFill="1" applyBorder="1" applyAlignment="1">
      <alignment vertical="center" wrapText="1"/>
    </xf>
    <xf numFmtId="0" fontId="26" fillId="5" borderId="50" xfId="0" applyFont="1" applyFill="1" applyBorder="1" applyAlignment="1">
      <alignment horizontal="center" vertical="center"/>
    </xf>
    <xf numFmtId="0" fontId="26" fillId="5" borderId="32" xfId="0" applyFont="1" applyFill="1" applyBorder="1" applyAlignment="1">
      <alignment horizontal="center" vertical="center"/>
    </xf>
    <xf numFmtId="0" fontId="26" fillId="5" borderId="38" xfId="0" applyFont="1" applyFill="1" applyBorder="1" applyAlignment="1">
      <alignment horizontal="center" vertical="center"/>
    </xf>
    <xf numFmtId="2" fontId="26" fillId="8" borderId="33" xfId="0" applyNumberFormat="1" applyFont="1" applyFill="1" applyBorder="1" applyAlignment="1">
      <alignment horizontal="center" vertical="center"/>
    </xf>
    <xf numFmtId="2" fontId="26" fillId="10" borderId="46" xfId="0" applyNumberFormat="1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wrapText="1"/>
    </xf>
    <xf numFmtId="0" fontId="26" fillId="0" borderId="17" xfId="0" applyFont="1" applyFill="1" applyBorder="1" applyAlignment="1">
      <alignment horizontal="center" wrapText="1"/>
    </xf>
    <xf numFmtId="2" fontId="26" fillId="7" borderId="57" xfId="0" applyNumberFormat="1" applyFont="1" applyFill="1" applyBorder="1" applyAlignment="1">
      <alignment horizontal="center"/>
    </xf>
    <xf numFmtId="2" fontId="26" fillId="7" borderId="33" xfId="0" applyNumberFormat="1" applyFont="1" applyFill="1" applyBorder="1" applyAlignment="1">
      <alignment horizontal="center"/>
    </xf>
    <xf numFmtId="2" fontId="26" fillId="7" borderId="78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top"/>
    </xf>
    <xf numFmtId="0" fontId="19" fillId="0" borderId="0" xfId="0" applyFont="1" applyFill="1" applyBorder="1"/>
    <xf numFmtId="0" fontId="26" fillId="5" borderId="28" xfId="0" applyFont="1" applyFill="1" applyBorder="1" applyAlignment="1">
      <alignment horizontal="center"/>
    </xf>
    <xf numFmtId="0" fontId="26" fillId="5" borderId="18" xfId="0" applyFont="1" applyFill="1" applyBorder="1" applyAlignment="1"/>
    <xf numFmtId="0" fontId="8" fillId="0" borderId="4" xfId="0" applyFont="1" applyFill="1" applyBorder="1" applyAlignment="1">
      <alignment horizontal="center"/>
    </xf>
    <xf numFmtId="0" fontId="8" fillId="9" borderId="68" xfId="0" applyFont="1" applyFill="1" applyBorder="1"/>
    <xf numFmtId="2" fontId="26" fillId="8" borderId="78" xfId="0" applyNumberFormat="1" applyFont="1" applyFill="1" applyBorder="1" applyAlignment="1">
      <alignment horizontal="center"/>
    </xf>
    <xf numFmtId="2" fontId="26" fillId="8" borderId="50" xfId="0" applyNumberFormat="1" applyFont="1" applyFill="1" applyBorder="1" applyAlignment="1">
      <alignment horizontal="center"/>
    </xf>
    <xf numFmtId="0" fontId="0" fillId="0" borderId="28" xfId="0" applyBorder="1"/>
    <xf numFmtId="0" fontId="0" fillId="0" borderId="18" xfId="0" applyBorder="1"/>
    <xf numFmtId="0" fontId="0" fillId="0" borderId="63" xfId="0" applyBorder="1" applyAlignment="1">
      <alignment horizontal="center"/>
    </xf>
    <xf numFmtId="0" fontId="49" fillId="0" borderId="76" xfId="0" applyFont="1" applyFill="1" applyBorder="1" applyAlignment="1">
      <alignment horizontal="center"/>
    </xf>
    <xf numFmtId="0" fontId="49" fillId="0" borderId="63" xfId="0" applyFont="1" applyFill="1" applyBorder="1" applyAlignment="1"/>
    <xf numFmtId="2" fontId="26" fillId="0" borderId="28" xfId="0" applyNumberFormat="1" applyFont="1" applyFill="1" applyBorder="1" applyAlignment="1">
      <alignment horizontal="center"/>
    </xf>
    <xf numFmtId="2" fontId="26" fillId="0" borderId="63" xfId="0" applyNumberFormat="1" applyFont="1" applyFill="1" applyBorder="1" applyAlignment="1">
      <alignment horizontal="center"/>
    </xf>
    <xf numFmtId="0" fontId="26" fillId="5" borderId="15" xfId="0" applyFont="1" applyFill="1" applyBorder="1" applyAlignment="1"/>
    <xf numFmtId="0" fontId="26" fillId="5" borderId="78" xfId="0" applyFont="1" applyFill="1" applyBorder="1" applyAlignment="1">
      <alignment horizontal="center"/>
    </xf>
    <xf numFmtId="0" fontId="26" fillId="5" borderId="43" xfId="0" applyFont="1" applyFill="1" applyBorder="1" applyAlignment="1"/>
    <xf numFmtId="0" fontId="26" fillId="5" borderId="65" xfId="0" applyFont="1" applyFill="1" applyBorder="1" applyAlignment="1">
      <alignment horizontal="center"/>
    </xf>
    <xf numFmtId="0" fontId="10" fillId="9" borderId="18" xfId="14" applyNumberFormat="1" applyFont="1" applyFill="1" applyBorder="1" applyAlignment="1" applyProtection="1">
      <alignment horizontal="center" vertical="center"/>
      <protection locked="0"/>
    </xf>
    <xf numFmtId="0" fontId="10" fillId="2" borderId="0" xfId="14" applyNumberFormat="1" applyFont="1" applyFill="1" applyBorder="1" applyAlignment="1" applyProtection="1">
      <alignment horizontal="center" vertical="center"/>
      <protection locked="0"/>
    </xf>
    <xf numFmtId="0" fontId="35" fillId="2" borderId="0" xfId="14" applyNumberFormat="1" applyFont="1" applyFill="1" applyBorder="1" applyAlignment="1" applyProtection="1">
      <alignment horizontal="center" vertical="center"/>
      <protection locked="0"/>
    </xf>
    <xf numFmtId="0" fontId="35" fillId="2" borderId="0" xfId="14" applyFont="1" applyFill="1" applyBorder="1" applyAlignment="1" applyProtection="1">
      <alignment horizontal="center" vertical="center"/>
      <protection locked="0"/>
    </xf>
    <xf numFmtId="0" fontId="10" fillId="2" borderId="0" xfId="14" applyFont="1" applyFill="1" applyBorder="1" applyAlignment="1" applyProtection="1">
      <alignment horizontal="center" vertical="center"/>
      <protection locked="0"/>
    </xf>
    <xf numFmtId="0" fontId="10" fillId="2" borderId="18" xfId="14" applyNumberFormat="1" applyFont="1" applyFill="1" applyBorder="1" applyAlignment="1" applyProtection="1">
      <alignment horizontal="center" vertical="center"/>
      <protection locked="0"/>
    </xf>
    <xf numFmtId="0" fontId="10" fillId="2" borderId="0" xfId="14" applyFont="1" applyFill="1" applyAlignment="1" applyProtection="1">
      <alignment horizontal="center" vertical="center"/>
      <protection locked="0"/>
    </xf>
    <xf numFmtId="0" fontId="35" fillId="2" borderId="0" xfId="14" applyFont="1" applyFill="1" applyAlignment="1" applyProtection="1">
      <alignment horizontal="center" vertical="center"/>
      <protection locked="0"/>
    </xf>
    <xf numFmtId="0" fontId="3" fillId="2" borderId="0" xfId="14" applyFont="1" applyFill="1" applyAlignment="1" applyProtection="1">
      <alignment horizontal="center"/>
      <protection locked="0"/>
    </xf>
    <xf numFmtId="0" fontId="21" fillId="2" borderId="0" xfId="14" applyFont="1" applyFill="1" applyAlignment="1" applyProtection="1">
      <alignment horizontal="center"/>
      <protection locked="0"/>
    </xf>
    <xf numFmtId="0" fontId="3" fillId="2" borderId="0" xfId="14" applyFont="1" applyFill="1" applyProtection="1">
      <protection locked="0"/>
    </xf>
    <xf numFmtId="0" fontId="25" fillId="2" borderId="43" xfId="14" applyNumberFormat="1" applyFont="1" applyFill="1" applyBorder="1" applyAlignment="1" applyProtection="1">
      <alignment horizontal="center" vertical="center"/>
      <protection locked="0"/>
    </xf>
    <xf numFmtId="0" fontId="23" fillId="12" borderId="7" xfId="14" applyFont="1" applyFill="1" applyBorder="1" applyAlignment="1">
      <alignment horizontal="center"/>
    </xf>
    <xf numFmtId="0" fontId="23" fillId="12" borderId="8" xfId="14" applyFont="1" applyFill="1" applyBorder="1" applyAlignment="1">
      <alignment horizontal="left"/>
    </xf>
    <xf numFmtId="0" fontId="23" fillId="12" borderId="68" xfId="14" applyFont="1" applyFill="1" applyBorder="1" applyAlignment="1">
      <alignment horizontal="center"/>
    </xf>
    <xf numFmtId="0" fontId="10" fillId="12" borderId="27" xfId="14" applyFont="1" applyFill="1" applyBorder="1" applyAlignment="1">
      <alignment horizontal="center"/>
    </xf>
    <xf numFmtId="0" fontId="10" fillId="12" borderId="23" xfId="14" applyFont="1" applyFill="1" applyBorder="1" applyAlignment="1">
      <alignment horizontal="left"/>
    </xf>
    <xf numFmtId="0" fontId="10" fillId="12" borderId="4" xfId="14" applyFont="1" applyFill="1" applyBorder="1" applyAlignment="1">
      <alignment horizontal="center"/>
    </xf>
    <xf numFmtId="0" fontId="10" fillId="12" borderId="0" xfId="14" applyFont="1" applyFill="1" applyBorder="1" applyAlignment="1">
      <alignment horizontal="left"/>
    </xf>
    <xf numFmtId="0" fontId="10" fillId="12" borderId="21" xfId="14" applyFont="1" applyFill="1" applyBorder="1" applyAlignment="1">
      <alignment horizontal="center"/>
    </xf>
    <xf numFmtId="0" fontId="10" fillId="12" borderId="25" xfId="14" applyFont="1" applyFill="1" applyBorder="1" applyAlignment="1">
      <alignment horizontal="center"/>
    </xf>
    <xf numFmtId="0" fontId="10" fillId="12" borderId="26" xfId="14" applyFont="1" applyFill="1" applyBorder="1" applyAlignment="1">
      <alignment horizontal="left"/>
    </xf>
    <xf numFmtId="0" fontId="10" fillId="12" borderId="2" xfId="14" applyFont="1" applyFill="1" applyBorder="1" applyAlignment="1">
      <alignment horizontal="right"/>
    </xf>
    <xf numFmtId="0" fontId="23" fillId="12" borderId="7" xfId="14" applyFont="1" applyFill="1" applyBorder="1" applyAlignment="1">
      <alignment horizontal="center" vertical="top" wrapText="1"/>
    </xf>
    <xf numFmtId="0" fontId="10" fillId="12" borderId="4" xfId="14" applyFont="1" applyFill="1" applyBorder="1" applyAlignment="1">
      <alignment horizontal="center" vertical="top" wrapText="1"/>
    </xf>
    <xf numFmtId="0" fontId="10" fillId="12" borderId="25" xfId="14" applyFont="1" applyFill="1" applyBorder="1" applyAlignment="1">
      <alignment horizontal="center" vertical="top" wrapText="1"/>
    </xf>
    <xf numFmtId="0" fontId="23" fillId="12" borderId="4" xfId="0" applyFont="1" applyFill="1" applyBorder="1" applyAlignment="1">
      <alignment horizontal="center"/>
    </xf>
    <xf numFmtId="0" fontId="23" fillId="12" borderId="0" xfId="0" applyFont="1" applyFill="1" applyBorder="1" applyAlignment="1">
      <alignment horizontal="center"/>
    </xf>
    <xf numFmtId="0" fontId="23" fillId="12" borderId="25" xfId="0" applyFont="1" applyFill="1" applyBorder="1" applyAlignment="1">
      <alignment horizontal="center"/>
    </xf>
    <xf numFmtId="0" fontId="23" fillId="12" borderId="26" xfId="0" applyFont="1" applyFill="1" applyBorder="1" applyAlignment="1">
      <alignment horizontal="center"/>
    </xf>
    <xf numFmtId="0" fontId="10" fillId="12" borderId="27" xfId="0" applyFont="1" applyFill="1" applyBorder="1" applyAlignment="1">
      <alignment horizontal="center"/>
    </xf>
    <xf numFmtId="0" fontId="10" fillId="12" borderId="23" xfId="0" applyFont="1" applyFill="1" applyBorder="1" applyAlignment="1">
      <alignment horizontal="center"/>
    </xf>
    <xf numFmtId="0" fontId="10" fillId="12" borderId="4" xfId="0" applyFont="1" applyFill="1" applyBorder="1" applyAlignment="1">
      <alignment horizontal="center"/>
    </xf>
    <xf numFmtId="0" fontId="10" fillId="12" borderId="0" xfId="0" applyFont="1" applyFill="1" applyBorder="1" applyAlignment="1">
      <alignment horizontal="center"/>
    </xf>
    <xf numFmtId="0" fontId="10" fillId="12" borderId="25" xfId="0" applyFont="1" applyFill="1" applyBorder="1" applyAlignment="1">
      <alignment horizontal="center"/>
    </xf>
    <xf numFmtId="0" fontId="10" fillId="12" borderId="26" xfId="0" applyFont="1" applyFill="1" applyBorder="1" applyAlignment="1">
      <alignment horizontal="center"/>
    </xf>
    <xf numFmtId="0" fontId="23" fillId="12" borderId="27" xfId="14" applyFont="1" applyFill="1" applyBorder="1" applyAlignment="1">
      <alignment horizontal="center" vertical="top"/>
    </xf>
    <xf numFmtId="0" fontId="23" fillId="12" borderId="24" xfId="14" applyFont="1" applyFill="1" applyBorder="1" applyAlignment="1">
      <alignment vertical="top"/>
    </xf>
    <xf numFmtId="0" fontId="23" fillId="12" borderId="7" xfId="0" applyFont="1" applyFill="1" applyBorder="1" applyAlignment="1">
      <alignment horizontal="center" vertical="center" wrapText="1"/>
    </xf>
    <xf numFmtId="0" fontId="10" fillId="12" borderId="4" xfId="0" applyFont="1" applyFill="1" applyBorder="1" applyAlignment="1">
      <alignment horizontal="center" vertical="top" wrapText="1"/>
    </xf>
    <xf numFmtId="0" fontId="10" fillId="12" borderId="25" xfId="0" applyFont="1" applyFill="1" applyBorder="1" applyAlignment="1">
      <alignment horizontal="center" vertical="top" wrapText="1"/>
    </xf>
    <xf numFmtId="0" fontId="19" fillId="9" borderId="8" xfId="0" applyFont="1" applyFill="1" applyBorder="1" applyProtection="1">
      <protection locked="0"/>
    </xf>
    <xf numFmtId="0" fontId="10" fillId="9" borderId="43" xfId="0" applyFont="1" applyFill="1" applyBorder="1" applyAlignment="1" applyProtection="1">
      <alignment horizontal="center" vertical="center"/>
      <protection locked="0"/>
    </xf>
    <xf numFmtId="0" fontId="10" fillId="9" borderId="60" xfId="0" applyFont="1" applyFill="1" applyBorder="1" applyAlignment="1" applyProtection="1">
      <alignment horizontal="center"/>
      <protection locked="0"/>
    </xf>
    <xf numFmtId="0" fontId="10" fillId="9" borderId="59" xfId="0" applyFont="1" applyFill="1" applyBorder="1" applyAlignment="1" applyProtection="1">
      <alignment horizontal="center"/>
      <protection locked="0"/>
    </xf>
    <xf numFmtId="0" fontId="10" fillId="9" borderId="49" xfId="0" applyFont="1" applyFill="1" applyBorder="1" applyAlignment="1" applyProtection="1">
      <alignment horizontal="center"/>
      <protection locked="0"/>
    </xf>
    <xf numFmtId="0" fontId="10" fillId="9" borderId="11" xfId="0" applyFont="1" applyFill="1" applyBorder="1" applyAlignment="1" applyProtection="1">
      <alignment horizontal="center"/>
      <protection locked="0"/>
    </xf>
    <xf numFmtId="0" fontId="10" fillId="9" borderId="16" xfId="0" applyFont="1" applyFill="1" applyBorder="1" applyAlignment="1" applyProtection="1">
      <alignment horizontal="center"/>
      <protection locked="0"/>
    </xf>
    <xf numFmtId="0" fontId="10" fillId="9" borderId="32" xfId="0" applyFont="1" applyFill="1" applyBorder="1" applyAlignment="1" applyProtection="1">
      <alignment horizontal="center"/>
      <protection locked="0"/>
    </xf>
    <xf numFmtId="0" fontId="10" fillId="9" borderId="44" xfId="0" applyFont="1" applyFill="1" applyBorder="1" applyAlignment="1" applyProtection="1">
      <alignment horizontal="center"/>
      <protection locked="0"/>
    </xf>
    <xf numFmtId="0" fontId="10" fillId="9" borderId="24" xfId="0" applyFont="1" applyFill="1" applyBorder="1" applyAlignment="1" applyProtection="1">
      <alignment horizontal="center" vertical="center"/>
      <protection locked="0"/>
    </xf>
    <xf numFmtId="0" fontId="10" fillId="9" borderId="2" xfId="0" applyFont="1" applyFill="1" applyBorder="1" applyAlignment="1" applyProtection="1">
      <alignment horizontal="center" vertical="center"/>
      <protection locked="0"/>
    </xf>
    <xf numFmtId="0" fontId="10" fillId="9" borderId="88" xfId="0" applyFont="1" applyFill="1" applyBorder="1" applyAlignment="1" applyProtection="1">
      <alignment horizontal="center"/>
      <protection locked="0"/>
    </xf>
    <xf numFmtId="0" fontId="10" fillId="9" borderId="21" xfId="0" applyFont="1" applyFill="1" applyBorder="1" applyAlignment="1" applyProtection="1">
      <alignment horizontal="center"/>
      <protection locked="0"/>
    </xf>
    <xf numFmtId="0" fontId="8" fillId="9" borderId="88" xfId="0" applyFont="1" applyFill="1" applyBorder="1" applyAlignment="1" applyProtection="1">
      <alignment horizontal="center"/>
      <protection locked="0"/>
    </xf>
    <xf numFmtId="0" fontId="10" fillId="9" borderId="2" xfId="0" applyFont="1" applyFill="1" applyBorder="1" applyAlignment="1" applyProtection="1">
      <alignment horizontal="center"/>
      <protection locked="0"/>
    </xf>
    <xf numFmtId="0" fontId="10" fillId="9" borderId="63" xfId="0" applyFont="1" applyFill="1" applyBorder="1" applyAlignment="1" applyProtection="1">
      <alignment horizontal="center"/>
      <protection locked="0"/>
    </xf>
    <xf numFmtId="0" fontId="10" fillId="9" borderId="41" xfId="0" applyFont="1" applyFill="1" applyBorder="1" applyAlignment="1" applyProtection="1">
      <alignment horizontal="center"/>
      <protection locked="0"/>
    </xf>
    <xf numFmtId="0" fontId="10" fillId="9" borderId="42" xfId="0" applyFont="1" applyFill="1" applyBorder="1" applyAlignment="1" applyProtection="1">
      <alignment horizontal="center" vertical="center"/>
      <protection locked="0"/>
    </xf>
    <xf numFmtId="0" fontId="10" fillId="9" borderId="60" xfId="0" applyFont="1" applyFill="1" applyBorder="1" applyAlignment="1" applyProtection="1">
      <alignment horizontal="center" vertical="center"/>
      <protection locked="0"/>
    </xf>
    <xf numFmtId="0" fontId="10" fillId="9" borderId="49" xfId="0" applyFont="1" applyFill="1" applyBorder="1" applyAlignment="1" applyProtection="1">
      <alignment horizontal="center" vertical="center"/>
      <protection locked="0"/>
    </xf>
    <xf numFmtId="0" fontId="10" fillId="9" borderId="41" xfId="0" applyFont="1" applyFill="1" applyBorder="1" applyAlignment="1" applyProtection="1">
      <alignment horizontal="center" vertical="center"/>
      <protection locked="0"/>
    </xf>
    <xf numFmtId="0" fontId="10" fillId="9" borderId="9" xfId="0" applyFont="1" applyFill="1" applyBorder="1" applyAlignment="1" applyProtection="1">
      <alignment horizontal="center"/>
      <protection locked="0"/>
    </xf>
    <xf numFmtId="0" fontId="23" fillId="9" borderId="11" xfId="0" applyFont="1" applyFill="1" applyBorder="1" applyAlignment="1" applyProtection="1">
      <alignment horizontal="left"/>
      <protection locked="0"/>
    </xf>
    <xf numFmtId="0" fontId="8" fillId="9" borderId="11" xfId="0" applyFont="1" applyFill="1" applyBorder="1" applyProtection="1">
      <protection locked="0"/>
    </xf>
    <xf numFmtId="0" fontId="23" fillId="9" borderId="11" xfId="0" applyFont="1" applyFill="1" applyBorder="1" applyProtection="1">
      <protection locked="0"/>
    </xf>
    <xf numFmtId="0" fontId="8" fillId="9" borderId="18" xfId="0" applyFont="1" applyFill="1" applyBorder="1" applyAlignment="1" applyProtection="1">
      <alignment horizontal="center" vertical="center"/>
      <protection locked="0"/>
    </xf>
    <xf numFmtId="0" fontId="8" fillId="9" borderId="19" xfId="0" applyFont="1" applyFill="1" applyBorder="1" applyAlignment="1" applyProtection="1">
      <alignment horizontal="center" vertical="center"/>
      <protection locked="0"/>
    </xf>
    <xf numFmtId="0" fontId="8" fillId="9" borderId="16" xfId="0" applyFont="1" applyFill="1" applyBorder="1" applyAlignment="1" applyProtection="1">
      <alignment horizontal="center"/>
      <protection locked="0"/>
    </xf>
    <xf numFmtId="0" fontId="26" fillId="0" borderId="9" xfId="0" applyFont="1" applyFill="1" applyBorder="1" applyAlignment="1"/>
    <xf numFmtId="0" fontId="26" fillId="9" borderId="18" xfId="0" applyFont="1" applyFill="1" applyBorder="1" applyAlignment="1" applyProtection="1">
      <alignment vertical="center"/>
      <protection locked="0"/>
    </xf>
    <xf numFmtId="0" fontId="0" fillId="0" borderId="24" xfId="0" applyFont="1" applyFill="1" applyBorder="1" applyProtection="1">
      <protection locked="0"/>
    </xf>
    <xf numFmtId="0" fontId="8" fillId="5" borderId="16" xfId="0" applyFont="1" applyFill="1" applyBorder="1" applyAlignment="1"/>
    <xf numFmtId="0" fontId="10" fillId="9" borderId="3" xfId="0" applyFont="1" applyFill="1" applyBorder="1" applyAlignment="1" applyProtection="1">
      <alignment horizontal="center"/>
      <protection locked="0"/>
    </xf>
    <xf numFmtId="0" fontId="10" fillId="9" borderId="15" xfId="0" applyFont="1" applyFill="1" applyBorder="1" applyAlignment="1" applyProtection="1">
      <alignment horizontal="center"/>
      <protection locked="0"/>
    </xf>
    <xf numFmtId="0" fontId="10" fillId="9" borderId="5" xfId="0" applyFont="1" applyFill="1" applyBorder="1" applyAlignment="1" applyProtection="1">
      <alignment horizontal="center"/>
      <protection locked="0"/>
    </xf>
    <xf numFmtId="0" fontId="10" fillId="9" borderId="17" xfId="0" applyFont="1" applyFill="1" applyBorder="1" applyAlignment="1" applyProtection="1">
      <alignment horizontal="center"/>
      <protection locked="0"/>
    </xf>
    <xf numFmtId="0" fontId="10" fillId="9" borderId="18" xfId="0" applyFont="1" applyFill="1" applyBorder="1" applyAlignment="1" applyProtection="1">
      <alignment horizontal="center"/>
      <protection locked="0"/>
    </xf>
    <xf numFmtId="2" fontId="10" fillId="9" borderId="15" xfId="0" applyNumberFormat="1" applyFont="1" applyFill="1" applyBorder="1" applyAlignment="1" applyProtection="1">
      <alignment horizontal="center"/>
      <protection locked="0"/>
    </xf>
    <xf numFmtId="0" fontId="10" fillId="9" borderId="72" xfId="0" applyFont="1" applyFill="1" applyBorder="1" applyAlignment="1" applyProtection="1">
      <alignment horizontal="center"/>
      <protection locked="0"/>
    </xf>
    <xf numFmtId="0" fontId="10" fillId="2" borderId="89" xfId="0" applyFont="1" applyFill="1" applyBorder="1" applyAlignment="1" applyProtection="1">
      <alignment horizontal="center"/>
    </xf>
    <xf numFmtId="0" fontId="10" fillId="2" borderId="66" xfId="0" applyFont="1" applyFill="1" applyBorder="1" applyAlignment="1" applyProtection="1">
      <alignment horizontal="center"/>
    </xf>
    <xf numFmtId="0" fontId="8" fillId="9" borderId="18" xfId="0" applyFont="1" applyFill="1" applyBorder="1" applyAlignment="1" applyProtection="1">
      <alignment horizontal="center"/>
      <protection locked="0"/>
    </xf>
    <xf numFmtId="0" fontId="8" fillId="9" borderId="19" xfId="0" applyFont="1" applyFill="1" applyBorder="1" applyAlignment="1" applyProtection="1">
      <alignment horizontal="left"/>
      <protection locked="0"/>
    </xf>
    <xf numFmtId="174" fontId="10" fillId="9" borderId="18" xfId="0" applyNumberFormat="1" applyFont="1" applyFill="1" applyBorder="1" applyAlignment="1" applyProtection="1">
      <alignment horizontal="center"/>
      <protection locked="0"/>
    </xf>
    <xf numFmtId="0" fontId="10" fillId="9" borderId="22" xfId="0" applyFont="1" applyFill="1" applyBorder="1" applyAlignment="1" applyProtection="1">
      <alignment horizontal="center"/>
      <protection locked="0"/>
    </xf>
    <xf numFmtId="0" fontId="10" fillId="2" borderId="19" xfId="0" applyFont="1" applyFill="1" applyBorder="1" applyAlignment="1" applyProtection="1">
      <alignment horizontal="center"/>
    </xf>
    <xf numFmtId="0" fontId="10" fillId="9" borderId="18" xfId="0" applyFont="1" applyFill="1" applyBorder="1" applyAlignment="1" applyProtection="1">
      <alignment horizontal="left"/>
      <protection locked="0"/>
    </xf>
    <xf numFmtId="0" fontId="13" fillId="9" borderId="19" xfId="0" applyFont="1" applyFill="1" applyBorder="1" applyAlignment="1" applyProtection="1">
      <alignment horizontal="center"/>
      <protection locked="0"/>
    </xf>
    <xf numFmtId="174" fontId="10" fillId="9" borderId="19" xfId="0" applyNumberFormat="1" applyFont="1" applyFill="1" applyBorder="1" applyAlignment="1" applyProtection="1">
      <alignment horizontal="center"/>
      <protection locked="0"/>
    </xf>
    <xf numFmtId="174" fontId="10" fillId="2" borderId="19" xfId="0" applyNumberFormat="1" applyFont="1" applyFill="1" applyBorder="1" applyAlignment="1" applyProtection="1">
      <alignment horizontal="center"/>
    </xf>
    <xf numFmtId="0" fontId="8" fillId="9" borderId="18" xfId="0" applyFont="1" applyFill="1" applyBorder="1" applyAlignment="1" applyProtection="1">
      <alignment horizontal="left" vertical="center"/>
      <protection locked="0"/>
    </xf>
    <xf numFmtId="2" fontId="10" fillId="9" borderId="16" xfId="0" applyNumberFormat="1" applyFont="1" applyFill="1" applyBorder="1" applyAlignment="1" applyProtection="1">
      <alignment horizontal="center"/>
      <protection locked="0"/>
    </xf>
    <xf numFmtId="0" fontId="8" fillId="9" borderId="13" xfId="0" applyFont="1" applyFill="1" applyBorder="1" applyAlignment="1" applyProtection="1">
      <alignment horizontal="center"/>
      <protection locked="0"/>
    </xf>
    <xf numFmtId="0" fontId="10" fillId="9" borderId="12" xfId="0" applyFont="1" applyFill="1" applyBorder="1" applyAlignment="1" applyProtection="1">
      <alignment horizontal="center"/>
      <protection locked="0"/>
    </xf>
    <xf numFmtId="0" fontId="8" fillId="9" borderId="14" xfId="0" applyFont="1" applyFill="1" applyBorder="1" applyAlignment="1" applyProtection="1">
      <alignment horizontal="center"/>
      <protection locked="0"/>
    </xf>
    <xf numFmtId="0" fontId="10" fillId="9" borderId="38" xfId="0" applyFont="1" applyFill="1" applyBorder="1" applyAlignment="1" applyProtection="1">
      <alignment horizontal="center"/>
      <protection locked="0"/>
    </xf>
    <xf numFmtId="0" fontId="10" fillId="9" borderId="10" xfId="0" applyFont="1" applyFill="1" applyBorder="1" applyAlignment="1" applyProtection="1">
      <alignment horizontal="center"/>
      <protection locked="0"/>
    </xf>
    <xf numFmtId="0" fontId="10" fillId="9" borderId="13" xfId="0" applyFont="1" applyFill="1" applyBorder="1" applyAlignment="1" applyProtection="1">
      <alignment horizontal="center"/>
      <protection locked="0"/>
    </xf>
    <xf numFmtId="0" fontId="10" fillId="9" borderId="0" xfId="0" applyFont="1" applyFill="1" applyBorder="1" applyAlignment="1" applyProtection="1">
      <alignment horizontal="center"/>
      <protection locked="0"/>
    </xf>
    <xf numFmtId="0" fontId="10" fillId="9" borderId="14" xfId="0" applyFont="1" applyFill="1" applyBorder="1" applyAlignment="1" applyProtection="1">
      <alignment horizontal="center"/>
      <protection locked="0"/>
    </xf>
    <xf numFmtId="176" fontId="10" fillId="9" borderId="18" xfId="0" applyNumberFormat="1" applyFont="1" applyFill="1" applyBorder="1" applyAlignment="1" applyProtection="1">
      <alignment horizontal="center"/>
      <protection locked="0"/>
    </xf>
    <xf numFmtId="176" fontId="8" fillId="9" borderId="15" xfId="0" applyNumberFormat="1" applyFont="1" applyFill="1" applyBorder="1" applyAlignment="1" applyProtection="1">
      <alignment horizontal="center"/>
      <protection locked="0"/>
    </xf>
    <xf numFmtId="182" fontId="8" fillId="9" borderId="15" xfId="0" applyNumberFormat="1" applyFont="1" applyFill="1" applyBorder="1" applyAlignment="1" applyProtection="1">
      <alignment horizontal="center"/>
      <protection locked="0"/>
    </xf>
    <xf numFmtId="176" fontId="8" fillId="9" borderId="19" xfId="0" applyNumberFormat="1" applyFont="1" applyFill="1" applyBorder="1" applyAlignment="1" applyProtection="1">
      <alignment horizontal="center"/>
      <protection locked="0"/>
    </xf>
    <xf numFmtId="176" fontId="8" fillId="9" borderId="18" xfId="0" applyNumberFormat="1" applyFont="1" applyFill="1" applyBorder="1" applyAlignment="1" applyProtection="1">
      <alignment horizontal="center"/>
      <protection locked="0"/>
    </xf>
    <xf numFmtId="176" fontId="8" fillId="9" borderId="16" xfId="0" applyNumberFormat="1" applyFont="1" applyFill="1" applyBorder="1" applyAlignment="1" applyProtection="1">
      <alignment horizontal="center"/>
      <protection locked="0"/>
    </xf>
    <xf numFmtId="176" fontId="8" fillId="9" borderId="15" xfId="0" applyNumberFormat="1" applyFont="1" applyFill="1" applyBorder="1" applyAlignment="1" applyProtection="1">
      <alignment horizontal="center" vertical="center"/>
      <protection locked="0"/>
    </xf>
    <xf numFmtId="176" fontId="8" fillId="9" borderId="50" xfId="0" applyNumberFormat="1" applyFont="1" applyFill="1" applyBorder="1" applyAlignment="1" applyProtection="1">
      <alignment horizontal="center" vertical="center"/>
      <protection locked="0"/>
    </xf>
    <xf numFmtId="176" fontId="8" fillId="9" borderId="18" xfId="0" applyNumberFormat="1" applyFont="1" applyFill="1" applyBorder="1" applyAlignment="1" applyProtection="1">
      <alignment horizontal="center" vertical="center"/>
      <protection locked="0"/>
    </xf>
    <xf numFmtId="176" fontId="8" fillId="9" borderId="63" xfId="0" applyNumberFormat="1" applyFont="1" applyFill="1" applyBorder="1" applyAlignment="1" applyProtection="1">
      <alignment horizontal="center" vertical="center"/>
      <protection locked="0"/>
    </xf>
    <xf numFmtId="176" fontId="10" fillId="9" borderId="18" xfId="9" applyNumberFormat="1" applyFont="1" applyFill="1" applyBorder="1" applyAlignment="1" applyProtection="1">
      <alignment horizontal="center" vertical="center"/>
      <protection locked="0"/>
    </xf>
    <xf numFmtId="176" fontId="10" fillId="9" borderId="15" xfId="9" applyNumberFormat="1" applyFont="1" applyFill="1" applyBorder="1" applyAlignment="1" applyProtection="1">
      <alignment horizontal="center" vertical="center"/>
      <protection locked="0"/>
    </xf>
    <xf numFmtId="176" fontId="10" fillId="9" borderId="18" xfId="0" applyNumberFormat="1" applyFont="1" applyFill="1" applyBorder="1" applyAlignment="1" applyProtection="1">
      <alignment horizontal="center" vertical="center"/>
      <protection locked="0"/>
    </xf>
    <xf numFmtId="176" fontId="10" fillId="9" borderId="63" xfId="0" applyNumberFormat="1" applyFont="1" applyFill="1" applyBorder="1" applyAlignment="1" applyProtection="1">
      <alignment horizontal="center" vertical="center"/>
      <protection locked="0"/>
    </xf>
    <xf numFmtId="176" fontId="10" fillId="9" borderId="43" xfId="0" applyNumberFormat="1" applyFont="1" applyFill="1" applyBorder="1" applyAlignment="1" applyProtection="1">
      <alignment horizontal="center" vertical="center"/>
      <protection locked="0"/>
    </xf>
    <xf numFmtId="176" fontId="10" fillId="9" borderId="43" xfId="9" applyNumberFormat="1" applyFont="1" applyFill="1" applyBorder="1" applyAlignment="1" applyProtection="1">
      <alignment horizontal="center" vertical="center"/>
      <protection locked="0"/>
    </xf>
    <xf numFmtId="176" fontId="10" fillId="9" borderId="41" xfId="0" applyNumberFormat="1" applyFont="1" applyFill="1" applyBorder="1" applyAlignment="1" applyProtection="1">
      <alignment horizontal="center" vertical="center"/>
      <protection locked="0"/>
    </xf>
    <xf numFmtId="176" fontId="10" fillId="5" borderId="44" xfId="0" applyNumberFormat="1" applyFont="1" applyFill="1" applyBorder="1" applyAlignment="1" applyProtection="1">
      <alignment horizontal="center"/>
    </xf>
    <xf numFmtId="0" fontId="8" fillId="5" borderId="11" xfId="0" applyFont="1" applyFill="1" applyBorder="1" applyAlignment="1"/>
    <xf numFmtId="0" fontId="0" fillId="5" borderId="15" xfId="0" applyFont="1" applyFill="1" applyBorder="1"/>
    <xf numFmtId="2" fontId="8" fillId="8" borderId="60" xfId="0" applyNumberFormat="1" applyFont="1" applyFill="1" applyBorder="1" applyAlignment="1">
      <alignment horizontal="center"/>
    </xf>
    <xf numFmtId="2" fontId="8" fillId="10" borderId="42" xfId="0" applyNumberFormat="1" applyFont="1" applyFill="1" applyBorder="1" applyAlignment="1">
      <alignment horizontal="center"/>
    </xf>
    <xf numFmtId="2" fontId="8" fillId="10" borderId="16" xfId="0" applyNumberFormat="1" applyFont="1" applyFill="1" applyBorder="1" applyAlignment="1">
      <alignment horizontal="center"/>
    </xf>
    <xf numFmtId="2" fontId="8" fillId="10" borderId="16" xfId="0" applyNumberFormat="1" applyFont="1" applyFill="1" applyBorder="1" applyAlignment="1">
      <alignment horizontal="center" vertical="center"/>
    </xf>
    <xf numFmtId="2" fontId="8" fillId="10" borderId="44" xfId="0" applyNumberFormat="1" applyFont="1" applyFill="1" applyBorder="1" applyAlignment="1">
      <alignment horizontal="center"/>
    </xf>
    <xf numFmtId="0" fontId="10" fillId="2" borderId="0" xfId="14" applyFont="1" applyFill="1" applyBorder="1" applyAlignment="1"/>
    <xf numFmtId="0" fontId="26" fillId="5" borderId="19" xfId="0" applyFont="1" applyFill="1" applyBorder="1" applyAlignment="1">
      <alignment horizontal="center"/>
    </xf>
    <xf numFmtId="0" fontId="8" fillId="9" borderId="19" xfId="0" applyFont="1" applyFill="1" applyBorder="1" applyAlignment="1" applyProtection="1">
      <alignment horizontal="center"/>
      <protection locked="0"/>
    </xf>
    <xf numFmtId="0" fontId="10" fillId="12" borderId="24" xfId="14" applyFont="1" applyFill="1" applyBorder="1" applyAlignment="1">
      <alignment horizontal="right"/>
    </xf>
    <xf numFmtId="0" fontId="10" fillId="12" borderId="0" xfId="14" applyFont="1" applyFill="1" applyBorder="1" applyAlignment="1">
      <alignment horizontal="left" vertical="top" wrapText="1"/>
    </xf>
    <xf numFmtId="0" fontId="23" fillId="12" borderId="54" xfId="0" applyFont="1" applyFill="1" applyBorder="1" applyAlignment="1">
      <alignment horizontal="center"/>
    </xf>
    <xf numFmtId="0" fontId="10" fillId="12" borderId="60" xfId="0" applyFont="1" applyFill="1" applyBorder="1" applyAlignment="1">
      <alignment horizontal="center"/>
    </xf>
    <xf numFmtId="0" fontId="10" fillId="12" borderId="11" xfId="0" applyFont="1" applyFill="1" applyBorder="1" applyAlignment="1">
      <alignment horizontal="center"/>
    </xf>
    <xf numFmtId="49" fontId="10" fillId="12" borderId="11" xfId="0" applyNumberFormat="1" applyFont="1" applyFill="1" applyBorder="1" applyAlignment="1">
      <alignment horizontal="center"/>
    </xf>
    <xf numFmtId="0" fontId="10" fillId="12" borderId="54" xfId="0" applyFont="1" applyFill="1" applyBorder="1" applyAlignment="1">
      <alignment horizontal="center"/>
    </xf>
    <xf numFmtId="0" fontId="10" fillId="0" borderId="0" xfId="14" applyFont="1" applyFill="1" applyBorder="1" applyAlignment="1"/>
    <xf numFmtId="0" fontId="23" fillId="12" borderId="60" xfId="0" applyFont="1" applyFill="1" applyBorder="1" applyAlignment="1">
      <alignment horizontal="center"/>
    </xf>
    <xf numFmtId="0" fontId="23" fillId="12" borderId="62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9" borderId="87" xfId="14" applyNumberFormat="1" applyFont="1" applyFill="1" applyBorder="1" applyAlignment="1" applyProtection="1">
      <alignment horizontal="center" vertical="center"/>
      <protection locked="0"/>
    </xf>
    <xf numFmtId="0" fontId="23" fillId="2" borderId="4" xfId="14" applyFont="1" applyFill="1" applyBorder="1" applyAlignment="1"/>
    <xf numFmtId="0" fontId="4" fillId="2" borderId="0" xfId="0" applyFont="1" applyFill="1" applyBorder="1"/>
    <xf numFmtId="0" fontId="23" fillId="2" borderId="4" xfId="0" applyFont="1" applyFill="1" applyBorder="1" applyAlignment="1"/>
    <xf numFmtId="0" fontId="4" fillId="2" borderId="0" xfId="0" applyFont="1" applyFill="1" applyBorder="1" applyAlignment="1">
      <alignment horizontal="center"/>
    </xf>
    <xf numFmtId="0" fontId="23" fillId="2" borderId="0" xfId="0" applyFont="1" applyFill="1" applyBorder="1" applyAlignment="1"/>
    <xf numFmtId="0" fontId="10" fillId="2" borderId="4" xfId="0" applyFont="1" applyFill="1" applyBorder="1" applyAlignment="1">
      <alignment horizontal="center"/>
    </xf>
    <xf numFmtId="49" fontId="10" fillId="2" borderId="4" xfId="0" applyNumberFormat="1" applyFont="1" applyFill="1" applyBorder="1" applyAlignment="1">
      <alignment horizontal="center"/>
    </xf>
    <xf numFmtId="49" fontId="10" fillId="2" borderId="0" xfId="0" applyNumberFormat="1" applyFont="1" applyFill="1" applyBorder="1" applyAlignment="1">
      <alignment horizontal="center"/>
    </xf>
    <xf numFmtId="0" fontId="10" fillId="2" borderId="79" xfId="14" applyNumberFormat="1" applyFont="1" applyFill="1" applyBorder="1" applyAlignment="1" applyProtection="1">
      <alignment horizontal="center" vertical="center"/>
      <protection locked="0"/>
    </xf>
    <xf numFmtId="0" fontId="10" fillId="2" borderId="17" xfId="14" applyNumberFormat="1" applyFont="1" applyFill="1" applyBorder="1" applyAlignment="1" applyProtection="1">
      <alignment horizontal="center" vertical="center"/>
      <protection locked="0"/>
    </xf>
    <xf numFmtId="0" fontId="10" fillId="2" borderId="44" xfId="14" applyNumberFormat="1" applyFont="1" applyFill="1" applyBorder="1" applyAlignment="1" applyProtection="1">
      <alignment horizontal="center" vertical="center"/>
      <protection locked="0"/>
    </xf>
    <xf numFmtId="0" fontId="10" fillId="2" borderId="43" xfId="14" applyNumberFormat="1" applyFont="1" applyFill="1" applyBorder="1" applyAlignment="1" applyProtection="1">
      <alignment horizontal="center" vertical="center"/>
      <protection locked="0"/>
    </xf>
    <xf numFmtId="0" fontId="25" fillId="2" borderId="15" xfId="14" applyNumberFormat="1" applyFont="1" applyFill="1" applyBorder="1" applyAlignment="1" applyProtection="1">
      <alignment horizontal="center" vertical="center"/>
      <protection locked="0"/>
    </xf>
    <xf numFmtId="0" fontId="23" fillId="2" borderId="0" xfId="14" applyFont="1" applyFill="1" applyBorder="1" applyAlignment="1">
      <alignment vertical="top"/>
    </xf>
    <xf numFmtId="0" fontId="23" fillId="2" borderId="0" xfId="0" applyFont="1" applyFill="1" applyBorder="1" applyAlignment="1">
      <alignment vertical="center" wrapText="1"/>
    </xf>
    <xf numFmtId="0" fontId="23" fillId="12" borderId="11" xfId="0" applyFont="1" applyFill="1" applyBorder="1" applyAlignment="1">
      <alignment horizontal="center"/>
    </xf>
    <xf numFmtId="0" fontId="23" fillId="2" borderId="4" xfId="0" applyFont="1" applyFill="1" applyBorder="1" applyAlignment="1">
      <alignment horizontal="center"/>
    </xf>
    <xf numFmtId="0" fontId="8" fillId="2" borderId="18" xfId="0" applyFont="1" applyFill="1" applyBorder="1" applyAlignment="1">
      <alignment horizontal="left" vertical="center"/>
    </xf>
    <xf numFmtId="0" fontId="8" fillId="2" borderId="43" xfId="0" applyFont="1" applyFill="1" applyBorder="1" applyAlignment="1">
      <alignment horizontal="left" vertical="center"/>
    </xf>
    <xf numFmtId="0" fontId="10" fillId="12" borderId="23" xfId="14" applyFont="1" applyFill="1" applyBorder="1" applyAlignment="1">
      <alignment horizontal="center"/>
    </xf>
    <xf numFmtId="0" fontId="10" fillId="12" borderId="49" xfId="0" applyFont="1" applyFill="1" applyBorder="1" applyAlignment="1">
      <alignment horizontal="center"/>
    </xf>
    <xf numFmtId="0" fontId="10" fillId="12" borderId="0" xfId="14" applyFont="1" applyFill="1" applyBorder="1" applyAlignment="1">
      <alignment horizontal="center"/>
    </xf>
    <xf numFmtId="0" fontId="10" fillId="12" borderId="26" xfId="14" applyFont="1" applyFill="1" applyBorder="1" applyAlignment="1">
      <alignment horizontal="center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176" fontId="10" fillId="2" borderId="0" xfId="0" applyNumberFormat="1" applyFont="1" applyFill="1" applyBorder="1" applyAlignment="1" applyProtection="1">
      <alignment horizontal="center"/>
      <protection locked="0"/>
    </xf>
    <xf numFmtId="11" fontId="10" fillId="2" borderId="0" xfId="10" applyNumberFormat="1" applyFont="1" applyFill="1" applyBorder="1" applyAlignment="1" applyProtection="1">
      <alignment horizontal="center"/>
    </xf>
    <xf numFmtId="177" fontId="8" fillId="2" borderId="0" xfId="0" applyNumberFormat="1" applyFont="1" applyFill="1" applyBorder="1" applyAlignment="1">
      <alignment horizontal="center"/>
    </xf>
    <xf numFmtId="0" fontId="26" fillId="2" borderId="9" xfId="0" applyFont="1" applyFill="1" applyBorder="1" applyAlignment="1">
      <alignment horizontal="left" vertical="center"/>
    </xf>
    <xf numFmtId="0" fontId="51" fillId="2" borderId="3" xfId="0" applyFont="1" applyFill="1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10" fillId="0" borderId="0" xfId="11" applyFont="1" applyFill="1" applyBorder="1"/>
    <xf numFmtId="2" fontId="8" fillId="0" borderId="4" xfId="0" applyNumberFormat="1" applyFont="1" applyFill="1" applyBorder="1" applyAlignment="1">
      <alignment horizontal="center"/>
    </xf>
    <xf numFmtId="175" fontId="8" fillId="8" borderId="42" xfId="0" applyNumberFormat="1" applyFont="1" applyFill="1" applyBorder="1" applyAlignment="1">
      <alignment horizontal="center"/>
    </xf>
    <xf numFmtId="2" fontId="8" fillId="8" borderId="90" xfId="0" applyNumberFormat="1" applyFont="1" applyFill="1" applyBorder="1" applyAlignment="1">
      <alignment horizontal="center"/>
    </xf>
    <xf numFmtId="2" fontId="8" fillId="8" borderId="28" xfId="0" applyNumberFormat="1" applyFont="1" applyFill="1" applyBorder="1" applyAlignment="1">
      <alignment horizontal="center"/>
    </xf>
    <xf numFmtId="0" fontId="10" fillId="2" borderId="0" xfId="0" applyFont="1" applyFill="1" applyBorder="1" applyAlignment="1" applyProtection="1">
      <alignment horizontal="center"/>
      <protection locked="0"/>
    </xf>
    <xf numFmtId="2" fontId="10" fillId="2" borderId="0" xfId="0" applyNumberFormat="1" applyFont="1" applyFill="1" applyBorder="1" applyAlignment="1" applyProtection="1">
      <alignment horizontal="center"/>
      <protection locked="0"/>
    </xf>
    <xf numFmtId="0" fontId="13" fillId="0" borderId="4" xfId="0" applyFont="1" applyBorder="1" applyAlignment="1">
      <alignment horizontal="center" vertical="center"/>
    </xf>
    <xf numFmtId="0" fontId="26" fillId="0" borderId="11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/>
    </xf>
    <xf numFmtId="2" fontId="8" fillId="2" borderId="89" xfId="0" applyNumberFormat="1" applyFont="1" applyFill="1" applyBorder="1" applyAlignment="1">
      <alignment horizontal="center"/>
    </xf>
    <xf numFmtId="2" fontId="8" fillId="2" borderId="66" xfId="0" applyNumberFormat="1" applyFont="1" applyFill="1" applyBorder="1" applyAlignment="1">
      <alignment horizontal="center"/>
    </xf>
    <xf numFmtId="0" fontId="13" fillId="2" borderId="0" xfId="11" applyFont="1" applyFill="1" applyAlignment="1">
      <alignment vertical="center"/>
    </xf>
    <xf numFmtId="174" fontId="8" fillId="10" borderId="18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6" fillId="0" borderId="15" xfId="0" applyFont="1" applyFill="1" applyBorder="1" applyAlignment="1"/>
    <xf numFmtId="0" fontId="8" fillId="0" borderId="15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0" fontId="8" fillId="0" borderId="18" xfId="0" applyFont="1" applyFill="1" applyBorder="1" applyAlignment="1" applyProtection="1">
      <alignment horizontal="center" vertical="center"/>
      <protection locked="0"/>
    </xf>
    <xf numFmtId="0" fontId="10" fillId="2" borderId="9" xfId="14" applyFont="1" applyFill="1" applyBorder="1" applyAlignment="1">
      <alignment horizontal="left" vertical="center"/>
    </xf>
    <xf numFmtId="0" fontId="10" fillId="2" borderId="12" xfId="14" applyFont="1" applyFill="1" applyBorder="1" applyAlignment="1">
      <alignment horizontal="left" vertical="center"/>
    </xf>
    <xf numFmtId="0" fontId="10" fillId="2" borderId="87" xfId="14" applyFont="1" applyFill="1" applyBorder="1" applyAlignment="1">
      <alignment horizontal="left" vertical="center"/>
    </xf>
    <xf numFmtId="0" fontId="10" fillId="2" borderId="0" xfId="14" applyFont="1" applyFill="1" applyBorder="1" applyAlignment="1">
      <alignment horizontal="left" vertical="center"/>
    </xf>
    <xf numFmtId="0" fontId="10" fillId="2" borderId="40" xfId="14" applyFont="1" applyFill="1" applyBorder="1" applyAlignment="1">
      <alignment horizontal="left" vertical="center"/>
    </xf>
    <xf numFmtId="0" fontId="10" fillId="2" borderId="0" xfId="14" applyFont="1" applyFill="1" applyAlignment="1">
      <alignment horizontal="left" vertical="center"/>
    </xf>
    <xf numFmtId="0" fontId="10" fillId="2" borderId="16" xfId="14" applyFont="1" applyFill="1" applyBorder="1" applyAlignment="1">
      <alignment horizontal="left" vertical="top"/>
    </xf>
    <xf numFmtId="0" fontId="10" fillId="2" borderId="11" xfId="14" applyFont="1" applyFill="1" applyBorder="1" applyAlignment="1">
      <alignment horizontal="left" vertical="center"/>
    </xf>
    <xf numFmtId="174" fontId="10" fillId="10" borderId="16" xfId="14" applyNumberFormat="1" applyFont="1" applyFill="1" applyBorder="1" applyAlignment="1">
      <alignment horizontal="center" vertical="center"/>
    </xf>
    <xf numFmtId="0" fontId="10" fillId="9" borderId="16" xfId="14" applyNumberFormat="1" applyFont="1" applyFill="1" applyBorder="1" applyAlignment="1" applyProtection="1">
      <alignment horizontal="center" vertical="center"/>
      <protection locked="0"/>
    </xf>
    <xf numFmtId="0" fontId="8" fillId="0" borderId="79" xfId="0" applyFont="1" applyFill="1" applyBorder="1" applyAlignment="1">
      <alignment vertical="center"/>
    </xf>
    <xf numFmtId="174" fontId="10" fillId="10" borderId="8" xfId="14" applyNumberFormat="1" applyFont="1" applyFill="1" applyBorder="1" applyAlignment="1">
      <alignment horizontal="center"/>
    </xf>
    <xf numFmtId="174" fontId="8" fillId="2" borderId="0" xfId="0" applyNumberFormat="1" applyFont="1" applyFill="1"/>
    <xf numFmtId="174" fontId="3" fillId="2" borderId="0" xfId="14" applyNumberFormat="1" applyFont="1" applyFill="1" applyAlignment="1">
      <alignment horizontal="center"/>
    </xf>
    <xf numFmtId="174" fontId="3" fillId="2" borderId="0" xfId="14" applyNumberFormat="1" applyFont="1" applyFill="1"/>
    <xf numFmtId="2" fontId="26" fillId="0" borderId="76" xfId="0" applyNumberFormat="1" applyFont="1" applyFill="1" applyBorder="1"/>
    <xf numFmtId="2" fontId="26" fillId="0" borderId="6" xfId="0" applyNumberFormat="1" applyFont="1" applyFill="1" applyBorder="1"/>
    <xf numFmtId="2" fontId="26" fillId="0" borderId="6" xfId="0" applyNumberFormat="1" applyFont="1" applyBorder="1" applyAlignment="1">
      <alignment horizontal="center"/>
    </xf>
    <xf numFmtId="2" fontId="26" fillId="0" borderId="30" xfId="0" applyNumberFormat="1" applyFont="1" applyFill="1" applyBorder="1"/>
    <xf numFmtId="2" fontId="26" fillId="0" borderId="30" xfId="0" applyNumberFormat="1" applyFont="1" applyBorder="1" applyAlignment="1">
      <alignment horizontal="center"/>
    </xf>
    <xf numFmtId="2" fontId="26" fillId="8" borderId="80" xfId="0" applyNumberFormat="1" applyFont="1" applyFill="1" applyBorder="1" applyAlignment="1">
      <alignment horizontal="center"/>
    </xf>
    <xf numFmtId="0" fontId="10" fillId="2" borderId="16" xfId="14" applyNumberFormat="1" applyFont="1" applyFill="1" applyBorder="1" applyAlignment="1" applyProtection="1">
      <alignment horizontal="center" vertical="center"/>
      <protection locked="0"/>
    </xf>
    <xf numFmtId="0" fontId="26" fillId="8" borderId="8" xfId="0" applyFont="1" applyFill="1" applyBorder="1" applyAlignment="1">
      <alignment vertical="center"/>
    </xf>
    <xf numFmtId="0" fontId="8" fillId="2" borderId="37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8" fillId="2" borderId="30" xfId="0" applyFont="1" applyFill="1" applyBorder="1" applyAlignment="1">
      <alignment vertical="center"/>
    </xf>
    <xf numFmtId="0" fontId="27" fillId="2" borderId="4" xfId="14" applyFont="1" applyFill="1" applyBorder="1"/>
    <xf numFmtId="0" fontId="26" fillId="0" borderId="83" xfId="0" applyFont="1" applyBorder="1"/>
    <xf numFmtId="0" fontId="26" fillId="5" borderId="54" xfId="0" applyFont="1" applyFill="1" applyBorder="1" applyAlignment="1">
      <alignment vertical="center" wrapText="1"/>
    </xf>
    <xf numFmtId="0" fontId="26" fillId="5" borderId="62" xfId="0" applyFont="1" applyFill="1" applyBorder="1" applyAlignment="1">
      <alignment horizontal="center" vertical="center"/>
    </xf>
    <xf numFmtId="0" fontId="13" fillId="5" borderId="48" xfId="0" applyFont="1" applyFill="1" applyBorder="1" applyAlignment="1">
      <alignment horizontal="center" vertical="center"/>
    </xf>
    <xf numFmtId="0" fontId="26" fillId="5" borderId="87" xfId="0" applyFont="1" applyFill="1" applyBorder="1" applyAlignment="1">
      <alignment vertical="center"/>
    </xf>
    <xf numFmtId="0" fontId="13" fillId="5" borderId="76" xfId="0" applyFont="1" applyFill="1" applyBorder="1" applyAlignment="1">
      <alignment horizontal="center" vertical="center"/>
    </xf>
    <xf numFmtId="0" fontId="26" fillId="5" borderId="19" xfId="0" applyFont="1" applyFill="1" applyBorder="1" applyAlignment="1">
      <alignment vertical="center"/>
    </xf>
    <xf numFmtId="0" fontId="0" fillId="5" borderId="6" xfId="0" applyFill="1" applyBorder="1" applyAlignment="1">
      <alignment vertical="center"/>
    </xf>
    <xf numFmtId="0" fontId="0" fillId="5" borderId="37" xfId="0" applyFill="1" applyBorder="1" applyAlignment="1">
      <alignment vertical="center"/>
    </xf>
    <xf numFmtId="0" fontId="0" fillId="5" borderId="37" xfId="0" applyFill="1" applyBorder="1" applyAlignment="1">
      <alignment horizontal="center" vertical="center"/>
    </xf>
    <xf numFmtId="0" fontId="13" fillId="5" borderId="47" xfId="0" applyFont="1" applyFill="1" applyBorder="1" applyAlignment="1">
      <alignment horizontal="center"/>
    </xf>
    <xf numFmtId="0" fontId="26" fillId="5" borderId="40" xfId="0" applyFont="1" applyFill="1" applyBorder="1"/>
    <xf numFmtId="0" fontId="0" fillId="5" borderId="30" xfId="0" applyFill="1" applyBorder="1"/>
    <xf numFmtId="0" fontId="0" fillId="5" borderId="30" xfId="0" applyFill="1" applyBorder="1" applyAlignment="1">
      <alignment horizontal="center"/>
    </xf>
    <xf numFmtId="0" fontId="13" fillId="2" borderId="4" xfId="0" applyFont="1" applyFill="1" applyBorder="1" applyAlignment="1">
      <alignment horizontal="center" vertical="center"/>
    </xf>
    <xf numFmtId="1" fontId="26" fillId="2" borderId="29" xfId="0" applyNumberFormat="1" applyFont="1" applyFill="1" applyBorder="1" applyAlignment="1">
      <alignment horizontal="center"/>
    </xf>
    <xf numFmtId="0" fontId="50" fillId="0" borderId="4" xfId="0" applyFont="1" applyBorder="1"/>
    <xf numFmtId="0" fontId="49" fillId="0" borderId="4" xfId="0" applyFont="1" applyBorder="1"/>
    <xf numFmtId="0" fontId="0" fillId="0" borderId="11" xfId="0" applyBorder="1"/>
    <xf numFmtId="0" fontId="0" fillId="5" borderId="6" xfId="0" applyFill="1" applyBorder="1" applyAlignment="1">
      <alignment horizontal="center" vertical="center"/>
    </xf>
    <xf numFmtId="0" fontId="26" fillId="5" borderId="19" xfId="0" applyFont="1" applyFill="1" applyBorder="1" applyAlignment="1">
      <alignment horizontal="left"/>
    </xf>
    <xf numFmtId="0" fontId="0" fillId="5" borderId="6" xfId="0" applyFill="1" applyBorder="1"/>
    <xf numFmtId="0" fontId="0" fillId="5" borderId="39" xfId="0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26" fillId="0" borderId="19" xfId="0" applyFont="1" applyFill="1" applyBorder="1" applyAlignment="1">
      <alignment horizontal="center"/>
    </xf>
    <xf numFmtId="0" fontId="26" fillId="5" borderId="9" xfId="0" applyFont="1" applyFill="1" applyBorder="1" applyAlignment="1">
      <alignment horizontal="center"/>
    </xf>
    <xf numFmtId="0" fontId="0" fillId="0" borderId="19" xfId="0" applyBorder="1"/>
    <xf numFmtId="0" fontId="26" fillId="5" borderId="40" xfId="0" applyFont="1" applyFill="1" applyBorder="1" applyAlignment="1">
      <alignment horizontal="center"/>
    </xf>
    <xf numFmtId="0" fontId="49" fillId="8" borderId="37" xfId="0" applyFont="1" applyFill="1" applyBorder="1" applyAlignment="1"/>
    <xf numFmtId="0" fontId="49" fillId="0" borderId="6" xfId="0" applyFont="1" applyFill="1" applyBorder="1" applyAlignment="1"/>
    <xf numFmtId="0" fontId="13" fillId="8" borderId="6" xfId="0" applyFont="1" applyFill="1" applyBorder="1" applyAlignment="1">
      <alignment horizontal="center"/>
    </xf>
    <xf numFmtId="2" fontId="26" fillId="0" borderId="6" xfId="0" applyNumberFormat="1" applyFont="1" applyFill="1" applyBorder="1" applyAlignment="1">
      <alignment horizontal="center"/>
    </xf>
    <xf numFmtId="2" fontId="26" fillId="8" borderId="6" xfId="0" applyNumberFormat="1" applyFont="1" applyFill="1" applyBorder="1" applyAlignment="1">
      <alignment horizontal="center"/>
    </xf>
    <xf numFmtId="2" fontId="26" fillId="8" borderId="3" xfId="0" applyNumberFormat="1" applyFont="1" applyFill="1" applyBorder="1" applyAlignment="1">
      <alignment horizontal="center"/>
    </xf>
    <xf numFmtId="0" fontId="0" fillId="0" borderId="22" xfId="0" applyBorder="1"/>
    <xf numFmtId="2" fontId="26" fillId="8" borderId="30" xfId="0" applyNumberFormat="1" applyFont="1" applyFill="1" applyBorder="1" applyAlignment="1">
      <alignment horizontal="center"/>
    </xf>
    <xf numFmtId="0" fontId="0" fillId="8" borderId="32" xfId="0" applyFont="1" applyFill="1" applyBorder="1"/>
    <xf numFmtId="174" fontId="8" fillId="8" borderId="28" xfId="0" applyNumberFormat="1" applyFont="1" applyFill="1" applyBorder="1" applyAlignment="1">
      <alignment horizontal="center"/>
    </xf>
    <xf numFmtId="0" fontId="0" fillId="8" borderId="31" xfId="0" applyFont="1" applyFill="1" applyBorder="1"/>
    <xf numFmtId="174" fontId="8" fillId="8" borderId="65" xfId="0" applyNumberFormat="1" applyFont="1" applyFill="1" applyBorder="1" applyAlignment="1">
      <alignment horizontal="center"/>
    </xf>
    <xf numFmtId="0" fontId="0" fillId="8" borderId="28" xfId="0" applyFill="1" applyBorder="1"/>
    <xf numFmtId="0" fontId="0" fillId="8" borderId="63" xfId="0" applyFont="1" applyFill="1" applyBorder="1"/>
    <xf numFmtId="0" fontId="0" fillId="8" borderId="65" xfId="0" applyFont="1" applyFill="1" applyBorder="1"/>
    <xf numFmtId="0" fontId="0" fillId="8" borderId="41" xfId="0" applyFont="1" applyFill="1" applyBorder="1"/>
    <xf numFmtId="0" fontId="8" fillId="2" borderId="42" xfId="0" applyFont="1" applyFill="1" applyBorder="1" applyAlignment="1">
      <alignment vertical="center"/>
    </xf>
    <xf numFmtId="0" fontId="8" fillId="2" borderId="43" xfId="0" applyFont="1" applyFill="1" applyBorder="1" applyAlignment="1">
      <alignment vertical="center"/>
    </xf>
    <xf numFmtId="2" fontId="8" fillId="2" borderId="42" xfId="0" applyNumberFormat="1" applyFont="1" applyFill="1" applyBorder="1" applyAlignment="1">
      <alignment horizontal="center"/>
    </xf>
    <xf numFmtId="0" fontId="25" fillId="2" borderId="60" xfId="0" applyFont="1" applyFill="1" applyBorder="1" applyAlignment="1">
      <alignment horizontal="center"/>
    </xf>
    <xf numFmtId="0" fontId="26" fillId="0" borderId="18" xfId="0" applyFont="1" applyFill="1" applyBorder="1" applyAlignment="1" applyProtection="1">
      <alignment vertical="center"/>
    </xf>
    <xf numFmtId="0" fontId="8" fillId="10" borderId="18" xfId="0" applyFont="1" applyFill="1" applyBorder="1" applyAlignment="1" applyProtection="1">
      <alignment horizontal="center" vertical="center"/>
    </xf>
    <xf numFmtId="176" fontId="10" fillId="5" borderId="9" xfId="0" applyNumberFormat="1" applyFont="1" applyFill="1" applyBorder="1" applyAlignment="1" applyProtection="1">
      <alignment horizontal="center"/>
    </xf>
    <xf numFmtId="176" fontId="10" fillId="5" borderId="19" xfId="0" applyNumberFormat="1" applyFont="1" applyFill="1" applyBorder="1" applyAlignment="1" applyProtection="1">
      <alignment horizontal="center"/>
    </xf>
    <xf numFmtId="176" fontId="10" fillId="5" borderId="18" xfId="0" applyNumberFormat="1" applyFont="1" applyFill="1" applyBorder="1" applyAlignment="1" applyProtection="1">
      <alignment horizontal="center"/>
    </xf>
    <xf numFmtId="0" fontId="55" fillId="0" borderId="0" xfId="0" applyFont="1" applyFill="1" applyBorder="1" applyAlignment="1">
      <alignment vertical="center"/>
    </xf>
    <xf numFmtId="174" fontId="8" fillId="10" borderId="18" xfId="0" applyNumberFormat="1" applyFont="1" applyFill="1" applyBorder="1" applyAlignment="1" applyProtection="1">
      <alignment horizontal="center" vertical="center" wrapText="1"/>
    </xf>
    <xf numFmtId="0" fontId="26" fillId="0" borderId="11" xfId="0" applyFont="1" applyFill="1" applyBorder="1" applyAlignment="1">
      <alignment horizontal="center"/>
    </xf>
    <xf numFmtId="174" fontId="8" fillId="0" borderId="11" xfId="0" applyNumberFormat="1" applyFont="1" applyFill="1" applyBorder="1" applyAlignment="1" applyProtection="1">
      <alignment horizontal="center" vertical="center" wrapText="1"/>
    </xf>
    <xf numFmtId="0" fontId="8" fillId="0" borderId="18" xfId="0" applyFont="1" applyFill="1" applyBorder="1" applyAlignment="1">
      <alignment vertical="center"/>
    </xf>
    <xf numFmtId="2" fontId="8" fillId="0" borderId="11" xfId="0" applyNumberFormat="1" applyFont="1" applyFill="1" applyBorder="1" applyAlignment="1" applyProtection="1">
      <alignment horizontal="center" vertical="center" wrapText="1"/>
    </xf>
    <xf numFmtId="0" fontId="13" fillId="0" borderId="19" xfId="0" applyFont="1" applyFill="1" applyBorder="1"/>
    <xf numFmtId="0" fontId="11" fillId="0" borderId="6" xfId="0" applyFont="1" applyFill="1" applyBorder="1"/>
    <xf numFmtId="0" fontId="13" fillId="9" borderId="18" xfId="0" applyFont="1" applyFill="1" applyBorder="1" applyAlignment="1">
      <alignment horizontal="center"/>
    </xf>
    <xf numFmtId="2" fontId="26" fillId="10" borderId="47" xfId="0" applyNumberFormat="1" applyFont="1" applyFill="1" applyBorder="1" applyAlignment="1">
      <alignment horizontal="center"/>
    </xf>
    <xf numFmtId="1" fontId="26" fillId="10" borderId="76" xfId="0" applyNumberFormat="1" applyFont="1" applyFill="1" applyBorder="1" applyAlignment="1">
      <alignment horizontal="center"/>
    </xf>
    <xf numFmtId="0" fontId="26" fillId="2" borderId="27" xfId="0" applyFont="1" applyFill="1" applyBorder="1" applyAlignment="1">
      <alignment horizontal="center" vertical="center"/>
    </xf>
    <xf numFmtId="2" fontId="26" fillId="10" borderId="48" xfId="0" applyNumberFormat="1" applyFont="1" applyFill="1" applyBorder="1" applyAlignment="1">
      <alignment horizontal="center" vertical="center"/>
    </xf>
    <xf numFmtId="2" fontId="26" fillId="10" borderId="76" xfId="0" applyNumberFormat="1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/>
    </xf>
    <xf numFmtId="0" fontId="38" fillId="10" borderId="54" xfId="0" applyFont="1" applyFill="1" applyBorder="1" applyAlignment="1">
      <alignment horizontal="center"/>
    </xf>
    <xf numFmtId="0" fontId="8" fillId="0" borderId="32" xfId="0" applyFont="1" applyFill="1" applyBorder="1" applyAlignment="1">
      <alignment horizontal="center"/>
    </xf>
    <xf numFmtId="2" fontId="8" fillId="10" borderId="21" xfId="0" applyNumberFormat="1" applyFont="1" applyFill="1" applyBorder="1" applyAlignment="1">
      <alignment horizontal="center"/>
    </xf>
    <xf numFmtId="2" fontId="8" fillId="10" borderId="21" xfId="0" applyNumberFormat="1" applyFont="1" applyFill="1" applyBorder="1"/>
    <xf numFmtId="2" fontId="8" fillId="10" borderId="2" xfId="0" applyNumberFormat="1" applyFont="1" applyFill="1" applyBorder="1"/>
    <xf numFmtId="2" fontId="8" fillId="10" borderId="44" xfId="0" applyNumberFormat="1" applyFont="1" applyFill="1" applyBorder="1" applyAlignment="1">
      <alignment horizontal="center" vertical="center"/>
    </xf>
    <xf numFmtId="0" fontId="26" fillId="0" borderId="37" xfId="0" applyFont="1" applyFill="1" applyBorder="1" applyAlignment="1">
      <alignment vertical="center"/>
    </xf>
    <xf numFmtId="0" fontId="26" fillId="0" borderId="48" xfId="0" applyFont="1" applyBorder="1" applyAlignment="1">
      <alignment vertical="center"/>
    </xf>
    <xf numFmtId="2" fontId="26" fillId="0" borderId="29" xfId="0" applyNumberFormat="1" applyFont="1" applyFill="1" applyBorder="1"/>
    <xf numFmtId="0" fontId="26" fillId="0" borderId="47" xfId="0" applyFont="1" applyFill="1" applyBorder="1"/>
    <xf numFmtId="0" fontId="8" fillId="0" borderId="38" xfId="0" applyFont="1" applyFill="1" applyBorder="1" applyAlignment="1">
      <alignment horizontal="center"/>
    </xf>
    <xf numFmtId="0" fontId="10" fillId="10" borderId="54" xfId="0" applyFont="1" applyFill="1" applyBorder="1" applyAlignment="1">
      <alignment horizontal="center"/>
    </xf>
    <xf numFmtId="0" fontId="8" fillId="0" borderId="46" xfId="0" applyFont="1" applyFill="1" applyBorder="1" applyAlignment="1">
      <alignment horizontal="center"/>
    </xf>
    <xf numFmtId="0" fontId="10" fillId="0" borderId="46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35" xfId="0" applyFont="1" applyFill="1" applyBorder="1" applyAlignment="1">
      <alignment horizontal="center"/>
    </xf>
    <xf numFmtId="0" fontId="10" fillId="0" borderId="64" xfId="0" applyFont="1" applyFill="1" applyBorder="1" applyAlignment="1">
      <alignment horizontal="center"/>
    </xf>
    <xf numFmtId="2" fontId="26" fillId="0" borderId="46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174" fontId="10" fillId="9" borderId="87" xfId="0" applyNumberFormat="1" applyFont="1" applyFill="1" applyBorder="1" applyAlignment="1" applyProtection="1">
      <alignment horizontal="center" vertical="center"/>
      <protection locked="0"/>
    </xf>
    <xf numFmtId="174" fontId="10" fillId="9" borderId="37" xfId="0" applyNumberFormat="1" applyFont="1" applyFill="1" applyBorder="1" applyAlignment="1" applyProtection="1">
      <alignment horizontal="center" vertical="center"/>
      <protection locked="0"/>
    </xf>
    <xf numFmtId="174" fontId="10" fillId="9" borderId="83" xfId="0" applyNumberFormat="1" applyFont="1" applyFill="1" applyBorder="1" applyAlignment="1" applyProtection="1">
      <alignment horizontal="center" vertical="center"/>
      <protection locked="0"/>
    </xf>
    <xf numFmtId="0" fontId="10" fillId="9" borderId="40" xfId="0" applyFont="1" applyFill="1" applyBorder="1" applyAlignment="1" applyProtection="1">
      <alignment horizontal="center" vertical="center"/>
      <protection locked="0"/>
    </xf>
    <xf numFmtId="0" fontId="10" fillId="9" borderId="30" xfId="0" applyFont="1" applyFill="1" applyBorder="1" applyAlignment="1" applyProtection="1">
      <alignment horizontal="center" vertical="center"/>
      <protection locked="0"/>
    </xf>
    <xf numFmtId="0" fontId="10" fillId="9" borderId="91" xfId="0" applyFont="1" applyFill="1" applyBorder="1" applyAlignment="1" applyProtection="1">
      <alignment horizontal="center" vertical="center"/>
      <protection locked="0"/>
    </xf>
    <xf numFmtId="0" fontId="8" fillId="2" borderId="48" xfId="0" applyFont="1" applyFill="1" applyBorder="1" applyAlignment="1">
      <alignment horizontal="left" vertical="center"/>
    </xf>
    <xf numFmtId="0" fontId="8" fillId="2" borderId="92" xfId="0" applyFont="1" applyFill="1" applyBorder="1" applyAlignment="1">
      <alignment horizontal="left" vertical="center"/>
    </xf>
    <xf numFmtId="0" fontId="8" fillId="2" borderId="47" xfId="0" applyFont="1" applyFill="1" applyBorder="1" applyAlignment="1">
      <alignment horizontal="left" vertical="center"/>
    </xf>
    <xf numFmtId="0" fontId="8" fillId="2" borderId="56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9" borderId="6" xfId="0" applyFont="1" applyFill="1" applyBorder="1" applyAlignment="1" applyProtection="1">
      <alignment horizontal="center"/>
      <protection locked="0"/>
    </xf>
    <xf numFmtId="2" fontId="8" fillId="10" borderId="4" xfId="0" applyNumberFormat="1" applyFont="1" applyFill="1" applyBorder="1" applyAlignment="1">
      <alignment horizontal="center"/>
    </xf>
    <xf numFmtId="0" fontId="8" fillId="10" borderId="49" xfId="0" applyFont="1" applyFill="1" applyBorder="1" applyAlignment="1">
      <alignment horizontal="center"/>
    </xf>
    <xf numFmtId="0" fontId="8" fillId="10" borderId="38" xfId="0" applyFont="1" applyFill="1" applyBorder="1" applyAlignment="1">
      <alignment horizontal="center"/>
    </xf>
    <xf numFmtId="2" fontId="8" fillId="10" borderId="32" xfId="0" applyNumberFormat="1" applyFont="1" applyFill="1" applyBorder="1" applyAlignment="1">
      <alignment horizontal="center"/>
    </xf>
    <xf numFmtId="2" fontId="8" fillId="10" borderId="41" xfId="0" applyNumberFormat="1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6" fillId="0" borderId="4" xfId="0" applyFont="1" applyFill="1" applyBorder="1" applyAlignment="1"/>
    <xf numFmtId="1" fontId="26" fillId="0" borderId="4" xfId="0" applyNumberFormat="1" applyFont="1" applyFill="1" applyBorder="1" applyAlignment="1"/>
    <xf numFmtId="0" fontId="26" fillId="2" borderId="49" xfId="0" applyFont="1" applyFill="1" applyBorder="1" applyAlignment="1">
      <alignment horizontal="center" vertical="center"/>
    </xf>
    <xf numFmtId="0" fontId="26" fillId="2" borderId="32" xfId="0" applyFont="1" applyFill="1" applyBorder="1" applyAlignment="1">
      <alignment horizontal="center" vertical="center"/>
    </xf>
    <xf numFmtId="0" fontId="51" fillId="0" borderId="32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1" fontId="26" fillId="10" borderId="63" xfId="0" applyNumberFormat="1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2" fontId="26" fillId="10" borderId="41" xfId="0" applyNumberFormat="1" applyFont="1" applyFill="1" applyBorder="1" applyAlignment="1">
      <alignment horizontal="center"/>
    </xf>
    <xf numFmtId="2" fontId="26" fillId="10" borderId="63" xfId="0" applyNumberFormat="1" applyFont="1" applyFill="1" applyBorder="1" applyAlignment="1">
      <alignment horizontal="center"/>
    </xf>
    <xf numFmtId="2" fontId="26" fillId="8" borderId="50" xfId="0" applyNumberFormat="1" applyFont="1" applyFill="1" applyBorder="1" applyAlignment="1">
      <alignment horizontal="center" vertical="center"/>
    </xf>
    <xf numFmtId="0" fontId="26" fillId="8" borderId="32" xfId="0" applyFont="1" applyFill="1" applyBorder="1" applyAlignment="1">
      <alignment horizontal="center" vertical="center"/>
    </xf>
    <xf numFmtId="0" fontId="26" fillId="5" borderId="44" xfId="0" applyFont="1" applyFill="1" applyBorder="1" applyAlignment="1">
      <alignment vertical="center" wrapText="1"/>
    </xf>
    <xf numFmtId="2" fontId="26" fillId="8" borderId="53" xfId="0" applyNumberFormat="1" applyFont="1" applyFill="1" applyBorder="1" applyAlignment="1">
      <alignment horizontal="center" vertical="center"/>
    </xf>
    <xf numFmtId="0" fontId="26" fillId="8" borderId="62" xfId="0" applyFont="1" applyFill="1" applyBorder="1" applyAlignment="1">
      <alignment horizontal="center" vertical="center"/>
    </xf>
    <xf numFmtId="174" fontId="10" fillId="2" borderId="57" xfId="14" applyNumberFormat="1" applyFont="1" applyFill="1" applyBorder="1" applyAlignment="1">
      <alignment horizontal="center"/>
    </xf>
    <xf numFmtId="0" fontId="10" fillId="2" borderId="42" xfId="14" applyFont="1" applyFill="1" applyBorder="1" applyAlignment="1">
      <alignment horizontal="center"/>
    </xf>
    <xf numFmtId="0" fontId="10" fillId="2" borderId="49" xfId="14" applyFont="1" applyFill="1" applyBorder="1" applyAlignment="1">
      <alignment horizontal="center"/>
    </xf>
    <xf numFmtId="174" fontId="10" fillId="2" borderId="53" xfId="14" applyNumberFormat="1" applyFont="1" applyFill="1" applyBorder="1" applyAlignment="1">
      <alignment horizontal="center"/>
    </xf>
    <xf numFmtId="0" fontId="10" fillId="2" borderId="44" xfId="14" applyFont="1" applyFill="1" applyBorder="1" applyAlignment="1">
      <alignment horizontal="center"/>
    </xf>
    <xf numFmtId="0" fontId="10" fillId="2" borderId="62" xfId="14" applyFont="1" applyFill="1" applyBorder="1" applyAlignment="1">
      <alignment horizontal="center"/>
    </xf>
    <xf numFmtId="0" fontId="10" fillId="2" borderId="23" xfId="0" applyFont="1" applyFill="1" applyBorder="1" applyAlignment="1">
      <alignment horizontal="right" vertical="center"/>
    </xf>
    <xf numFmtId="174" fontId="23" fillId="2" borderId="23" xfId="0" applyNumberFormat="1" applyFont="1" applyFill="1" applyBorder="1" applyAlignment="1">
      <alignment horizontal="center" vertical="center"/>
    </xf>
    <xf numFmtId="174" fontId="4" fillId="2" borderId="23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174" fontId="10" fillId="0" borderId="15" xfId="14" applyNumberFormat="1" applyFont="1" applyFill="1" applyBorder="1" applyAlignment="1">
      <alignment horizontal="center" vertical="center"/>
    </xf>
    <xf numFmtId="0" fontId="10" fillId="0" borderId="15" xfId="14" applyNumberFormat="1" applyFont="1" applyFill="1" applyBorder="1" applyAlignment="1" applyProtection="1">
      <alignment horizontal="center" vertical="center"/>
      <protection locked="0"/>
    </xf>
    <xf numFmtId="0" fontId="10" fillId="0" borderId="17" xfId="14" applyNumberFormat="1" applyFont="1" applyFill="1" applyBorder="1" applyAlignment="1" applyProtection="1">
      <alignment horizontal="center" vertical="center"/>
      <protection locked="0"/>
    </xf>
    <xf numFmtId="174" fontId="10" fillId="0" borderId="79" xfId="14" applyNumberFormat="1" applyFont="1" applyFill="1" applyBorder="1" applyAlignment="1">
      <alignment horizontal="center" vertical="center"/>
    </xf>
    <xf numFmtId="0" fontId="10" fillId="0" borderId="42" xfId="14" applyNumberFormat="1" applyFont="1" applyFill="1" applyBorder="1" applyAlignment="1" applyProtection="1">
      <alignment horizontal="center" vertical="center"/>
      <protection locked="0"/>
    </xf>
    <xf numFmtId="0" fontId="10" fillId="0" borderId="79" xfId="14" applyNumberFormat="1" applyFont="1" applyFill="1" applyBorder="1" applyAlignment="1" applyProtection="1">
      <alignment horizontal="center" vertical="center"/>
      <protection locked="0"/>
    </xf>
    <xf numFmtId="1" fontId="10" fillId="0" borderId="49" xfId="14" applyNumberFormat="1" applyFont="1" applyFill="1" applyBorder="1" applyAlignment="1">
      <alignment horizontal="center" vertical="center"/>
    </xf>
    <xf numFmtId="0" fontId="10" fillId="0" borderId="7" xfId="0" applyFont="1" applyFill="1" applyBorder="1"/>
    <xf numFmtId="0" fontId="10" fillId="0" borderId="8" xfId="0" applyFont="1" applyFill="1" applyBorder="1"/>
    <xf numFmtId="0" fontId="10" fillId="9" borderId="93" xfId="0" applyFont="1" applyFill="1" applyBorder="1" applyAlignment="1" applyProtection="1">
      <alignment horizontal="center" vertical="center"/>
      <protection locked="0"/>
    </xf>
    <xf numFmtId="0" fontId="10" fillId="9" borderId="94" xfId="0" applyFont="1" applyFill="1" applyBorder="1" applyAlignment="1" applyProtection="1">
      <alignment horizontal="center" vertical="center"/>
      <protection locked="0"/>
    </xf>
    <xf numFmtId="0" fontId="10" fillId="9" borderId="55" xfId="0" applyFont="1" applyFill="1" applyBorder="1" applyAlignment="1" applyProtection="1">
      <alignment horizontal="center" vertical="center"/>
      <protection locked="0"/>
    </xf>
    <xf numFmtId="0" fontId="8" fillId="0" borderId="19" xfId="0" applyFont="1" applyFill="1" applyBorder="1" applyAlignment="1">
      <alignment horizontal="left" vertical="center"/>
    </xf>
    <xf numFmtId="0" fontId="8" fillId="2" borderId="44" xfId="0" applyFont="1" applyFill="1" applyBorder="1" applyAlignment="1">
      <alignment horizontal="center"/>
    </xf>
    <xf numFmtId="0" fontId="8" fillId="2" borderId="87" xfId="0" applyFont="1" applyFill="1" applyBorder="1"/>
    <xf numFmtId="0" fontId="0" fillId="2" borderId="92" xfId="0" applyFont="1" applyFill="1" applyBorder="1"/>
    <xf numFmtId="0" fontId="10" fillId="9" borderId="79" xfId="0" applyFont="1" applyFill="1" applyBorder="1" applyAlignment="1" applyProtection="1">
      <alignment horizontal="center"/>
      <protection locked="0"/>
    </xf>
    <xf numFmtId="0" fontId="10" fillId="9" borderId="80" xfId="0" applyFont="1" applyFill="1" applyBorder="1" applyAlignment="1" applyProtection="1">
      <alignment horizontal="center"/>
      <protection locked="0"/>
    </xf>
    <xf numFmtId="0" fontId="10" fillId="9" borderId="50" xfId="0" applyFont="1" applyFill="1" applyBorder="1" applyAlignment="1" applyProtection="1">
      <alignment horizontal="center"/>
      <protection locked="0"/>
    </xf>
    <xf numFmtId="2" fontId="10" fillId="9" borderId="50" xfId="0" applyNumberFormat="1" applyFont="1" applyFill="1" applyBorder="1" applyAlignment="1" applyProtection="1">
      <alignment horizontal="center"/>
      <protection locked="0"/>
    </xf>
    <xf numFmtId="0" fontId="10" fillId="5" borderId="63" xfId="0" applyNumberFormat="1" applyFont="1" applyFill="1" applyBorder="1" applyAlignment="1">
      <alignment horizontal="center"/>
    </xf>
    <xf numFmtId="0" fontId="8" fillId="2" borderId="42" xfId="0" applyFont="1" applyFill="1" applyBorder="1" applyAlignment="1">
      <alignment horizontal="center" vertical="center"/>
    </xf>
    <xf numFmtId="0" fontId="10" fillId="2" borderId="42" xfId="15" applyFont="1" applyFill="1" applyBorder="1" applyAlignment="1" applyProtection="1">
      <alignment horizontal="center" vertical="center" wrapText="1"/>
    </xf>
    <xf numFmtId="0" fontId="10" fillId="2" borderId="49" xfId="15" applyFont="1" applyFill="1" applyBorder="1" applyAlignment="1" applyProtection="1">
      <alignment horizontal="center" wrapText="1"/>
    </xf>
    <xf numFmtId="0" fontId="10" fillId="2" borderId="38" xfId="15" applyFont="1" applyFill="1" applyBorder="1" applyAlignment="1" applyProtection="1">
      <alignment horizontal="center" wrapText="1"/>
    </xf>
    <xf numFmtId="2" fontId="10" fillId="2" borderId="50" xfId="15" applyNumberFormat="1" applyFont="1" applyFill="1" applyBorder="1" applyAlignment="1" applyProtection="1">
      <alignment horizontal="center"/>
    </xf>
    <xf numFmtId="2" fontId="10" fillId="2" borderId="38" xfId="15" applyNumberFormat="1" applyFont="1" applyFill="1" applyBorder="1" applyAlignment="1" applyProtection="1">
      <alignment horizontal="center"/>
    </xf>
    <xf numFmtId="0" fontId="10" fillId="9" borderId="26" xfId="0" applyFont="1" applyFill="1" applyBorder="1" applyAlignment="1" applyProtection="1">
      <alignment horizontal="center"/>
      <protection locked="0"/>
    </xf>
    <xf numFmtId="174" fontId="10" fillId="2" borderId="62" xfId="15" applyNumberFormat="1" applyFont="1" applyFill="1" applyBorder="1" applyAlignment="1" applyProtection="1">
      <alignment horizontal="center"/>
    </xf>
    <xf numFmtId="0" fontId="8" fillId="9" borderId="39" xfId="0" applyFont="1" applyFill="1" applyBorder="1" applyAlignment="1" applyProtection="1">
      <alignment horizontal="center"/>
      <protection locked="0"/>
    </xf>
    <xf numFmtId="0" fontId="10" fillId="2" borderId="48" xfId="0" applyFont="1" applyFill="1" applyBorder="1" applyAlignment="1">
      <alignment horizontal="left"/>
    </xf>
    <xf numFmtId="0" fontId="10" fillId="2" borderId="37" xfId="0" applyFont="1" applyFill="1" applyBorder="1" applyAlignment="1">
      <alignment horizontal="left"/>
    </xf>
    <xf numFmtId="0" fontId="0" fillId="2" borderId="37" xfId="0" applyFont="1" applyFill="1" applyBorder="1"/>
    <xf numFmtId="176" fontId="8" fillId="2" borderId="80" xfId="0" applyNumberFormat="1" applyFont="1" applyFill="1" applyBorder="1" applyAlignment="1">
      <alignment horizontal="center"/>
    </xf>
    <xf numFmtId="0" fontId="8" fillId="2" borderId="76" xfId="0" applyFont="1" applyFill="1" applyBorder="1" applyAlignment="1">
      <alignment horizontal="left"/>
    </xf>
    <xf numFmtId="0" fontId="10" fillId="9" borderId="63" xfId="0" applyNumberFormat="1" applyFont="1" applyFill="1" applyBorder="1" applyAlignment="1" applyProtection="1">
      <alignment horizontal="center"/>
      <protection locked="0"/>
    </xf>
    <xf numFmtId="2" fontId="10" fillId="9" borderId="63" xfId="0" applyNumberFormat="1" applyFont="1" applyFill="1" applyBorder="1" applyAlignment="1" applyProtection="1">
      <alignment horizontal="center"/>
      <protection locked="0"/>
    </xf>
    <xf numFmtId="0" fontId="0" fillId="2" borderId="26" xfId="0" applyFill="1" applyBorder="1"/>
    <xf numFmtId="0" fontId="8" fillId="2" borderId="80" xfId="0" applyFont="1" applyFill="1" applyBorder="1" applyAlignment="1">
      <alignment horizontal="center"/>
    </xf>
    <xf numFmtId="174" fontId="10" fillId="9" borderId="63" xfId="0" applyNumberFormat="1" applyFont="1" applyFill="1" applyBorder="1" applyAlignment="1" applyProtection="1">
      <alignment horizontal="center"/>
      <protection locked="0"/>
    </xf>
    <xf numFmtId="0" fontId="10" fillId="2" borderId="63" xfId="0" applyFont="1" applyFill="1" applyBorder="1" applyAlignment="1">
      <alignment horizontal="center"/>
    </xf>
    <xf numFmtId="175" fontId="10" fillId="2" borderId="63" xfId="0" applyNumberFormat="1" applyFont="1" applyFill="1" applyBorder="1" applyAlignment="1">
      <alignment horizontal="center"/>
    </xf>
    <xf numFmtId="0" fontId="8" fillId="2" borderId="30" xfId="0" applyFont="1" applyFill="1" applyBorder="1" applyAlignment="1">
      <alignment horizontal="left"/>
    </xf>
    <xf numFmtId="0" fontId="0" fillId="2" borderId="30" xfId="0" applyFont="1" applyFill="1" applyBorder="1"/>
    <xf numFmtId="175" fontId="10" fillId="2" borderId="41" xfId="0" applyNumberFormat="1" applyFont="1" applyFill="1" applyBorder="1" applyAlignment="1">
      <alignment horizontal="center"/>
    </xf>
    <xf numFmtId="0" fontId="10" fillId="0" borderId="48" xfId="0" applyFont="1" applyFill="1" applyBorder="1" applyAlignment="1">
      <alignment horizontal="left"/>
    </xf>
    <xf numFmtId="0" fontId="10" fillId="0" borderId="37" xfId="0" applyFont="1" applyFill="1" applyBorder="1" applyAlignment="1">
      <alignment horizontal="left"/>
    </xf>
    <xf numFmtId="176" fontId="8" fillId="0" borderId="80" xfId="0" applyNumberFormat="1" applyFont="1" applyFill="1" applyBorder="1" applyAlignment="1">
      <alignment horizontal="center"/>
    </xf>
    <xf numFmtId="0" fontId="8" fillId="0" borderId="76" xfId="0" applyFont="1" applyFill="1" applyBorder="1" applyAlignment="1">
      <alignment horizontal="left"/>
    </xf>
    <xf numFmtId="0" fontId="8" fillId="0" borderId="63" xfId="0" applyFont="1" applyFill="1" applyBorder="1" applyAlignment="1">
      <alignment horizontal="center"/>
    </xf>
    <xf numFmtId="0" fontId="8" fillId="0" borderId="76" xfId="0" applyFont="1" applyFill="1" applyBorder="1" applyAlignment="1">
      <alignment vertical="center"/>
    </xf>
    <xf numFmtId="1" fontId="10" fillId="9" borderId="63" xfId="0" applyNumberFormat="1" applyFont="1" applyFill="1" applyBorder="1" applyAlignment="1" applyProtection="1">
      <alignment horizontal="center"/>
      <protection locked="0"/>
    </xf>
    <xf numFmtId="0" fontId="8" fillId="0" borderId="76" xfId="0" applyFont="1" applyFill="1" applyBorder="1"/>
    <xf numFmtId="0" fontId="8" fillId="0" borderId="47" xfId="0" applyFont="1" applyFill="1" applyBorder="1"/>
    <xf numFmtId="0" fontId="8" fillId="0" borderId="30" xfId="0" applyFont="1" applyFill="1" applyBorder="1"/>
    <xf numFmtId="0" fontId="10" fillId="0" borderId="41" xfId="0" applyNumberFormat="1" applyFont="1" applyFill="1" applyBorder="1" applyAlignment="1">
      <alignment horizontal="center"/>
    </xf>
    <xf numFmtId="0" fontId="26" fillId="13" borderId="62" xfId="0" applyFont="1" applyFill="1" applyBorder="1" applyAlignment="1">
      <alignment horizontal="center" vertical="center"/>
    </xf>
    <xf numFmtId="0" fontId="26" fillId="0" borderId="63" xfId="0" applyFont="1" applyBorder="1" applyAlignment="1">
      <alignment horizontal="center" vertical="center"/>
    </xf>
    <xf numFmtId="2" fontId="26" fillId="10" borderId="80" xfId="0" applyNumberFormat="1" applyFont="1" applyFill="1" applyBorder="1" applyAlignment="1">
      <alignment horizontal="center"/>
    </xf>
    <xf numFmtId="175" fontId="8" fillId="8" borderId="35" xfId="0" applyNumberFormat="1" applyFont="1" applyFill="1" applyBorder="1" applyAlignment="1">
      <alignment horizontal="center"/>
    </xf>
    <xf numFmtId="177" fontId="8" fillId="8" borderId="29" xfId="0" applyNumberFormat="1" applyFont="1" applyFill="1" applyBorder="1" applyAlignment="1" applyProtection="1">
      <alignment horizontal="center"/>
    </xf>
    <xf numFmtId="2" fontId="8" fillId="8" borderId="15" xfId="0" applyNumberFormat="1" applyFont="1" applyFill="1" applyBorder="1" applyAlignment="1" applyProtection="1">
      <alignment horizontal="center"/>
    </xf>
    <xf numFmtId="2" fontId="8" fillId="8" borderId="3" xfId="0" applyNumberFormat="1" applyFont="1" applyFill="1" applyBorder="1" applyAlignment="1" applyProtection="1">
      <alignment horizontal="center"/>
    </xf>
    <xf numFmtId="2" fontId="8" fillId="8" borderId="50" xfId="0" applyNumberFormat="1" applyFont="1" applyFill="1" applyBorder="1" applyAlignment="1" applyProtection="1">
      <alignment horizontal="center"/>
    </xf>
    <xf numFmtId="177" fontId="8" fillId="8" borderId="65" xfId="0" applyNumberFormat="1" applyFont="1" applyFill="1" applyBorder="1" applyAlignment="1" applyProtection="1">
      <alignment horizontal="center"/>
    </xf>
    <xf numFmtId="177" fontId="8" fillId="8" borderId="44" xfId="0" applyNumberFormat="1" applyFont="1" applyFill="1" applyBorder="1" applyAlignment="1" applyProtection="1">
      <alignment horizontal="center"/>
    </xf>
    <xf numFmtId="174" fontId="8" fillId="8" borderId="26" xfId="0" applyNumberFormat="1" applyFont="1" applyFill="1" applyBorder="1" applyAlignment="1" applyProtection="1">
      <alignment horizontal="center"/>
    </xf>
    <xf numFmtId="2" fontId="8" fillId="8" borderId="62" xfId="0" applyNumberFormat="1" applyFont="1" applyFill="1" applyBorder="1" applyAlignment="1" applyProtection="1">
      <alignment horizontal="center"/>
    </xf>
    <xf numFmtId="0" fontId="0" fillId="2" borderId="0" xfId="0" applyFont="1" applyFill="1" applyProtection="1"/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176" fontId="8" fillId="2" borderId="0" xfId="0" applyNumberFormat="1" applyFont="1" applyFill="1" applyBorder="1" applyAlignment="1" applyProtection="1">
      <alignment horizontal="center"/>
    </xf>
    <xf numFmtId="0" fontId="8" fillId="2" borderId="19" xfId="0" applyFont="1" applyFill="1" applyBorder="1" applyProtection="1"/>
    <xf numFmtId="0" fontId="0" fillId="2" borderId="22" xfId="0" applyFont="1" applyFill="1" applyBorder="1" applyProtection="1"/>
    <xf numFmtId="0" fontId="10" fillId="5" borderId="19" xfId="0" applyFont="1" applyFill="1" applyBorder="1" applyAlignment="1" applyProtection="1">
      <alignment horizontal="center"/>
    </xf>
    <xf numFmtId="0" fontId="10" fillId="2" borderId="4" xfId="0" applyFont="1" applyFill="1" applyBorder="1" applyAlignment="1" applyProtection="1">
      <alignment horizontal="center"/>
    </xf>
    <xf numFmtId="0" fontId="10" fillId="2" borderId="0" xfId="0" applyFont="1" applyFill="1" applyBorder="1" applyAlignment="1" applyProtection="1">
      <alignment horizontal="center"/>
    </xf>
    <xf numFmtId="0" fontId="8" fillId="2" borderId="6" xfId="0" applyFont="1" applyFill="1" applyBorder="1" applyProtection="1"/>
    <xf numFmtId="0" fontId="10" fillId="5" borderId="9" xfId="0" applyNumberFormat="1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horizontal="center"/>
    </xf>
    <xf numFmtId="0" fontId="8" fillId="5" borderId="19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3" xfId="0" applyFont="1" applyFill="1" applyBorder="1" applyProtection="1"/>
    <xf numFmtId="0" fontId="8" fillId="2" borderId="3" xfId="0" applyFont="1" applyFill="1" applyBorder="1" applyAlignment="1" applyProtection="1">
      <alignment horizontal="left"/>
    </xf>
    <xf numFmtId="2" fontId="10" fillId="2" borderId="4" xfId="0" applyNumberFormat="1" applyFont="1" applyFill="1" applyBorder="1" applyAlignment="1" applyProtection="1">
      <alignment horizontal="center"/>
    </xf>
    <xf numFmtId="2" fontId="10" fillId="2" borderId="0" xfId="0" applyNumberFormat="1" applyFon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left"/>
    </xf>
    <xf numFmtId="0" fontId="10" fillId="2" borderId="4" xfId="0" applyNumberFormat="1" applyFont="1" applyFill="1" applyBorder="1" applyAlignment="1" applyProtection="1">
      <alignment horizontal="center"/>
    </xf>
    <xf numFmtId="0" fontId="10" fillId="2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left"/>
    </xf>
    <xf numFmtId="0" fontId="10" fillId="5" borderId="11" xfId="0" applyNumberFormat="1" applyFont="1" applyFill="1" applyBorder="1" applyAlignment="1" applyProtection="1">
      <alignment horizontal="center"/>
    </xf>
    <xf numFmtId="0" fontId="8" fillId="2" borderId="26" xfId="0" applyFont="1" applyFill="1" applyBorder="1" applyAlignment="1" applyProtection="1">
      <alignment horizontal="left"/>
    </xf>
    <xf numFmtId="0" fontId="10" fillId="5" borderId="54" xfId="0" applyNumberFormat="1" applyFont="1" applyFill="1" applyBorder="1" applyAlignment="1" applyProtection="1">
      <alignment horizontal="center"/>
    </xf>
    <xf numFmtId="0" fontId="8" fillId="2" borderId="23" xfId="0" applyFont="1" applyFill="1" applyBorder="1" applyAlignment="1" applyProtection="1">
      <alignment horizontal="center"/>
    </xf>
    <xf numFmtId="0" fontId="23" fillId="2" borderId="0" xfId="0" applyFont="1" applyFill="1" applyAlignment="1" applyProtection="1">
      <alignment horizontal="center"/>
    </xf>
    <xf numFmtId="0" fontId="8" fillId="2" borderId="0" xfId="0" applyFont="1" applyFill="1" applyProtection="1"/>
    <xf numFmtId="0" fontId="23" fillId="2" borderId="0" xfId="0" applyFont="1" applyFill="1" applyProtection="1"/>
    <xf numFmtId="0" fontId="0" fillId="2" borderId="0" xfId="0" applyFill="1" applyProtection="1"/>
    <xf numFmtId="0" fontId="8" fillId="2" borderId="18" xfId="0" applyFont="1" applyFill="1" applyBorder="1" applyProtection="1"/>
    <xf numFmtId="0" fontId="8" fillId="2" borderId="9" xfId="0" applyFont="1" applyFill="1" applyBorder="1" applyProtection="1"/>
    <xf numFmtId="0" fontId="8" fillId="2" borderId="9" xfId="0" applyFont="1" applyFill="1" applyBorder="1" applyAlignment="1" applyProtection="1">
      <alignment horizontal="left"/>
    </xf>
    <xf numFmtId="0" fontId="8" fillId="2" borderId="4" xfId="0" applyFont="1" applyFill="1" applyBorder="1" applyProtection="1"/>
    <xf numFmtId="0" fontId="8" fillId="2" borderId="23" xfId="0" applyFont="1" applyFill="1" applyBorder="1" applyProtection="1"/>
    <xf numFmtId="0" fontId="8" fillId="2" borderId="0" xfId="0" applyFont="1" applyFill="1" applyBorder="1" applyProtection="1"/>
    <xf numFmtId="17" fontId="8" fillId="0" borderId="0" xfId="0" applyNumberFormat="1" applyFont="1"/>
    <xf numFmtId="0" fontId="23" fillId="2" borderId="4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0" fontId="23" fillId="12" borderId="8" xfId="0" applyFont="1" applyFill="1" applyBorder="1" applyAlignment="1">
      <alignment horizontal="center" vertical="center" wrapText="1"/>
    </xf>
    <xf numFmtId="0" fontId="23" fillId="12" borderId="68" xfId="0" applyFont="1" applyFill="1" applyBorder="1" applyAlignment="1">
      <alignment horizontal="center" vertical="center" wrapText="1"/>
    </xf>
    <xf numFmtId="0" fontId="23" fillId="12" borderId="27" xfId="0" applyFont="1" applyFill="1" applyBorder="1" applyAlignment="1">
      <alignment horizontal="center"/>
    </xf>
    <xf numFmtId="0" fontId="23" fillId="12" borderId="59" xfId="0" applyFont="1" applyFill="1" applyBorder="1" applyAlignment="1">
      <alignment horizontal="center"/>
    </xf>
    <xf numFmtId="0" fontId="23" fillId="12" borderId="7" xfId="14" applyFont="1" applyFill="1" applyBorder="1" applyAlignment="1">
      <alignment horizontal="center" vertical="center"/>
    </xf>
    <xf numFmtId="0" fontId="23" fillId="12" borderId="8" xfId="14" applyFont="1" applyFill="1" applyBorder="1" applyAlignment="1">
      <alignment horizontal="center" vertical="center"/>
    </xf>
    <xf numFmtId="0" fontId="10" fillId="12" borderId="68" xfId="14" applyFont="1" applyFill="1" applyBorder="1" applyAlignment="1">
      <alignment vertical="center"/>
    </xf>
    <xf numFmtId="0" fontId="10" fillId="2" borderId="15" xfId="14" applyFont="1" applyFill="1" applyBorder="1" applyAlignment="1">
      <alignment horizontal="left" vertical="center"/>
    </xf>
    <xf numFmtId="0" fontId="10" fillId="2" borderId="17" xfId="14" applyFont="1" applyFill="1" applyBorder="1" applyAlignment="1">
      <alignment horizontal="left" vertical="center"/>
    </xf>
    <xf numFmtId="0" fontId="23" fillId="12" borderId="27" xfId="14" applyFont="1" applyFill="1" applyBorder="1" applyAlignment="1">
      <alignment horizontal="center" vertical="top"/>
    </xf>
    <xf numFmtId="0" fontId="23" fillId="12" borderId="23" xfId="14" applyFont="1" applyFill="1" applyBorder="1" applyAlignment="1">
      <alignment horizontal="center" vertical="top"/>
    </xf>
    <xf numFmtId="0" fontId="23" fillId="12" borderId="24" xfId="14" applyFont="1" applyFill="1" applyBorder="1" applyAlignment="1">
      <alignment horizontal="center" vertical="top"/>
    </xf>
    <xf numFmtId="0" fontId="10" fillId="12" borderId="26" xfId="14" applyFont="1" applyFill="1" applyBorder="1" applyAlignment="1">
      <alignment horizontal="left" vertical="top" wrapText="1"/>
    </xf>
    <xf numFmtId="0" fontId="10" fillId="12" borderId="0" xfId="14" applyFont="1" applyFill="1" applyBorder="1" applyAlignment="1">
      <alignment horizontal="left" vertical="top" wrapText="1"/>
    </xf>
    <xf numFmtId="0" fontId="23" fillId="2" borderId="0" xfId="14" applyFont="1" applyFill="1" applyBorder="1" applyAlignment="1">
      <alignment horizontal="center"/>
    </xf>
    <xf numFmtId="0" fontId="10" fillId="2" borderId="0" xfId="14" applyFont="1" applyFill="1" applyBorder="1" applyAlignment="1"/>
    <xf numFmtId="0" fontId="23" fillId="12" borderId="8" xfId="14" applyFont="1" applyFill="1" applyBorder="1" applyAlignment="1">
      <alignment horizontal="center" vertical="top" wrapText="1"/>
    </xf>
    <xf numFmtId="0" fontId="23" fillId="12" borderId="68" xfId="14" applyFont="1" applyFill="1" applyBorder="1" applyAlignment="1">
      <alignment horizontal="center" vertical="top" wrapText="1"/>
    </xf>
    <xf numFmtId="0" fontId="10" fillId="12" borderId="23" xfId="14" applyFont="1" applyFill="1" applyBorder="1" applyAlignment="1">
      <alignment horizontal="left" vertical="top" wrapText="1"/>
    </xf>
    <xf numFmtId="11" fontId="10" fillId="12" borderId="0" xfId="14" applyNumberFormat="1" applyFont="1" applyFill="1" applyBorder="1" applyAlignment="1">
      <alignment horizontal="center" vertical="top" wrapText="1"/>
    </xf>
    <xf numFmtId="11" fontId="10" fillId="12" borderId="21" xfId="14" applyNumberFormat="1" applyFont="1" applyFill="1" applyBorder="1" applyAlignment="1">
      <alignment horizontal="center" vertical="top" wrapText="1"/>
    </xf>
    <xf numFmtId="11" fontId="10" fillId="12" borderId="26" xfId="14" applyNumberFormat="1" applyFont="1" applyFill="1" applyBorder="1" applyAlignment="1">
      <alignment horizontal="center" vertical="top" wrapText="1"/>
    </xf>
    <xf numFmtId="11" fontId="10" fillId="12" borderId="2" xfId="14" applyNumberFormat="1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/>
    </xf>
    <xf numFmtId="0" fontId="23" fillId="12" borderId="11" xfId="0" applyFont="1" applyFill="1" applyBorder="1" applyAlignment="1">
      <alignment horizontal="center"/>
    </xf>
    <xf numFmtId="0" fontId="23" fillId="12" borderId="0" xfId="0" applyFont="1" applyFill="1" applyBorder="1" applyAlignment="1">
      <alignment horizontal="center"/>
    </xf>
    <xf numFmtId="0" fontId="10" fillId="12" borderId="26" xfId="0" applyFont="1" applyFill="1" applyBorder="1" applyAlignment="1">
      <alignment horizontal="right" vertical="top" wrapText="1"/>
    </xf>
    <xf numFmtId="0" fontId="10" fillId="12" borderId="2" xfId="0" applyFont="1" applyFill="1" applyBorder="1" applyAlignment="1">
      <alignment horizontal="right" vertical="top" wrapText="1"/>
    </xf>
    <xf numFmtId="0" fontId="23" fillId="12" borderId="23" xfId="0" applyFont="1" applyFill="1" applyBorder="1" applyAlignment="1">
      <alignment horizontal="center"/>
    </xf>
    <xf numFmtId="0" fontId="23" fillId="12" borderId="7" xfId="14" applyFont="1" applyFill="1" applyBorder="1" applyAlignment="1">
      <alignment horizontal="center"/>
    </xf>
    <xf numFmtId="0" fontId="23" fillId="12" borderId="8" xfId="14" applyFont="1" applyFill="1" applyBorder="1" applyAlignment="1">
      <alignment horizontal="center"/>
    </xf>
    <xf numFmtId="0" fontId="23" fillId="12" borderId="68" xfId="14" applyFont="1" applyFill="1" applyBorder="1" applyAlignment="1">
      <alignment horizontal="center"/>
    </xf>
    <xf numFmtId="0" fontId="23" fillId="12" borderId="7" xfId="0" applyFont="1" applyFill="1" applyBorder="1" applyAlignment="1">
      <alignment horizontal="center"/>
    </xf>
    <xf numFmtId="0" fontId="23" fillId="12" borderId="8" xfId="0" applyFont="1" applyFill="1" applyBorder="1" applyAlignment="1">
      <alignment horizontal="center"/>
    </xf>
    <xf numFmtId="0" fontId="23" fillId="12" borderId="68" xfId="0" applyFont="1" applyFill="1" applyBorder="1" applyAlignment="1">
      <alignment horizontal="center"/>
    </xf>
    <xf numFmtId="0" fontId="10" fillId="12" borderId="0" xfId="0" applyFont="1" applyFill="1" applyBorder="1" applyAlignment="1">
      <alignment horizontal="right" vertical="top" wrapText="1"/>
    </xf>
    <xf numFmtId="0" fontId="10" fillId="12" borderId="21" xfId="0" applyFont="1" applyFill="1" applyBorder="1" applyAlignment="1">
      <alignment horizontal="right" vertical="top" wrapText="1"/>
    </xf>
    <xf numFmtId="0" fontId="10" fillId="2" borderId="42" xfId="14" applyFont="1" applyFill="1" applyBorder="1" applyAlignment="1">
      <alignment horizontal="left" vertical="center"/>
    </xf>
    <xf numFmtId="0" fontId="10" fillId="2" borderId="44" xfId="14" applyFont="1" applyFill="1" applyBorder="1" applyAlignment="1">
      <alignment horizontal="left" vertical="center"/>
    </xf>
    <xf numFmtId="0" fontId="10" fillId="2" borderId="15" xfId="14" applyFont="1" applyFill="1" applyBorder="1" applyAlignment="1">
      <alignment vertical="center"/>
    </xf>
    <xf numFmtId="0" fontId="10" fillId="2" borderId="17" xfId="14" applyFont="1" applyFill="1" applyBorder="1" applyAlignment="1">
      <alignment vertical="center"/>
    </xf>
    <xf numFmtId="2" fontId="26" fillId="2" borderId="27" xfId="0" applyNumberFormat="1" applyFont="1" applyFill="1" applyBorder="1" applyAlignment="1">
      <alignment horizontal="center"/>
    </xf>
    <xf numFmtId="2" fontId="26" fillId="2" borderId="24" xfId="0" applyNumberFormat="1" applyFont="1" applyFill="1" applyBorder="1" applyAlignment="1">
      <alignment horizontal="center"/>
    </xf>
    <xf numFmtId="0" fontId="59" fillId="8" borderId="25" xfId="0" applyFont="1" applyFill="1" applyBorder="1" applyAlignment="1">
      <alignment horizontal="center"/>
    </xf>
    <xf numFmtId="0" fontId="59" fillId="8" borderId="26" xfId="0" applyFont="1" applyFill="1" applyBorder="1" applyAlignment="1">
      <alignment horizontal="center"/>
    </xf>
    <xf numFmtId="0" fontId="59" fillId="8" borderId="2" xfId="0" applyFont="1" applyFill="1" applyBorder="1" applyAlignment="1">
      <alignment horizontal="center"/>
    </xf>
    <xf numFmtId="0" fontId="59" fillId="10" borderId="7" xfId="0" applyFont="1" applyFill="1" applyBorder="1" applyAlignment="1">
      <alignment horizontal="center"/>
    </xf>
    <xf numFmtId="0" fontId="59" fillId="10" borderId="8" xfId="0" applyFont="1" applyFill="1" applyBorder="1" applyAlignment="1">
      <alignment horizontal="center"/>
    </xf>
    <xf numFmtId="0" fontId="59" fillId="10" borderId="68" xfId="0" applyFont="1" applyFill="1" applyBorder="1" applyAlignment="1">
      <alignment horizontal="center"/>
    </xf>
    <xf numFmtId="2" fontId="26" fillId="10" borderId="47" xfId="0" applyNumberFormat="1" applyFont="1" applyFill="1" applyBorder="1" applyAlignment="1">
      <alignment horizontal="center"/>
    </xf>
    <xf numFmtId="2" fontId="26" fillId="10" borderId="91" xfId="0" applyNumberFormat="1" applyFont="1" applyFill="1" applyBorder="1" applyAlignment="1">
      <alignment horizontal="center"/>
    </xf>
    <xf numFmtId="0" fontId="58" fillId="8" borderId="7" xfId="0" applyFont="1" applyFill="1" applyBorder="1" applyAlignment="1">
      <alignment horizontal="center" vertical="center"/>
    </xf>
    <xf numFmtId="0" fontId="58" fillId="8" borderId="8" xfId="0" applyFont="1" applyFill="1" applyBorder="1" applyAlignment="1">
      <alignment horizontal="center" vertical="center"/>
    </xf>
    <xf numFmtId="0" fontId="58" fillId="8" borderId="68" xfId="0" applyFont="1" applyFill="1" applyBorder="1" applyAlignment="1">
      <alignment horizontal="center" vertical="center"/>
    </xf>
    <xf numFmtId="0" fontId="59" fillId="10" borderId="25" xfId="0" applyFont="1" applyFill="1" applyBorder="1" applyAlignment="1">
      <alignment horizontal="center"/>
    </xf>
    <xf numFmtId="0" fontId="59" fillId="10" borderId="26" xfId="0" applyFont="1" applyFill="1" applyBorder="1" applyAlignment="1">
      <alignment horizontal="center"/>
    </xf>
    <xf numFmtId="0" fontId="59" fillId="10" borderId="2" xfId="0" applyFont="1" applyFill="1" applyBorder="1" applyAlignment="1">
      <alignment horizontal="center"/>
    </xf>
    <xf numFmtId="0" fontId="26" fillId="5" borderId="78" xfId="0" applyFont="1" applyFill="1" applyBorder="1" applyAlignment="1">
      <alignment horizontal="center" vertical="center"/>
    </xf>
    <xf numFmtId="0" fontId="26" fillId="5" borderId="31" xfId="0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0" fontId="26" fillId="5" borderId="53" xfId="0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center"/>
    </xf>
    <xf numFmtId="0" fontId="26" fillId="2" borderId="23" xfId="0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center"/>
    </xf>
    <xf numFmtId="0" fontId="26" fillId="2" borderId="24" xfId="0" applyFont="1" applyFill="1" applyBorder="1" applyAlignment="1">
      <alignment horizontal="center"/>
    </xf>
    <xf numFmtId="2" fontId="26" fillId="10" borderId="76" xfId="0" applyNumberFormat="1" applyFont="1" applyFill="1" applyBorder="1" applyAlignment="1">
      <alignment horizontal="center"/>
    </xf>
    <xf numFmtId="2" fontId="26" fillId="10" borderId="39" xfId="0" applyNumberFormat="1" applyFont="1" applyFill="1" applyBorder="1" applyAlignment="1">
      <alignment horizontal="center"/>
    </xf>
    <xf numFmtId="0" fontId="26" fillId="10" borderId="48" xfId="0" applyFont="1" applyFill="1" applyBorder="1" applyAlignment="1">
      <alignment horizontal="center"/>
    </xf>
    <xf numFmtId="0" fontId="26" fillId="10" borderId="83" xfId="0" applyFont="1" applyFill="1" applyBorder="1" applyAlignment="1">
      <alignment horizontal="center"/>
    </xf>
    <xf numFmtId="0" fontId="26" fillId="5" borderId="42" xfId="0" applyFont="1" applyFill="1" applyBorder="1" applyAlignment="1">
      <alignment horizontal="left" vertical="center"/>
    </xf>
    <xf numFmtId="0" fontId="26" fillId="5" borderId="16" xfId="0" applyFont="1" applyFill="1" applyBorder="1" applyAlignment="1">
      <alignment horizontal="left" vertical="center"/>
    </xf>
    <xf numFmtId="0" fontId="26" fillId="5" borderId="44" xfId="0" applyFont="1" applyFill="1" applyBorder="1" applyAlignment="1">
      <alignment horizontal="left" vertical="center"/>
    </xf>
    <xf numFmtId="0" fontId="26" fillId="5" borderId="15" xfId="0" applyFont="1" applyFill="1" applyBorder="1" applyAlignment="1">
      <alignment horizontal="left" vertical="center"/>
    </xf>
    <xf numFmtId="0" fontId="58" fillId="7" borderId="7" xfId="0" applyFont="1" applyFill="1" applyBorder="1" applyAlignment="1">
      <alignment horizontal="center" vertical="center"/>
    </xf>
    <xf numFmtId="0" fontId="58" fillId="7" borderId="8" xfId="0" applyFont="1" applyFill="1" applyBorder="1" applyAlignment="1">
      <alignment horizontal="center" vertical="center"/>
    </xf>
    <xf numFmtId="0" fontId="58" fillId="7" borderId="68" xfId="0" applyFont="1" applyFill="1" applyBorder="1" applyAlignment="1">
      <alignment horizontal="center" vertical="center"/>
    </xf>
    <xf numFmtId="0" fontId="51" fillId="7" borderId="7" xfId="0" applyFont="1" applyFill="1" applyBorder="1" applyAlignment="1">
      <alignment horizontal="center"/>
    </xf>
    <xf numFmtId="0" fontId="51" fillId="7" borderId="8" xfId="0" applyFont="1" applyFill="1" applyBorder="1" applyAlignment="1">
      <alignment horizontal="center"/>
    </xf>
    <xf numFmtId="0" fontId="51" fillId="7" borderId="68" xfId="0" applyFont="1" applyFill="1" applyBorder="1" applyAlignment="1">
      <alignment horizontal="center"/>
    </xf>
    <xf numFmtId="0" fontId="26" fillId="5" borderId="57" xfId="0" applyFont="1" applyFill="1" applyBorder="1" applyAlignment="1">
      <alignment horizontal="center" vertical="center"/>
    </xf>
    <xf numFmtId="0" fontId="26" fillId="2" borderId="24" xfId="0" applyFont="1" applyFill="1" applyBorder="1" applyAlignment="1">
      <alignment horizontal="center" vertical="center"/>
    </xf>
    <xf numFmtId="0" fontId="58" fillId="10" borderId="7" xfId="0" applyFont="1" applyFill="1" applyBorder="1" applyAlignment="1">
      <alignment horizontal="center" vertical="center"/>
    </xf>
    <xf numFmtId="0" fontId="58" fillId="10" borderId="8" xfId="0" applyFont="1" applyFill="1" applyBorder="1" applyAlignment="1">
      <alignment horizontal="center" vertical="center"/>
    </xf>
    <xf numFmtId="0" fontId="58" fillId="10" borderId="68" xfId="0" applyFont="1" applyFill="1" applyBorder="1" applyAlignment="1">
      <alignment horizontal="center" vertical="center"/>
    </xf>
    <xf numFmtId="0" fontId="26" fillId="5" borderId="9" xfId="0" applyFont="1" applyFill="1" applyBorder="1" applyAlignment="1">
      <alignment horizontal="left" vertical="center"/>
    </xf>
    <xf numFmtId="0" fontId="26" fillId="5" borderId="3" xfId="0" applyFont="1" applyFill="1" applyBorder="1" applyAlignment="1">
      <alignment horizontal="left" vertical="center"/>
    </xf>
    <xf numFmtId="0" fontId="26" fillId="5" borderId="12" xfId="0" applyFont="1" applyFill="1" applyBorder="1" applyAlignment="1">
      <alignment horizontal="left" vertical="center"/>
    </xf>
    <xf numFmtId="0" fontId="26" fillId="5" borderId="5" xfId="0" applyFont="1" applyFill="1" applyBorder="1" applyAlignment="1">
      <alignment horizontal="left" vertical="center"/>
    </xf>
    <xf numFmtId="0" fontId="26" fillId="5" borderId="29" xfId="0" applyFont="1" applyFill="1" applyBorder="1" applyAlignment="1">
      <alignment horizontal="center" vertical="center"/>
    </xf>
    <xf numFmtId="0" fontId="26" fillId="5" borderId="46" xfId="0" applyFont="1" applyFill="1" applyBorder="1" applyAlignment="1">
      <alignment horizontal="center" vertical="center"/>
    </xf>
    <xf numFmtId="0" fontId="13" fillId="5" borderId="29" xfId="0" applyFont="1" applyFill="1" applyBorder="1" applyAlignment="1">
      <alignment horizontal="center" vertical="center"/>
    </xf>
    <xf numFmtId="0" fontId="13" fillId="5" borderId="46" xfId="0" applyFont="1" applyFill="1" applyBorder="1" applyAlignment="1">
      <alignment horizontal="center" vertical="center"/>
    </xf>
    <xf numFmtId="0" fontId="26" fillId="10" borderId="76" xfId="0" applyFont="1" applyFill="1" applyBorder="1" applyAlignment="1">
      <alignment horizontal="center" vertical="center"/>
    </xf>
    <xf numFmtId="0" fontId="26" fillId="10" borderId="39" xfId="0" applyFont="1" applyFill="1" applyBorder="1" applyAlignment="1">
      <alignment horizontal="center" vertical="center"/>
    </xf>
    <xf numFmtId="2" fontId="26" fillId="10" borderId="76" xfId="0" applyNumberFormat="1" applyFont="1" applyFill="1" applyBorder="1" applyAlignment="1">
      <alignment horizontal="center" vertical="center"/>
    </xf>
    <xf numFmtId="2" fontId="26" fillId="10" borderId="39" xfId="0" applyNumberFormat="1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0" fillId="9" borderId="20" xfId="0" applyFont="1" applyFill="1" applyBorder="1" applyAlignment="1" applyProtection="1">
      <alignment horizontal="center" vertical="center"/>
      <protection locked="0"/>
    </xf>
    <xf numFmtId="0" fontId="10" fillId="9" borderId="67" xfId="0" applyFont="1" applyFill="1" applyBorder="1" applyAlignment="1" applyProtection="1">
      <alignment horizontal="center" vertical="center"/>
      <protection locked="0"/>
    </xf>
    <xf numFmtId="0" fontId="10" fillId="9" borderId="15" xfId="0" applyFont="1" applyFill="1" applyBorder="1" applyAlignment="1" applyProtection="1">
      <alignment horizontal="center" vertical="center"/>
      <protection locked="0"/>
    </xf>
    <xf numFmtId="0" fontId="10" fillId="9" borderId="16" xfId="0" applyFont="1" applyFill="1" applyBorder="1" applyAlignment="1" applyProtection="1">
      <alignment horizontal="center" vertical="center"/>
      <protection locked="0"/>
    </xf>
    <xf numFmtId="0" fontId="10" fillId="9" borderId="17" xfId="0" applyFont="1" applyFill="1" applyBorder="1" applyAlignment="1" applyProtection="1">
      <alignment horizontal="center" vertical="center"/>
      <protection locked="0"/>
    </xf>
    <xf numFmtId="0" fontId="8" fillId="9" borderId="15" xfId="0" applyFont="1" applyFill="1" applyBorder="1" applyAlignment="1" applyProtection="1">
      <alignment horizontal="left" vertical="center"/>
      <protection locked="0"/>
    </xf>
    <xf numFmtId="0" fontId="8" fillId="9" borderId="16" xfId="0" applyFont="1" applyFill="1" applyBorder="1" applyAlignment="1" applyProtection="1">
      <alignment horizontal="left" vertical="center"/>
      <protection locked="0"/>
    </xf>
    <xf numFmtId="0" fontId="8" fillId="9" borderId="17" xfId="0" applyFont="1" applyFill="1" applyBorder="1" applyAlignment="1" applyProtection="1">
      <alignment horizontal="left" vertical="center"/>
      <protection locked="0"/>
    </xf>
    <xf numFmtId="0" fontId="8" fillId="0" borderId="1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9" borderId="15" xfId="0" applyFont="1" applyFill="1" applyBorder="1" applyAlignment="1" applyProtection="1">
      <alignment horizontal="center" vertical="center"/>
      <protection locked="0"/>
    </xf>
    <xf numFmtId="0" fontId="8" fillId="9" borderId="16" xfId="0" applyFont="1" applyFill="1" applyBorder="1" applyAlignment="1" applyProtection="1">
      <alignment horizontal="center" vertical="center"/>
      <protection locked="0"/>
    </xf>
    <xf numFmtId="0" fontId="8" fillId="9" borderId="17" xfId="0" applyFont="1" applyFill="1" applyBorder="1" applyAlignment="1" applyProtection="1">
      <alignment horizontal="center" vertical="center"/>
      <protection locked="0"/>
    </xf>
    <xf numFmtId="0" fontId="8" fillId="5" borderId="15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10" borderId="11" xfId="0" applyFont="1" applyFill="1" applyBorder="1" applyAlignment="1">
      <alignment horizontal="center"/>
    </xf>
    <xf numFmtId="0" fontId="8" fillId="10" borderId="21" xfId="0" applyFont="1" applyFill="1" applyBorder="1" applyAlignment="1">
      <alignment horizontal="center"/>
    </xf>
    <xf numFmtId="0" fontId="8" fillId="0" borderId="27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9" borderId="15" xfId="0" applyFont="1" applyFill="1" applyBorder="1" applyAlignment="1" applyProtection="1">
      <alignment vertical="center"/>
      <protection locked="0"/>
    </xf>
    <xf numFmtId="0" fontId="8" fillId="9" borderId="16" xfId="0" applyFont="1" applyFill="1" applyBorder="1" applyAlignment="1" applyProtection="1">
      <alignment vertical="center"/>
      <protection locked="0"/>
    </xf>
    <xf numFmtId="0" fontId="8" fillId="9" borderId="17" xfId="0" applyFont="1" applyFill="1" applyBorder="1" applyAlignment="1" applyProtection="1">
      <alignment vertical="center"/>
      <protection locked="0"/>
    </xf>
    <xf numFmtId="0" fontId="8" fillId="9" borderId="15" xfId="0" applyFont="1" applyFill="1" applyBorder="1" applyAlignment="1" applyProtection="1">
      <alignment horizontal="left" vertical="center" wrapText="1"/>
      <protection locked="0"/>
    </xf>
    <xf numFmtId="0" fontId="8" fillId="9" borderId="16" xfId="0" applyFont="1" applyFill="1" applyBorder="1" applyAlignment="1" applyProtection="1">
      <alignment horizontal="left" vertical="center" wrapText="1"/>
      <protection locked="0"/>
    </xf>
    <xf numFmtId="0" fontId="8" fillId="9" borderId="17" xfId="0" applyFont="1" applyFill="1" applyBorder="1" applyAlignment="1" applyProtection="1">
      <alignment horizontal="left" vertical="center" wrapText="1"/>
      <protection locked="0"/>
    </xf>
    <xf numFmtId="0" fontId="8" fillId="0" borderId="17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2" fontId="8" fillId="0" borderId="15" xfId="0" applyNumberFormat="1" applyFont="1" applyFill="1" applyBorder="1" applyAlignment="1">
      <alignment horizontal="center" vertical="center"/>
    </xf>
    <xf numFmtId="2" fontId="8" fillId="0" borderId="73" xfId="0" applyNumberFormat="1" applyFont="1" applyFill="1" applyBorder="1" applyAlignment="1">
      <alignment horizontal="center" vertical="center"/>
    </xf>
    <xf numFmtId="2" fontId="8" fillId="0" borderId="61" xfId="0" applyNumberFormat="1" applyFont="1" applyFill="1" applyBorder="1" applyAlignment="1">
      <alignment horizontal="center" vertical="center"/>
    </xf>
    <xf numFmtId="2" fontId="8" fillId="0" borderId="16" xfId="0" applyNumberFormat="1" applyFont="1" applyFill="1" applyBorder="1" applyAlignment="1">
      <alignment horizontal="center" vertical="center"/>
    </xf>
    <xf numFmtId="2" fontId="8" fillId="0" borderId="17" xfId="0" applyNumberFormat="1" applyFont="1" applyFill="1" applyBorder="1" applyAlignment="1">
      <alignment horizontal="center" vertical="center"/>
    </xf>
    <xf numFmtId="11" fontId="8" fillId="0" borderId="61" xfId="0" applyNumberFormat="1" applyFont="1" applyFill="1" applyBorder="1" applyAlignment="1">
      <alignment horizontal="center" vertical="center"/>
    </xf>
    <xf numFmtId="11" fontId="8" fillId="0" borderId="73" xfId="0" applyNumberFormat="1" applyFont="1" applyFill="1" applyBorder="1" applyAlignment="1">
      <alignment horizontal="center" vertical="center"/>
    </xf>
    <xf numFmtId="11" fontId="8" fillId="0" borderId="15" xfId="0" applyNumberFormat="1" applyFont="1" applyFill="1" applyBorder="1" applyAlignment="1">
      <alignment horizontal="center" vertical="center"/>
    </xf>
    <xf numFmtId="2" fontId="8" fillId="0" borderId="45" xfId="0" applyNumberFormat="1" applyFont="1" applyFill="1" applyBorder="1" applyAlignment="1">
      <alignment horizontal="center" vertical="center"/>
    </xf>
    <xf numFmtId="2" fontId="8" fillId="0" borderId="38" xfId="0" applyNumberFormat="1" applyFont="1" applyFill="1" applyBorder="1" applyAlignment="1">
      <alignment horizontal="center" vertical="center"/>
    </xf>
    <xf numFmtId="2" fontId="8" fillId="8" borderId="52" xfId="0" applyNumberFormat="1" applyFont="1" applyFill="1" applyBorder="1" applyAlignment="1">
      <alignment horizontal="center" vertical="center"/>
    </xf>
    <xf numFmtId="2" fontId="8" fillId="8" borderId="53" xfId="0" applyNumberFormat="1" applyFont="1" applyFill="1" applyBorder="1" applyAlignment="1">
      <alignment horizontal="center" vertical="center"/>
    </xf>
    <xf numFmtId="11" fontId="8" fillId="0" borderId="17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center" wrapText="1"/>
    </xf>
    <xf numFmtId="0" fontId="26" fillId="5" borderId="19" xfId="0" applyFont="1" applyFill="1" applyBorder="1" applyAlignment="1">
      <alignment horizontal="center"/>
    </xf>
    <xf numFmtId="0" fontId="26" fillId="5" borderId="6" xfId="0" applyFont="1" applyFill="1" applyBorder="1" applyAlignment="1">
      <alignment horizontal="center"/>
    </xf>
    <xf numFmtId="0" fontId="26" fillId="5" borderId="22" xfId="0" applyFont="1" applyFill="1" applyBorder="1" applyAlignment="1">
      <alignment horizontal="center"/>
    </xf>
    <xf numFmtId="0" fontId="26" fillId="5" borderId="39" xfId="0" applyFont="1" applyFill="1" applyBorder="1" applyAlignment="1">
      <alignment horizontal="center"/>
    </xf>
    <xf numFmtId="2" fontId="8" fillId="0" borderId="50" xfId="0" applyNumberFormat="1" applyFont="1" applyFill="1" applyBorder="1" applyAlignment="1">
      <alignment horizontal="center" vertical="center"/>
    </xf>
    <xf numFmtId="2" fontId="8" fillId="0" borderId="69" xfId="0" applyNumberFormat="1" applyFont="1" applyFill="1" applyBorder="1" applyAlignment="1">
      <alignment horizontal="center" vertical="center"/>
    </xf>
    <xf numFmtId="2" fontId="8" fillId="8" borderId="57" xfId="0" applyNumberFormat="1" applyFont="1" applyFill="1" applyBorder="1" applyAlignment="1">
      <alignment horizontal="center" vertical="center"/>
    </xf>
    <xf numFmtId="2" fontId="8" fillId="8" borderId="31" xfId="0" applyNumberFormat="1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/>
    </xf>
    <xf numFmtId="0" fontId="8" fillId="8" borderId="23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2" fontId="8" fillId="8" borderId="58" xfId="0" applyNumberFormat="1" applyFont="1" applyFill="1" applyBorder="1" applyAlignment="1">
      <alignment horizontal="center" vertical="center"/>
    </xf>
    <xf numFmtId="0" fontId="8" fillId="2" borderId="67" xfId="0" applyFont="1" applyFill="1" applyBorder="1" applyAlignment="1">
      <alignment horizontal="center" vertical="center" wrapText="1"/>
    </xf>
    <xf numFmtId="0" fontId="8" fillId="2" borderId="66" xfId="0" applyFont="1" applyFill="1" applyBorder="1" applyAlignment="1">
      <alignment horizontal="center" vertical="center" wrapText="1"/>
    </xf>
    <xf numFmtId="0" fontId="10" fillId="9" borderId="66" xfId="0" applyFont="1" applyFill="1" applyBorder="1" applyAlignment="1" applyProtection="1">
      <alignment horizontal="center" vertical="center"/>
      <protection locked="0"/>
    </xf>
    <xf numFmtId="0" fontId="10" fillId="0" borderId="67" xfId="0" applyFont="1" applyFill="1" applyBorder="1" applyAlignment="1">
      <alignment horizontal="center" vertical="center"/>
    </xf>
    <xf numFmtId="0" fontId="10" fillId="0" borderId="66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2" fontId="8" fillId="0" borderId="32" xfId="0" applyNumberFormat="1" applyFont="1" applyFill="1" applyBorder="1" applyAlignment="1">
      <alignment horizontal="center" vertical="center"/>
    </xf>
    <xf numFmtId="11" fontId="8" fillId="0" borderId="16" xfId="0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/>
    <xf numFmtId="0" fontId="0" fillId="0" borderId="16" xfId="0" applyFont="1" applyFill="1" applyBorder="1" applyAlignment="1"/>
    <xf numFmtId="1" fontId="10" fillId="9" borderId="15" xfId="0" applyNumberFormat="1" applyFont="1" applyFill="1" applyBorder="1" applyAlignment="1" applyProtection="1">
      <alignment horizontal="center" vertical="center"/>
      <protection locked="0"/>
    </xf>
    <xf numFmtId="1" fontId="10" fillId="9" borderId="16" xfId="0" applyNumberFormat="1" applyFont="1" applyFill="1" applyBorder="1" applyAlignment="1" applyProtection="1">
      <alignment horizontal="center" vertical="center"/>
      <protection locked="0"/>
    </xf>
    <xf numFmtId="1" fontId="10" fillId="9" borderId="17" xfId="0" applyNumberFormat="1" applyFont="1" applyFill="1" applyBorder="1" applyAlignment="1" applyProtection="1">
      <alignment horizontal="center" vertical="center"/>
      <protection locked="0"/>
    </xf>
    <xf numFmtId="1" fontId="10" fillId="0" borderId="15" xfId="0" applyNumberFormat="1" applyFont="1" applyFill="1" applyBorder="1" applyAlignment="1">
      <alignment horizontal="center" vertical="center"/>
    </xf>
    <xf numFmtId="1" fontId="10" fillId="0" borderId="16" xfId="0" applyNumberFormat="1" applyFont="1" applyFill="1" applyBorder="1" applyAlignment="1">
      <alignment horizontal="center" vertical="center"/>
    </xf>
    <xf numFmtId="1" fontId="10" fillId="0" borderId="17" xfId="0" applyNumberFormat="1" applyFont="1" applyFill="1" applyBorder="1" applyAlignment="1">
      <alignment horizontal="center" vertical="center"/>
    </xf>
    <xf numFmtId="2" fontId="8" fillId="0" borderId="57" xfId="0" applyNumberFormat="1" applyFont="1" applyFill="1" applyBorder="1" applyAlignment="1">
      <alignment horizontal="center" vertical="center"/>
    </xf>
    <xf numFmtId="2" fontId="8" fillId="0" borderId="58" xfId="0" applyNumberFormat="1" applyFont="1" applyFill="1" applyBorder="1" applyAlignment="1">
      <alignment horizontal="center" vertical="center"/>
    </xf>
    <xf numFmtId="0" fontId="10" fillId="5" borderId="61" xfId="0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2" fontId="10" fillId="0" borderId="61" xfId="0" applyNumberFormat="1" applyFont="1" applyFill="1" applyBorder="1" applyAlignment="1">
      <alignment horizontal="center" vertical="center"/>
    </xf>
    <xf numFmtId="2" fontId="10" fillId="0" borderId="17" xfId="0" applyNumberFormat="1" applyFont="1" applyFill="1" applyBorder="1" applyAlignment="1">
      <alignment horizontal="center" vertical="center"/>
    </xf>
    <xf numFmtId="2" fontId="8" fillId="0" borderId="52" xfId="0" applyNumberFormat="1" applyFont="1" applyFill="1" applyBorder="1" applyAlignment="1">
      <alignment horizontal="center" vertical="center"/>
    </xf>
    <xf numFmtId="2" fontId="8" fillId="0" borderId="33" xfId="0" applyNumberFormat="1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5" borderId="73" xfId="0" applyFont="1" applyFill="1" applyBorder="1" applyAlignment="1">
      <alignment horizontal="center" vertical="center"/>
    </xf>
    <xf numFmtId="0" fontId="10" fillId="9" borderId="73" xfId="0" applyFont="1" applyFill="1" applyBorder="1" applyAlignment="1" applyProtection="1">
      <alignment horizontal="center" vertical="center"/>
      <protection locked="0"/>
    </xf>
    <xf numFmtId="0" fontId="8" fillId="0" borderId="9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10" fillId="9" borderId="15" xfId="0" applyNumberFormat="1" applyFont="1" applyFill="1" applyBorder="1" applyAlignment="1" applyProtection="1">
      <alignment horizontal="center" vertical="center"/>
      <protection locked="0"/>
    </xf>
    <xf numFmtId="0" fontId="10" fillId="9" borderId="16" xfId="0" applyNumberFormat="1" applyFont="1" applyFill="1" applyBorder="1" applyAlignment="1" applyProtection="1">
      <alignment horizontal="center" vertical="center"/>
      <protection locked="0"/>
    </xf>
    <xf numFmtId="0" fontId="8" fillId="2" borderId="17" xfId="0" applyFont="1" applyFill="1" applyBorder="1" applyAlignment="1">
      <alignment horizontal="center" vertical="center" wrapText="1"/>
    </xf>
    <xf numFmtId="0" fontId="10" fillId="9" borderId="95" xfId="0" applyFont="1" applyFill="1" applyBorder="1" applyAlignment="1" applyProtection="1">
      <alignment horizontal="center" vertical="center"/>
      <protection locked="0"/>
    </xf>
    <xf numFmtId="0" fontId="10" fillId="9" borderId="96" xfId="0" applyFont="1" applyFill="1" applyBorder="1" applyAlignment="1" applyProtection="1">
      <alignment horizontal="center" vertical="center"/>
      <protection locked="0"/>
    </xf>
    <xf numFmtId="0" fontId="10" fillId="0" borderId="9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1" fontId="10" fillId="9" borderId="10" xfId="0" applyNumberFormat="1" applyFont="1" applyFill="1" applyBorder="1" applyAlignment="1" applyProtection="1">
      <alignment horizontal="center" vertical="center"/>
      <protection locked="0"/>
    </xf>
    <xf numFmtId="1" fontId="10" fillId="9" borderId="13" xfId="0" applyNumberFormat="1" applyFont="1" applyFill="1" applyBorder="1" applyAlignment="1" applyProtection="1">
      <alignment horizontal="center" vertical="center"/>
      <protection locked="0"/>
    </xf>
    <xf numFmtId="1" fontId="10" fillId="9" borderId="14" xfId="0" applyNumberFormat="1" applyFont="1" applyFill="1" applyBorder="1" applyAlignment="1" applyProtection="1">
      <alignment horizontal="center" vertical="center"/>
      <protection locked="0"/>
    </xf>
    <xf numFmtId="0" fontId="8" fillId="0" borderId="12" xfId="0" applyFont="1" applyFill="1" applyBorder="1" applyAlignment="1">
      <alignment horizontal="center" vertical="center"/>
    </xf>
    <xf numFmtId="2" fontId="0" fillId="0" borderId="15" xfId="0" applyNumberFormat="1" applyFill="1" applyBorder="1" applyAlignment="1">
      <alignment horizontal="center" vertical="center"/>
    </xf>
    <xf numFmtId="2" fontId="0" fillId="0" borderId="17" xfId="0" applyNumberFormat="1" applyFill="1" applyBorder="1" applyAlignment="1">
      <alignment horizontal="center" vertical="center"/>
    </xf>
    <xf numFmtId="0" fontId="10" fillId="9" borderId="84" xfId="0" applyFont="1" applyFill="1" applyBorder="1" applyAlignment="1" applyProtection="1">
      <alignment horizontal="center" vertical="center"/>
      <protection locked="0"/>
    </xf>
    <xf numFmtId="0" fontId="10" fillId="9" borderId="86" xfId="0" applyFont="1" applyFill="1" applyBorder="1" applyAlignment="1" applyProtection="1">
      <alignment horizontal="center" vertical="center"/>
      <protection locked="0"/>
    </xf>
    <xf numFmtId="0" fontId="10" fillId="9" borderId="10" xfId="0" applyFont="1" applyFill="1" applyBorder="1" applyAlignment="1" applyProtection="1">
      <alignment horizontal="center" vertical="center"/>
      <protection locked="0"/>
    </xf>
    <xf numFmtId="0" fontId="10" fillId="9" borderId="13" xfId="0" applyFont="1" applyFill="1" applyBorder="1" applyAlignment="1" applyProtection="1">
      <alignment horizontal="center" vertical="center"/>
      <protection locked="0"/>
    </xf>
    <xf numFmtId="174" fontId="10" fillId="0" borderId="16" xfId="0" applyNumberFormat="1" applyFont="1" applyFill="1" applyBorder="1" applyAlignment="1">
      <alignment horizontal="center" vertical="center"/>
    </xf>
    <xf numFmtId="174" fontId="10" fillId="0" borderId="17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174" fontId="10" fillId="0" borderId="15" xfId="0" applyNumberFormat="1" applyFont="1" applyFill="1" applyBorder="1" applyAlignment="1">
      <alignment horizontal="center" vertical="center"/>
    </xf>
    <xf numFmtId="2" fontId="8" fillId="0" borderId="78" xfId="0" applyNumberFormat="1" applyFont="1" applyFill="1" applyBorder="1" applyAlignment="1">
      <alignment horizontal="center" vertical="center"/>
    </xf>
    <xf numFmtId="0" fontId="10" fillId="9" borderId="84" xfId="0" applyNumberFormat="1" applyFont="1" applyFill="1" applyBorder="1" applyAlignment="1" applyProtection="1">
      <alignment horizontal="center" vertical="center"/>
      <protection locked="0"/>
    </xf>
    <xf numFmtId="0" fontId="10" fillId="9" borderId="86" xfId="0" applyNumberFormat="1" applyFont="1" applyFill="1" applyBorder="1" applyAlignment="1" applyProtection="1">
      <alignment horizontal="center" vertical="center"/>
      <protection locked="0"/>
    </xf>
    <xf numFmtId="1" fontId="10" fillId="9" borderId="84" xfId="0" applyNumberFormat="1" applyFont="1" applyFill="1" applyBorder="1" applyAlignment="1" applyProtection="1">
      <alignment horizontal="center" vertical="center"/>
      <protection locked="0"/>
    </xf>
    <xf numFmtId="1" fontId="10" fillId="9" borderId="86" xfId="0" applyNumberFormat="1" applyFont="1" applyFill="1" applyBorder="1" applyAlignment="1" applyProtection="1">
      <alignment horizontal="center" vertical="center"/>
      <protection locked="0"/>
    </xf>
    <xf numFmtId="2" fontId="8" fillId="0" borderId="31" xfId="0" applyNumberFormat="1" applyFont="1" applyFill="1" applyBorder="1" applyAlignment="1">
      <alignment horizontal="center" vertical="center"/>
    </xf>
    <xf numFmtId="0" fontId="10" fillId="9" borderId="9" xfId="0" applyFont="1" applyFill="1" applyBorder="1" applyAlignment="1" applyProtection="1">
      <alignment horizontal="center" vertical="center"/>
      <protection locked="0"/>
    </xf>
    <xf numFmtId="0" fontId="10" fillId="9" borderId="11" xfId="0" applyFont="1" applyFill="1" applyBorder="1" applyAlignment="1" applyProtection="1">
      <alignment horizontal="center" vertical="center"/>
      <protection locked="0"/>
    </xf>
    <xf numFmtId="0" fontId="10" fillId="9" borderId="0" xfId="0" applyFont="1" applyFill="1" applyBorder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center" vertical="center"/>
      <protection locked="0"/>
    </xf>
    <xf numFmtId="0" fontId="0" fillId="0" borderId="15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center" vertical="center"/>
    </xf>
    <xf numFmtId="0" fontId="10" fillId="0" borderId="17" xfId="0" applyNumberFormat="1" applyFont="1" applyFill="1" applyBorder="1" applyAlignment="1">
      <alignment horizontal="center" vertical="center"/>
    </xf>
    <xf numFmtId="2" fontId="10" fillId="0" borderId="15" xfId="0" applyNumberFormat="1" applyFont="1" applyFill="1" applyBorder="1" applyAlignment="1">
      <alignment horizontal="center" vertical="center"/>
    </xf>
    <xf numFmtId="2" fontId="10" fillId="0" borderId="9" xfId="0" applyNumberFormat="1" applyFont="1" applyFill="1" applyBorder="1" applyAlignment="1">
      <alignment horizontal="center" vertical="center"/>
    </xf>
    <xf numFmtId="2" fontId="10" fillId="0" borderId="12" xfId="0" applyNumberFormat="1" applyFont="1" applyFill="1" applyBorder="1" applyAlignment="1">
      <alignment horizontal="center" vertical="center"/>
    </xf>
    <xf numFmtId="2" fontId="8" fillId="0" borderId="10" xfId="0" applyNumberFormat="1" applyFont="1" applyFill="1" applyBorder="1" applyAlignment="1">
      <alignment horizontal="center" vertical="center"/>
    </xf>
    <xf numFmtId="2" fontId="8" fillId="0" borderId="14" xfId="0" applyNumberFormat="1" applyFont="1" applyFill="1" applyBorder="1" applyAlignment="1">
      <alignment horizontal="center" vertical="center"/>
    </xf>
    <xf numFmtId="1" fontId="10" fillId="0" borderId="15" xfId="0" applyNumberFormat="1" applyFont="1" applyFill="1" applyBorder="1" applyAlignment="1" applyProtection="1">
      <alignment horizontal="center" vertical="center"/>
      <protection locked="0"/>
    </xf>
    <xf numFmtId="1" fontId="10" fillId="0" borderId="16" xfId="0" applyNumberFormat="1" applyFont="1" applyFill="1" applyBorder="1" applyAlignment="1" applyProtection="1">
      <alignment horizontal="center" vertical="center"/>
      <protection locked="0"/>
    </xf>
    <xf numFmtId="1" fontId="10" fillId="0" borderId="17" xfId="0" applyNumberFormat="1" applyFont="1" applyFill="1" applyBorder="1" applyAlignment="1" applyProtection="1">
      <alignment horizontal="center" vertical="center"/>
      <protection locked="0"/>
    </xf>
    <xf numFmtId="1" fontId="10" fillId="0" borderId="15" xfId="0" applyNumberFormat="1" applyFont="1" applyFill="1" applyBorder="1" applyAlignment="1">
      <alignment horizontal="center"/>
    </xf>
    <xf numFmtId="1" fontId="10" fillId="0" borderId="16" xfId="0" applyNumberFormat="1" applyFont="1" applyFill="1" applyBorder="1" applyAlignment="1">
      <alignment horizontal="center"/>
    </xf>
    <xf numFmtId="0" fontId="10" fillId="9" borderId="61" xfId="0" applyFont="1" applyFill="1" applyBorder="1" applyAlignment="1" applyProtection="1">
      <alignment horizontal="center" vertical="center"/>
      <protection locked="0"/>
    </xf>
    <xf numFmtId="2" fontId="8" fillId="2" borderId="20" xfId="0" applyNumberFormat="1" applyFont="1" applyFill="1" applyBorder="1" applyAlignment="1">
      <alignment horizontal="center" vertical="center"/>
    </xf>
    <xf numFmtId="2" fontId="8" fillId="2" borderId="67" xfId="0" applyNumberFormat="1" applyFont="1" applyFill="1" applyBorder="1" applyAlignment="1">
      <alignment horizontal="center" vertical="center"/>
    </xf>
    <xf numFmtId="2" fontId="8" fillId="2" borderId="66" xfId="0" applyNumberFormat="1" applyFont="1" applyFill="1" applyBorder="1" applyAlignment="1">
      <alignment horizontal="center" vertical="center"/>
    </xf>
    <xf numFmtId="11" fontId="8" fillId="7" borderId="57" xfId="0" applyNumberFormat="1" applyFont="1" applyFill="1" applyBorder="1" applyAlignment="1">
      <alignment horizontal="center" vertical="center"/>
    </xf>
    <xf numFmtId="11" fontId="8" fillId="7" borderId="31" xfId="0" applyNumberFormat="1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/>
    </xf>
    <xf numFmtId="0" fontId="8" fillId="7" borderId="23" xfId="0" applyFont="1" applyFill="1" applyBorder="1" applyAlignment="1">
      <alignment horizontal="center"/>
    </xf>
    <xf numFmtId="0" fontId="8" fillId="7" borderId="24" xfId="0" applyFont="1" applyFill="1" applyBorder="1" applyAlignment="1">
      <alignment horizontal="center"/>
    </xf>
    <xf numFmtId="2" fontId="8" fillId="0" borderId="53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1" fontId="10" fillId="0" borderId="17" xfId="0" applyNumberFormat="1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11" fontId="8" fillId="2" borderId="20" xfId="0" applyNumberFormat="1" applyFont="1" applyFill="1" applyBorder="1" applyAlignment="1">
      <alignment horizontal="center" vertical="center"/>
    </xf>
    <xf numFmtId="11" fontId="8" fillId="2" borderId="67" xfId="0" applyNumberFormat="1" applyFont="1" applyFill="1" applyBorder="1" applyAlignment="1">
      <alignment horizontal="center" vertical="center"/>
    </xf>
    <xf numFmtId="11" fontId="8" fillId="2" borderId="66" xfId="0" applyNumberFormat="1" applyFont="1" applyFill="1" applyBorder="1" applyAlignment="1">
      <alignment horizontal="center" vertical="center"/>
    </xf>
    <xf numFmtId="11" fontId="8" fillId="2" borderId="15" xfId="0" applyNumberFormat="1" applyFont="1" applyFill="1" applyBorder="1" applyAlignment="1">
      <alignment horizontal="center" vertical="center"/>
    </xf>
    <xf numFmtId="11" fontId="8" fillId="2" borderId="17" xfId="0" applyNumberFormat="1" applyFont="1" applyFill="1" applyBorder="1" applyAlignment="1">
      <alignment horizontal="center" vertical="center"/>
    </xf>
    <xf numFmtId="2" fontId="10" fillId="2" borderId="15" xfId="0" applyNumberFormat="1" applyFont="1" applyFill="1" applyBorder="1" applyAlignment="1">
      <alignment horizontal="center" vertical="center"/>
    </xf>
    <xf numFmtId="2" fontId="10" fillId="2" borderId="17" xfId="0" applyNumberFormat="1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2" fontId="8" fillId="2" borderId="15" xfId="0" applyNumberFormat="1" applyFont="1" applyFill="1" applyBorder="1" applyAlignment="1">
      <alignment horizontal="center" vertical="center"/>
    </xf>
    <xf numFmtId="2" fontId="8" fillId="2" borderId="17" xfId="0" applyNumberFormat="1" applyFont="1" applyFill="1" applyBorder="1" applyAlignment="1">
      <alignment horizontal="center" vertical="center"/>
    </xf>
    <xf numFmtId="0" fontId="8" fillId="2" borderId="67" xfId="0" applyNumberFormat="1" applyFont="1" applyFill="1" applyBorder="1" applyAlignment="1">
      <alignment horizontal="center" vertical="center"/>
    </xf>
    <xf numFmtId="0" fontId="8" fillId="2" borderId="66" xfId="0" applyNumberFormat="1" applyFont="1" applyFill="1" applyBorder="1" applyAlignment="1">
      <alignment horizontal="center" vertical="center"/>
    </xf>
    <xf numFmtId="11" fontId="8" fillId="7" borderId="28" xfId="0" applyNumberFormat="1" applyFont="1" applyFill="1" applyBorder="1" applyAlignment="1">
      <alignment horizontal="center" vertical="center"/>
    </xf>
    <xf numFmtId="2" fontId="8" fillId="2" borderId="61" xfId="0" applyNumberFormat="1" applyFont="1" applyFill="1" applyBorder="1" applyAlignment="1">
      <alignment horizontal="center" vertical="center"/>
    </xf>
    <xf numFmtId="11" fontId="8" fillId="7" borderId="53" xfId="0" applyNumberFormat="1" applyFont="1" applyFill="1" applyBorder="1" applyAlignment="1">
      <alignment horizontal="center" vertical="center"/>
    </xf>
    <xf numFmtId="2" fontId="8" fillId="2" borderId="70" xfId="0" applyNumberFormat="1" applyFont="1" applyFill="1" applyBorder="1" applyAlignment="1">
      <alignment horizontal="center" vertical="center"/>
    </xf>
    <xf numFmtId="2" fontId="8" fillId="2" borderId="71" xfId="0" applyNumberFormat="1" applyFont="1" applyFill="1" applyBorder="1" applyAlignment="1">
      <alignment horizontal="center" vertical="center"/>
    </xf>
    <xf numFmtId="2" fontId="8" fillId="7" borderId="28" xfId="0" applyNumberFormat="1" applyFont="1" applyFill="1" applyBorder="1" applyAlignment="1">
      <alignment horizontal="center" vertical="center"/>
    </xf>
    <xf numFmtId="11" fontId="8" fillId="2" borderId="61" xfId="0" applyNumberFormat="1" applyFont="1" applyFill="1" applyBorder="1" applyAlignment="1">
      <alignment horizontal="center" vertical="center"/>
    </xf>
    <xf numFmtId="11" fontId="8" fillId="2" borderId="16" xfId="0" applyNumberFormat="1" applyFont="1" applyFill="1" applyBorder="1" applyAlignment="1">
      <alignment horizontal="center" vertical="center"/>
    </xf>
    <xf numFmtId="2" fontId="8" fillId="7" borderId="57" xfId="0" applyNumberFormat="1" applyFont="1" applyFill="1" applyBorder="1" applyAlignment="1">
      <alignment horizontal="center" vertical="center"/>
    </xf>
    <xf numFmtId="2" fontId="8" fillId="7" borderId="31" xfId="0" applyNumberFormat="1" applyFont="1" applyFill="1" applyBorder="1" applyAlignment="1">
      <alignment horizontal="center" vertical="center"/>
    </xf>
    <xf numFmtId="0" fontId="8" fillId="2" borderId="67" xfId="0" applyNumberFormat="1" applyFont="1" applyFill="1" applyBorder="1" applyAlignment="1" applyProtection="1">
      <alignment horizontal="center" vertical="center"/>
    </xf>
    <xf numFmtId="0" fontId="8" fillId="2" borderId="66" xfId="0" applyNumberFormat="1" applyFont="1" applyFill="1" applyBorder="1" applyAlignment="1" applyProtection="1">
      <alignment horizontal="center" vertical="center"/>
    </xf>
    <xf numFmtId="2" fontId="8" fillId="2" borderId="72" xfId="0" applyNumberFormat="1" applyFont="1" applyFill="1" applyBorder="1" applyAlignment="1">
      <alignment horizontal="center" vertical="center"/>
    </xf>
    <xf numFmtId="2" fontId="10" fillId="2" borderId="16" xfId="0" applyNumberFormat="1" applyFont="1" applyFill="1" applyBorder="1" applyAlignment="1">
      <alignment horizontal="center" vertical="center"/>
    </xf>
    <xf numFmtId="2" fontId="10" fillId="2" borderId="9" xfId="0" applyNumberFormat="1" applyFont="1" applyFill="1" applyBorder="1" applyAlignment="1">
      <alignment horizontal="center" vertical="center"/>
    </xf>
    <xf numFmtId="2" fontId="10" fillId="2" borderId="11" xfId="0" applyNumberFormat="1" applyFont="1" applyFill="1" applyBorder="1" applyAlignment="1">
      <alignment horizontal="center" vertical="center"/>
    </xf>
    <xf numFmtId="2" fontId="8" fillId="7" borderId="53" xfId="0" applyNumberFormat="1" applyFont="1" applyFill="1" applyBorder="1" applyAlignment="1">
      <alignment horizontal="center" vertical="center"/>
    </xf>
    <xf numFmtId="0" fontId="10" fillId="2" borderId="17" xfId="0" applyFont="1" applyFill="1" applyBorder="1" applyAlignment="1">
      <alignment horizontal="center" vertical="center"/>
    </xf>
    <xf numFmtId="2" fontId="10" fillId="2" borderId="12" xfId="0" applyNumberFormat="1" applyFont="1" applyFill="1" applyBorder="1" applyAlignment="1">
      <alignment horizontal="center" vertical="center"/>
    </xf>
    <xf numFmtId="0" fontId="10" fillId="0" borderId="70" xfId="0" applyFont="1" applyFill="1" applyBorder="1" applyAlignment="1">
      <alignment horizontal="center" vertical="center"/>
    </xf>
    <xf numFmtId="0" fontId="10" fillId="0" borderId="71" xfId="0" applyFont="1" applyFill="1" applyBorder="1" applyAlignment="1">
      <alignment horizontal="center" vertical="center"/>
    </xf>
    <xf numFmtId="1" fontId="8" fillId="9" borderId="15" xfId="0" applyNumberFormat="1" applyFont="1" applyFill="1" applyBorder="1" applyAlignment="1" applyProtection="1">
      <alignment horizontal="center" vertical="center"/>
      <protection locked="0"/>
    </xf>
    <xf numFmtId="1" fontId="8" fillId="9" borderId="16" xfId="0" applyNumberFormat="1" applyFont="1" applyFill="1" applyBorder="1" applyAlignment="1" applyProtection="1">
      <alignment horizontal="center" vertical="center"/>
      <protection locked="0"/>
    </xf>
    <xf numFmtId="1" fontId="8" fillId="9" borderId="17" xfId="0" applyNumberFormat="1" applyFont="1" applyFill="1" applyBorder="1" applyAlignment="1" applyProtection="1">
      <alignment horizontal="center" vertical="center"/>
      <protection locked="0"/>
    </xf>
    <xf numFmtId="174" fontId="8" fillId="10" borderId="15" xfId="0" applyNumberFormat="1" applyFont="1" applyFill="1" applyBorder="1" applyAlignment="1">
      <alignment horizontal="center" vertical="center" wrapText="1"/>
    </xf>
    <xf numFmtId="174" fontId="8" fillId="10" borderId="17" xfId="0" applyNumberFormat="1" applyFont="1" applyFill="1" applyBorder="1" applyAlignment="1">
      <alignment horizontal="center" vertical="center" wrapText="1"/>
    </xf>
    <xf numFmtId="174" fontId="8" fillId="10" borderId="15" xfId="0" applyNumberFormat="1" applyFont="1" applyFill="1" applyBorder="1" applyAlignment="1" applyProtection="1">
      <alignment horizontal="center" vertical="center" wrapText="1"/>
    </xf>
    <xf numFmtId="174" fontId="8" fillId="10" borderId="17" xfId="0" applyNumberFormat="1" applyFont="1" applyFill="1" applyBorder="1" applyAlignment="1" applyProtection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10" fillId="9" borderId="85" xfId="0" applyFont="1" applyFill="1" applyBorder="1" applyAlignment="1" applyProtection="1">
      <alignment horizontal="center" vertical="center"/>
      <protection locked="0"/>
    </xf>
    <xf numFmtId="0" fontId="10" fillId="9" borderId="85" xfId="0" applyNumberFormat="1" applyFont="1" applyFill="1" applyBorder="1" applyAlignment="1" applyProtection="1">
      <alignment horizontal="center" vertical="center"/>
      <protection locked="0"/>
    </xf>
    <xf numFmtId="1" fontId="10" fillId="9" borderId="85" xfId="0" applyNumberFormat="1" applyFont="1" applyFill="1" applyBorder="1" applyAlignment="1" applyProtection="1">
      <alignment horizontal="center" vertical="center"/>
      <protection locked="0"/>
    </xf>
    <xf numFmtId="0" fontId="26" fillId="9" borderId="15" xfId="0" applyFont="1" applyFill="1" applyBorder="1" applyAlignment="1" applyProtection="1">
      <alignment horizontal="center" vertical="center"/>
      <protection locked="0"/>
    </xf>
    <xf numFmtId="0" fontId="26" fillId="9" borderId="17" xfId="0" applyFont="1" applyFill="1" applyBorder="1" applyAlignment="1" applyProtection="1">
      <alignment horizontal="center" vertical="center"/>
      <protection locked="0"/>
    </xf>
    <xf numFmtId="2" fontId="8" fillId="10" borderId="57" xfId="0" applyNumberFormat="1" applyFont="1" applyFill="1" applyBorder="1" applyAlignment="1">
      <alignment horizontal="center" vertical="center"/>
    </xf>
    <xf numFmtId="2" fontId="8" fillId="10" borderId="31" xfId="0" applyNumberFormat="1" applyFont="1" applyFill="1" applyBorder="1" applyAlignment="1">
      <alignment horizontal="center" vertical="center"/>
    </xf>
    <xf numFmtId="2" fontId="8" fillId="10" borderId="53" xfId="0" applyNumberFormat="1" applyFont="1" applyFill="1" applyBorder="1" applyAlignment="1">
      <alignment horizontal="center" vertical="center"/>
    </xf>
    <xf numFmtId="2" fontId="8" fillId="10" borderId="49" xfId="0" applyNumberFormat="1" applyFont="1" applyFill="1" applyBorder="1" applyAlignment="1">
      <alignment horizontal="center" vertical="center"/>
    </xf>
    <xf numFmtId="2" fontId="8" fillId="10" borderId="32" xfId="0" applyNumberFormat="1" applyFont="1" applyFill="1" applyBorder="1" applyAlignment="1">
      <alignment horizontal="center" vertical="center"/>
    </xf>
    <xf numFmtId="2" fontId="8" fillId="10" borderId="62" xfId="0" applyNumberFormat="1" applyFont="1" applyFill="1" applyBorder="1" applyAlignment="1">
      <alignment horizontal="center" vertical="center"/>
    </xf>
    <xf numFmtId="0" fontId="10" fillId="9" borderId="72" xfId="0" applyFont="1" applyFill="1" applyBorder="1" applyAlignment="1" applyProtection="1">
      <alignment horizontal="center" vertical="center"/>
      <protection locked="0"/>
    </xf>
    <xf numFmtId="0" fontId="10" fillId="9" borderId="70" xfId="0" applyFont="1" applyFill="1" applyBorder="1" applyAlignment="1" applyProtection="1">
      <alignment horizontal="center" vertical="center"/>
      <protection locked="0"/>
    </xf>
    <xf numFmtId="0" fontId="8" fillId="10" borderId="0" xfId="0" applyFont="1" applyFill="1" applyBorder="1" applyAlignment="1">
      <alignment horizontal="center"/>
    </xf>
    <xf numFmtId="0" fontId="26" fillId="0" borderId="29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center"/>
    </xf>
    <xf numFmtId="0" fontId="8" fillId="5" borderId="15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10" fillId="0" borderId="67" xfId="0" applyFont="1" applyFill="1" applyBorder="1" applyAlignment="1" applyProtection="1">
      <alignment horizontal="center" vertical="center"/>
    </xf>
    <xf numFmtId="0" fontId="10" fillId="0" borderId="66" xfId="0" applyFont="1" applyFill="1" applyBorder="1" applyAlignment="1" applyProtection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6" xfId="0" applyFont="1" applyFill="1" applyBorder="1" applyAlignment="1">
      <alignment horizontal="center" vertical="center"/>
    </xf>
    <xf numFmtId="0" fontId="8" fillId="9" borderId="17" xfId="0" applyFont="1" applyFill="1" applyBorder="1" applyAlignment="1">
      <alignment horizontal="center" vertical="center"/>
    </xf>
    <xf numFmtId="0" fontId="0" fillId="0" borderId="0" xfId="0" applyFont="1" applyFill="1" applyBorder="1" applyAlignment="1" applyProtection="1">
      <alignment horizontal="center"/>
      <protection locked="0"/>
    </xf>
    <xf numFmtId="0" fontId="10" fillId="0" borderId="61" xfId="0" applyFont="1" applyFill="1" applyBorder="1" applyAlignment="1" applyProtection="1">
      <alignment horizontal="center" vertical="center"/>
    </xf>
    <xf numFmtId="0" fontId="10" fillId="0" borderId="17" xfId="0" applyFont="1" applyFill="1" applyBorder="1" applyAlignment="1" applyProtection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73" xfId="0" applyFont="1" applyFill="1" applyBorder="1" applyAlignment="1">
      <alignment horizontal="center" vertical="center"/>
    </xf>
    <xf numFmtId="0" fontId="10" fillId="9" borderId="16" xfId="0" applyFont="1" applyFill="1" applyBorder="1" applyAlignment="1">
      <alignment horizontal="center" vertical="center"/>
    </xf>
    <xf numFmtId="0" fontId="10" fillId="9" borderId="17" xfId="0" applyFont="1" applyFill="1" applyBorder="1" applyAlignment="1">
      <alignment horizontal="center" vertical="center"/>
    </xf>
    <xf numFmtId="1" fontId="10" fillId="9" borderId="15" xfId="0" applyNumberFormat="1" applyFont="1" applyFill="1" applyBorder="1" applyAlignment="1">
      <alignment horizontal="center" vertical="center"/>
    </xf>
    <xf numFmtId="1" fontId="10" fillId="9" borderId="16" xfId="0" applyNumberFormat="1" applyFont="1" applyFill="1" applyBorder="1" applyAlignment="1">
      <alignment horizontal="center" vertical="center"/>
    </xf>
    <xf numFmtId="1" fontId="10" fillId="9" borderId="17" xfId="0" applyNumberFormat="1" applyFont="1" applyFill="1" applyBorder="1" applyAlignment="1">
      <alignment horizontal="center" vertical="center"/>
    </xf>
    <xf numFmtId="0" fontId="10" fillId="0" borderId="61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10" fillId="0" borderId="9" xfId="0" applyFont="1" applyFill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</xf>
    <xf numFmtId="0" fontId="8" fillId="5" borderId="15" xfId="0" applyFont="1" applyFill="1" applyBorder="1" applyAlignment="1">
      <alignment vertical="center"/>
    </xf>
    <xf numFmtId="0" fontId="8" fillId="5" borderId="16" xfId="0" applyFont="1" applyFill="1" applyBorder="1" applyAlignment="1">
      <alignment vertical="center"/>
    </xf>
    <xf numFmtId="0" fontId="8" fillId="5" borderId="17" xfId="0" applyFont="1" applyFill="1" applyBorder="1" applyAlignment="1">
      <alignment vertical="center"/>
    </xf>
    <xf numFmtId="0" fontId="10" fillId="0" borderId="16" xfId="0" applyFont="1" applyFill="1" applyBorder="1" applyAlignment="1" applyProtection="1">
      <alignment horizontal="center" vertical="center"/>
    </xf>
    <xf numFmtId="0" fontId="8" fillId="2" borderId="27" xfId="0" applyFont="1" applyFill="1" applyBorder="1" applyAlignment="1">
      <alignment horizontal="left" vertical="center"/>
    </xf>
    <xf numFmtId="0" fontId="8" fillId="2" borderId="59" xfId="0" applyFont="1" applyFill="1" applyBorder="1" applyAlignment="1">
      <alignment horizontal="left" vertical="center"/>
    </xf>
    <xf numFmtId="0" fontId="8" fillId="2" borderId="46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horizontal="left" vertical="center"/>
    </xf>
    <xf numFmtId="0" fontId="8" fillId="2" borderId="29" xfId="0" applyFont="1" applyFill="1" applyBorder="1" applyAlignment="1">
      <alignment horizontal="left"/>
    </xf>
    <xf numFmtId="0" fontId="8" fillId="2" borderId="10" xfId="0" applyFont="1" applyFill="1" applyBorder="1" applyAlignment="1">
      <alignment horizontal="left"/>
    </xf>
    <xf numFmtId="0" fontId="8" fillId="2" borderId="4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8" fillId="2" borderId="25" xfId="0" applyFont="1" applyFill="1" applyBorder="1" applyAlignment="1">
      <alignment horizontal="left"/>
    </xf>
    <xf numFmtId="0" fontId="8" fillId="2" borderId="36" xfId="0" applyFont="1" applyFill="1" applyBorder="1" applyAlignment="1">
      <alignment horizontal="left"/>
    </xf>
    <xf numFmtId="0" fontId="8" fillId="2" borderId="15" xfId="0" applyFont="1" applyFill="1" applyBorder="1" applyAlignment="1" applyProtection="1">
      <alignment horizontal="center" vertical="center"/>
      <protection locked="0"/>
    </xf>
    <xf numFmtId="0" fontId="8" fillId="2" borderId="17" xfId="0" applyFont="1" applyFill="1" applyBorder="1" applyAlignment="1" applyProtection="1">
      <alignment horizontal="center" vertical="center"/>
      <protection locked="0"/>
    </xf>
    <xf numFmtId="0" fontId="8" fillId="9" borderId="15" xfId="0" applyFont="1" applyFill="1" applyBorder="1" applyAlignment="1" applyProtection="1">
      <alignment horizontal="center" vertical="center" wrapText="1"/>
      <protection locked="0"/>
    </xf>
    <xf numFmtId="0" fontId="8" fillId="9" borderId="17" xfId="0" applyFont="1" applyFill="1" applyBorder="1" applyAlignment="1" applyProtection="1">
      <alignment horizontal="center" vertical="center" wrapText="1"/>
      <protection locked="0"/>
    </xf>
    <xf numFmtId="0" fontId="8" fillId="2" borderId="15" xfId="0" applyFont="1" applyFill="1" applyBorder="1" applyAlignment="1">
      <alignment horizontal="center" wrapText="1"/>
    </xf>
    <xf numFmtId="0" fontId="8" fillId="2" borderId="16" xfId="0" applyFont="1" applyFill="1" applyBorder="1" applyAlignment="1">
      <alignment horizontal="center" wrapText="1"/>
    </xf>
    <xf numFmtId="0" fontId="8" fillId="2" borderId="17" xfId="0" applyFont="1" applyFill="1" applyBorder="1" applyAlignment="1">
      <alignment horizontal="center" wrapText="1"/>
    </xf>
    <xf numFmtId="2" fontId="8" fillId="10" borderId="97" xfId="0" applyNumberFormat="1" applyFont="1" applyFill="1" applyBorder="1" applyAlignment="1">
      <alignment horizontal="center" vertical="center"/>
    </xf>
    <xf numFmtId="2" fontId="8" fillId="10" borderId="64" xfId="0" applyNumberFormat="1" applyFont="1" applyFill="1" applyBorder="1" applyAlignment="1">
      <alignment horizontal="center" vertical="center"/>
    </xf>
    <xf numFmtId="2" fontId="8" fillId="10" borderId="29" xfId="0" applyNumberFormat="1" applyFont="1" applyFill="1" applyBorder="1" applyAlignment="1">
      <alignment horizontal="center" vertical="center"/>
    </xf>
    <xf numFmtId="2" fontId="8" fillId="10" borderId="25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/>
    </xf>
    <xf numFmtId="0" fontId="8" fillId="0" borderId="23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174" fontId="8" fillId="2" borderId="9" xfId="0" applyNumberFormat="1" applyFont="1" applyFill="1" applyBorder="1" applyAlignment="1">
      <alignment horizontal="center" vertical="center"/>
    </xf>
    <xf numFmtId="174" fontId="8" fillId="2" borderId="11" xfId="0" applyNumberFormat="1" applyFont="1" applyFill="1" applyBorder="1" applyAlignment="1">
      <alignment horizontal="center" vertical="center"/>
    </xf>
    <xf numFmtId="174" fontId="8" fillId="2" borderId="12" xfId="0" applyNumberFormat="1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/>
    </xf>
    <xf numFmtId="0" fontId="26" fillId="9" borderId="6" xfId="0" applyFont="1" applyFill="1" applyBorder="1" applyAlignment="1">
      <alignment horizontal="center"/>
    </xf>
    <xf numFmtId="2" fontId="8" fillId="10" borderId="34" xfId="0" applyNumberFormat="1" applyFont="1" applyFill="1" applyBorder="1" applyAlignment="1">
      <alignment horizontal="center" vertical="center"/>
    </xf>
    <xf numFmtId="2" fontId="8" fillId="10" borderId="35" xfId="0" applyNumberFormat="1" applyFont="1" applyFill="1" applyBorder="1" applyAlignment="1">
      <alignment horizontal="center" vertical="center"/>
    </xf>
    <xf numFmtId="174" fontId="8" fillId="2" borderId="15" xfId="0" applyNumberFormat="1" applyFont="1" applyFill="1" applyBorder="1" applyAlignment="1">
      <alignment horizontal="center" vertical="center"/>
    </xf>
    <xf numFmtId="174" fontId="8" fillId="2" borderId="16" xfId="0" applyNumberFormat="1" applyFont="1" applyFill="1" applyBorder="1" applyAlignment="1">
      <alignment horizontal="center" vertical="center"/>
    </xf>
    <xf numFmtId="174" fontId="8" fillId="2" borderId="17" xfId="0" applyNumberFormat="1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/>
    </xf>
    <xf numFmtId="0" fontId="8" fillId="8" borderId="24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8" fillId="9" borderId="15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 applyProtection="1">
      <alignment horizontal="center" vertical="center" wrapText="1"/>
      <protection locked="0"/>
    </xf>
    <xf numFmtId="0" fontId="8" fillId="9" borderId="11" xfId="0" applyFont="1" applyFill="1" applyBorder="1" applyAlignment="1" applyProtection="1">
      <alignment horizontal="center" vertical="center" wrapText="1"/>
      <protection locked="0"/>
    </xf>
    <xf numFmtId="0" fontId="0" fillId="9" borderId="17" xfId="0" applyFill="1" applyBorder="1" applyAlignment="1">
      <alignment vertical="center"/>
    </xf>
    <xf numFmtId="0" fontId="8" fillId="2" borderId="50" xfId="0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174" fontId="10" fillId="9" borderId="19" xfId="0" applyNumberFormat="1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vertical="top" wrapText="1"/>
    </xf>
    <xf numFmtId="0" fontId="8" fillId="2" borderId="50" xfId="0" applyFont="1" applyFill="1" applyBorder="1" applyAlignment="1">
      <alignment horizontal="center" vertical="top" wrapText="1"/>
    </xf>
    <xf numFmtId="0" fontId="8" fillId="2" borderId="38" xfId="0" applyFont="1" applyFill="1" applyBorder="1" applyAlignment="1">
      <alignment horizontal="center" vertical="top" wrapText="1"/>
    </xf>
    <xf numFmtId="0" fontId="8" fillId="2" borderId="19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10" fillId="9" borderId="11" xfId="0" applyFont="1" applyFill="1" applyBorder="1" applyAlignment="1" applyProtection="1">
      <alignment horizontal="center"/>
      <protection locked="0"/>
    </xf>
    <xf numFmtId="0" fontId="10" fillId="9" borderId="13" xfId="0" applyFont="1" applyFill="1" applyBorder="1" applyAlignment="1" applyProtection="1">
      <alignment horizontal="center"/>
      <protection locked="0"/>
    </xf>
    <xf numFmtId="0" fontId="8" fillId="2" borderId="12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39" xfId="0" applyFont="1" applyFill="1" applyBorder="1" applyAlignment="1">
      <alignment horizontal="center"/>
    </xf>
    <xf numFmtId="0" fontId="14" fillId="4" borderId="7" xfId="11" applyFont="1" applyFill="1" applyBorder="1" applyAlignment="1">
      <alignment horizontal="center"/>
    </xf>
    <xf numFmtId="0" fontId="14" fillId="4" borderId="8" xfId="11" applyFont="1" applyFill="1" applyBorder="1" applyAlignment="1">
      <alignment horizontal="center"/>
    </xf>
    <xf numFmtId="0" fontId="8" fillId="2" borderId="22" xfId="0" applyFont="1" applyFill="1" applyBorder="1" applyAlignment="1">
      <alignment horizontal="center" vertical="center"/>
    </xf>
    <xf numFmtId="0" fontId="8" fillId="2" borderId="78" xfId="0" applyFont="1" applyFill="1" applyBorder="1" applyAlignment="1">
      <alignment horizontal="center" vertical="center"/>
    </xf>
    <xf numFmtId="0" fontId="8" fillId="2" borderId="53" xfId="0" applyFont="1" applyFill="1" applyBorder="1" applyAlignment="1">
      <alignment horizontal="center" vertical="center"/>
    </xf>
    <xf numFmtId="0" fontId="10" fillId="9" borderId="44" xfId="0" applyFont="1" applyFill="1" applyBorder="1" applyAlignment="1" applyProtection="1">
      <alignment horizontal="center" vertical="center"/>
      <protection locked="0"/>
    </xf>
  </cellXfs>
  <cellStyles count="18">
    <cellStyle name="Comma0" xfId="1"/>
    <cellStyle name="Currency0" xfId="2"/>
    <cellStyle name="Date" xfId="3"/>
    <cellStyle name="Fixed" xfId="4"/>
    <cellStyle name="Heading 1" xfId="5"/>
    <cellStyle name="Heading 2" xfId="6"/>
    <cellStyle name="Normaal" xfId="7"/>
    <cellStyle name="Normal" xfId="0" builtinId="0"/>
    <cellStyle name="Normal 2" xfId="8"/>
    <cellStyle name="Percent" xfId="9" builtinId="5"/>
    <cellStyle name="Procent 2" xfId="10"/>
    <cellStyle name="Standaard 2" xfId="11"/>
    <cellStyle name="Standaard 2 2" xfId="12"/>
    <cellStyle name="Standaard 3" xfId="13"/>
    <cellStyle name="Standaard 4" xfId="14"/>
    <cellStyle name="Standaard_RIE-diagnostiekkamer" xfId="15"/>
    <cellStyle name="Total" xfId="16"/>
    <cellStyle name="Valuta 2" xfId="1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1</xdr:row>
      <xdr:rowOff>9525</xdr:rowOff>
    </xdr:from>
    <xdr:to>
      <xdr:col>10</xdr:col>
      <xdr:colOff>38100</xdr:colOff>
      <xdr:row>2</xdr:row>
      <xdr:rowOff>28575</xdr:rowOff>
    </xdr:to>
    <xdr:pic>
      <xdr:nvPicPr>
        <xdr:cNvPr id="10241" name="Afbeelding 1" descr="NCS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200025"/>
          <a:ext cx="6191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38100</xdr:rowOff>
    </xdr:from>
    <xdr:to>
      <xdr:col>12</xdr:col>
      <xdr:colOff>152400</xdr:colOff>
      <xdr:row>33</xdr:row>
      <xdr:rowOff>76200</xdr:rowOff>
    </xdr:to>
    <xdr:pic>
      <xdr:nvPicPr>
        <xdr:cNvPr id="61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28600"/>
          <a:ext cx="7134225" cy="613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</xdr:row>
      <xdr:rowOff>85725</xdr:rowOff>
    </xdr:from>
    <xdr:to>
      <xdr:col>12</xdr:col>
      <xdr:colOff>533400</xdr:colOff>
      <xdr:row>71</xdr:row>
      <xdr:rowOff>95250</xdr:rowOff>
    </xdr:to>
    <xdr:pic>
      <xdr:nvPicPr>
        <xdr:cNvPr id="61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6753225"/>
          <a:ext cx="7839075" cy="686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71</xdr:row>
      <xdr:rowOff>123825</xdr:rowOff>
    </xdr:from>
    <xdr:to>
      <xdr:col>12</xdr:col>
      <xdr:colOff>485775</xdr:colOff>
      <xdr:row>111</xdr:row>
      <xdr:rowOff>66675</xdr:rowOff>
    </xdr:to>
    <xdr:pic>
      <xdr:nvPicPr>
        <xdr:cNvPr id="614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4825" y="13649325"/>
          <a:ext cx="7296150" cy="756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0</xdr:row>
      <xdr:rowOff>0</xdr:rowOff>
    </xdr:from>
    <xdr:to>
      <xdr:col>25</xdr:col>
      <xdr:colOff>533400</xdr:colOff>
      <xdr:row>32</xdr:row>
      <xdr:rowOff>161925</xdr:rowOff>
    </xdr:to>
    <xdr:pic>
      <xdr:nvPicPr>
        <xdr:cNvPr id="614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43925" y="0"/>
          <a:ext cx="7229475" cy="625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47625</xdr:colOff>
      <xdr:row>34</xdr:row>
      <xdr:rowOff>0</xdr:rowOff>
    </xdr:from>
    <xdr:to>
      <xdr:col>26</xdr:col>
      <xdr:colOff>266700</xdr:colOff>
      <xdr:row>69</xdr:row>
      <xdr:rowOff>114300</xdr:rowOff>
    </xdr:to>
    <xdr:pic>
      <xdr:nvPicPr>
        <xdr:cNvPr id="614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82025" y="6477000"/>
          <a:ext cx="7534275" cy="678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26</xdr:col>
      <xdr:colOff>28575</xdr:colOff>
      <xdr:row>110</xdr:row>
      <xdr:rowOff>161925</xdr:rowOff>
    </xdr:to>
    <xdr:pic>
      <xdr:nvPicPr>
        <xdr:cNvPr id="615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4400" y="13525500"/>
          <a:ext cx="7343775" cy="7591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38</xdr:col>
      <xdr:colOff>523875</xdr:colOff>
      <xdr:row>36</xdr:row>
      <xdr:rowOff>47625</xdr:rowOff>
    </xdr:to>
    <xdr:pic>
      <xdr:nvPicPr>
        <xdr:cNvPr id="615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459200" y="190500"/>
          <a:ext cx="7229475" cy="6715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0</xdr:colOff>
      <xdr:row>1</xdr:row>
      <xdr:rowOff>152400</xdr:rowOff>
    </xdr:from>
    <xdr:to>
      <xdr:col>54</xdr:col>
      <xdr:colOff>219075</xdr:colOff>
      <xdr:row>39</xdr:row>
      <xdr:rowOff>152400</xdr:rowOff>
    </xdr:to>
    <xdr:pic>
      <xdr:nvPicPr>
        <xdr:cNvPr id="61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384000" y="342900"/>
          <a:ext cx="8753475" cy="723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40</xdr:col>
      <xdr:colOff>0</xdr:colOff>
      <xdr:row>40</xdr:row>
      <xdr:rowOff>152400</xdr:rowOff>
    </xdr:from>
    <xdr:to>
      <xdr:col>54</xdr:col>
      <xdr:colOff>409575</xdr:colOff>
      <xdr:row>72</xdr:row>
      <xdr:rowOff>152400</xdr:rowOff>
    </xdr:to>
    <xdr:pic>
      <xdr:nvPicPr>
        <xdr:cNvPr id="61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384000" y="7772400"/>
          <a:ext cx="8943975" cy="60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476250</xdr:colOff>
      <xdr:row>17</xdr:row>
      <xdr:rowOff>180692</xdr:rowOff>
    </xdr:from>
    <xdr:to>
      <xdr:col>13</xdr:col>
      <xdr:colOff>584250</xdr:colOff>
      <xdr:row>18</xdr:row>
      <xdr:rowOff>0</xdr:rowOff>
    </xdr:to>
    <xdr:sp macro="" textlink="">
      <xdr:nvSpPr>
        <xdr:cNvPr id="2" name="Tekstvak 1"/>
        <xdr:cNvSpPr txBox="1"/>
      </xdr:nvSpPr>
      <xdr:spPr>
        <a:xfrm>
          <a:off x="10829925" y="4752692"/>
          <a:ext cx="108000" cy="19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476250</xdr:colOff>
      <xdr:row>17</xdr:row>
      <xdr:rowOff>180692</xdr:rowOff>
    </xdr:from>
    <xdr:to>
      <xdr:col>18</xdr:col>
      <xdr:colOff>584250</xdr:colOff>
      <xdr:row>18</xdr:row>
      <xdr:rowOff>0</xdr:rowOff>
    </xdr:to>
    <xdr:sp macro="" textlink="">
      <xdr:nvSpPr>
        <xdr:cNvPr id="2" name="Tekstvak 1"/>
        <xdr:cNvSpPr txBox="1"/>
      </xdr:nvSpPr>
      <xdr:spPr>
        <a:xfrm>
          <a:off x="10229850" y="5095592"/>
          <a:ext cx="108000" cy="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590550</xdr:colOff>
      <xdr:row>2</xdr:row>
      <xdr:rowOff>0</xdr:rowOff>
    </xdr:from>
    <xdr:to>
      <xdr:col>36</xdr:col>
      <xdr:colOff>38100</xdr:colOff>
      <xdr:row>23</xdr:row>
      <xdr:rowOff>19050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9761" b="2390"/>
        <a:stretch>
          <a:fillRect/>
        </a:stretch>
      </xdr:blipFill>
      <xdr:spPr bwMode="auto">
        <a:xfrm>
          <a:off x="19307175" y="581025"/>
          <a:ext cx="4324350" cy="409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36</xdr:col>
      <xdr:colOff>123825</xdr:colOff>
      <xdr:row>2</xdr:row>
      <xdr:rowOff>0</xdr:rowOff>
    </xdr:from>
    <xdr:to>
      <xdr:col>43</xdr:col>
      <xdr:colOff>114300</xdr:colOff>
      <xdr:row>23</xdr:row>
      <xdr:rowOff>142875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717250" y="581025"/>
          <a:ext cx="4257675" cy="421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581025</xdr:colOff>
      <xdr:row>23</xdr:row>
      <xdr:rowOff>47625</xdr:rowOff>
    </xdr:from>
    <xdr:to>
      <xdr:col>41</xdr:col>
      <xdr:colOff>466725</xdr:colOff>
      <xdr:row>58</xdr:row>
      <xdr:rowOff>171450</xdr:rowOff>
    </xdr:to>
    <xdr:pic>
      <xdr:nvPicPr>
        <xdr:cNvPr id="81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5400000">
          <a:off x="19330987" y="3452813"/>
          <a:ext cx="6524625" cy="902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152400</xdr:colOff>
      <xdr:row>58</xdr:row>
      <xdr:rowOff>161925</xdr:rowOff>
    </xdr:from>
    <xdr:to>
      <xdr:col>37</xdr:col>
      <xdr:colOff>600075</xdr:colOff>
      <xdr:row>97</xdr:row>
      <xdr:rowOff>114300</xdr:rowOff>
    </xdr:to>
    <xdr:pic>
      <xdr:nvPicPr>
        <xdr:cNvPr id="81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259425" y="11220450"/>
          <a:ext cx="6543675" cy="701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21</xdr:col>
      <xdr:colOff>476250</xdr:colOff>
      <xdr:row>15</xdr:row>
      <xdr:rowOff>180692</xdr:rowOff>
    </xdr:from>
    <xdr:to>
      <xdr:col>21</xdr:col>
      <xdr:colOff>584250</xdr:colOff>
      <xdr:row>16</xdr:row>
      <xdr:rowOff>0</xdr:rowOff>
    </xdr:to>
    <xdr:sp macro="" textlink="">
      <xdr:nvSpPr>
        <xdr:cNvPr id="6" name="Tekstvak 5"/>
        <xdr:cNvSpPr txBox="1"/>
      </xdr:nvSpPr>
      <xdr:spPr>
        <a:xfrm>
          <a:off x="11496675" y="5771867"/>
          <a:ext cx="108000" cy="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21</xdr:col>
      <xdr:colOff>476250</xdr:colOff>
      <xdr:row>26</xdr:row>
      <xdr:rowOff>180692</xdr:rowOff>
    </xdr:from>
    <xdr:to>
      <xdr:col>21</xdr:col>
      <xdr:colOff>584250</xdr:colOff>
      <xdr:row>27</xdr:row>
      <xdr:rowOff>0</xdr:rowOff>
    </xdr:to>
    <xdr:sp macro="" textlink="">
      <xdr:nvSpPr>
        <xdr:cNvPr id="7" name="Tekstvak 6"/>
        <xdr:cNvSpPr txBox="1"/>
      </xdr:nvSpPr>
      <xdr:spPr>
        <a:xfrm>
          <a:off x="3733800" y="2847692"/>
          <a:ext cx="108000" cy="98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38</xdr:col>
      <xdr:colOff>363393</xdr:colOff>
      <xdr:row>35</xdr:row>
      <xdr:rowOff>83396</xdr:rowOff>
    </xdr:from>
    <xdr:to>
      <xdr:col>38</xdr:col>
      <xdr:colOff>374929</xdr:colOff>
      <xdr:row>56</xdr:row>
      <xdr:rowOff>76601</xdr:rowOff>
    </xdr:to>
    <xdr:cxnSp macro="">
      <xdr:nvCxnSpPr>
        <xdr:cNvPr id="12" name="Rechte verbindingslijn 11"/>
        <xdr:cNvCxnSpPr/>
      </xdr:nvCxnSpPr>
      <xdr:spPr>
        <a:xfrm rot="5400000">
          <a:off x="20262663" y="8968676"/>
          <a:ext cx="3677475" cy="1153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514350</xdr:colOff>
      <xdr:row>33</xdr:row>
      <xdr:rowOff>133350</xdr:rowOff>
    </xdr:from>
    <xdr:to>
      <xdr:col>22</xdr:col>
      <xdr:colOff>352425</xdr:colOff>
      <xdr:row>34</xdr:row>
      <xdr:rowOff>47625</xdr:rowOff>
    </xdr:to>
    <xdr:sp macro="" textlink="">
      <xdr:nvSpPr>
        <xdr:cNvPr id="13" name="Rechthoek 12"/>
        <xdr:cNvSpPr/>
      </xdr:nvSpPr>
      <xdr:spPr>
        <a:xfrm>
          <a:off x="9115425" y="4124325"/>
          <a:ext cx="1666875" cy="104775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20</xdr:col>
      <xdr:colOff>57151</xdr:colOff>
      <xdr:row>34</xdr:row>
      <xdr:rowOff>47627</xdr:rowOff>
    </xdr:from>
    <xdr:to>
      <xdr:col>21</xdr:col>
      <xdr:colOff>209552</xdr:colOff>
      <xdr:row>39</xdr:row>
      <xdr:rowOff>20252</xdr:rowOff>
    </xdr:to>
    <xdr:cxnSp macro="">
      <xdr:nvCxnSpPr>
        <xdr:cNvPr id="16" name="Rechte verbindingslijn met pijl 15"/>
        <xdr:cNvCxnSpPr/>
      </xdr:nvCxnSpPr>
      <xdr:spPr>
        <a:xfrm rot="5400000" flipH="1" flipV="1">
          <a:off x="9267227" y="4229701"/>
          <a:ext cx="763200" cy="762001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204787</xdr:colOff>
      <xdr:row>34</xdr:row>
      <xdr:rowOff>85726</xdr:rowOff>
    </xdr:from>
    <xdr:to>
      <xdr:col>22</xdr:col>
      <xdr:colOff>315187</xdr:colOff>
      <xdr:row>39</xdr:row>
      <xdr:rowOff>15151</xdr:rowOff>
    </xdr:to>
    <xdr:cxnSp macro="">
      <xdr:nvCxnSpPr>
        <xdr:cNvPr id="19" name="Rechte verbindingslijn met pijl 18"/>
        <xdr:cNvCxnSpPr/>
      </xdr:nvCxnSpPr>
      <xdr:spPr>
        <a:xfrm>
          <a:off x="10025062" y="4267201"/>
          <a:ext cx="720000" cy="720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34</xdr:row>
      <xdr:rowOff>190500</xdr:rowOff>
    </xdr:from>
    <xdr:to>
      <xdr:col>22</xdr:col>
      <xdr:colOff>216000</xdr:colOff>
      <xdr:row>35</xdr:row>
      <xdr:rowOff>180975</xdr:rowOff>
    </xdr:to>
    <xdr:sp macro="" textlink="">
      <xdr:nvSpPr>
        <xdr:cNvPr id="25" name="Tekstvak 24"/>
        <xdr:cNvSpPr txBox="1"/>
      </xdr:nvSpPr>
      <xdr:spPr>
        <a:xfrm>
          <a:off x="10429875" y="4371975"/>
          <a:ext cx="216000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45</a:t>
          </a:r>
          <a:r>
            <a:rPr lang="nl-NL" sz="1100" baseline="30000"/>
            <a:t>0</a:t>
          </a:r>
          <a:endParaRPr lang="nl-NL" sz="1100"/>
        </a:p>
      </xdr:txBody>
    </xdr:sp>
    <xdr:clientData/>
  </xdr:twoCellAnchor>
  <xdr:twoCellAnchor>
    <xdr:from>
      <xdr:col>20</xdr:col>
      <xdr:colOff>190500</xdr:colOff>
      <xdr:row>34</xdr:row>
      <xdr:rowOff>209549</xdr:rowOff>
    </xdr:from>
    <xdr:to>
      <xdr:col>20</xdr:col>
      <xdr:colOff>406500</xdr:colOff>
      <xdr:row>35</xdr:row>
      <xdr:rowOff>171449</xdr:rowOff>
    </xdr:to>
    <xdr:sp macro="" textlink="">
      <xdr:nvSpPr>
        <xdr:cNvPr id="26" name="Tekstvak 25"/>
        <xdr:cNvSpPr txBox="1"/>
      </xdr:nvSpPr>
      <xdr:spPr>
        <a:xfrm>
          <a:off x="9401175" y="4391024"/>
          <a:ext cx="21600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45</a:t>
          </a:r>
          <a:r>
            <a:rPr lang="nl-NL" sz="1100" baseline="30000"/>
            <a:t>0</a:t>
          </a:r>
          <a:endParaRPr lang="nl-NL" sz="1100"/>
        </a:p>
      </xdr:txBody>
    </xdr:sp>
    <xdr:clientData/>
  </xdr:twoCellAnchor>
  <xdr:twoCellAnchor>
    <xdr:from>
      <xdr:col>21</xdr:col>
      <xdr:colOff>0</xdr:colOff>
      <xdr:row>48</xdr:row>
      <xdr:rowOff>0</xdr:rowOff>
    </xdr:from>
    <xdr:to>
      <xdr:col>23</xdr:col>
      <xdr:colOff>447675</xdr:colOff>
      <xdr:row>48</xdr:row>
      <xdr:rowOff>104775</xdr:rowOff>
    </xdr:to>
    <xdr:sp macro="" textlink="">
      <xdr:nvSpPr>
        <xdr:cNvPr id="27" name="Rechthoek 26"/>
        <xdr:cNvSpPr/>
      </xdr:nvSpPr>
      <xdr:spPr>
        <a:xfrm>
          <a:off x="9210675" y="6905625"/>
          <a:ext cx="1666875" cy="104775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22</xdr:col>
      <xdr:colOff>304801</xdr:colOff>
      <xdr:row>48</xdr:row>
      <xdr:rowOff>146958</xdr:rowOff>
    </xdr:from>
    <xdr:to>
      <xdr:col>22</xdr:col>
      <xdr:colOff>315688</xdr:colOff>
      <xdr:row>53</xdr:row>
      <xdr:rowOff>28203</xdr:rowOff>
    </xdr:to>
    <xdr:cxnSp macro="">
      <xdr:nvCxnSpPr>
        <xdr:cNvPr id="28" name="Rechte verbindingslijn met pijl 27"/>
        <xdr:cNvCxnSpPr/>
      </xdr:nvCxnSpPr>
      <xdr:spPr>
        <a:xfrm rot="5400000" flipH="1" flipV="1">
          <a:off x="11111101" y="9647958"/>
          <a:ext cx="811974" cy="10887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300037</xdr:colOff>
      <xdr:row>48</xdr:row>
      <xdr:rowOff>142876</xdr:rowOff>
    </xdr:from>
    <xdr:to>
      <xdr:col>23</xdr:col>
      <xdr:colOff>410437</xdr:colOff>
      <xdr:row>52</xdr:row>
      <xdr:rowOff>100876</xdr:rowOff>
    </xdr:to>
    <xdr:cxnSp macro="">
      <xdr:nvCxnSpPr>
        <xdr:cNvPr id="29" name="Rechte verbindingslijn met pijl 28"/>
        <xdr:cNvCxnSpPr/>
      </xdr:nvCxnSpPr>
      <xdr:spPr>
        <a:xfrm>
          <a:off x="10120312" y="7048501"/>
          <a:ext cx="720000" cy="720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602456</xdr:colOff>
      <xdr:row>44</xdr:row>
      <xdr:rowOff>97632</xdr:rowOff>
    </xdr:from>
    <xdr:to>
      <xdr:col>24</xdr:col>
      <xdr:colOff>139256</xdr:colOff>
      <xdr:row>45</xdr:row>
      <xdr:rowOff>85726</xdr:rowOff>
    </xdr:to>
    <xdr:sp macro="" textlink="">
      <xdr:nvSpPr>
        <xdr:cNvPr id="40" name="Tekstvak 39"/>
        <xdr:cNvSpPr txBox="1"/>
      </xdr:nvSpPr>
      <xdr:spPr>
        <a:xfrm>
          <a:off x="11032331" y="8336757"/>
          <a:ext cx="756000" cy="1785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reflectiehoek</a:t>
          </a:r>
        </a:p>
        <a:p>
          <a:endParaRPr lang="nl-NL" sz="1100"/>
        </a:p>
      </xdr:txBody>
    </xdr:sp>
    <xdr:clientData/>
  </xdr:twoCellAnchor>
  <xdr:twoCellAnchor>
    <xdr:from>
      <xdr:col>22</xdr:col>
      <xdr:colOff>505217</xdr:colOff>
      <xdr:row>7</xdr:row>
      <xdr:rowOff>38099</xdr:rowOff>
    </xdr:from>
    <xdr:to>
      <xdr:col>25</xdr:col>
      <xdr:colOff>178668</xdr:colOff>
      <xdr:row>7</xdr:row>
      <xdr:rowOff>123824</xdr:rowOff>
    </xdr:to>
    <xdr:sp macro="" textlink="">
      <xdr:nvSpPr>
        <xdr:cNvPr id="41" name="Rechthoek 40"/>
        <xdr:cNvSpPr/>
      </xdr:nvSpPr>
      <xdr:spPr>
        <a:xfrm>
          <a:off x="11666276" y="1674158"/>
          <a:ext cx="1656892" cy="85725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24</xdr:col>
      <xdr:colOff>26270</xdr:colOff>
      <xdr:row>7</xdr:row>
      <xdr:rowOff>123825</xdr:rowOff>
    </xdr:from>
    <xdr:to>
      <xdr:col>24</xdr:col>
      <xdr:colOff>26270</xdr:colOff>
      <xdr:row>15</xdr:row>
      <xdr:rowOff>9150</xdr:rowOff>
    </xdr:to>
    <xdr:cxnSp macro="">
      <xdr:nvCxnSpPr>
        <xdr:cNvPr id="42" name="Rechte verbindingslijn met pijl 41"/>
        <xdr:cNvCxnSpPr/>
      </xdr:nvCxnSpPr>
      <xdr:spPr>
        <a:xfrm rot="5400000" flipH="1" flipV="1">
          <a:off x="11855386" y="2470150"/>
          <a:ext cx="1420531" cy="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28649</xdr:colOff>
      <xdr:row>7</xdr:row>
      <xdr:rowOff>140496</xdr:rowOff>
    </xdr:from>
    <xdr:to>
      <xdr:col>25</xdr:col>
      <xdr:colOff>139049</xdr:colOff>
      <xdr:row>11</xdr:row>
      <xdr:rowOff>41346</xdr:rowOff>
    </xdr:to>
    <xdr:cxnSp macro="">
      <xdr:nvCxnSpPr>
        <xdr:cNvPr id="43" name="Rechte verbindingslijn met pijl 42"/>
        <xdr:cNvCxnSpPr/>
      </xdr:nvCxnSpPr>
      <xdr:spPr>
        <a:xfrm>
          <a:off x="12568031" y="1776555"/>
          <a:ext cx="715518" cy="707673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554201</xdr:colOff>
      <xdr:row>8</xdr:row>
      <xdr:rowOff>2380</xdr:rowOff>
    </xdr:from>
    <xdr:to>
      <xdr:col>24</xdr:col>
      <xdr:colOff>284995</xdr:colOff>
      <xdr:row>9</xdr:row>
      <xdr:rowOff>188830</xdr:rowOff>
    </xdr:to>
    <xdr:sp macro="" textlink="">
      <xdr:nvSpPr>
        <xdr:cNvPr id="44" name="Boog 43"/>
        <xdr:cNvSpPr/>
      </xdr:nvSpPr>
      <xdr:spPr>
        <a:xfrm>
          <a:off x="12320377" y="1840145"/>
          <a:ext cx="504000" cy="388156"/>
        </a:xfrm>
        <a:prstGeom prst="arc">
          <a:avLst>
            <a:gd name="adj1" fmla="val 21593014"/>
            <a:gd name="adj2" fmla="val 549556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29</xdr:col>
      <xdr:colOff>231655</xdr:colOff>
      <xdr:row>10</xdr:row>
      <xdr:rowOff>59532</xdr:rowOff>
    </xdr:from>
    <xdr:to>
      <xdr:col>30</xdr:col>
      <xdr:colOff>378055</xdr:colOff>
      <xdr:row>11</xdr:row>
      <xdr:rowOff>28576</xdr:rowOff>
    </xdr:to>
    <xdr:sp macro="" textlink="">
      <xdr:nvSpPr>
        <xdr:cNvPr id="45" name="Tekstvak 44"/>
        <xdr:cNvSpPr txBox="1"/>
      </xdr:nvSpPr>
      <xdr:spPr>
        <a:xfrm>
          <a:off x="15563621" y="2299549"/>
          <a:ext cx="757313" cy="1661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reflectiehoek</a:t>
          </a:r>
        </a:p>
        <a:p>
          <a:endParaRPr lang="nl-NL" sz="1100"/>
        </a:p>
      </xdr:txBody>
    </xdr:sp>
    <xdr:clientData/>
  </xdr:twoCellAnchor>
  <xdr:twoCellAnchor>
    <xdr:from>
      <xdr:col>28</xdr:col>
      <xdr:colOff>476250</xdr:colOff>
      <xdr:row>15</xdr:row>
      <xdr:rowOff>180692</xdr:rowOff>
    </xdr:from>
    <xdr:to>
      <xdr:col>28</xdr:col>
      <xdr:colOff>584250</xdr:colOff>
      <xdr:row>16</xdr:row>
      <xdr:rowOff>0</xdr:rowOff>
    </xdr:to>
    <xdr:sp macro="" textlink="">
      <xdr:nvSpPr>
        <xdr:cNvPr id="30" name="Tekstvak 29"/>
        <xdr:cNvSpPr txBox="1"/>
      </xdr:nvSpPr>
      <xdr:spPr>
        <a:xfrm>
          <a:off x="10920905" y="3360071"/>
          <a:ext cx="108000" cy="3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30</xdr:col>
      <xdr:colOff>131938</xdr:colOff>
      <xdr:row>39</xdr:row>
      <xdr:rowOff>14027</xdr:rowOff>
    </xdr:from>
    <xdr:to>
      <xdr:col>38</xdr:col>
      <xdr:colOff>526313</xdr:colOff>
      <xdr:row>39</xdr:row>
      <xdr:rowOff>46214</xdr:rowOff>
    </xdr:to>
    <xdr:cxnSp macro="">
      <xdr:nvCxnSpPr>
        <xdr:cNvPr id="33" name="Rechte verbindingslijn 32"/>
        <xdr:cNvCxnSpPr/>
      </xdr:nvCxnSpPr>
      <xdr:spPr>
        <a:xfrm>
          <a:off x="17021267" y="7583895"/>
          <a:ext cx="5287217" cy="321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18</xdr:row>
      <xdr:rowOff>0</xdr:rowOff>
    </xdr:from>
    <xdr:to>
      <xdr:col>25</xdr:col>
      <xdr:colOff>278568</xdr:colOff>
      <xdr:row>18</xdr:row>
      <xdr:rowOff>85725</xdr:rowOff>
    </xdr:to>
    <xdr:sp macro="" textlink="">
      <xdr:nvSpPr>
        <xdr:cNvPr id="38" name="Rechthoek 37"/>
        <xdr:cNvSpPr/>
      </xdr:nvSpPr>
      <xdr:spPr>
        <a:xfrm>
          <a:off x="11766176" y="3742765"/>
          <a:ext cx="1656892" cy="85725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23</xdr:col>
      <xdr:colOff>267464</xdr:colOff>
      <xdr:row>18</xdr:row>
      <xdr:rowOff>85726</xdr:rowOff>
    </xdr:from>
    <xdr:to>
      <xdr:col>24</xdr:col>
      <xdr:colOff>126171</xdr:colOff>
      <xdr:row>21</xdr:row>
      <xdr:rowOff>172104</xdr:rowOff>
    </xdr:to>
    <xdr:cxnSp macro="">
      <xdr:nvCxnSpPr>
        <xdr:cNvPr id="39" name="Rechte verbindingslijn met pijl 38"/>
        <xdr:cNvCxnSpPr/>
      </xdr:nvCxnSpPr>
      <xdr:spPr>
        <a:xfrm rot="5400000" flipH="1" flipV="1">
          <a:off x="12064525" y="3835324"/>
          <a:ext cx="630000" cy="630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128549</xdr:colOff>
      <xdr:row>18</xdr:row>
      <xdr:rowOff>102397</xdr:rowOff>
    </xdr:from>
    <xdr:to>
      <xdr:col>25</xdr:col>
      <xdr:colOff>149879</xdr:colOff>
      <xdr:row>22</xdr:row>
      <xdr:rowOff>7568</xdr:rowOff>
    </xdr:to>
    <xdr:cxnSp macro="">
      <xdr:nvCxnSpPr>
        <xdr:cNvPr id="46" name="Rechte verbindingslijn met pijl 45"/>
        <xdr:cNvCxnSpPr/>
      </xdr:nvCxnSpPr>
      <xdr:spPr>
        <a:xfrm>
          <a:off x="12696903" y="3851995"/>
          <a:ext cx="630000" cy="63000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617963</xdr:colOff>
      <xdr:row>18</xdr:row>
      <xdr:rowOff>165987</xdr:rowOff>
    </xdr:from>
    <xdr:to>
      <xdr:col>24</xdr:col>
      <xdr:colOff>384895</xdr:colOff>
      <xdr:row>21</xdr:row>
      <xdr:rowOff>16261</xdr:rowOff>
    </xdr:to>
    <xdr:sp macro="" textlink="">
      <xdr:nvSpPr>
        <xdr:cNvPr id="47" name="Boog 46"/>
        <xdr:cNvSpPr/>
      </xdr:nvSpPr>
      <xdr:spPr>
        <a:xfrm>
          <a:off x="12415024" y="3915585"/>
          <a:ext cx="538225" cy="393896"/>
        </a:xfrm>
        <a:prstGeom prst="arc">
          <a:avLst>
            <a:gd name="adj1" fmla="val 21593014"/>
            <a:gd name="adj2" fmla="val 549556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24</xdr:col>
      <xdr:colOff>111509</xdr:colOff>
      <xdr:row>18</xdr:row>
      <xdr:rowOff>99663</xdr:rowOff>
    </xdr:from>
    <xdr:to>
      <xdr:col>24</xdr:col>
      <xdr:colOff>113726</xdr:colOff>
      <xdr:row>25</xdr:row>
      <xdr:rowOff>97573</xdr:rowOff>
    </xdr:to>
    <xdr:cxnSp macro="">
      <xdr:nvCxnSpPr>
        <xdr:cNvPr id="51" name="Rechte verbindingslijn 50"/>
        <xdr:cNvCxnSpPr/>
      </xdr:nvCxnSpPr>
      <xdr:spPr>
        <a:xfrm rot="5400000">
          <a:off x="12138395" y="4390729"/>
          <a:ext cx="1085153" cy="22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45043</xdr:colOff>
      <xdr:row>49</xdr:row>
      <xdr:rowOff>9246</xdr:rowOff>
    </xdr:from>
    <xdr:to>
      <xdr:col>22</xdr:col>
      <xdr:colOff>584861</xdr:colOff>
      <xdr:row>51</xdr:row>
      <xdr:rowOff>64172</xdr:rowOff>
    </xdr:to>
    <xdr:sp macro="" textlink="">
      <xdr:nvSpPr>
        <xdr:cNvPr id="35" name="Boog 34"/>
        <xdr:cNvSpPr/>
      </xdr:nvSpPr>
      <xdr:spPr>
        <a:xfrm>
          <a:off x="11251886" y="9321975"/>
          <a:ext cx="539818" cy="414154"/>
        </a:xfrm>
        <a:prstGeom prst="arc">
          <a:avLst>
            <a:gd name="adj1" fmla="val 21593014"/>
            <a:gd name="adj2" fmla="val 549556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32</xdr:col>
      <xdr:colOff>499110</xdr:colOff>
      <xdr:row>48</xdr:row>
      <xdr:rowOff>179070</xdr:rowOff>
    </xdr:from>
    <xdr:to>
      <xdr:col>35</xdr:col>
      <xdr:colOff>259080</xdr:colOff>
      <xdr:row>49</xdr:row>
      <xdr:rowOff>0</xdr:rowOff>
    </xdr:to>
    <xdr:cxnSp macro="">
      <xdr:nvCxnSpPr>
        <xdr:cNvPr id="32" name="Rechte verbindingslijn 31"/>
        <xdr:cNvCxnSpPr/>
      </xdr:nvCxnSpPr>
      <xdr:spPr>
        <a:xfrm>
          <a:off x="18573750" y="9425940"/>
          <a:ext cx="1588770" cy="381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30480</xdr:colOff>
      <xdr:row>52</xdr:row>
      <xdr:rowOff>68580</xdr:rowOff>
    </xdr:from>
    <xdr:to>
      <xdr:col>38</xdr:col>
      <xdr:colOff>365280</xdr:colOff>
      <xdr:row>52</xdr:row>
      <xdr:rowOff>72390</xdr:rowOff>
    </xdr:to>
    <xdr:cxnSp macro="">
      <xdr:nvCxnSpPr>
        <xdr:cNvPr id="36" name="Rechte verbindingslijn 35"/>
        <xdr:cNvCxnSpPr/>
      </xdr:nvCxnSpPr>
      <xdr:spPr>
        <a:xfrm flipV="1">
          <a:off x="21762720" y="10073640"/>
          <a:ext cx="334800" cy="381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476250</xdr:colOff>
      <xdr:row>15</xdr:row>
      <xdr:rowOff>180692</xdr:rowOff>
    </xdr:from>
    <xdr:to>
      <xdr:col>17</xdr:col>
      <xdr:colOff>584250</xdr:colOff>
      <xdr:row>16</xdr:row>
      <xdr:rowOff>0</xdr:rowOff>
    </xdr:to>
    <xdr:sp macro="" textlink="">
      <xdr:nvSpPr>
        <xdr:cNvPr id="6" name="Tekstvak 5"/>
        <xdr:cNvSpPr txBox="1"/>
      </xdr:nvSpPr>
      <xdr:spPr>
        <a:xfrm>
          <a:off x="14763750" y="3276317"/>
          <a:ext cx="108000" cy="2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17</xdr:col>
      <xdr:colOff>476250</xdr:colOff>
      <xdr:row>29</xdr:row>
      <xdr:rowOff>180692</xdr:rowOff>
    </xdr:from>
    <xdr:to>
      <xdr:col>17</xdr:col>
      <xdr:colOff>584250</xdr:colOff>
      <xdr:row>30</xdr:row>
      <xdr:rowOff>0</xdr:rowOff>
    </xdr:to>
    <xdr:sp macro="" textlink="">
      <xdr:nvSpPr>
        <xdr:cNvPr id="7" name="Tekstvak 6"/>
        <xdr:cNvSpPr txBox="1"/>
      </xdr:nvSpPr>
      <xdr:spPr>
        <a:xfrm>
          <a:off x="14763750" y="5543267"/>
          <a:ext cx="108000" cy="2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24</xdr:col>
      <xdr:colOff>476250</xdr:colOff>
      <xdr:row>15</xdr:row>
      <xdr:rowOff>180692</xdr:rowOff>
    </xdr:from>
    <xdr:to>
      <xdr:col>24</xdr:col>
      <xdr:colOff>584250</xdr:colOff>
      <xdr:row>16</xdr:row>
      <xdr:rowOff>0</xdr:rowOff>
    </xdr:to>
    <xdr:sp macro="" textlink="">
      <xdr:nvSpPr>
        <xdr:cNvPr id="23" name="Tekstvak 22"/>
        <xdr:cNvSpPr txBox="1"/>
      </xdr:nvSpPr>
      <xdr:spPr>
        <a:xfrm>
          <a:off x="19192875" y="3276317"/>
          <a:ext cx="108000" cy="2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nl-NL" sz="1100"/>
            <a:t>3</a:t>
          </a:r>
          <a:endParaRPr lang="nl-NL"/>
        </a:p>
        <a:p>
          <a:endParaRPr lang="nl-N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nl-NL" sz="1100"/>
        </a:p>
        <a:p>
          <a:endParaRPr lang="nl-NL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1"/>
  <sheetViews>
    <sheetView tabSelected="1" zoomScale="145" workbookViewId="0">
      <selection sqref="A1:L11"/>
    </sheetView>
  </sheetViews>
  <sheetFormatPr defaultRowHeight="15"/>
  <sheetData>
    <row r="1" spans="1:12">
      <c r="A1" s="981"/>
      <c r="B1" s="981"/>
      <c r="C1" s="981"/>
      <c r="D1" s="981"/>
      <c r="E1" s="981"/>
      <c r="F1" s="981"/>
      <c r="G1" s="981"/>
      <c r="H1" s="981"/>
      <c r="I1" s="981"/>
      <c r="J1" s="981"/>
      <c r="K1" s="981"/>
      <c r="L1" s="981"/>
    </row>
    <row r="2" spans="1:12">
      <c r="A2" s="981"/>
      <c r="B2" s="981"/>
      <c r="C2" s="981"/>
      <c r="D2" s="981"/>
      <c r="E2" s="981"/>
      <c r="F2" s="981"/>
      <c r="G2" s="981"/>
      <c r="H2" s="981"/>
      <c r="I2" s="1524">
        <v>41761</v>
      </c>
      <c r="J2" s="981"/>
      <c r="K2" s="981"/>
      <c r="L2" s="981"/>
    </row>
    <row r="3" spans="1:12">
      <c r="A3" s="981"/>
      <c r="B3" s="981"/>
      <c r="C3" s="981"/>
      <c r="D3" s="981"/>
      <c r="E3" s="981"/>
      <c r="F3" s="981"/>
      <c r="G3" s="981"/>
      <c r="H3" s="981"/>
      <c r="I3" s="981"/>
      <c r="J3" s="981"/>
      <c r="K3" s="981"/>
      <c r="L3" s="981"/>
    </row>
    <row r="4" spans="1:12">
      <c r="A4" s="981"/>
      <c r="B4" s="981" t="s">
        <v>596</v>
      </c>
      <c r="C4" s="981"/>
      <c r="D4" s="981"/>
      <c r="E4" s="981"/>
      <c r="F4" s="981"/>
      <c r="G4" s="981"/>
      <c r="H4" s="981"/>
      <c r="I4" s="981"/>
      <c r="J4" s="981"/>
      <c r="K4" s="981"/>
      <c r="L4" s="981"/>
    </row>
    <row r="5" spans="1:12">
      <c r="A5" s="981"/>
      <c r="B5" s="981" t="s">
        <v>597</v>
      </c>
      <c r="C5" s="981"/>
      <c r="D5" s="981"/>
      <c r="E5" s="981"/>
      <c r="F5" s="981"/>
      <c r="G5" s="981"/>
      <c r="H5" s="981"/>
      <c r="I5" s="981"/>
      <c r="J5" s="981"/>
      <c r="K5" s="981"/>
      <c r="L5" s="981"/>
    </row>
    <row r="6" spans="1:12">
      <c r="A6" s="981"/>
      <c r="B6" s="981" t="s">
        <v>598</v>
      </c>
      <c r="C6" s="981"/>
      <c r="D6" s="981"/>
      <c r="E6" s="981"/>
      <c r="F6" s="981"/>
      <c r="G6" s="981"/>
      <c r="H6" s="981"/>
      <c r="I6" s="981"/>
      <c r="J6" s="981"/>
      <c r="K6" s="981"/>
      <c r="L6" s="981"/>
    </row>
    <row r="7" spans="1:12">
      <c r="A7" s="981"/>
      <c r="B7" s="981" t="s">
        <v>599</v>
      </c>
      <c r="C7" s="981"/>
      <c r="D7" s="981"/>
      <c r="E7" s="981"/>
      <c r="F7" s="981"/>
      <c r="G7" s="981"/>
      <c r="H7" s="981"/>
      <c r="I7" s="981"/>
      <c r="J7" s="981"/>
      <c r="K7" s="981"/>
      <c r="L7" s="981"/>
    </row>
    <row r="8" spans="1:12">
      <c r="A8" s="981"/>
      <c r="B8" s="981" t="s">
        <v>600</v>
      </c>
      <c r="C8" s="981"/>
      <c r="D8" s="981"/>
      <c r="E8" s="981"/>
      <c r="F8" s="981"/>
      <c r="G8" s="981"/>
      <c r="H8" s="981"/>
      <c r="I8" s="981"/>
      <c r="J8" s="981"/>
      <c r="K8" s="981"/>
      <c r="L8" s="981"/>
    </row>
    <row r="9" spans="1:12">
      <c r="A9" s="981"/>
      <c r="B9" s="981"/>
      <c r="C9" s="981"/>
      <c r="D9" s="981"/>
      <c r="E9" s="981"/>
      <c r="F9" s="981"/>
      <c r="G9" s="981"/>
      <c r="H9" s="981"/>
      <c r="I9" s="981"/>
      <c r="J9" s="981"/>
      <c r="K9" s="981"/>
      <c r="L9" s="981"/>
    </row>
    <row r="10" spans="1:12">
      <c r="A10" s="981"/>
      <c r="B10" s="981" t="s">
        <v>601</v>
      </c>
      <c r="C10" s="981"/>
      <c r="D10" s="981"/>
      <c r="E10" s="981"/>
      <c r="F10" s="981"/>
      <c r="G10" s="981"/>
      <c r="H10" s="981"/>
      <c r="I10" s="981"/>
      <c r="J10" s="981"/>
      <c r="K10" s="981"/>
      <c r="L10" s="981"/>
    </row>
    <row r="11" spans="1:12">
      <c r="A11" s="981"/>
      <c r="B11" s="981"/>
      <c r="C11" s="981"/>
      <c r="D11" s="981"/>
      <c r="E11" s="981"/>
      <c r="F11" s="981"/>
      <c r="G11" s="981"/>
      <c r="H11" s="981"/>
      <c r="I11" s="981"/>
      <c r="J11" s="981"/>
      <c r="K11" s="981"/>
      <c r="L11" s="981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Blad9">
    <tabColor theme="0" tint="-0.249977111117893"/>
    <pageSetUpPr fitToPage="1"/>
  </sheetPr>
  <dimension ref="A1"/>
  <sheetViews>
    <sheetView topLeftCell="N3" zoomScale="85" zoomScaleNormal="85" workbookViewId="0">
      <selection activeCell="AH89" sqref="AH89"/>
    </sheetView>
  </sheetViews>
  <sheetFormatPr defaultRowHeight="15"/>
  <cols>
    <col min="1" max="16384" width="9.140625" style="41"/>
  </cols>
  <sheetData/>
  <phoneticPr fontId="0" type="noConversion"/>
  <pageMargins left="0.70866141732283472" right="0.70866141732283472" top="0.74803149606299213" bottom="0.74803149606299213" header="0.31496062992125984" footer="0.31496062992125984"/>
  <pageSetup paperSize="8" scale="2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Blad10">
    <tabColor theme="0" tint="-0.249977111117893"/>
  </sheetPr>
  <dimension ref="A1:AJ59"/>
  <sheetViews>
    <sheetView showGridLines="0" topLeftCell="A7" zoomScale="85" zoomScaleNormal="85" workbookViewId="0">
      <selection activeCell="H31" sqref="H31"/>
    </sheetView>
  </sheetViews>
  <sheetFormatPr defaultRowHeight="12.75"/>
  <cols>
    <col min="1" max="1" width="6.7109375" style="135" customWidth="1"/>
    <col min="2" max="2" width="20.7109375" style="135" customWidth="1"/>
    <col min="3" max="14" width="12.7109375" style="135" customWidth="1"/>
    <col min="15" max="15" width="14.28515625" style="135" customWidth="1"/>
    <col min="16" max="16" width="11.85546875" style="135" customWidth="1"/>
    <col min="17" max="16384" width="9.140625" style="135"/>
  </cols>
  <sheetData>
    <row r="1" spans="1:36" s="510" customFormat="1" ht="27" thickBot="1">
      <c r="A1" s="23" t="s">
        <v>57</v>
      </c>
      <c r="B1" s="24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512"/>
      <c r="O1" s="509"/>
    </row>
    <row r="2" spans="1:36" s="3" customFormat="1" ht="18.75" customHeight="1" thickBot="1">
      <c r="A2" s="2"/>
      <c r="F2" s="5"/>
      <c r="G2" s="5"/>
      <c r="H2" s="5"/>
    </row>
    <row r="3" spans="1:36" s="311" customFormat="1" ht="26.25" customHeight="1" thickBot="1">
      <c r="A3" s="1015" t="s">
        <v>529</v>
      </c>
      <c r="B3" s="1016"/>
      <c r="C3" s="1099" t="s">
        <v>531</v>
      </c>
      <c r="D3" s="1017"/>
      <c r="E3" s="1017"/>
      <c r="F3" s="1018"/>
      <c r="G3" s="1043"/>
      <c r="H3" s="440"/>
    </row>
    <row r="4" spans="1:36" s="311" customFormat="1" ht="22.5" customHeight="1">
      <c r="A4" s="1039"/>
      <c r="B4" s="336"/>
      <c r="C4" s="1040"/>
      <c r="D4" s="336"/>
      <c r="E4" s="336"/>
      <c r="F4" s="442"/>
      <c r="G4" s="442"/>
      <c r="H4" s="440"/>
    </row>
    <row r="5" spans="1:36" s="41" customFormat="1" ht="19.5" customHeight="1" thickBot="1">
      <c r="A5" s="42" t="s">
        <v>189</v>
      </c>
      <c r="B5" s="43"/>
      <c r="C5" s="43"/>
      <c r="D5" s="1"/>
      <c r="E5" s="1" t="s">
        <v>384</v>
      </c>
      <c r="F5" s="1"/>
      <c r="G5" s="1"/>
      <c r="H5" s="1"/>
      <c r="I5" s="1"/>
      <c r="J5" s="1"/>
      <c r="K5" s="1"/>
      <c r="L5" s="1"/>
      <c r="M5" s="42"/>
      <c r="N5" s="1"/>
      <c r="O5" s="1"/>
      <c r="P5" s="1"/>
      <c r="Q5" s="1"/>
      <c r="R5" s="1"/>
      <c r="S5" s="1"/>
      <c r="T5" s="1"/>
      <c r="U5" s="1"/>
      <c r="V5" s="3"/>
      <c r="W5" s="3"/>
      <c r="X5" s="3"/>
      <c r="Y5" s="3"/>
      <c r="Z5" s="3"/>
      <c r="AA5" s="3"/>
    </row>
    <row r="6" spans="1:36" s="114" customFormat="1" ht="30.75" customHeight="1">
      <c r="A6" s="1877" t="s">
        <v>107</v>
      </c>
      <c r="B6" s="1878"/>
      <c r="C6" s="1439" t="s">
        <v>58</v>
      </c>
      <c r="D6" s="1440" t="s">
        <v>338</v>
      </c>
      <c r="E6" s="1440" t="s">
        <v>59</v>
      </c>
      <c r="F6" s="1441" t="s">
        <v>111</v>
      </c>
    </row>
    <row r="7" spans="1:36" s="114" customFormat="1" ht="30.75" customHeight="1">
      <c r="A7" s="1879"/>
      <c r="B7" s="1880"/>
      <c r="C7" s="587"/>
      <c r="D7" s="508"/>
      <c r="E7" s="508"/>
      <c r="F7" s="1442"/>
      <c r="L7" s="115"/>
      <c r="M7" s="115"/>
    </row>
    <row r="8" spans="1:36" s="114" customFormat="1" ht="14.25">
      <c r="A8" s="1881" t="s">
        <v>64</v>
      </c>
      <c r="B8" s="1882"/>
      <c r="C8" s="67">
        <v>120</v>
      </c>
      <c r="D8" s="1131">
        <v>30</v>
      </c>
      <c r="E8" s="1132">
        <v>600</v>
      </c>
      <c r="F8" s="1443">
        <f>E8*1.2*0.0003</f>
        <v>0.21599999999999997</v>
      </c>
      <c r="L8" s="115"/>
      <c r="M8" s="115"/>
    </row>
    <row r="9" spans="1:36" s="114" customFormat="1" ht="14.25">
      <c r="A9" s="1883" t="s">
        <v>105</v>
      </c>
      <c r="B9" s="1884"/>
      <c r="C9" s="72"/>
      <c r="D9" s="1133">
        <v>10</v>
      </c>
      <c r="E9" s="1134">
        <v>1200</v>
      </c>
      <c r="F9" s="1444">
        <f>E9*0.00009</f>
        <v>0.10800000000000001</v>
      </c>
      <c r="L9" s="115"/>
      <c r="M9" s="115"/>
    </row>
    <row r="10" spans="1:36" s="114" customFormat="1" ht="14.25">
      <c r="A10" s="1881" t="s">
        <v>64</v>
      </c>
      <c r="B10" s="1882"/>
      <c r="C10" s="67">
        <v>140</v>
      </c>
      <c r="D10" s="1131">
        <v>30</v>
      </c>
      <c r="E10" s="1132">
        <v>600</v>
      </c>
      <c r="F10" s="1443">
        <f>E10*1.2*0.0003</f>
        <v>0.21599999999999997</v>
      </c>
    </row>
    <row r="11" spans="1:36" s="114" customFormat="1" ht="15" thickBot="1">
      <c r="A11" s="1885" t="s">
        <v>105</v>
      </c>
      <c r="B11" s="1886"/>
      <c r="C11" s="1431"/>
      <c r="D11" s="1445">
        <v>10</v>
      </c>
      <c r="E11" s="1107">
        <v>1200</v>
      </c>
      <c r="F11" s="1446">
        <f>E11*0.00009</f>
        <v>0.10800000000000001</v>
      </c>
    </row>
    <row r="12" spans="1:36" s="41" customFormat="1" ht="20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73"/>
      <c r="O12" s="1"/>
      <c r="P12" s="73"/>
      <c r="Q12" s="73"/>
      <c r="R12" s="1"/>
      <c r="S12" s="1"/>
      <c r="T12" s="1"/>
      <c r="U12" s="1"/>
      <c r="V12" s="3"/>
      <c r="W12" s="3"/>
      <c r="X12" s="3"/>
      <c r="Y12" s="3"/>
      <c r="Z12" s="3"/>
      <c r="AA12" s="3"/>
    </row>
    <row r="13" spans="1:36" s="41" customFormat="1" ht="18">
      <c r="A13" s="42" t="s">
        <v>193</v>
      </c>
      <c r="B13" s="74"/>
      <c r="C13" s="74"/>
      <c r="D13" s="75"/>
      <c r="E13" s="1"/>
      <c r="F13" s="1"/>
      <c r="G13" s="1"/>
      <c r="H13" s="1"/>
      <c r="I13" s="1"/>
      <c r="J13" s="1"/>
      <c r="K13" s="1"/>
      <c r="L13" s="73"/>
      <c r="M13" s="73"/>
      <c r="N13" s="73"/>
      <c r="O13" s="1"/>
      <c r="P13" s="1"/>
      <c r="Q13" s="1"/>
      <c r="R13" s="1"/>
      <c r="S13" s="1"/>
      <c r="T13" s="1"/>
      <c r="U13" s="1"/>
      <c r="V13" s="3"/>
      <c r="W13" s="5"/>
      <c r="X13" s="3"/>
      <c r="Y13" s="3"/>
      <c r="Z13" s="3"/>
      <c r="AA13" s="3"/>
      <c r="AE13" s="76"/>
      <c r="AF13" s="76"/>
      <c r="AG13" s="76"/>
      <c r="AH13" s="76"/>
      <c r="AI13" s="76"/>
      <c r="AJ13" s="76"/>
    </row>
    <row r="14" spans="1:36" s="41" customFormat="1" ht="18">
      <c r="A14" s="42"/>
      <c r="B14" s="74"/>
      <c r="C14" s="74"/>
      <c r="D14" s="75"/>
      <c r="E14" s="1"/>
      <c r="F14" s="1"/>
      <c r="G14" s="1"/>
      <c r="H14" s="1"/>
      <c r="I14" s="1"/>
      <c r="J14" s="1"/>
      <c r="K14" s="1"/>
      <c r="L14" s="73"/>
      <c r="M14" s="73"/>
      <c r="N14" s="73"/>
      <c r="O14" s="1"/>
      <c r="P14" s="1"/>
      <c r="Q14" s="1"/>
      <c r="R14" s="1"/>
      <c r="S14" s="1"/>
      <c r="T14" s="1"/>
      <c r="U14" s="1"/>
      <c r="V14" s="3"/>
      <c r="W14" s="5"/>
      <c r="X14" s="3"/>
      <c r="Y14" s="3"/>
      <c r="Z14" s="3"/>
      <c r="AA14" s="3"/>
      <c r="AE14" s="76"/>
      <c r="AF14" s="76"/>
      <c r="AG14" s="76"/>
      <c r="AH14" s="76"/>
      <c r="AI14" s="76"/>
      <c r="AJ14" s="76"/>
    </row>
    <row r="15" spans="1:36" s="45" customFormat="1" ht="15.75" customHeight="1" thickBot="1">
      <c r="A15" s="644" t="s">
        <v>206</v>
      </c>
      <c r="B15" s="655"/>
      <c r="C15" s="44"/>
      <c r="D15" s="116"/>
      <c r="E15" s="3"/>
      <c r="F15" s="3"/>
      <c r="G15" s="3"/>
      <c r="H15" s="3"/>
      <c r="I15" s="3"/>
      <c r="J15" s="3"/>
      <c r="K15" s="241"/>
      <c r="L15" s="195"/>
      <c r="M15" s="195"/>
      <c r="N15" s="5"/>
      <c r="O15" s="3"/>
      <c r="P15" s="3"/>
      <c r="Q15" s="3"/>
      <c r="R15" s="3"/>
      <c r="S15" s="3"/>
      <c r="T15" s="3"/>
      <c r="U15" s="3"/>
      <c r="V15" s="3"/>
      <c r="W15" s="5"/>
      <c r="X15" s="3"/>
      <c r="Y15" s="3"/>
      <c r="Z15" s="3"/>
      <c r="AA15" s="3"/>
      <c r="AE15" s="82"/>
      <c r="AF15" s="82"/>
      <c r="AG15" s="82"/>
      <c r="AH15" s="82"/>
      <c r="AI15" s="82"/>
      <c r="AJ15" s="82"/>
    </row>
    <row r="16" spans="1:36" s="114" customFormat="1" ht="15" customHeight="1">
      <c r="A16" s="3"/>
      <c r="B16" s="3"/>
      <c r="C16" s="96"/>
      <c r="D16" s="50"/>
      <c r="E16" s="1782" t="s">
        <v>13</v>
      </c>
      <c r="F16" s="1784"/>
      <c r="G16" s="1669" t="s">
        <v>109</v>
      </c>
      <c r="H16" s="1670"/>
      <c r="I16" s="1671"/>
      <c r="J16" s="49"/>
      <c r="K16" s="1898" t="s">
        <v>21</v>
      </c>
      <c r="L16" s="1899"/>
      <c r="M16" s="1899"/>
      <c r="N16" s="1900"/>
    </row>
    <row r="17" spans="1:16" s="114" customFormat="1" ht="14.25">
      <c r="A17" s="3"/>
      <c r="B17" s="3"/>
      <c r="C17" s="68" t="s">
        <v>58</v>
      </c>
      <c r="D17" s="79" t="s">
        <v>5</v>
      </c>
      <c r="E17" s="79"/>
      <c r="F17" s="68"/>
      <c r="G17" s="117" t="s">
        <v>60</v>
      </c>
      <c r="H17" s="118" t="s">
        <v>61</v>
      </c>
      <c r="I17" s="119" t="s">
        <v>62</v>
      </c>
      <c r="J17" s="51" t="s">
        <v>8</v>
      </c>
      <c r="K17" s="1043" t="s">
        <v>29</v>
      </c>
      <c r="L17" s="454" t="s">
        <v>15</v>
      </c>
      <c r="M17" s="442" t="s">
        <v>15</v>
      </c>
      <c r="N17" s="1350" t="s">
        <v>385</v>
      </c>
    </row>
    <row r="18" spans="1:16" s="114" customFormat="1" ht="14.25">
      <c r="A18" s="163" t="s">
        <v>65</v>
      </c>
      <c r="B18" s="88" t="s">
        <v>19</v>
      </c>
      <c r="C18" s="72"/>
      <c r="D18" s="83" t="s">
        <v>10</v>
      </c>
      <c r="E18" s="83" t="s">
        <v>112</v>
      </c>
      <c r="F18" s="72" t="s">
        <v>108</v>
      </c>
      <c r="G18" s="83"/>
      <c r="H18" s="72"/>
      <c r="I18" s="120"/>
      <c r="J18" s="228"/>
      <c r="K18" s="1362" t="s">
        <v>386</v>
      </c>
      <c r="L18" s="439" t="s">
        <v>386</v>
      </c>
      <c r="M18" s="1363" t="s">
        <v>387</v>
      </c>
      <c r="N18" s="1359" t="s">
        <v>545</v>
      </c>
    </row>
    <row r="19" spans="1:16" s="114" customFormat="1" ht="14.25" customHeight="1">
      <c r="A19" s="1635" t="s">
        <v>306</v>
      </c>
      <c r="B19" s="1889" t="s">
        <v>26</v>
      </c>
      <c r="C19" s="67">
        <v>120</v>
      </c>
      <c r="D19" s="1627">
        <v>1</v>
      </c>
      <c r="E19" s="1751" t="s">
        <v>27</v>
      </c>
      <c r="F19" s="1627">
        <v>2</v>
      </c>
      <c r="G19" s="1331">
        <f>IF($E$19="lood",VLOOKUP($C$19,$E$35:$I$36,3),VLOOKUP($C$19,$E$38:$I$39,3))</f>
        <v>2.246</v>
      </c>
      <c r="H19" s="1331">
        <f>IF($E$19="lood",VLOOKUP($C$19,$E$35:$I$36,4),VLOOKUP($C$19,$E$38:$I$39,4))</f>
        <v>5.73</v>
      </c>
      <c r="I19" s="1331">
        <f>IF($E$19="lood",VLOOKUP($C$19,$E$35:$I$36,5),VLOOKUP($C$19,$E$38:$I$39,5))</f>
        <v>0.54700000000000004</v>
      </c>
      <c r="J19" s="747">
        <f>((((1+$H19/$G19)*EXP(1)^($G19*$I19*$F19))-($H19/$G19))^(-1/$I19))</f>
        <v>1.2399901794882939E-3</v>
      </c>
      <c r="K19" s="1478">
        <f>($D$8*$F$8+$D$9*$F$9)*$J19/$D19/$D19</f>
        <v>9.3743257569314994E-3</v>
      </c>
      <c r="L19" s="1479">
        <f>SUM(K19:K20)</f>
        <v>1.8888621943085708E-2</v>
      </c>
      <c r="M19" s="1480">
        <f>L19*52</f>
        <v>0.98220834104045684</v>
      </c>
      <c r="N19" s="1481">
        <f>$L19/(SUM(D$8:D$11))</f>
        <v>2.3610777428857135E-4</v>
      </c>
    </row>
    <row r="20" spans="1:16" s="114" customFormat="1" ht="15" thickBot="1">
      <c r="A20" s="1637"/>
      <c r="B20" s="1890"/>
      <c r="C20" s="88">
        <v>140</v>
      </c>
      <c r="D20" s="1629"/>
      <c r="E20" s="1754"/>
      <c r="F20" s="1629"/>
      <c r="G20" s="1332">
        <f>IF($E$19="lood",VLOOKUP($C$20,$E$35:$I$36,3),VLOOKUP($C$20,$E$38:$I$39,3))</f>
        <v>2.0089999999999999</v>
      </c>
      <c r="H20" s="1332">
        <f>IF($E$19="lood",VLOOKUP($C$20,$E$35:$I$36,4),VLOOKUP($C$20,$E$38:$I$39,4))</f>
        <v>3.99</v>
      </c>
      <c r="I20" s="1333">
        <f>IF($E$19="lood",VLOOKUP($C$20,$E$35:$I$36,5),VLOOKUP($C$20,$E$38:$I$39,5))</f>
        <v>0.34200000000000003</v>
      </c>
      <c r="J20" s="747">
        <f>((((1+$H20/$G20)*EXP(1)^($G20*$I20*$F19))-($H20/$G20))^(-1/$I20))</f>
        <v>1.2585047865283343E-3</v>
      </c>
      <c r="K20" s="1482">
        <f>($D$10*$F$10+$D$11*$F$11)*$J20/$D19/$D19</f>
        <v>9.5142961861542068E-3</v>
      </c>
      <c r="L20" s="1483"/>
      <c r="M20" s="1484"/>
      <c r="N20" s="1485"/>
    </row>
    <row r="21" spans="1:16" s="114" customFormat="1" ht="14.25"/>
    <row r="22" spans="1:16" s="114" customFormat="1" ht="14.25"/>
    <row r="23" spans="1:16" s="45" customFormat="1" ht="15">
      <c r="A23" s="653" t="s">
        <v>514</v>
      </c>
      <c r="B23" s="654"/>
      <c r="C23" s="12"/>
      <c r="D23" s="12"/>
      <c r="E23" s="12"/>
      <c r="F23" s="11"/>
      <c r="G23" s="11"/>
      <c r="H23" s="11"/>
      <c r="I23" s="93"/>
      <c r="J23" s="11"/>
      <c r="K23" s="85"/>
      <c r="L23" s="53"/>
      <c r="M23" s="53"/>
    </row>
    <row r="24" spans="1:16" s="114" customFormat="1" ht="15" thickBot="1">
      <c r="B24" s="114" t="s">
        <v>572</v>
      </c>
    </row>
    <row r="25" spans="1:16" s="114" customFormat="1" ht="15" customHeight="1">
      <c r="A25" s="3"/>
      <c r="B25" s="3"/>
      <c r="C25" s="96"/>
      <c r="D25" s="1891" t="s">
        <v>571</v>
      </c>
      <c r="E25" s="1692" t="s">
        <v>578</v>
      </c>
      <c r="F25" s="50"/>
      <c r="G25" s="1782" t="s">
        <v>13</v>
      </c>
      <c r="H25" s="1784"/>
      <c r="I25" s="1669" t="s">
        <v>109</v>
      </c>
      <c r="J25" s="1670"/>
      <c r="K25" s="1671"/>
      <c r="L25" s="49"/>
      <c r="M25" s="1643" t="s">
        <v>20</v>
      </c>
      <c r="N25" s="1645"/>
      <c r="O25" s="466"/>
      <c r="P25" s="466"/>
    </row>
    <row r="26" spans="1:16" s="114" customFormat="1" ht="14.25">
      <c r="A26" s="3"/>
      <c r="B26" s="3"/>
      <c r="C26" s="68" t="s">
        <v>58</v>
      </c>
      <c r="D26" s="1892"/>
      <c r="E26" s="1682"/>
      <c r="F26" s="79" t="s">
        <v>5</v>
      </c>
      <c r="G26" s="79"/>
      <c r="H26" s="68"/>
      <c r="I26" s="117" t="s">
        <v>60</v>
      </c>
      <c r="J26" s="118" t="s">
        <v>61</v>
      </c>
      <c r="K26" s="119" t="s">
        <v>62</v>
      </c>
      <c r="L26" s="51" t="s">
        <v>8</v>
      </c>
      <c r="M26" s="1043"/>
      <c r="N26" s="1350"/>
      <c r="O26" s="1232"/>
    </row>
    <row r="27" spans="1:16" s="114" customFormat="1" ht="14.25">
      <c r="A27" s="3"/>
      <c r="B27" s="3"/>
      <c r="C27" s="68"/>
      <c r="D27" s="1892"/>
      <c r="E27" s="1682"/>
      <c r="F27" s="79"/>
      <c r="G27" s="79"/>
      <c r="H27" s="68"/>
      <c r="I27" s="117"/>
      <c r="J27" s="118"/>
      <c r="K27" s="119"/>
      <c r="L27" s="51"/>
      <c r="M27" s="1043"/>
      <c r="N27" s="1350"/>
      <c r="O27" s="1232"/>
    </row>
    <row r="28" spans="1:16" s="114" customFormat="1" ht="14.25">
      <c r="A28" s="163" t="s">
        <v>65</v>
      </c>
      <c r="B28" s="88" t="s">
        <v>19</v>
      </c>
      <c r="C28" s="72"/>
      <c r="D28" s="1893"/>
      <c r="E28" s="1693"/>
      <c r="F28" s="83" t="s">
        <v>10</v>
      </c>
      <c r="G28" s="83" t="s">
        <v>112</v>
      </c>
      <c r="H28" s="72" t="s">
        <v>108</v>
      </c>
      <c r="I28" s="83"/>
      <c r="J28" s="72"/>
      <c r="K28" s="120"/>
      <c r="L28" s="228"/>
      <c r="M28" s="1361" t="s">
        <v>585</v>
      </c>
      <c r="N28" s="1359" t="s">
        <v>586</v>
      </c>
      <c r="O28" s="1232"/>
    </row>
    <row r="29" spans="1:16" s="114" customFormat="1" ht="14.25" customHeight="1">
      <c r="A29" s="1887"/>
      <c r="B29" s="1889" t="s">
        <v>542</v>
      </c>
      <c r="C29" s="67">
        <v>120</v>
      </c>
      <c r="D29" s="1856">
        <v>1</v>
      </c>
      <c r="E29" s="1856">
        <v>1</v>
      </c>
      <c r="F29" s="1627">
        <v>1</v>
      </c>
      <c r="G29" s="1751" t="s">
        <v>27</v>
      </c>
      <c r="H29" s="1627">
        <v>0</v>
      </c>
      <c r="I29" s="1331">
        <f>IF($E$19="lood",VLOOKUP($C$19,$E$35:$I$36,3),VLOOKUP($C$19,$E$38:$I$39,3))</f>
        <v>2.246</v>
      </c>
      <c r="J29" s="1331">
        <f>IF($E$19="lood",VLOOKUP($C$19,$E$35:$I$36,4),VLOOKUP($C$19,$E$38:$I$39,4))</f>
        <v>5.73</v>
      </c>
      <c r="K29" s="1331">
        <f>IF($E$19="lood",VLOOKUP($C$19,$E$35:$I$36,5),VLOOKUP($C$19,$E$38:$I$39,5))</f>
        <v>0.54700000000000004</v>
      </c>
      <c r="L29" s="747">
        <f>((((1+$J29/$I29)*EXP(1)^($I29*$K29*$H29))-($J29/$I29))^(-1/$K29))</f>
        <v>1</v>
      </c>
      <c r="M29" s="1896">
        <f>(($D$8*$F$8+$D$9*$F$9)*$L29/$F29/$F29+($D$10*$F$10+$D$11*$F$11)*$L30/$F29/$F29)/SUM(D8:D11)*D29</f>
        <v>0.18899999999999997</v>
      </c>
      <c r="N29" s="1894">
        <f>M29*E29</f>
        <v>0.18899999999999997</v>
      </c>
      <c r="O29" s="385"/>
    </row>
    <row r="30" spans="1:16" s="114" customFormat="1" ht="15.75" customHeight="1" thickBot="1">
      <c r="A30" s="1888"/>
      <c r="B30" s="1890"/>
      <c r="C30" s="88">
        <v>140</v>
      </c>
      <c r="D30" s="1858"/>
      <c r="E30" s="1858"/>
      <c r="F30" s="1629"/>
      <c r="G30" s="1754"/>
      <c r="H30" s="1629"/>
      <c r="I30" s="1332">
        <f>IF($E$19="lood",VLOOKUP($C$20,$E$35:$I$36,3),VLOOKUP($C$20,$E$38:$I$39,3))</f>
        <v>2.0089999999999999</v>
      </c>
      <c r="J30" s="1332">
        <f>IF($E$19="lood",VLOOKUP($C$20,$E$35:$I$36,4),VLOOKUP($C$20,$E$38:$I$39,4))</f>
        <v>3.99</v>
      </c>
      <c r="K30" s="1333">
        <f>IF($E$19="lood",VLOOKUP($C$20,$E$35:$I$36,5),VLOOKUP($C$20,$E$38:$I$39,5))</f>
        <v>0.34200000000000003</v>
      </c>
      <c r="L30" s="747">
        <f>((((1+$J30/$I30)*EXP(1)^($I30*$K30*$H29))-($J30/$I30))^(-1/$K30))</f>
        <v>1</v>
      </c>
      <c r="M30" s="1897"/>
      <c r="N30" s="1895"/>
      <c r="O30" s="385"/>
    </row>
    <row r="31" spans="1:16" s="114" customFormat="1" ht="14.25">
      <c r="A31" s="1222"/>
      <c r="B31" s="1223"/>
      <c r="C31" s="51"/>
      <c r="D31" s="1224"/>
      <c r="E31" s="1224"/>
      <c r="F31" s="1224"/>
      <c r="G31" s="1225"/>
      <c r="H31" s="1225"/>
      <c r="I31" s="1225"/>
      <c r="J31" s="1226"/>
      <c r="K31" s="11"/>
      <c r="L31" s="1227"/>
      <c r="M31" s="85"/>
      <c r="N31" s="11"/>
    </row>
    <row r="32" spans="1:16" s="114" customFormat="1" ht="14.25">
      <c r="A32" s="1222"/>
      <c r="B32" s="1223"/>
      <c r="C32" s="51"/>
      <c r="D32" s="1224"/>
      <c r="E32" s="1224"/>
      <c r="F32" s="1224"/>
      <c r="G32" s="1225"/>
      <c r="H32" s="1225"/>
      <c r="I32" s="1225"/>
      <c r="J32" s="1226"/>
      <c r="K32" s="11"/>
      <c r="L32" s="1227"/>
      <c r="M32" s="85"/>
      <c r="N32" s="11"/>
    </row>
    <row r="33" spans="2:15" s="114" customFormat="1" ht="14.25">
      <c r="E33" s="114" t="s">
        <v>106</v>
      </c>
    </row>
    <row r="34" spans="2:15" s="114" customFormat="1" ht="14.25">
      <c r="E34" s="121" t="s">
        <v>63</v>
      </c>
      <c r="F34" s="17" t="s">
        <v>27</v>
      </c>
      <c r="G34" s="89" t="s">
        <v>60</v>
      </c>
      <c r="H34" s="89" t="s">
        <v>61</v>
      </c>
      <c r="I34" s="11" t="s">
        <v>62</v>
      </c>
    </row>
    <row r="35" spans="2:15" s="114" customFormat="1" ht="14.25">
      <c r="E35" s="17">
        <v>120</v>
      </c>
      <c r="F35" s="122"/>
      <c r="G35" s="123">
        <v>2.246</v>
      </c>
      <c r="H35" s="123">
        <v>5.73</v>
      </c>
      <c r="I35" s="123">
        <v>0.54700000000000004</v>
      </c>
    </row>
    <row r="36" spans="2:15" s="114" customFormat="1" ht="15">
      <c r="B36" s="124"/>
      <c r="C36" s="125"/>
      <c r="D36" s="125"/>
      <c r="E36" s="17">
        <v>140</v>
      </c>
      <c r="F36" s="122"/>
      <c r="G36" s="123">
        <v>2.0089999999999999</v>
      </c>
      <c r="H36" s="123">
        <v>3.99</v>
      </c>
      <c r="I36" s="123">
        <v>0.34200000000000003</v>
      </c>
    </row>
    <row r="37" spans="2:15" s="114" customFormat="1" ht="15">
      <c r="B37" s="126"/>
      <c r="C37" s="127"/>
      <c r="D37" s="128"/>
      <c r="E37" s="114" t="s">
        <v>63</v>
      </c>
      <c r="F37" s="114" t="s">
        <v>3</v>
      </c>
    </row>
    <row r="38" spans="2:15" s="114" customFormat="1" ht="15">
      <c r="B38" s="126"/>
      <c r="C38" s="127"/>
      <c r="D38" s="128"/>
      <c r="E38" s="17">
        <v>120</v>
      </c>
      <c r="F38" s="122"/>
      <c r="G38" s="123">
        <v>3.8300000000000001E-2</v>
      </c>
      <c r="H38" s="123">
        <v>1.4200000000000001E-2</v>
      </c>
      <c r="I38" s="123">
        <v>0.65800000000000003</v>
      </c>
    </row>
    <row r="39" spans="2:15" s="114" customFormat="1" ht="15">
      <c r="B39" s="126"/>
      <c r="C39" s="129"/>
      <c r="D39" s="128"/>
      <c r="E39" s="17">
        <v>140</v>
      </c>
      <c r="F39" s="122"/>
      <c r="G39" s="123">
        <v>3.3599999999999998E-2</v>
      </c>
      <c r="H39" s="123">
        <v>1.2200000000000001E-2</v>
      </c>
      <c r="I39" s="123">
        <v>0.51900000000000002</v>
      </c>
    </row>
    <row r="40" spans="2:15" s="114" customFormat="1" ht="14.25">
      <c r="B40" s="126"/>
      <c r="C40" s="130"/>
      <c r="D40" s="131"/>
      <c r="E40" s="126"/>
      <c r="F40" s="126"/>
      <c r="G40" s="126"/>
    </row>
    <row r="41" spans="2:15" s="114" customFormat="1" ht="14.25">
      <c r="B41" s="132"/>
      <c r="C41" s="126"/>
      <c r="D41" s="126"/>
      <c r="E41" s="126"/>
      <c r="F41" s="126"/>
      <c r="G41" s="126"/>
    </row>
    <row r="42" spans="2:15">
      <c r="B42" s="133"/>
      <c r="C42" s="134"/>
      <c r="D42" s="134"/>
      <c r="E42" s="134"/>
      <c r="F42" s="134"/>
      <c r="G42" s="134"/>
    </row>
    <row r="43" spans="2:15">
      <c r="B43" s="136"/>
      <c r="C43" s="136"/>
      <c r="D43" s="137"/>
      <c r="E43" s="137"/>
      <c r="F43" s="138"/>
      <c r="G43" s="138"/>
      <c r="H43" s="139"/>
      <c r="I43" s="139"/>
      <c r="J43" s="139"/>
      <c r="K43" s="139"/>
      <c r="L43" s="140"/>
      <c r="M43" s="140"/>
    </row>
    <row r="44" spans="2:15">
      <c r="B44" s="141"/>
      <c r="C44" s="142"/>
      <c r="D44" s="142"/>
      <c r="E44" s="143"/>
      <c r="F44" s="144"/>
      <c r="G44" s="145"/>
      <c r="H44" s="146"/>
      <c r="I44" s="147"/>
      <c r="J44" s="147"/>
      <c r="K44" s="147"/>
      <c r="L44" s="148"/>
      <c r="M44" s="149"/>
    </row>
    <row r="45" spans="2:15">
      <c r="B45" s="141"/>
      <c r="C45" s="142"/>
      <c r="D45" s="142"/>
      <c r="E45" s="150"/>
      <c r="F45" s="151"/>
      <c r="G45" s="145"/>
      <c r="H45" s="146"/>
      <c r="I45" s="147"/>
      <c r="J45" s="147"/>
      <c r="K45" s="147"/>
      <c r="L45" s="148"/>
      <c r="M45" s="149"/>
      <c r="N45" s="152"/>
      <c r="O45" s="152"/>
    </row>
    <row r="46" spans="2:15">
      <c r="B46" s="134"/>
      <c r="C46" s="134"/>
      <c r="D46" s="134"/>
      <c r="E46" s="134"/>
      <c r="F46" s="134"/>
      <c r="G46" s="134"/>
    </row>
    <row r="47" spans="2:15">
      <c r="B47" s="153"/>
      <c r="C47" s="154"/>
      <c r="D47" s="154"/>
      <c r="E47" s="154"/>
      <c r="F47" s="154"/>
      <c r="G47" s="154"/>
      <c r="H47" s="155"/>
      <c r="I47" s="155"/>
      <c r="J47" s="152"/>
      <c r="K47" s="155"/>
      <c r="L47" s="155"/>
      <c r="M47" s="152"/>
    </row>
    <row r="54" spans="6:13">
      <c r="L54" s="156"/>
      <c r="M54" s="156"/>
    </row>
    <row r="58" spans="6:13">
      <c r="F58" s="156"/>
      <c r="G58" s="156"/>
      <c r="H58" s="156"/>
      <c r="I58" s="156"/>
    </row>
    <row r="59" spans="6:13">
      <c r="F59" s="156"/>
      <c r="G59" s="156"/>
      <c r="H59" s="156"/>
      <c r="I59" s="156"/>
    </row>
  </sheetData>
  <sheetProtection password="C526" sheet="1" objects="1" scenarios="1"/>
  <mergeCells count="27">
    <mergeCell ref="E16:F16"/>
    <mergeCell ref="N29:N30"/>
    <mergeCell ref="M25:N25"/>
    <mergeCell ref="M29:M30"/>
    <mergeCell ref="K16:N16"/>
    <mergeCell ref="G25:H25"/>
    <mergeCell ref="I25:K25"/>
    <mergeCell ref="G16:I16"/>
    <mergeCell ref="G29:G30"/>
    <mergeCell ref="E29:E30"/>
    <mergeCell ref="B19:B20"/>
    <mergeCell ref="H29:H30"/>
    <mergeCell ref="D25:D28"/>
    <mergeCell ref="D29:D30"/>
    <mergeCell ref="E25:E28"/>
    <mergeCell ref="D19:D20"/>
    <mergeCell ref="E19:E20"/>
    <mergeCell ref="F19:F20"/>
    <mergeCell ref="A29:A30"/>
    <mergeCell ref="B29:B30"/>
    <mergeCell ref="F29:F30"/>
    <mergeCell ref="A6:B7"/>
    <mergeCell ref="A8:B8"/>
    <mergeCell ref="A9:B9"/>
    <mergeCell ref="A10:B10"/>
    <mergeCell ref="A11:B11"/>
    <mergeCell ref="A19:A20"/>
  </mergeCells>
  <phoneticPr fontId="0" type="noConversion"/>
  <dataValidations count="1">
    <dataValidation type="list" allowBlank="1" showInputMessage="1" showErrorMessage="1" sqref="E19:E20 E31:E32 G29:G30">
      <formula1>"lood,beton"</formula1>
    </dataValidation>
  </dataValidations>
  <pageMargins left="0.74803149606299213" right="0.74803149606299213" top="0.78740157480314965" bottom="0.78740157480314965" header="0.51181102362204722" footer="0.51181102362204722"/>
  <pageSetup paperSize="9" scale="50" orientation="landscape" horizontalDpi="300" verticalDpi="300" r:id="rId1"/>
  <headerFooter alignWithMargins="0">
    <oddFooter>&amp;C[Tabblad]</oddFooter>
  </headerFooter>
  <ignoredErrors>
    <ignoredError sqref="G20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 codeName="Blad11">
    <tabColor theme="0" tint="-0.249977111117893"/>
  </sheetPr>
  <dimension ref="A1:AV54"/>
  <sheetViews>
    <sheetView showGridLines="0" topLeftCell="A10" zoomScale="70" zoomScaleNormal="70" workbookViewId="0">
      <selection activeCell="M37" sqref="M37:M39"/>
    </sheetView>
  </sheetViews>
  <sheetFormatPr defaultRowHeight="15"/>
  <cols>
    <col min="1" max="1" width="6.7109375" style="41" customWidth="1"/>
    <col min="2" max="2" width="20.7109375" style="41" customWidth="1"/>
    <col min="3" max="31" width="12.7109375" style="41" customWidth="1"/>
    <col min="32" max="16384" width="9.140625" style="41"/>
  </cols>
  <sheetData>
    <row r="1" spans="1:31" s="523" customFormat="1" ht="27" thickBot="1">
      <c r="A1" s="23" t="s">
        <v>177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524"/>
    </row>
    <row r="2" spans="1:31" s="3" customFormat="1" ht="18.75" customHeight="1" thickBot="1">
      <c r="A2" s="2"/>
      <c r="F2" s="5"/>
      <c r="G2" s="5"/>
      <c r="H2" s="5"/>
    </row>
    <row r="3" spans="1:31" s="311" customFormat="1" ht="26.25" customHeight="1" thickBot="1">
      <c r="A3" s="1015" t="s">
        <v>529</v>
      </c>
      <c r="B3" s="1016"/>
      <c r="C3" s="1099" t="s">
        <v>177</v>
      </c>
      <c r="D3" s="1017"/>
      <c r="E3" s="1017"/>
      <c r="F3" s="1018"/>
      <c r="G3" s="1018"/>
      <c r="H3" s="1018"/>
      <c r="I3" s="1044"/>
    </row>
    <row r="4" spans="1:31" s="311" customFormat="1" ht="22.5" customHeight="1">
      <c r="A4" s="1039"/>
      <c r="B4" s="336"/>
      <c r="C4" s="1040"/>
      <c r="D4" s="336"/>
      <c r="E4" s="336"/>
      <c r="F4" s="442"/>
      <c r="G4" s="442"/>
      <c r="H4" s="440"/>
    </row>
    <row r="5" spans="1:31" ht="19.5" customHeight="1" thickBot="1">
      <c r="A5" s="42" t="s">
        <v>189</v>
      </c>
      <c r="B5" s="43"/>
      <c r="C5" s="1"/>
      <c r="D5" s="1"/>
      <c r="E5" s="1"/>
      <c r="F5" s="1"/>
      <c r="G5" s="1"/>
      <c r="H5" s="1"/>
      <c r="I5" s="1"/>
      <c r="J5" s="1"/>
      <c r="K5" s="1"/>
      <c r="L5" s="42"/>
      <c r="M5" s="1"/>
      <c r="N5" s="1"/>
      <c r="O5" s="1"/>
      <c r="P5" s="1"/>
      <c r="Q5" s="1"/>
      <c r="R5" s="1"/>
      <c r="S5" s="1"/>
      <c r="T5" s="1"/>
      <c r="U5" s="3"/>
      <c r="V5" s="3"/>
      <c r="W5" s="3"/>
      <c r="X5" s="3"/>
      <c r="Y5" s="3"/>
      <c r="Z5" s="3"/>
    </row>
    <row r="6" spans="1:31" s="45" customFormat="1">
      <c r="A6" s="296" t="s">
        <v>339</v>
      </c>
      <c r="B6" s="1432"/>
      <c r="C6" s="1433"/>
      <c r="D6" s="1434">
        <v>50</v>
      </c>
      <c r="E6" s="1434">
        <v>100</v>
      </c>
      <c r="F6" s="1434">
        <v>150</v>
      </c>
      <c r="G6" s="1434">
        <v>200</v>
      </c>
      <c r="H6" s="1434">
        <v>250</v>
      </c>
      <c r="I6" s="1435">
        <v>300</v>
      </c>
      <c r="J6" s="180"/>
      <c r="K6" s="3"/>
      <c r="L6" s="3"/>
      <c r="M6" s="3"/>
      <c r="N6" s="3"/>
      <c r="O6" s="3"/>
      <c r="P6" s="3"/>
      <c r="Q6" s="3"/>
      <c r="R6" s="3"/>
    </row>
    <row r="7" spans="1:31" s="45" customFormat="1">
      <c r="A7" s="708" t="s">
        <v>341</v>
      </c>
      <c r="B7" s="87"/>
      <c r="C7" s="590"/>
      <c r="D7" s="1135">
        <v>15</v>
      </c>
      <c r="E7" s="1135">
        <v>15</v>
      </c>
      <c r="F7" s="1135">
        <v>15</v>
      </c>
      <c r="G7" s="1135">
        <v>15</v>
      </c>
      <c r="H7" s="1135">
        <v>15</v>
      </c>
      <c r="I7" s="1114">
        <v>15</v>
      </c>
      <c r="J7" s="3"/>
      <c r="K7" s="3"/>
      <c r="L7" s="3"/>
    </row>
    <row r="8" spans="1:31" s="45" customFormat="1">
      <c r="A8" s="708" t="s">
        <v>410</v>
      </c>
      <c r="B8" s="87"/>
      <c r="C8" s="590"/>
      <c r="D8" s="1135">
        <v>2</v>
      </c>
      <c r="E8" s="1135">
        <v>2</v>
      </c>
      <c r="F8" s="1135">
        <v>2</v>
      </c>
      <c r="G8" s="1135">
        <v>2</v>
      </c>
      <c r="H8" s="1135">
        <v>2</v>
      </c>
      <c r="I8" s="1114">
        <v>2</v>
      </c>
      <c r="J8" s="3"/>
      <c r="K8" s="3"/>
      <c r="L8" s="3"/>
    </row>
    <row r="9" spans="1:31" s="45" customFormat="1">
      <c r="A9" s="708" t="s">
        <v>549</v>
      </c>
      <c r="B9" s="87"/>
      <c r="C9" s="590"/>
      <c r="D9" s="1135">
        <v>0.8</v>
      </c>
      <c r="E9" s="1135">
        <v>0.8</v>
      </c>
      <c r="F9" s="1135">
        <v>0.8</v>
      </c>
      <c r="G9" s="1135">
        <v>0.8</v>
      </c>
      <c r="H9" s="1135">
        <v>0.8</v>
      </c>
      <c r="I9" s="1114">
        <v>0.8</v>
      </c>
      <c r="J9" s="3"/>
      <c r="K9" s="3"/>
      <c r="L9" s="3"/>
    </row>
    <row r="10" spans="1:31" s="45" customFormat="1" ht="18.75">
      <c r="A10" s="708" t="s">
        <v>226</v>
      </c>
      <c r="B10" s="87"/>
      <c r="C10" s="590"/>
      <c r="D10" s="1186">
        <v>1E-3</v>
      </c>
      <c r="E10" s="1385"/>
      <c r="F10" s="1385"/>
      <c r="G10" s="1385"/>
      <c r="H10" s="1385"/>
      <c r="I10" s="1447"/>
      <c r="J10" s="10"/>
      <c r="K10" s="10"/>
      <c r="L10" s="53"/>
      <c r="P10" s="53"/>
      <c r="Q10" s="53"/>
      <c r="R10" s="53"/>
      <c r="S10" s="53"/>
      <c r="T10" s="53"/>
      <c r="U10" s="53"/>
      <c r="V10" s="53"/>
    </row>
    <row r="11" spans="1:31" s="45" customFormat="1">
      <c r="A11" s="708" t="s">
        <v>354</v>
      </c>
      <c r="B11" s="87"/>
      <c r="C11" s="590"/>
      <c r="D11" s="1135">
        <v>0.5</v>
      </c>
      <c r="E11" s="1135">
        <v>0.5</v>
      </c>
      <c r="F11" s="1135">
        <v>0.5</v>
      </c>
      <c r="G11" s="1135">
        <v>0.5</v>
      </c>
      <c r="H11" s="1135">
        <v>0.5</v>
      </c>
      <c r="I11" s="1114">
        <v>0.5</v>
      </c>
      <c r="J11" s="3"/>
      <c r="K11" s="3"/>
      <c r="L11" s="3"/>
    </row>
    <row r="12" spans="1:31" s="45" customFormat="1" ht="17.25">
      <c r="A12" s="203" t="s">
        <v>357</v>
      </c>
      <c r="B12" s="50"/>
      <c r="C12" s="590"/>
      <c r="D12" s="1132">
        <f t="shared" ref="D12:I12" si="0">15*15</f>
        <v>225</v>
      </c>
      <c r="E12" s="1132">
        <f t="shared" si="0"/>
        <v>225</v>
      </c>
      <c r="F12" s="1132">
        <f t="shared" si="0"/>
        <v>225</v>
      </c>
      <c r="G12" s="1132">
        <f t="shared" si="0"/>
        <v>225</v>
      </c>
      <c r="H12" s="1132">
        <f t="shared" si="0"/>
        <v>225</v>
      </c>
      <c r="I12" s="1436">
        <f t="shared" si="0"/>
        <v>225</v>
      </c>
      <c r="J12" s="3"/>
      <c r="K12" s="3"/>
      <c r="L12" s="3"/>
    </row>
    <row r="13" spans="1:31" s="45" customFormat="1">
      <c r="A13" s="286" t="s">
        <v>191</v>
      </c>
      <c r="B13" s="80"/>
      <c r="C13" s="590"/>
      <c r="D13" s="1136">
        <v>0.4</v>
      </c>
      <c r="E13" s="1136">
        <v>0.5</v>
      </c>
      <c r="F13" s="1136">
        <v>0.55000000000000004</v>
      </c>
      <c r="G13" s="1136">
        <v>0.6</v>
      </c>
      <c r="H13" s="1136">
        <v>0.7</v>
      </c>
      <c r="I13" s="1437">
        <v>0.8</v>
      </c>
      <c r="J13" s="3"/>
      <c r="K13" s="90"/>
      <c r="L13" s="395"/>
      <c r="M13" s="10"/>
      <c r="N13" s="161"/>
      <c r="Q13" s="53"/>
      <c r="R13" s="53"/>
      <c r="S13" s="53"/>
      <c r="T13" s="53"/>
      <c r="U13" s="53"/>
      <c r="V13" s="53"/>
      <c r="W13" s="53"/>
    </row>
    <row r="14" spans="1:31" s="45" customFormat="1" ht="17.25">
      <c r="A14" s="708" t="s">
        <v>356</v>
      </c>
      <c r="B14" s="164"/>
      <c r="C14" s="590"/>
      <c r="D14" s="748">
        <f ca="1">VLOOKUP($D$6,scatterfactoren!$A$8:$G$13,5)</f>
        <v>3.5E-4</v>
      </c>
      <c r="E14" s="748">
        <f ca="1">VLOOKUP($E$6,scatterfactoren!$A$8:$G$13,5)</f>
        <v>1.2999999999999999E-3</v>
      </c>
      <c r="F14" s="748">
        <f ca="1">VLOOKUP($F$6,scatterfactoren!$A$8:$G$13,5)</f>
        <v>1.6000000000000001E-3</v>
      </c>
      <c r="G14" s="748">
        <f ca="1">VLOOKUP($G$6,scatterfactoren!$A$8:$G$13,5)</f>
        <v>1.9E-3</v>
      </c>
      <c r="H14" s="748">
        <f ca="1">VLOOKUP($H$6,scatterfactoren!$A$8:$G$13,5)</f>
        <v>1.9E-3</v>
      </c>
      <c r="I14" s="1438">
        <f ca="1">VLOOKUP($I$6,scatterfactoren!$A$8:$G$13,5)</f>
        <v>1.9E-3</v>
      </c>
      <c r="J14" s="3"/>
      <c r="K14" s="90"/>
      <c r="L14" s="395"/>
      <c r="M14" s="10"/>
      <c r="N14" s="161"/>
      <c r="Q14" s="53"/>
      <c r="R14" s="53"/>
      <c r="S14" s="53"/>
      <c r="T14" s="53"/>
      <c r="U14" s="53"/>
      <c r="V14" s="53"/>
      <c r="W14" s="53"/>
    </row>
    <row r="15" spans="1:31" s="45" customFormat="1">
      <c r="A15" s="59" t="s">
        <v>276</v>
      </c>
      <c r="B15" s="513"/>
      <c r="C15" s="589" t="s">
        <v>3</v>
      </c>
      <c r="D15" s="723">
        <f ca="1">VLOOKUP(D$6,'TVT''s afscherming'!$A$36:$D$41,2)</f>
        <v>1.7</v>
      </c>
      <c r="E15" s="724">
        <f ca="1">VLOOKUP(E$6,'TVT''s afscherming'!$A$36:$D$41,2)</f>
        <v>6.1</v>
      </c>
      <c r="F15" s="724">
        <f ca="1">VLOOKUP(F$6,'TVT''s afscherming'!$A$36:$D$41,2)</f>
        <v>7.4</v>
      </c>
      <c r="G15" s="724">
        <f ca="1">VLOOKUP(G$6,'TVT''s afscherming'!$A$36:$D$41,2)</f>
        <v>9.3000000000000007</v>
      </c>
      <c r="H15" s="724">
        <f ca="1">VLOOKUP(H$6,'TVT''s afscherming'!$A$36:$D$41,2)</f>
        <v>9.8000000000000007</v>
      </c>
      <c r="I15" s="749">
        <f ca="1">VLOOKUP(I$6,'TVT''s afscherming'!$A$36:$D$41,2)</f>
        <v>10.6</v>
      </c>
      <c r="J15" s="52"/>
      <c r="K15" s="51"/>
      <c r="L15" s="10"/>
      <c r="M15" s="10"/>
      <c r="N15" s="64"/>
      <c r="O15" s="64"/>
      <c r="P15" s="64"/>
      <c r="Q15" s="93"/>
      <c r="R15" s="93"/>
      <c r="S15" s="34"/>
      <c r="T15" s="34"/>
      <c r="U15" s="34"/>
      <c r="V15" s="51"/>
      <c r="W15" s="53"/>
      <c r="X15" s="53"/>
      <c r="Y15" s="53"/>
      <c r="Z15" s="53"/>
    </row>
    <row r="16" spans="1:31" s="45" customFormat="1">
      <c r="A16" s="59"/>
      <c r="B16" s="51"/>
      <c r="C16" s="52" t="s">
        <v>4</v>
      </c>
      <c r="D16" s="727">
        <f ca="1">VLOOKUP(D$6,'TVT''s afscherming'!$A$36:$D$41,3)</f>
        <v>0.16</v>
      </c>
      <c r="E16" s="725">
        <f ca="1">VLOOKUP(E$6,'TVT''s afscherming'!$A$36:$D$41,3)</f>
        <v>0.81</v>
      </c>
      <c r="F16" s="725">
        <f ca="1">VLOOKUP(F$6,'TVT''s afscherming'!$A$36:$D$41,3)</f>
        <v>1.1499999999999999</v>
      </c>
      <c r="G16" s="725">
        <f ca="1">VLOOKUP(G$6,'TVT''s afscherming'!$A$36:$D$41,3)</f>
        <v>1.78</v>
      </c>
      <c r="H16" s="725">
        <f ca="1">VLOOKUP(H$6,'TVT''s afscherming'!$A$36:$D$41,3)</f>
        <v>2.0099999999999998</v>
      </c>
      <c r="I16" s="750">
        <f ca="1">VLOOKUP(I$6,'TVT''s afscherming'!$A$36:$D$41,3)</f>
        <v>2.2200000000000002</v>
      </c>
      <c r="J16" s="51"/>
      <c r="K16" s="51"/>
      <c r="L16" s="10"/>
      <c r="M16" s="10"/>
      <c r="N16" s="64"/>
      <c r="O16" s="64"/>
      <c r="P16" s="64"/>
      <c r="Q16" s="443"/>
      <c r="R16" s="10"/>
      <c r="S16" s="52"/>
      <c r="T16" s="10"/>
      <c r="U16" s="10"/>
      <c r="V16" s="53"/>
      <c r="W16" s="53"/>
      <c r="X16" s="53"/>
      <c r="Y16" s="53"/>
      <c r="Z16" s="53"/>
    </row>
    <row r="17" spans="1:48" s="45" customFormat="1" ht="15.75" thickBot="1">
      <c r="A17" s="194"/>
      <c r="B17" s="195"/>
      <c r="C17" s="288" t="s">
        <v>27</v>
      </c>
      <c r="D17" s="729">
        <f ca="1">VLOOKUP(D$6,'TVT''s afscherming'!$A$36:$D$41,4)</f>
        <v>0.02</v>
      </c>
      <c r="E17" s="730">
        <f ca="1">VLOOKUP(E$6,'TVT''s afscherming'!$A$36:$D$41,4)</f>
        <v>0.09</v>
      </c>
      <c r="F17" s="730">
        <f ca="1">VLOOKUP(F$6,'TVT''s afscherming'!$A$36:$D$41,4)</f>
        <v>9.9000000000000005E-2</v>
      </c>
      <c r="G17" s="730">
        <f ca="1">VLOOKUP(G$6,'TVT''s afscherming'!$A$36:$D$41,4)</f>
        <v>0.17</v>
      </c>
      <c r="H17" s="730">
        <f ca="1">VLOOKUP(H$6,'TVT''s afscherming'!$A$36:$D$41,4)</f>
        <v>0.28000000000000003</v>
      </c>
      <c r="I17" s="751">
        <f ca="1">VLOOKUP(I$6,'TVT''s afscherming'!$A$36:$D$41,4)</f>
        <v>0.46</v>
      </c>
      <c r="J17" s="51"/>
      <c r="K17" s="51"/>
      <c r="L17" s="51"/>
      <c r="M17" s="443"/>
      <c r="N17" s="64"/>
      <c r="O17" s="64"/>
      <c r="P17" s="64"/>
      <c r="Q17" s="64"/>
      <c r="R17" s="10"/>
      <c r="S17" s="10"/>
      <c r="T17" s="10"/>
      <c r="U17" s="10"/>
      <c r="V17" s="53"/>
      <c r="W17" s="53"/>
      <c r="X17" s="53"/>
      <c r="Y17" s="53"/>
      <c r="Z17" s="53"/>
    </row>
    <row r="18" spans="1:48" s="45" customFormat="1">
      <c r="A18" s="10" t="s">
        <v>203</v>
      </c>
      <c r="B18" s="44"/>
      <c r="C18" s="116"/>
      <c r="D18" s="3"/>
      <c r="E18" s="3"/>
      <c r="F18" s="3"/>
      <c r="G18" s="3"/>
      <c r="H18" s="3"/>
      <c r="I18" s="3"/>
      <c r="J18" s="5"/>
      <c r="K18" s="5"/>
      <c r="L18" s="5"/>
      <c r="M18" s="3"/>
      <c r="N18" s="3"/>
      <c r="O18" s="3"/>
      <c r="P18" s="3"/>
      <c r="Q18" s="181"/>
      <c r="R18" s="3"/>
      <c r="S18" s="3"/>
      <c r="U18" s="82"/>
      <c r="AC18" s="82"/>
      <c r="AD18" s="82"/>
      <c r="AE18" s="82"/>
      <c r="AF18" s="82"/>
      <c r="AG18" s="82"/>
      <c r="AH18" s="82"/>
    </row>
    <row r="20" spans="1:48" ht="18">
      <c r="A20" s="42" t="s">
        <v>193</v>
      </c>
      <c r="B20" s="74"/>
      <c r="C20" s="99"/>
      <c r="D20" s="99"/>
      <c r="E20" s="99"/>
      <c r="F20" s="99"/>
      <c r="G20" s="99"/>
      <c r="H20" s="99"/>
      <c r="I20" s="99"/>
      <c r="J20" s="105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</row>
    <row r="21" spans="1:48" ht="18">
      <c r="A21" s="42"/>
      <c r="B21" s="74"/>
      <c r="C21" s="99"/>
      <c r="D21" s="99"/>
      <c r="E21" s="99"/>
      <c r="F21" s="99"/>
      <c r="G21" s="99"/>
      <c r="H21" s="99"/>
      <c r="I21" s="99"/>
      <c r="J21" s="105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48" s="45" customFormat="1" ht="15.75" thickBot="1">
      <c r="A22" s="652" t="s">
        <v>206</v>
      </c>
      <c r="B22" s="656"/>
      <c r="C22" s="10"/>
      <c r="D22" s="10"/>
      <c r="E22" s="10"/>
      <c r="F22" s="10"/>
      <c r="G22" s="10"/>
      <c r="H22" s="10"/>
      <c r="I22" s="51"/>
      <c r="J22" s="10"/>
      <c r="K22" s="10"/>
      <c r="L22" s="457"/>
      <c r="M22" s="10"/>
      <c r="N22" s="10"/>
      <c r="O22" s="10"/>
      <c r="P22" s="10"/>
      <c r="Q22" s="10"/>
      <c r="R22" s="10"/>
      <c r="S22" s="94"/>
      <c r="T22" s="10"/>
      <c r="U22" s="10"/>
      <c r="V22" s="10"/>
      <c r="W22" s="53"/>
      <c r="X22" s="53"/>
      <c r="Y22" s="53"/>
      <c r="Z22" s="53"/>
      <c r="AA22" s="53"/>
      <c r="AB22" s="53"/>
      <c r="AC22" s="53"/>
      <c r="AD22" s="53"/>
    </row>
    <row r="23" spans="1:48" s="45" customFormat="1" ht="15.75">
      <c r="A23" s="3"/>
      <c r="B23" s="3"/>
      <c r="C23" s="96"/>
      <c r="D23" s="50"/>
      <c r="E23" s="50"/>
      <c r="F23" s="96"/>
      <c r="G23" s="1669" t="s">
        <v>113</v>
      </c>
      <c r="H23" s="1670"/>
      <c r="I23" s="1670"/>
      <c r="J23" s="1673">
        <f>$D$6</f>
        <v>50</v>
      </c>
      <c r="K23" s="1674"/>
      <c r="L23" s="1674"/>
      <c r="M23" s="1673">
        <f>$E$6</f>
        <v>100</v>
      </c>
      <c r="N23" s="1674"/>
      <c r="O23" s="1674"/>
      <c r="P23" s="1673">
        <f>$F$6</f>
        <v>150</v>
      </c>
      <c r="Q23" s="1674"/>
      <c r="R23" s="1674"/>
      <c r="S23" s="1673">
        <f>$G$6</f>
        <v>200</v>
      </c>
      <c r="T23" s="1674"/>
      <c r="U23" s="1674"/>
      <c r="V23" s="1673">
        <f>$H$6</f>
        <v>250</v>
      </c>
      <c r="W23" s="1674"/>
      <c r="X23" s="1674"/>
      <c r="Y23" s="1673">
        <f>$I$6</f>
        <v>300</v>
      </c>
      <c r="Z23" s="1674"/>
      <c r="AA23" s="1674"/>
      <c r="AB23" s="1643" t="s">
        <v>20</v>
      </c>
      <c r="AC23" s="1644"/>
      <c r="AD23" s="1644"/>
      <c r="AE23" s="1645"/>
      <c r="AG23" s="53"/>
      <c r="AH23" s="66"/>
      <c r="AI23" s="182"/>
      <c r="AJ23" s="53"/>
      <c r="AK23" s="53"/>
      <c r="AL23" s="53"/>
      <c r="AM23" s="53"/>
      <c r="AN23" s="53"/>
      <c r="AO23" s="53"/>
      <c r="AP23" s="66"/>
      <c r="AQ23" s="66"/>
      <c r="AR23" s="66"/>
      <c r="AS23" s="82"/>
      <c r="AT23" s="82"/>
      <c r="AU23" s="82"/>
    </row>
    <row r="24" spans="1:48" s="45" customFormat="1">
      <c r="A24" s="3"/>
      <c r="B24" s="3"/>
      <c r="C24" s="69" t="s">
        <v>16</v>
      </c>
      <c r="D24" s="79" t="s">
        <v>5</v>
      </c>
      <c r="E24" s="54"/>
      <c r="F24" s="68" t="s">
        <v>6</v>
      </c>
      <c r="G24" s="79" t="s">
        <v>2</v>
      </c>
      <c r="H24" s="68" t="s">
        <v>4</v>
      </c>
      <c r="I24" s="51" t="s">
        <v>27</v>
      </c>
      <c r="J24" s="328" t="s">
        <v>170</v>
      </c>
      <c r="K24" s="328" t="s">
        <v>329</v>
      </c>
      <c r="L24" s="328" t="s">
        <v>20</v>
      </c>
      <c r="M24" s="328" t="s">
        <v>170</v>
      </c>
      <c r="N24" s="328" t="s">
        <v>329</v>
      </c>
      <c r="O24" s="328" t="s">
        <v>20</v>
      </c>
      <c r="P24" s="328" t="s">
        <v>170</v>
      </c>
      <c r="Q24" s="328" t="s">
        <v>329</v>
      </c>
      <c r="R24" s="328" t="s">
        <v>20</v>
      </c>
      <c r="S24" s="328" t="s">
        <v>170</v>
      </c>
      <c r="T24" s="328" t="s">
        <v>329</v>
      </c>
      <c r="U24" s="328" t="s">
        <v>20</v>
      </c>
      <c r="V24" s="328" t="s">
        <v>170</v>
      </c>
      <c r="W24" s="328" t="s">
        <v>329</v>
      </c>
      <c r="X24" s="328" t="s">
        <v>20</v>
      </c>
      <c r="Y24" s="328" t="s">
        <v>170</v>
      </c>
      <c r="Z24" s="328" t="s">
        <v>329</v>
      </c>
      <c r="AA24" s="328" t="s">
        <v>20</v>
      </c>
      <c r="AB24" s="1043" t="s">
        <v>29</v>
      </c>
      <c r="AC24" s="454" t="s">
        <v>15</v>
      </c>
      <c r="AD24" s="1364" t="s">
        <v>358</v>
      </c>
      <c r="AE24" s="1350" t="s">
        <v>15</v>
      </c>
      <c r="AF24" s="3"/>
      <c r="AH24" s="53"/>
      <c r="AI24" s="66"/>
      <c r="AJ24" s="108"/>
      <c r="AK24" s="53"/>
      <c r="AL24" s="53"/>
      <c r="AM24" s="53"/>
      <c r="AN24" s="63"/>
      <c r="AO24" s="53"/>
      <c r="AP24" s="53"/>
      <c r="AQ24" s="66"/>
      <c r="AR24" s="66"/>
      <c r="AS24" s="66"/>
      <c r="AT24" s="82"/>
      <c r="AU24" s="82"/>
      <c r="AV24" s="82"/>
    </row>
    <row r="25" spans="1:48" s="45" customFormat="1" ht="15.75" thickBot="1">
      <c r="A25" s="3"/>
      <c r="B25" s="86" t="s">
        <v>19</v>
      </c>
      <c r="C25" s="69" t="s">
        <v>17</v>
      </c>
      <c r="D25" s="83" t="s">
        <v>114</v>
      </c>
      <c r="E25" s="83" t="s">
        <v>0</v>
      </c>
      <c r="F25" s="68" t="s">
        <v>11</v>
      </c>
      <c r="G25" s="79"/>
      <c r="H25" s="68"/>
      <c r="I25" s="51"/>
      <c r="J25" s="764" t="s">
        <v>331</v>
      </c>
      <c r="K25" s="764" t="s">
        <v>330</v>
      </c>
      <c r="L25" s="79" t="s">
        <v>546</v>
      </c>
      <c r="M25" s="764" t="s">
        <v>331</v>
      </c>
      <c r="N25" s="764" t="s">
        <v>330</v>
      </c>
      <c r="O25" s="79" t="s">
        <v>546</v>
      </c>
      <c r="P25" s="764" t="s">
        <v>331</v>
      </c>
      <c r="Q25" s="764" t="s">
        <v>330</v>
      </c>
      <c r="R25" s="79" t="s">
        <v>546</v>
      </c>
      <c r="S25" s="764" t="s">
        <v>331</v>
      </c>
      <c r="T25" s="764" t="s">
        <v>330</v>
      </c>
      <c r="U25" s="79" t="s">
        <v>546</v>
      </c>
      <c r="V25" s="764" t="s">
        <v>331</v>
      </c>
      <c r="W25" s="764" t="s">
        <v>330</v>
      </c>
      <c r="X25" s="79" t="s">
        <v>546</v>
      </c>
      <c r="Y25" s="764" t="s">
        <v>331</v>
      </c>
      <c r="Z25" s="764" t="s">
        <v>330</v>
      </c>
      <c r="AA25" s="79" t="s">
        <v>546</v>
      </c>
      <c r="AB25" s="1197" t="s">
        <v>290</v>
      </c>
      <c r="AC25" s="372" t="s">
        <v>290</v>
      </c>
      <c r="AD25" s="1364" t="s">
        <v>544</v>
      </c>
      <c r="AE25" s="1350" t="s">
        <v>279</v>
      </c>
      <c r="AF25" s="3"/>
      <c r="AH25" s="53"/>
      <c r="AI25" s="66"/>
      <c r="AJ25" s="53"/>
      <c r="AK25" s="53"/>
      <c r="AL25" s="53"/>
      <c r="AM25" s="53"/>
      <c r="AN25" s="53"/>
      <c r="AO25" s="53"/>
      <c r="AP25" s="53"/>
      <c r="AQ25" s="66"/>
      <c r="AR25" s="66"/>
      <c r="AS25" s="66"/>
      <c r="AT25" s="82"/>
      <c r="AU25" s="82"/>
      <c r="AV25" s="82"/>
    </row>
    <row r="26" spans="1:48" s="45" customFormat="1">
      <c r="A26" s="1635" t="s">
        <v>342</v>
      </c>
      <c r="B26" s="1635" t="s">
        <v>26</v>
      </c>
      <c r="C26" s="107" t="s">
        <v>18</v>
      </c>
      <c r="D26" s="1627">
        <v>1</v>
      </c>
      <c r="E26" s="1137">
        <v>0</v>
      </c>
      <c r="F26" s="1627" t="s">
        <v>12</v>
      </c>
      <c r="G26" s="1627">
        <v>70</v>
      </c>
      <c r="H26" s="1627">
        <v>0</v>
      </c>
      <c r="I26" s="1627">
        <v>0</v>
      </c>
      <c r="J26" s="1901">
        <f>IF(F26="recht",G26,IF(G26=0,"0",G26-2*0.301*$D$15))/$D$15+H26/$D$16+I26/$D$17</f>
        <v>41.176470588235297</v>
      </c>
      <c r="K26" s="1794">
        <f>10^(-J26)</f>
        <v>6.6608462908090221E-42</v>
      </c>
      <c r="L26" s="1243">
        <f>$D$7*$D$8*$D$11*$D$11*$E26/($D26+$D$11)^2*$K26*$D$13*1000000</f>
        <v>0</v>
      </c>
      <c r="M26" s="1908">
        <f>IF(F26="recht",G26,IF(G26=0,"0",G26-2*0.301*$E$15))/$E$15+H26/$E$16+I26/$E$17</f>
        <v>11.475409836065575</v>
      </c>
      <c r="N26" s="1794">
        <f>10^(-M26)</f>
        <v>3.3464948726577551E-12</v>
      </c>
      <c r="O26" s="1243">
        <f>$E$7*$E$8*$E$11*$E$11*$E26/($D26+$E$11)^2*$N26*$E$13*1000000</f>
        <v>0</v>
      </c>
      <c r="P26" s="1908">
        <f>IF(F26="recht",G26,IF(G26=0,"0",G26-2*0.301*$F$15))/$F$15+H26/$F$16+I26/$F$17</f>
        <v>9.4594594594594597</v>
      </c>
      <c r="Q26" s="1794">
        <f>10^(-P26)</f>
        <v>3.4716868189265574E-10</v>
      </c>
      <c r="R26" s="1243">
        <f>$F$7*$F$8*$F$11*$F$11*$E26/($D26+$F$11)^2*$Q26*$F$13*1000000</f>
        <v>0</v>
      </c>
      <c r="S26" s="1908">
        <f>IF(F26="recht",G26,IF(G26=0,"0",G26-2*0.301*$G$15))/$G$15+H26/$G$16+I26/$G$17</f>
        <v>7.5268817204301071</v>
      </c>
      <c r="T26" s="1794">
        <f>10^(-S26)</f>
        <v>2.9724754715597853E-8</v>
      </c>
      <c r="U26" s="1243">
        <f>$G$7*$G$8*$G$11*$G$11*$E26/($D26+$G$11)^2*$T26*$G$13*1000000</f>
        <v>0</v>
      </c>
      <c r="V26" s="1908">
        <f>IF(F26="recht",G26,IF(G26=0,"0",G26-2*0.301*$H$15))/$H$15+H26/$H$16+I26/$H$17</f>
        <v>7.1428571428571423</v>
      </c>
      <c r="W26" s="1794">
        <f>10^(-V26)</f>
        <v>7.1968567300115068E-8</v>
      </c>
      <c r="X26" s="1243">
        <f>$H$7*$H$8*$H$11*$H$11*$E26/($D26+$H$11)^2*$W26*$H$13*1000000</f>
        <v>0</v>
      </c>
      <c r="Y26" s="1908">
        <f>IF(F26="recht",G26,IF(G26=0,"0",G26-2*0.301*$I$15))/$I$15+H26/$I$16+I26/$I$17</f>
        <v>6.6037735849056602</v>
      </c>
      <c r="Z26" s="1794">
        <f>10^(-Y26)</f>
        <v>2.4901551974978963E-7</v>
      </c>
      <c r="AA26" s="1243">
        <f>$I$7*$I$8*$I$11*$I$11*$E26/($D26+$I$11)^2*$Z26*$I$13*1000000</f>
        <v>0</v>
      </c>
      <c r="AB26" s="1235">
        <f>SUM(L26,O26,R26,U26,X26,AA26)</f>
        <v>0</v>
      </c>
      <c r="AC26" s="1234">
        <f>SUM(AB26:AB28)</f>
        <v>1.3886994384315805E-2</v>
      </c>
      <c r="AD26" s="628">
        <f>AC26/(SUM(D7:I7))/1000</f>
        <v>1.5429993760350895E-7</v>
      </c>
      <c r="AE26" s="552">
        <f>AC26*52/1000</f>
        <v>7.2212370798442182E-4</v>
      </c>
      <c r="AF26" s="3"/>
      <c r="AH26" s="53"/>
      <c r="AI26" s="66"/>
      <c r="AJ26" s="53"/>
      <c r="AK26" s="53"/>
      <c r="AL26" s="53"/>
      <c r="AM26" s="53"/>
      <c r="AN26" s="53"/>
      <c r="AO26" s="53"/>
      <c r="AP26" s="53"/>
      <c r="AQ26" s="66"/>
      <c r="AR26" s="66"/>
      <c r="AS26" s="66"/>
      <c r="AT26" s="82"/>
      <c r="AU26" s="82"/>
      <c r="AV26" s="82"/>
    </row>
    <row r="27" spans="1:48" s="45" customFormat="1">
      <c r="A27" s="1636"/>
      <c r="B27" s="1636"/>
      <c r="C27" s="482" t="s">
        <v>1</v>
      </c>
      <c r="D27" s="1628"/>
      <c r="E27" s="1138">
        <v>1</v>
      </c>
      <c r="F27" s="1628"/>
      <c r="G27" s="1628"/>
      <c r="H27" s="1628"/>
      <c r="I27" s="1628"/>
      <c r="J27" s="1902"/>
      <c r="K27" s="1812"/>
      <c r="L27" s="1244">
        <f>$D$7*$D$8*$D$11*$D$11*$D$10*$E27/$D26/$D26*$K26*1000000</f>
        <v>4.9956347181067667E-38</v>
      </c>
      <c r="M27" s="1909"/>
      <c r="N27" s="1812"/>
      <c r="O27" s="1244">
        <f>$E$7*$E$8*$D$11*$D$11*$D$10*$E27/$D26/$D26*$N26*1000000</f>
        <v>2.5098711544933163E-8</v>
      </c>
      <c r="P27" s="1909"/>
      <c r="Q27" s="1812"/>
      <c r="R27" s="1244">
        <f>$F$7*$F$8*$F$11*$F$11*$D$10*$E27/$D26/$D26*$Q26*1000000</f>
        <v>2.6037651141949182E-6</v>
      </c>
      <c r="S27" s="1909"/>
      <c r="T27" s="1812"/>
      <c r="U27" s="1244">
        <f>$G$7*$G$8*$G$11*$G$11*$D$10*$E27/$D26/$D26*$T26*1000000</f>
        <v>2.2293566036698389E-4</v>
      </c>
      <c r="V27" s="1909"/>
      <c r="W27" s="1812"/>
      <c r="X27" s="1244">
        <f>$H$7*$H$8*$H$11*$H$11*$D$10*$E27/$D26/$D26*$W26*1000000</f>
        <v>5.3976425475086296E-4</v>
      </c>
      <c r="Y27" s="1909"/>
      <c r="Z27" s="1812"/>
      <c r="AA27" s="1244">
        <f>$I$7*$I$8*$I$11*$I$11*$D$10*$E27/$D26/$D26*$Z26*1000000</f>
        <v>1.8676163981234224E-3</v>
      </c>
      <c r="AB27" s="1236">
        <f>SUM(L27,O27,R27,U27,X27,AA27)</f>
        <v>2.6329451770670089E-3</v>
      </c>
      <c r="AC27" s="559"/>
      <c r="AD27" s="1477"/>
      <c r="AE27" s="595"/>
      <c r="AF27" s="3"/>
      <c r="AH27" s="53"/>
      <c r="AI27" s="66"/>
      <c r="AJ27" s="53"/>
      <c r="AK27" s="53"/>
      <c r="AL27" s="53"/>
      <c r="AM27" s="53"/>
      <c r="AN27" s="53"/>
      <c r="AO27" s="53"/>
      <c r="AP27" s="53"/>
      <c r="AQ27" s="66"/>
      <c r="AR27" s="66"/>
      <c r="AS27" s="66"/>
      <c r="AT27" s="82"/>
      <c r="AU27" s="82"/>
      <c r="AV27" s="82"/>
    </row>
    <row r="28" spans="1:48" s="45" customFormat="1" ht="18" thickBot="1">
      <c r="A28" s="1637"/>
      <c r="B28" s="1637"/>
      <c r="C28" s="478" t="s">
        <v>355</v>
      </c>
      <c r="D28" s="1629"/>
      <c r="E28" s="1139">
        <v>1</v>
      </c>
      <c r="F28" s="1629"/>
      <c r="G28" s="1629"/>
      <c r="H28" s="1629"/>
      <c r="I28" s="1629"/>
      <c r="J28" s="1903"/>
      <c r="K28" s="1795"/>
      <c r="L28" s="1245">
        <f>$D$7*$D$8*$D$11*$D$11*$E28*D$14*D$12/400/$D26/$D26/D$11/D$11*$K26*1000000</f>
        <v>3.934062340509079E-38</v>
      </c>
      <c r="M28" s="1910"/>
      <c r="N28" s="1795"/>
      <c r="O28" s="1245">
        <f>$E$7*$E$8*$E$11*$E$11*$E28*E$14*E$12/400/$D26/$D26/$E$11/$E$11*$N26*1000000</f>
        <v>7.3413731268929508E-8</v>
      </c>
      <c r="P28" s="1910"/>
      <c r="Q28" s="1795"/>
      <c r="R28" s="1245">
        <f>$F$7*$F$8*$F$11*$F$11*$E28*$F$14*$F$12/400/$D26/$D26/$F$11/$F$11*$Q26*1000000</f>
        <v>9.3735544111017069E-6</v>
      </c>
      <c r="S28" s="1910"/>
      <c r="T28" s="1795"/>
      <c r="U28" s="1245">
        <f>$G$7*$G$8*$G$11*$G$11*$E28*$G$14*$G$12/400/$D26/$D26/$G$11/$G$11*$T26*1000000</f>
        <v>9.5304994806885614E-4</v>
      </c>
      <c r="V28" s="1910"/>
      <c r="W28" s="1795"/>
      <c r="X28" s="1245">
        <f>$H$7*$H$8*$H$11*$H$11*$E28*$H$14*$H$12/400/$D26/$D26/$H$11/$H$11*$W26*1000000</f>
        <v>2.3074921890599391E-3</v>
      </c>
      <c r="Y28" s="1910"/>
      <c r="Z28" s="1795"/>
      <c r="AA28" s="1245">
        <f>$I$7*$I$8*$I$11*$I$11*$E28*$I$14*$I$12/400/$D26/$D26/$I$11/$I$11*$Z26*1000000</f>
        <v>7.9840601019776306E-3</v>
      </c>
      <c r="AB28" s="567">
        <f>SUM(L28,O28,R28,U28,X28,AA28)</f>
        <v>1.1254049207248797E-2</v>
      </c>
      <c r="AC28" s="568"/>
      <c r="AD28" s="977"/>
      <c r="AE28" s="596"/>
      <c r="AF28" s="3"/>
      <c r="AH28" s="53"/>
      <c r="AI28" s="66"/>
      <c r="AJ28" s="53"/>
      <c r="AK28" s="53"/>
      <c r="AL28" s="53"/>
      <c r="AM28" s="53"/>
      <c r="AN28" s="53"/>
      <c r="AO28" s="53"/>
      <c r="AP28" s="53"/>
      <c r="AQ28" s="66"/>
      <c r="AR28" s="66"/>
      <c r="AS28" s="66"/>
      <c r="AT28" s="82"/>
      <c r="AU28" s="82"/>
      <c r="AV28" s="82"/>
    </row>
    <row r="29" spans="1:48" s="45" customFormat="1">
      <c r="L29" s="459"/>
      <c r="O29" s="459"/>
      <c r="R29" s="459"/>
      <c r="U29" s="459"/>
      <c r="X29" s="459"/>
    </row>
    <row r="30" spans="1:48" s="45" customFormat="1"/>
    <row r="31" spans="1:48" s="45" customFormat="1"/>
    <row r="32" spans="1:48" s="45" customFormat="1">
      <c r="A32" s="653" t="s">
        <v>514</v>
      </c>
      <c r="B32" s="654"/>
      <c r="C32" s="12"/>
      <c r="D32" s="12"/>
      <c r="E32" s="12"/>
      <c r="F32" s="11"/>
    </row>
    <row r="33" spans="1:35" s="45" customFormat="1" ht="15.75" thickBot="1">
      <c r="A33" s="114"/>
      <c r="B33" s="114" t="s">
        <v>551</v>
      </c>
      <c r="C33" s="114"/>
      <c r="D33" s="114"/>
      <c r="E33" s="114"/>
      <c r="F33" s="114"/>
      <c r="G33" s="53"/>
      <c r="H33" s="53"/>
      <c r="I33" s="53"/>
      <c r="J33" s="53"/>
      <c r="K33" s="53"/>
    </row>
    <row r="34" spans="1:35" s="45" customFormat="1" ht="15.75" customHeight="1">
      <c r="A34" s="3"/>
      <c r="B34" s="3"/>
      <c r="C34" s="96"/>
      <c r="D34" s="67" t="s">
        <v>363</v>
      </c>
      <c r="E34" s="1692" t="s">
        <v>578</v>
      </c>
      <c r="F34" s="50"/>
      <c r="G34" s="50"/>
      <c r="H34" s="96"/>
      <c r="I34" s="1669" t="s">
        <v>113</v>
      </c>
      <c r="J34" s="1670"/>
      <c r="K34" s="1670"/>
      <c r="L34" s="1904">
        <v>200</v>
      </c>
      <c r="M34" s="1905"/>
      <c r="N34" s="1905"/>
      <c r="O34" s="1643" t="s">
        <v>20</v>
      </c>
      <c r="P34" s="1645"/>
      <c r="Q34" s="685"/>
      <c r="R34" s="685"/>
      <c r="T34" s="53"/>
      <c r="U34" s="66"/>
      <c r="V34" s="182"/>
      <c r="W34" s="53"/>
      <c r="X34" s="53"/>
      <c r="Y34" s="53"/>
      <c r="Z34" s="53"/>
      <c r="AA34" s="53"/>
      <c r="AB34" s="53"/>
      <c r="AC34" s="66"/>
      <c r="AD34" s="66"/>
      <c r="AE34" s="66"/>
      <c r="AF34" s="82"/>
      <c r="AG34" s="82"/>
      <c r="AH34" s="82"/>
    </row>
    <row r="35" spans="1:35" s="45" customFormat="1">
      <c r="A35" s="3"/>
      <c r="B35" s="3"/>
      <c r="C35" s="69" t="s">
        <v>16</v>
      </c>
      <c r="D35" s="79" t="s">
        <v>548</v>
      </c>
      <c r="E35" s="1682"/>
      <c r="F35" s="79" t="s">
        <v>5</v>
      </c>
      <c r="G35" s="54"/>
      <c r="H35" s="68" t="s">
        <v>6</v>
      </c>
      <c r="I35" s="79" t="s">
        <v>2</v>
      </c>
      <c r="J35" s="68" t="s">
        <v>4</v>
      </c>
      <c r="K35" s="51" t="s">
        <v>27</v>
      </c>
      <c r="L35" s="328" t="s">
        <v>170</v>
      </c>
      <c r="M35" s="328" t="s">
        <v>329</v>
      </c>
      <c r="N35" s="328" t="s">
        <v>20</v>
      </c>
      <c r="O35" s="1364"/>
      <c r="P35" s="1364"/>
      <c r="Q35" s="51"/>
      <c r="R35" s="51"/>
      <c r="S35" s="3"/>
      <c r="U35" s="53"/>
      <c r="V35" s="66"/>
      <c r="W35" s="108"/>
      <c r="X35" s="53"/>
      <c r="Y35" s="53"/>
      <c r="Z35" s="53"/>
      <c r="AA35" s="63"/>
      <c r="AB35" s="53"/>
      <c r="AC35" s="53"/>
      <c r="AD35" s="66"/>
      <c r="AE35" s="66"/>
      <c r="AF35" s="66"/>
      <c r="AG35" s="82"/>
      <c r="AH35" s="82"/>
      <c r="AI35" s="82"/>
    </row>
    <row r="36" spans="1:35" s="45" customFormat="1" ht="15.75" thickBot="1">
      <c r="A36" s="3"/>
      <c r="B36" s="86" t="s">
        <v>19</v>
      </c>
      <c r="C36" s="69" t="s">
        <v>17</v>
      </c>
      <c r="D36" s="76" t="s">
        <v>422</v>
      </c>
      <c r="E36" s="1682"/>
      <c r="F36" s="83" t="s">
        <v>114</v>
      </c>
      <c r="G36" s="83" t="s">
        <v>0</v>
      </c>
      <c r="H36" s="68" t="s">
        <v>11</v>
      </c>
      <c r="I36" s="79"/>
      <c r="J36" s="68"/>
      <c r="K36" s="51"/>
      <c r="L36" s="764" t="s">
        <v>331</v>
      </c>
      <c r="M36" s="764" t="s">
        <v>330</v>
      </c>
      <c r="N36" s="79" t="s">
        <v>344</v>
      </c>
      <c r="O36" s="1365" t="s">
        <v>587</v>
      </c>
      <c r="P36" s="1365" t="s">
        <v>284</v>
      </c>
      <c r="Q36" s="51"/>
      <c r="R36" s="51"/>
      <c r="S36" s="3"/>
      <c r="U36" s="53"/>
      <c r="V36" s="66"/>
      <c r="W36" s="53"/>
      <c r="X36" s="53"/>
      <c r="Y36" s="53"/>
      <c r="Z36" s="53"/>
      <c r="AA36" s="53"/>
      <c r="AB36" s="53"/>
      <c r="AC36" s="53"/>
      <c r="AD36" s="66"/>
      <c r="AE36" s="66"/>
      <c r="AF36" s="66"/>
      <c r="AG36" s="82"/>
      <c r="AH36" s="82"/>
      <c r="AI36" s="82"/>
    </row>
    <row r="37" spans="1:35" s="45" customFormat="1">
      <c r="A37" s="1635"/>
      <c r="B37" s="1635" t="s">
        <v>542</v>
      </c>
      <c r="C37" s="107" t="s">
        <v>18</v>
      </c>
      <c r="D37" s="1856">
        <v>30</v>
      </c>
      <c r="E37" s="1856">
        <v>1</v>
      </c>
      <c r="F37" s="1627">
        <v>1</v>
      </c>
      <c r="G37" s="1137">
        <v>0</v>
      </c>
      <c r="H37" s="1627" t="s">
        <v>12</v>
      </c>
      <c r="I37" s="1627">
        <v>0</v>
      </c>
      <c r="J37" s="1627">
        <v>0</v>
      </c>
      <c r="K37" s="1627">
        <v>0</v>
      </c>
      <c r="L37" s="1901">
        <f>IF(H37="recht",I37,IF(I37=0,"0",I37-2*0.301*$D$50))/$D$50+J37/$D$51+K37/$D$52</f>
        <v>0</v>
      </c>
      <c r="M37" s="1794">
        <f>10^(-L37)</f>
        <v>1</v>
      </c>
      <c r="N37" s="1243">
        <f>$D$44*$D$46*$D$46*G37*D37/60/($D$46+$F$37)^2*$M37*$D$48*1000000</f>
        <v>0</v>
      </c>
      <c r="O37" s="1906">
        <f>SUM(N37:N39)/1000</f>
        <v>0.52749999999999997</v>
      </c>
      <c r="P37" s="1906">
        <f>O37*E37</f>
        <v>0.52749999999999997</v>
      </c>
      <c r="Q37" s="11"/>
      <c r="R37" s="11"/>
      <c r="S37" s="3"/>
      <c r="U37" s="53"/>
      <c r="V37" s="66"/>
      <c r="W37" s="53"/>
      <c r="X37" s="53"/>
      <c r="Y37" s="53"/>
      <c r="Z37" s="53"/>
      <c r="AA37" s="53"/>
      <c r="AB37" s="53"/>
      <c r="AC37" s="53"/>
      <c r="AD37" s="66"/>
      <c r="AE37" s="66"/>
      <c r="AF37" s="66"/>
      <c r="AG37" s="82"/>
      <c r="AH37" s="82"/>
      <c r="AI37" s="82"/>
    </row>
    <row r="38" spans="1:35" s="45" customFormat="1">
      <c r="A38" s="1636"/>
      <c r="B38" s="1636"/>
      <c r="C38" s="482" t="s">
        <v>1</v>
      </c>
      <c r="D38" s="1857"/>
      <c r="E38" s="1857"/>
      <c r="F38" s="1628"/>
      <c r="G38" s="1138">
        <v>1</v>
      </c>
      <c r="H38" s="1628"/>
      <c r="I38" s="1628"/>
      <c r="J38" s="1628"/>
      <c r="K38" s="1628"/>
      <c r="L38" s="1902"/>
      <c r="M38" s="1812"/>
      <c r="N38" s="1244">
        <f>$D$44*$D$46*$D$46*D37/60*$D$45*$G38/$F37/$F37*$M37*1000000</f>
        <v>100</v>
      </c>
      <c r="O38" s="1907"/>
      <c r="P38" s="1907"/>
      <c r="Q38" s="158"/>
      <c r="R38" s="157"/>
      <c r="S38" s="3"/>
      <c r="U38" s="53"/>
      <c r="V38" s="66"/>
      <c r="W38" s="53"/>
      <c r="X38" s="53"/>
      <c r="Y38" s="53"/>
      <c r="Z38" s="53"/>
      <c r="AA38" s="53"/>
      <c r="AB38" s="53"/>
      <c r="AC38" s="53"/>
      <c r="AD38" s="66"/>
      <c r="AE38" s="66"/>
      <c r="AF38" s="66"/>
      <c r="AG38" s="82"/>
      <c r="AH38" s="82"/>
      <c r="AI38" s="82"/>
    </row>
    <row r="39" spans="1:35" s="45" customFormat="1" ht="18" thickBot="1">
      <c r="A39" s="1637"/>
      <c r="B39" s="1637"/>
      <c r="C39" s="478" t="s">
        <v>355</v>
      </c>
      <c r="D39" s="1858"/>
      <c r="E39" s="1858"/>
      <c r="F39" s="1629"/>
      <c r="G39" s="1139">
        <v>1</v>
      </c>
      <c r="H39" s="1629"/>
      <c r="I39" s="1629"/>
      <c r="J39" s="1629"/>
      <c r="K39" s="1629"/>
      <c r="L39" s="1903"/>
      <c r="M39" s="1795"/>
      <c r="N39" s="1245">
        <f>$D$44*$D$46*$D$46*$G39*D37/60*D49*D47/400/$F37/$F37/D46/D46*$M37*1000000</f>
        <v>427.50000000000006</v>
      </c>
      <c r="O39" s="1895"/>
      <c r="P39" s="1895"/>
      <c r="Q39" s="158"/>
      <c r="R39" s="157"/>
      <c r="S39" s="3"/>
      <c r="U39" s="53"/>
      <c r="V39" s="66"/>
      <c r="W39" s="53"/>
      <c r="X39" s="53"/>
      <c r="Y39" s="53"/>
      <c r="Z39" s="53"/>
      <c r="AA39" s="53"/>
      <c r="AB39" s="53"/>
      <c r="AC39" s="53"/>
      <c r="AD39" s="66"/>
      <c r="AE39" s="66"/>
      <c r="AF39" s="66"/>
      <c r="AG39" s="82"/>
      <c r="AH39" s="82"/>
      <c r="AI39" s="82"/>
    </row>
    <row r="40" spans="1:35" s="45" customFormat="1">
      <c r="D40" s="53"/>
      <c r="E40" s="51"/>
      <c r="F40" s="157"/>
      <c r="G40" s="157"/>
      <c r="H40" s="157"/>
      <c r="I40" s="157"/>
      <c r="J40" s="157"/>
      <c r="K40" s="157"/>
    </row>
    <row r="41" spans="1:35" s="45" customFormat="1">
      <c r="D41" s="53"/>
      <c r="E41" s="51"/>
      <c r="F41" s="157"/>
      <c r="G41" s="157"/>
      <c r="H41" s="157"/>
      <c r="I41" s="157"/>
      <c r="J41" s="157"/>
      <c r="K41" s="157"/>
    </row>
    <row r="42" spans="1:35" s="45" customFormat="1">
      <c r="A42" s="1517" t="s">
        <v>547</v>
      </c>
      <c r="B42" s="1486"/>
      <c r="C42" s="1486"/>
      <c r="D42" s="1487"/>
      <c r="E42" s="1488"/>
      <c r="F42" s="1489"/>
      <c r="G42" s="157"/>
      <c r="H42" s="157"/>
      <c r="I42" s="157"/>
      <c r="J42" s="157"/>
      <c r="K42" s="157"/>
    </row>
    <row r="43" spans="1:35" s="45" customFormat="1">
      <c r="A43" s="1518" t="s">
        <v>339</v>
      </c>
      <c r="B43" s="1490"/>
      <c r="C43" s="1491"/>
      <c r="D43" s="1492">
        <f>L34</f>
        <v>200</v>
      </c>
      <c r="E43" s="1493"/>
      <c r="F43" s="1494"/>
      <c r="G43" s="1237"/>
      <c r="H43" s="1237"/>
      <c r="I43" s="1237"/>
      <c r="J43" s="157"/>
      <c r="K43" s="157"/>
    </row>
    <row r="44" spans="1:35" s="45" customFormat="1">
      <c r="A44" s="1490" t="s">
        <v>550</v>
      </c>
      <c r="B44" s="1495"/>
      <c r="C44" s="1491"/>
      <c r="D44" s="1496">
        <f>HLOOKUP(D$43,$D$6:$I$13,4)</f>
        <v>0.8</v>
      </c>
      <c r="E44" s="1497"/>
      <c r="F44" s="1488"/>
      <c r="G44" s="51"/>
      <c r="H44" s="51"/>
      <c r="I44" s="51"/>
    </row>
    <row r="45" spans="1:35" s="45" customFormat="1" ht="18.75">
      <c r="A45" s="1490" t="s">
        <v>226</v>
      </c>
      <c r="B45" s="1495"/>
      <c r="C45" s="1491"/>
      <c r="D45" s="1498">
        <f>D10</f>
        <v>1E-3</v>
      </c>
      <c r="E45" s="1499"/>
      <c r="F45" s="1500"/>
      <c r="G45" s="1222"/>
      <c r="H45" s="1222"/>
      <c r="I45" s="1222"/>
    </row>
    <row r="46" spans="1:35" s="45" customFormat="1">
      <c r="A46" s="1490" t="s">
        <v>354</v>
      </c>
      <c r="B46" s="1495"/>
      <c r="C46" s="1491"/>
      <c r="D46" s="1496">
        <f>HLOOKUP(D$43,$D$6:$I$13,6)</f>
        <v>0.5</v>
      </c>
      <c r="E46" s="1493"/>
      <c r="F46" s="1494"/>
      <c r="G46" s="1237"/>
      <c r="H46" s="1237"/>
      <c r="I46" s="1237"/>
    </row>
    <row r="47" spans="1:35" ht="17.25">
      <c r="A47" s="1519" t="s">
        <v>357</v>
      </c>
      <c r="B47" s="1501"/>
      <c r="C47" s="1491"/>
      <c r="D47" s="1496">
        <f>HLOOKUP(D$43,$D$6:$I$13,7)</f>
        <v>225</v>
      </c>
      <c r="E47" s="1493"/>
      <c r="F47" s="1494"/>
      <c r="G47" s="1237"/>
      <c r="H47" s="1237"/>
      <c r="I47" s="1237"/>
    </row>
    <row r="48" spans="1:35">
      <c r="A48" s="1520" t="s">
        <v>191</v>
      </c>
      <c r="B48" s="1502"/>
      <c r="C48" s="1491"/>
      <c r="D48" s="1496">
        <f>HLOOKUP(D$43,$D$6:$I$13,8)</f>
        <v>0.6</v>
      </c>
      <c r="E48" s="1503"/>
      <c r="F48" s="1504"/>
      <c r="G48" s="1238"/>
      <c r="H48" s="1238"/>
      <c r="I48" s="1238"/>
    </row>
    <row r="49" spans="1:9" ht="17.25">
      <c r="A49" s="1490" t="s">
        <v>356</v>
      </c>
      <c r="B49" s="1505"/>
      <c r="C49" s="1491"/>
      <c r="D49" s="1496">
        <f>HLOOKUP(D$43,$D$6:$I$14,9)</f>
        <v>1.9E-3</v>
      </c>
      <c r="E49" s="1506"/>
      <c r="F49" s="1507"/>
      <c r="G49" s="70"/>
      <c r="H49" s="70"/>
      <c r="I49" s="70"/>
    </row>
    <row r="50" spans="1:9">
      <c r="A50" s="1521" t="s">
        <v>276</v>
      </c>
      <c r="B50" s="1508"/>
      <c r="C50" s="1502" t="s">
        <v>3</v>
      </c>
      <c r="D50" s="1496">
        <f ca="1">VLOOKUP(D43,'TVT''s afscherming'!$A$36:$D$41,2)</f>
        <v>9.3000000000000007</v>
      </c>
      <c r="E50" s="1506"/>
      <c r="F50" s="1488"/>
      <c r="G50" s="51"/>
      <c r="H50" s="51"/>
      <c r="I50" s="51"/>
    </row>
    <row r="51" spans="1:9">
      <c r="A51" s="1521"/>
      <c r="B51" s="1488"/>
      <c r="C51" s="1509" t="s">
        <v>4</v>
      </c>
      <c r="D51" s="1510">
        <f ca="1">VLOOKUP(D43,'TVT''s afscherming'!$A$36:$D$41,3)</f>
        <v>1.78</v>
      </c>
      <c r="E51" s="1506"/>
      <c r="F51" s="1507"/>
      <c r="G51" s="70"/>
      <c r="H51" s="70"/>
      <c r="I51" s="70"/>
    </row>
    <row r="52" spans="1:9" ht="15.75" thickBot="1">
      <c r="A52" s="1521"/>
      <c r="B52" s="1488"/>
      <c r="C52" s="1511" t="s">
        <v>27</v>
      </c>
      <c r="D52" s="1512">
        <f ca="1">VLOOKUP(D43,'TVT''s afscherming'!$A$36:$D$41,4)</f>
        <v>0.17</v>
      </c>
      <c r="E52" s="1506"/>
      <c r="F52" s="1507"/>
      <c r="G52" s="70"/>
      <c r="H52" s="70"/>
      <c r="I52" s="70"/>
    </row>
    <row r="53" spans="1:9">
      <c r="A53" s="1522"/>
      <c r="B53" s="1513"/>
      <c r="C53" s="1514"/>
      <c r="D53" s="1515"/>
      <c r="E53" s="1515"/>
      <c r="F53" s="1507"/>
      <c r="G53" s="70"/>
      <c r="H53" s="70"/>
      <c r="I53" s="70"/>
    </row>
    <row r="54" spans="1:9">
      <c r="A54" s="1523" t="s">
        <v>203</v>
      </c>
      <c r="B54" s="1516"/>
      <c r="C54" s="1517"/>
      <c r="D54" s="1517"/>
      <c r="E54" s="1517"/>
      <c r="F54" s="1515"/>
      <c r="G54" s="3"/>
      <c r="H54" s="3"/>
      <c r="I54" s="3"/>
    </row>
  </sheetData>
  <sheetProtection password="C526" sheet="1" objects="1" scenarios="1"/>
  <mergeCells count="44">
    <mergeCell ref="AB23:AE23"/>
    <mergeCell ref="T26:T28"/>
    <mergeCell ref="V26:V28"/>
    <mergeCell ref="W26:W28"/>
    <mergeCell ref="P23:R23"/>
    <mergeCell ref="P26:P28"/>
    <mergeCell ref="Q26:Q28"/>
    <mergeCell ref="S26:S28"/>
    <mergeCell ref="S23:U23"/>
    <mergeCell ref="V23:X23"/>
    <mergeCell ref="Y23:AA23"/>
    <mergeCell ref="Y26:Y28"/>
    <mergeCell ref="Z26:Z28"/>
    <mergeCell ref="M23:O23"/>
    <mergeCell ref="O34:P34"/>
    <mergeCell ref="O37:O39"/>
    <mergeCell ref="P37:P39"/>
    <mergeCell ref="M26:M28"/>
    <mergeCell ref="M37:M39"/>
    <mergeCell ref="J23:L23"/>
    <mergeCell ref="B26:B28"/>
    <mergeCell ref="G26:G28"/>
    <mergeCell ref="H26:H28"/>
    <mergeCell ref="I26:I28"/>
    <mergeCell ref="F26:F28"/>
    <mergeCell ref="D26:D28"/>
    <mergeCell ref="J26:J28"/>
    <mergeCell ref="A37:A39"/>
    <mergeCell ref="B37:B39"/>
    <mergeCell ref="F37:F39"/>
    <mergeCell ref="H37:H39"/>
    <mergeCell ref="A26:A28"/>
    <mergeCell ref="G23:I23"/>
    <mergeCell ref="E34:E36"/>
    <mergeCell ref="E37:E39"/>
    <mergeCell ref="D37:D39"/>
    <mergeCell ref="I37:I39"/>
    <mergeCell ref="J37:J39"/>
    <mergeCell ref="K37:K39"/>
    <mergeCell ref="L37:L39"/>
    <mergeCell ref="K26:K28"/>
    <mergeCell ref="N26:N28"/>
    <mergeCell ref="I34:K34"/>
    <mergeCell ref="L34:N34"/>
  </mergeCells>
  <phoneticPr fontId="0" type="noConversion"/>
  <dataValidations disablePrompts="1" count="1">
    <dataValidation type="list" allowBlank="1" showInputMessage="1" showErrorMessage="1" sqref="F26 H37">
      <formula1>"recht, schuin"</formula1>
    </dataValidation>
  </dataValidations>
  <pageMargins left="0.70866141732283472" right="0.70866141732283472" top="0.74803149606299213" bottom="0.74803149606299213" header="0.31496062992125984" footer="0.31496062992125984"/>
  <pageSetup paperSize="9" scale="30" orientation="landscape" r:id="rId1"/>
  <headerFooter>
    <oddFooter>&amp;C&amp;A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Blad12">
    <tabColor theme="0" tint="-0.249977111117893"/>
  </sheetPr>
  <dimension ref="A1:AI43"/>
  <sheetViews>
    <sheetView showGridLines="0" zoomScaleNormal="100" workbookViewId="0">
      <selection activeCell="I29" sqref="I29"/>
    </sheetView>
  </sheetViews>
  <sheetFormatPr defaultRowHeight="15"/>
  <cols>
    <col min="1" max="1" width="6.7109375" style="41" customWidth="1"/>
    <col min="2" max="2" width="20.7109375" style="41" customWidth="1"/>
    <col min="3" max="12" width="12.7109375" style="41" customWidth="1"/>
    <col min="13" max="13" width="11.5703125" style="41" customWidth="1"/>
    <col min="14" max="16384" width="9.140625" style="41"/>
  </cols>
  <sheetData>
    <row r="1" spans="1:35" s="510" customFormat="1" ht="27" thickBot="1">
      <c r="A1" s="23" t="s">
        <v>92</v>
      </c>
      <c r="B1" s="24"/>
      <c r="C1" s="25"/>
      <c r="D1" s="25"/>
      <c r="E1" s="25"/>
      <c r="F1" s="25"/>
      <c r="G1" s="25"/>
      <c r="H1" s="25"/>
      <c r="I1" s="25"/>
      <c r="J1" s="25"/>
      <c r="K1" s="25"/>
      <c r="L1" s="512"/>
      <c r="M1" s="509"/>
      <c r="N1" s="509"/>
      <c r="O1" s="509"/>
    </row>
    <row r="2" spans="1:35" s="3" customFormat="1" ht="18.75" customHeight="1" thickBot="1">
      <c r="A2" s="2"/>
      <c r="F2" s="5"/>
      <c r="G2" s="5"/>
      <c r="H2" s="5"/>
    </row>
    <row r="3" spans="1:35" s="311" customFormat="1" ht="26.25" customHeight="1" thickBot="1">
      <c r="A3" s="1015" t="s">
        <v>529</v>
      </c>
      <c r="B3" s="1016"/>
      <c r="C3" s="1099" t="s">
        <v>281</v>
      </c>
      <c r="D3" s="1017"/>
      <c r="E3" s="1017"/>
      <c r="F3" s="1043"/>
      <c r="G3" s="442"/>
      <c r="H3" s="442"/>
      <c r="I3" s="336"/>
    </row>
    <row r="4" spans="1:35" s="311" customFormat="1" ht="22.5" customHeight="1">
      <c r="A4" s="1039"/>
      <c r="B4" s="336"/>
      <c r="C4" s="1040"/>
      <c r="D4" s="336"/>
      <c r="E4" s="336"/>
      <c r="F4" s="442"/>
      <c r="G4" s="442"/>
      <c r="H4" s="440"/>
    </row>
    <row r="5" spans="1:35" ht="19.5" customHeight="1" thickBot="1">
      <c r="A5" s="42" t="s">
        <v>189</v>
      </c>
      <c r="B5" s="43"/>
      <c r="D5" s="1"/>
      <c r="E5" s="1"/>
      <c r="F5" s="1"/>
      <c r="G5" s="1"/>
      <c r="H5" s="1"/>
      <c r="I5" s="1"/>
      <c r="J5" s="1"/>
      <c r="K5" s="1"/>
      <c r="L5" s="42"/>
      <c r="M5" s="1"/>
      <c r="N5" s="1"/>
      <c r="O5" s="1"/>
      <c r="P5" s="1"/>
      <c r="Q5" s="1"/>
      <c r="R5" s="1"/>
      <c r="S5" s="1"/>
      <c r="T5" s="1"/>
      <c r="U5" s="3"/>
      <c r="V5" s="3"/>
      <c r="W5" s="3"/>
      <c r="X5" s="3"/>
      <c r="Y5" s="3"/>
      <c r="Z5" s="3"/>
    </row>
    <row r="6" spans="1:35" s="45" customFormat="1">
      <c r="A6" s="1448" t="s">
        <v>22</v>
      </c>
      <c r="B6" s="1449"/>
      <c r="C6" s="1450"/>
      <c r="D6" s="1433"/>
      <c r="E6" s="1451" t="s">
        <v>23</v>
      </c>
      <c r="F6" s="157"/>
      <c r="G6" s="158"/>
      <c r="H6" s="3"/>
      <c r="I6" s="3"/>
      <c r="J6" s="3"/>
      <c r="K6" s="3"/>
      <c r="L6" s="3"/>
      <c r="M6" s="3"/>
      <c r="N6" s="3"/>
    </row>
    <row r="7" spans="1:35" s="45" customFormat="1" ht="17.25">
      <c r="A7" s="1452" t="s">
        <v>413</v>
      </c>
      <c r="B7" s="216"/>
      <c r="C7" s="591"/>
      <c r="D7" s="590"/>
      <c r="E7" s="458">
        <v>0.13900000000000001</v>
      </c>
      <c r="F7" s="98"/>
      <c r="G7" s="10"/>
      <c r="H7" s="3"/>
      <c r="I7" s="3"/>
      <c r="J7" s="3"/>
      <c r="K7" s="3"/>
      <c r="L7" s="3"/>
      <c r="M7" s="3"/>
      <c r="N7" s="3"/>
    </row>
    <row r="8" spans="1:35" s="45" customFormat="1">
      <c r="A8" s="1452" t="s">
        <v>411</v>
      </c>
      <c r="B8" s="592"/>
      <c r="C8" s="591"/>
      <c r="D8" s="590"/>
      <c r="E8" s="458">
        <v>73.83</v>
      </c>
      <c r="F8" s="10"/>
      <c r="G8" s="10"/>
      <c r="H8" s="3"/>
      <c r="I8" s="3"/>
      <c r="J8" s="3"/>
      <c r="K8" s="3"/>
      <c r="L8" s="3"/>
      <c r="M8" s="3"/>
      <c r="N8" s="3"/>
    </row>
    <row r="9" spans="1:35" s="45" customFormat="1">
      <c r="A9" s="708" t="s">
        <v>412</v>
      </c>
      <c r="B9" s="16"/>
      <c r="C9" s="591"/>
      <c r="D9" s="590"/>
      <c r="E9" s="1453">
        <f>450</f>
        <v>450</v>
      </c>
      <c r="F9" s="91"/>
      <c r="G9" s="158"/>
      <c r="H9" s="3"/>
      <c r="I9" s="3"/>
      <c r="J9" s="3"/>
      <c r="K9" s="3"/>
      <c r="L9" s="3"/>
      <c r="M9" s="3"/>
      <c r="N9" s="3"/>
    </row>
    <row r="10" spans="1:35" s="45" customFormat="1">
      <c r="A10" s="1452" t="s">
        <v>499</v>
      </c>
      <c r="B10" s="216"/>
      <c r="C10" s="591"/>
      <c r="D10" s="590"/>
      <c r="E10" s="1114">
        <v>4</v>
      </c>
      <c r="F10" s="10"/>
      <c r="G10" s="10"/>
      <c r="H10" s="3"/>
      <c r="I10" s="3"/>
      <c r="J10" s="3"/>
      <c r="K10" s="3"/>
      <c r="L10" s="3"/>
      <c r="M10" s="3"/>
      <c r="N10" s="3"/>
    </row>
    <row r="11" spans="1:35" s="45" customFormat="1">
      <c r="A11" s="1452" t="s">
        <v>191</v>
      </c>
      <c r="B11" s="216"/>
      <c r="C11" s="591"/>
      <c r="D11" s="590"/>
      <c r="E11" s="1454">
        <v>0.56999999999999995</v>
      </c>
      <c r="F11" s="10"/>
      <c r="G11" s="3"/>
      <c r="H11" s="3"/>
      <c r="I11" s="3"/>
      <c r="J11" s="3"/>
      <c r="K11" s="10"/>
      <c r="L11" s="10"/>
      <c r="M11" s="162"/>
      <c r="N11" s="3"/>
    </row>
    <row r="12" spans="1:35" s="45" customFormat="1">
      <c r="A12" s="286" t="s">
        <v>276</v>
      </c>
      <c r="B12" s="10"/>
      <c r="C12" s="593"/>
      <c r="D12" s="593" t="s">
        <v>3</v>
      </c>
      <c r="E12" s="728">
        <f ca="1">VLOOKUP($E$6,'TVT''s afscherming'!$A$45:$I$45,2)</f>
        <v>13.5</v>
      </c>
      <c r="F12" s="3"/>
      <c r="G12" s="3"/>
      <c r="H12" s="3"/>
      <c r="I12" s="3"/>
      <c r="J12" s="3"/>
      <c r="K12" s="3"/>
      <c r="L12" s="3"/>
      <c r="M12" s="3"/>
      <c r="N12" s="3"/>
      <c r="O12" s="81"/>
      <c r="P12" s="3"/>
    </row>
    <row r="13" spans="1:35" s="45" customFormat="1">
      <c r="A13" s="59"/>
      <c r="B13" s="10"/>
      <c r="C13" s="77"/>
      <c r="D13" s="77" t="s">
        <v>4</v>
      </c>
      <c r="E13" s="726">
        <f ca="1">VLOOKUP($E$6,'TVT''s afscherming'!$A$45:$I$45,3)</f>
        <v>4.3</v>
      </c>
      <c r="F13" s="3"/>
      <c r="G13" s="3"/>
      <c r="H13" s="3"/>
      <c r="I13" s="3"/>
      <c r="J13" s="3"/>
      <c r="K13" s="3"/>
      <c r="L13" s="3"/>
      <c r="M13" s="3"/>
      <c r="N13" s="3"/>
      <c r="O13" s="81"/>
      <c r="P13" s="3"/>
    </row>
    <row r="14" spans="1:35" s="45" customFormat="1" ht="15.75" thickBot="1">
      <c r="A14" s="194"/>
      <c r="B14" s="241"/>
      <c r="C14" s="1455"/>
      <c r="D14" s="1455" t="s">
        <v>27</v>
      </c>
      <c r="E14" s="731">
        <f ca="1">VLOOKUP($E$6,'TVT''s afscherming'!$A$45:$I$45,4)</f>
        <v>1.9</v>
      </c>
      <c r="F14" s="3"/>
      <c r="G14" s="3"/>
      <c r="H14" s="3"/>
      <c r="I14" s="3"/>
      <c r="J14" s="3"/>
      <c r="K14" s="385"/>
      <c r="L14" s="3"/>
      <c r="M14" s="3"/>
      <c r="N14" s="3"/>
      <c r="O14" s="81"/>
      <c r="P14" s="3"/>
    </row>
    <row r="15" spans="1:35" ht="15.75">
      <c r="A15" s="99"/>
      <c r="B15" s="99"/>
      <c r="C15" s="99"/>
      <c r="D15" s="105"/>
      <c r="E15" s="99"/>
      <c r="F15" s="99"/>
      <c r="G15" s="99"/>
      <c r="H15" s="104"/>
      <c r="I15" s="1"/>
      <c r="J15" s="1"/>
      <c r="K15" s="1"/>
      <c r="L15" s="1"/>
      <c r="M15" s="100"/>
      <c r="N15" s="1"/>
    </row>
    <row r="16" spans="1:35" ht="18">
      <c r="A16" s="42" t="s">
        <v>193</v>
      </c>
      <c r="B16" s="74"/>
      <c r="C16" s="75"/>
      <c r="D16" s="1"/>
      <c r="E16" s="1"/>
      <c r="F16" s="1"/>
      <c r="G16" s="1"/>
      <c r="H16" s="1"/>
      <c r="I16" s="1"/>
      <c r="J16" s="1"/>
      <c r="K16" s="73"/>
      <c r="L16" s="73"/>
      <c r="M16" s="73"/>
      <c r="N16" s="1"/>
      <c r="O16" s="1"/>
      <c r="P16" s="1"/>
      <c r="Q16" s="1"/>
      <c r="R16" s="1"/>
      <c r="S16" s="1"/>
      <c r="T16" s="1"/>
      <c r="U16" s="3"/>
      <c r="V16" s="5"/>
      <c r="W16" s="3"/>
      <c r="X16" s="3"/>
      <c r="Y16" s="3"/>
      <c r="Z16" s="3"/>
      <c r="AD16" s="76"/>
      <c r="AE16" s="76"/>
      <c r="AF16" s="76"/>
      <c r="AG16" s="76"/>
      <c r="AH16" s="76"/>
      <c r="AI16" s="76"/>
    </row>
    <row r="17" spans="1:35" ht="18">
      <c r="A17" s="42"/>
      <c r="B17" s="74"/>
      <c r="C17" s="75"/>
      <c r="D17" s="1"/>
      <c r="E17" s="1"/>
      <c r="F17" s="1"/>
      <c r="G17" s="1"/>
      <c r="H17" s="1"/>
      <c r="I17" s="1"/>
      <c r="J17" s="1"/>
      <c r="K17" s="73"/>
      <c r="L17" s="73"/>
      <c r="M17" s="73"/>
      <c r="N17" s="1"/>
      <c r="O17" s="1"/>
      <c r="P17" s="1"/>
      <c r="Q17" s="1"/>
      <c r="R17" s="1"/>
      <c r="S17" s="1"/>
      <c r="T17" s="1"/>
      <c r="U17" s="3"/>
      <c r="V17" s="5"/>
      <c r="W17" s="3"/>
      <c r="X17" s="3"/>
      <c r="Y17" s="3"/>
      <c r="Z17" s="3"/>
      <c r="AD17" s="76"/>
      <c r="AE17" s="76"/>
      <c r="AF17" s="76"/>
      <c r="AG17" s="76"/>
      <c r="AH17" s="76"/>
      <c r="AI17" s="76"/>
    </row>
    <row r="18" spans="1:35" s="45" customFormat="1" ht="15.75" thickBot="1">
      <c r="A18" s="644" t="s">
        <v>206</v>
      </c>
      <c r="B18" s="657"/>
    </row>
    <row r="19" spans="1:35" s="45" customFormat="1">
      <c r="A19" s="3"/>
      <c r="B19" s="3"/>
      <c r="C19" s="316" t="s">
        <v>5</v>
      </c>
      <c r="D19" s="505" t="s">
        <v>363</v>
      </c>
      <c r="E19" s="505" t="s">
        <v>373</v>
      </c>
      <c r="F19" s="1669" t="s">
        <v>113</v>
      </c>
      <c r="G19" s="1916"/>
      <c r="H19" s="1917"/>
      <c r="I19" s="1623" t="s">
        <v>343</v>
      </c>
      <c r="J19" s="300" t="s">
        <v>368</v>
      </c>
      <c r="K19" s="1911" t="s">
        <v>20</v>
      </c>
      <c r="L19" s="1912"/>
    </row>
    <row r="20" spans="1:35" s="45" customFormat="1">
      <c r="C20" s="479"/>
      <c r="D20" s="507" t="s">
        <v>372</v>
      </c>
      <c r="E20" s="507" t="s">
        <v>171</v>
      </c>
      <c r="F20" s="79" t="s">
        <v>3</v>
      </c>
      <c r="G20" s="68" t="s">
        <v>4</v>
      </c>
      <c r="H20" s="309" t="s">
        <v>27</v>
      </c>
      <c r="I20" s="1624"/>
      <c r="J20" s="79" t="s">
        <v>13</v>
      </c>
      <c r="K20" s="597"/>
      <c r="L20" s="598"/>
    </row>
    <row r="21" spans="1:35" s="45" customFormat="1">
      <c r="A21" s="163" t="s">
        <v>9</v>
      </c>
      <c r="B21" s="164" t="s">
        <v>110</v>
      </c>
      <c r="C21" s="506" t="s">
        <v>114</v>
      </c>
      <c r="D21" s="506" t="s">
        <v>364</v>
      </c>
      <c r="E21" s="506"/>
      <c r="F21" s="83"/>
      <c r="G21" s="72"/>
      <c r="H21" s="120"/>
      <c r="I21" s="506"/>
      <c r="J21" s="83"/>
      <c r="K21" s="599" t="s">
        <v>544</v>
      </c>
      <c r="L21" s="549" t="s">
        <v>284</v>
      </c>
    </row>
    <row r="22" spans="1:35" s="45" customFormat="1" ht="15.75" thickBot="1">
      <c r="A22" s="1140" t="s">
        <v>346</v>
      </c>
      <c r="B22" s="1141" t="s">
        <v>26</v>
      </c>
      <c r="C22" s="1135">
        <v>1</v>
      </c>
      <c r="D22" s="1135">
        <v>10</v>
      </c>
      <c r="E22" s="1142">
        <v>100</v>
      </c>
      <c r="F22" s="986">
        <v>70</v>
      </c>
      <c r="G22" s="1135">
        <v>0</v>
      </c>
      <c r="H22" s="1143">
        <v>0</v>
      </c>
      <c r="I22" s="492">
        <f>F22/$E$12+G22/$E$13+H22/$E$14</f>
        <v>5.1851851851851851</v>
      </c>
      <c r="J22" s="226">
        <f>10^(-I22)</f>
        <v>6.5285211411278365E-6</v>
      </c>
      <c r="K22" s="567">
        <f>$E$7*(E$9*E$8/LN(2)*(1-2^(-(365/E$10)/E$8))/(365/E$10))*$D22/60/$C22/$C22*J22*E$11</f>
        <v>2.6057791652880827E-5</v>
      </c>
      <c r="L22" s="600">
        <f>K22*E22</f>
        <v>2.6057791652880826E-3</v>
      </c>
    </row>
    <row r="23" spans="1:35" s="45" customFormat="1">
      <c r="A23" s="51"/>
      <c r="B23" s="52"/>
      <c r="C23" s="464"/>
      <c r="D23" s="464"/>
      <c r="E23" s="933"/>
      <c r="F23" s="464"/>
      <c r="G23" s="464"/>
      <c r="H23" s="464"/>
      <c r="I23" s="11"/>
      <c r="J23" s="93"/>
      <c r="K23" s="385"/>
      <c r="L23" s="385"/>
    </row>
    <row r="24" spans="1:35" ht="15.75">
      <c r="A24" s="106"/>
      <c r="B24" s="75"/>
      <c r="C24" s="1"/>
      <c r="D24" s="1"/>
      <c r="H24" s="1"/>
      <c r="I24" s="105"/>
      <c r="J24" s="105"/>
      <c r="K24" s="73"/>
      <c r="L24" s="77"/>
      <c r="M24" s="1"/>
    </row>
    <row r="25" spans="1:35" s="45" customFormat="1">
      <c r="A25" s="653" t="s">
        <v>514</v>
      </c>
      <c r="B25" s="654"/>
      <c r="C25" s="12"/>
      <c r="D25" s="12"/>
      <c r="E25" s="12"/>
      <c r="F25" s="11"/>
      <c r="G25" s="11"/>
      <c r="H25" s="11"/>
      <c r="I25" s="93"/>
      <c r="J25" s="11"/>
      <c r="K25" s="85"/>
      <c r="L25" s="53"/>
      <c r="M25" s="53"/>
    </row>
    <row r="26" spans="1:35" s="45" customFormat="1" ht="15.75" thickBot="1">
      <c r="B26" s="52" t="s">
        <v>506</v>
      </c>
      <c r="C26" s="14"/>
      <c r="D26" s="12"/>
      <c r="E26" s="12"/>
      <c r="F26" s="11"/>
      <c r="G26" s="11"/>
      <c r="H26" s="11"/>
      <c r="I26" s="93"/>
      <c r="J26" s="11"/>
      <c r="K26" s="85"/>
      <c r="L26" s="53"/>
      <c r="M26" s="53"/>
    </row>
    <row r="27" spans="1:35" ht="15.75" customHeight="1">
      <c r="A27" s="106"/>
      <c r="B27" s="408"/>
      <c r="C27" s="316" t="s">
        <v>5</v>
      </c>
      <c r="D27" s="505" t="s">
        <v>363</v>
      </c>
      <c r="E27" s="1692" t="s">
        <v>578</v>
      </c>
      <c r="F27" s="493" t="s">
        <v>13</v>
      </c>
      <c r="G27" s="1692" t="s">
        <v>343</v>
      </c>
      <c r="H27" s="47" t="s">
        <v>368</v>
      </c>
      <c r="I27" s="601" t="s">
        <v>425</v>
      </c>
      <c r="J27" s="1387" t="s">
        <v>425</v>
      </c>
      <c r="K27" s="99"/>
      <c r="L27" s="102"/>
      <c r="M27" s="99"/>
      <c r="N27" s="77"/>
      <c r="O27" s="78"/>
      <c r="P27" s="77"/>
      <c r="Q27" s="77"/>
      <c r="R27" s="77"/>
      <c r="S27" s="77"/>
      <c r="T27" s="77"/>
      <c r="U27" s="77"/>
      <c r="V27" s="77"/>
      <c r="W27" s="78"/>
      <c r="X27" s="76"/>
      <c r="Y27" s="76"/>
      <c r="Z27" s="76"/>
      <c r="AA27" s="76"/>
      <c r="AB27" s="76"/>
    </row>
    <row r="28" spans="1:35" s="45" customFormat="1">
      <c r="A28" s="163" t="s">
        <v>9</v>
      </c>
      <c r="B28" s="110" t="s">
        <v>110</v>
      </c>
      <c r="C28" s="480" t="s">
        <v>114</v>
      </c>
      <c r="D28" s="506" t="s">
        <v>364</v>
      </c>
      <c r="E28" s="1682"/>
      <c r="F28" s="72" t="s">
        <v>379</v>
      </c>
      <c r="G28" s="1693"/>
      <c r="H28" s="79" t="s">
        <v>13</v>
      </c>
      <c r="I28" s="602" t="s">
        <v>574</v>
      </c>
      <c r="J28" s="1388" t="s">
        <v>279</v>
      </c>
      <c r="K28" s="85"/>
      <c r="L28" s="53"/>
      <c r="M28" s="53"/>
    </row>
    <row r="29" spans="1:35" s="45" customFormat="1">
      <c r="A29" s="1789" t="s">
        <v>348</v>
      </c>
      <c r="B29" s="1913" t="s">
        <v>192</v>
      </c>
      <c r="C29" s="986">
        <v>1</v>
      </c>
      <c r="D29" s="1135">
        <v>1</v>
      </c>
      <c r="E29" s="1918">
        <v>1</v>
      </c>
      <c r="F29" s="986">
        <v>0</v>
      </c>
      <c r="G29" s="112">
        <f>+F29/$E$14</f>
        <v>0</v>
      </c>
      <c r="H29" s="226">
        <f>10^(-G29)</f>
        <v>1</v>
      </c>
      <c r="I29" s="1386">
        <f>$E$7*$E$9*$D$29/60/$C$29/$C$29*H29</f>
        <v>1.0425</v>
      </c>
      <c r="J29" s="1389">
        <f>I29*E29</f>
        <v>1.0425</v>
      </c>
      <c r="K29" s="53"/>
      <c r="L29" s="53"/>
      <c r="M29" s="53"/>
    </row>
    <row r="30" spans="1:35" s="45" customFormat="1" ht="15.75" thickBot="1">
      <c r="A30" s="1915"/>
      <c r="B30" s="1914"/>
      <c r="C30" s="986">
        <v>7.0000000000000007E-2</v>
      </c>
      <c r="D30" s="1135">
        <v>0.1</v>
      </c>
      <c r="E30" s="1919"/>
      <c r="F30" s="1144">
        <v>0</v>
      </c>
      <c r="G30" s="112">
        <f>+F30/$E$14</f>
        <v>0</v>
      </c>
      <c r="H30" s="226">
        <f>10^(-G30)</f>
        <v>1</v>
      </c>
      <c r="I30" s="614">
        <f>$E$7*$E$9*$D$30/60/$C$30/$C$30*H30</f>
        <v>21.27551020408163</v>
      </c>
      <c r="J30" s="1390">
        <f>I30*E29</f>
        <v>21.27551020408163</v>
      </c>
      <c r="K30" s="53"/>
      <c r="L30" s="53"/>
      <c r="M30" s="53"/>
    </row>
    <row r="31" spans="1:35" ht="15.75">
      <c r="A31" s="106"/>
      <c r="B31" s="1783"/>
      <c r="C31" s="7"/>
      <c r="D31" s="6"/>
      <c r="E31" s="495"/>
      <c r="F31" s="7"/>
      <c r="G31" s="166"/>
      <c r="H31" s="166"/>
      <c r="I31" s="103"/>
      <c r="J31" s="103"/>
      <c r="K31" s="103"/>
      <c r="L31" s="167"/>
      <c r="M31" s="165"/>
      <c r="N31" s="99"/>
      <c r="O31" s="77"/>
      <c r="P31" s="78"/>
      <c r="Q31" s="77"/>
      <c r="R31" s="77"/>
      <c r="S31" s="77"/>
      <c r="T31" s="77"/>
      <c r="U31" s="77"/>
      <c r="V31" s="77"/>
      <c r="W31" s="77"/>
      <c r="X31" s="78"/>
      <c r="Y31" s="76"/>
      <c r="Z31" s="76"/>
      <c r="AA31" s="76"/>
      <c r="AB31" s="76"/>
      <c r="AC31" s="76"/>
    </row>
    <row r="32" spans="1:35" ht="15.75">
      <c r="A32" s="106"/>
      <c r="B32" s="1786"/>
      <c r="C32" s="12"/>
      <c r="D32" s="10"/>
      <c r="E32" s="10"/>
      <c r="F32" s="10"/>
      <c r="G32" s="99"/>
      <c r="H32" s="99"/>
      <c r="I32" s="99"/>
      <c r="J32" s="99"/>
      <c r="K32" s="99"/>
      <c r="L32" s="102"/>
      <c r="M32" s="99"/>
      <c r="N32" s="77"/>
      <c r="O32" s="78"/>
      <c r="P32" s="77"/>
      <c r="Q32" s="77"/>
      <c r="R32" s="77"/>
      <c r="S32" s="77"/>
      <c r="T32" s="77"/>
      <c r="U32" s="77"/>
      <c r="V32" s="77"/>
      <c r="W32" s="78"/>
      <c r="X32" s="76"/>
      <c r="Y32" s="76"/>
      <c r="Z32" s="76"/>
      <c r="AA32" s="76"/>
      <c r="AB32" s="76"/>
    </row>
    <row r="33" spans="1:14" ht="15.75">
      <c r="A33" s="77"/>
      <c r="B33" s="77"/>
      <c r="C33" s="77"/>
      <c r="D33" s="113"/>
      <c r="E33" s="169"/>
      <c r="F33" s="105"/>
      <c r="G33" s="105"/>
      <c r="H33" s="105"/>
      <c r="I33" s="77"/>
      <c r="J33" s="77"/>
      <c r="K33" s="77"/>
      <c r="L33" s="77"/>
      <c r="M33" s="77"/>
      <c r="N33" s="77"/>
    </row>
    <row r="34" spans="1:14" ht="15.75">
      <c r="A34" s="77"/>
      <c r="B34" s="77"/>
      <c r="C34" s="77"/>
      <c r="D34" s="113"/>
      <c r="E34" s="169"/>
      <c r="F34" s="105"/>
      <c r="G34" s="167"/>
      <c r="H34" s="105"/>
      <c r="I34" s="77"/>
      <c r="J34" s="77"/>
      <c r="K34" s="77"/>
      <c r="L34" s="77"/>
      <c r="M34" s="77"/>
      <c r="N34" s="77"/>
    </row>
    <row r="35" spans="1:14" ht="15.75">
      <c r="D35" s="170"/>
      <c r="E35" s="170"/>
      <c r="F35" s="170"/>
      <c r="G35" s="170"/>
      <c r="H35" s="170"/>
    </row>
    <row r="36" spans="1:14" ht="15.75">
      <c r="B36" s="1"/>
      <c r="C36" s="1"/>
      <c r="D36" s="104"/>
      <c r="E36" s="171"/>
      <c r="F36" s="172"/>
      <c r="G36" s="172"/>
      <c r="H36" s="172"/>
    </row>
    <row r="37" spans="1:14" ht="15.75">
      <c r="B37" s="1"/>
      <c r="C37" s="1"/>
      <c r="D37" s="104"/>
      <c r="E37" s="171"/>
      <c r="F37" s="172"/>
      <c r="G37" s="172"/>
      <c r="H37" s="172"/>
      <c r="L37" s="1"/>
      <c r="M37" s="1"/>
    </row>
    <row r="38" spans="1:14" ht="15.75">
      <c r="A38" s="1"/>
      <c r="B38" s="1"/>
      <c r="C38" s="1"/>
      <c r="L38" s="1"/>
      <c r="M38" s="1"/>
    </row>
    <row r="39" spans="1:14" ht="15.75">
      <c r="A39" s="1"/>
      <c r="B39" s="1"/>
      <c r="C39" s="1"/>
      <c r="L39" s="1"/>
      <c r="M39" s="1"/>
    </row>
    <row r="40" spans="1:14" ht="15.75">
      <c r="A40" s="1"/>
      <c r="B40" s="1"/>
      <c r="C40" s="1"/>
      <c r="L40" s="1"/>
      <c r="M40" s="1"/>
    </row>
    <row r="41" spans="1:14" ht="15.75">
      <c r="A41" s="1"/>
      <c r="B41" s="1"/>
      <c r="C41" s="1"/>
      <c r="L41" s="1"/>
      <c r="M41" s="1"/>
    </row>
    <row r="42" spans="1:14" ht="15.75">
      <c r="A42" s="1"/>
      <c r="L42" s="1"/>
      <c r="M42" s="1"/>
    </row>
    <row r="43" spans="1:14" ht="15.75">
      <c r="A43" s="1"/>
    </row>
  </sheetData>
  <sheetProtection password="C526" sheet="1" objects="1" scenarios="1"/>
  <mergeCells count="9">
    <mergeCell ref="K19:L19"/>
    <mergeCell ref="B31:B32"/>
    <mergeCell ref="B29:B30"/>
    <mergeCell ref="A29:A30"/>
    <mergeCell ref="G27:G28"/>
    <mergeCell ref="F19:H19"/>
    <mergeCell ref="I19:I20"/>
    <mergeCell ref="E27:E28"/>
    <mergeCell ref="E29:E3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&amp;C&amp;F 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Blad13">
    <tabColor theme="0" tint="-0.249977111117893"/>
  </sheetPr>
  <dimension ref="A1:AI45"/>
  <sheetViews>
    <sheetView showGridLines="0" workbookViewId="0">
      <selection activeCell="I29" sqref="I29"/>
    </sheetView>
  </sheetViews>
  <sheetFormatPr defaultRowHeight="15"/>
  <cols>
    <col min="1" max="1" width="6.7109375" style="41" customWidth="1"/>
    <col min="2" max="2" width="20.7109375" style="41" customWidth="1"/>
    <col min="3" max="12" width="12.7109375" style="41" customWidth="1"/>
    <col min="13" max="13" width="16.7109375" style="41" customWidth="1"/>
    <col min="14" max="16384" width="9.140625" style="41"/>
  </cols>
  <sheetData>
    <row r="1" spans="1:35" s="381" customFormat="1" ht="27" thickBot="1">
      <c r="A1" s="23" t="s">
        <v>175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512"/>
      <c r="M1" s="509"/>
    </row>
    <row r="2" spans="1:35" s="3" customFormat="1" ht="18.75" customHeight="1" thickBot="1">
      <c r="A2" s="2"/>
      <c r="F2" s="5"/>
      <c r="G2" s="5"/>
      <c r="H2" s="5"/>
    </row>
    <row r="3" spans="1:35" s="311" customFormat="1" ht="26.25" customHeight="1" thickBot="1">
      <c r="A3" s="1015" t="s">
        <v>529</v>
      </c>
      <c r="B3" s="1016"/>
      <c r="C3" s="1099" t="s">
        <v>282</v>
      </c>
      <c r="D3" s="1017"/>
      <c r="E3" s="1044"/>
      <c r="F3" s="442"/>
      <c r="G3" s="442"/>
      <c r="H3" s="442"/>
      <c r="I3" s="336"/>
    </row>
    <row r="4" spans="1:35" s="311" customFormat="1" ht="22.5" customHeight="1">
      <c r="A4" s="1039"/>
      <c r="B4" s="336"/>
      <c r="C4" s="1040"/>
      <c r="D4" s="336"/>
      <c r="E4" s="336"/>
      <c r="F4" s="442"/>
      <c r="G4" s="442"/>
      <c r="H4" s="440"/>
    </row>
    <row r="5" spans="1:35" ht="19.5" customHeight="1" thickBot="1">
      <c r="A5" s="42" t="s">
        <v>189</v>
      </c>
      <c r="B5" s="43"/>
      <c r="C5" s="1"/>
      <c r="D5" s="1"/>
      <c r="E5" s="1"/>
      <c r="F5" s="1"/>
      <c r="G5" s="1"/>
      <c r="H5" s="1"/>
      <c r="I5" s="1"/>
      <c r="J5" s="1"/>
      <c r="K5" s="1"/>
      <c r="L5" s="42"/>
      <c r="M5" s="1"/>
      <c r="N5" s="1"/>
      <c r="O5" s="1"/>
      <c r="P5" s="1"/>
      <c r="Q5" s="1"/>
      <c r="R5" s="1"/>
      <c r="S5" s="1"/>
      <c r="T5" s="1"/>
      <c r="U5" s="3"/>
      <c r="V5" s="3"/>
      <c r="W5" s="3"/>
      <c r="X5" s="3"/>
      <c r="Y5" s="3"/>
      <c r="Z5" s="3"/>
    </row>
    <row r="6" spans="1:35" s="45" customFormat="1">
      <c r="A6" s="1448" t="s">
        <v>22</v>
      </c>
      <c r="B6" s="1449"/>
      <c r="C6" s="1450"/>
      <c r="D6" s="1433"/>
      <c r="E6" s="1456" t="s">
        <v>23</v>
      </c>
      <c r="F6" s="157"/>
      <c r="G6" s="158"/>
      <c r="H6" s="3"/>
      <c r="I6" s="3"/>
      <c r="J6" s="3"/>
      <c r="K6" s="3"/>
      <c r="L6" s="3"/>
      <c r="M6" s="3"/>
    </row>
    <row r="7" spans="1:35" s="45" customFormat="1" ht="17.25">
      <c r="A7" s="1452" t="s">
        <v>414</v>
      </c>
      <c r="B7" s="216"/>
      <c r="C7" s="591"/>
      <c r="D7" s="590"/>
      <c r="E7" s="458">
        <v>0.13900000000000001</v>
      </c>
      <c r="F7" s="98"/>
      <c r="G7" s="10"/>
      <c r="H7" s="3"/>
      <c r="I7" s="3"/>
      <c r="J7" s="3"/>
      <c r="K7" s="3"/>
      <c r="L7" s="51"/>
      <c r="M7" s="51"/>
    </row>
    <row r="8" spans="1:35" s="45" customFormat="1">
      <c r="A8" s="1452" t="s">
        <v>411</v>
      </c>
      <c r="B8" s="592"/>
      <c r="C8" s="591"/>
      <c r="D8" s="590"/>
      <c r="E8" s="458">
        <v>73.83</v>
      </c>
      <c r="F8" s="10"/>
      <c r="G8" s="10"/>
      <c r="H8" s="3"/>
      <c r="I8" s="3"/>
      <c r="J8" s="3"/>
      <c r="K8" s="3"/>
      <c r="L8" s="3"/>
      <c r="M8" s="3"/>
      <c r="N8" s="3"/>
    </row>
    <row r="9" spans="1:35" s="45" customFormat="1">
      <c r="A9" s="708" t="s">
        <v>412</v>
      </c>
      <c r="B9" s="16"/>
      <c r="C9" s="591"/>
      <c r="D9" s="590"/>
      <c r="E9" s="1457">
        <v>74</v>
      </c>
      <c r="F9" s="91"/>
      <c r="G9" s="158"/>
      <c r="H9" s="3"/>
      <c r="I9" s="3"/>
      <c r="J9" s="3"/>
      <c r="K9" s="3"/>
      <c r="L9" s="160"/>
      <c r="M9" s="160"/>
    </row>
    <row r="10" spans="1:35" s="45" customFormat="1">
      <c r="A10" s="1452" t="s">
        <v>499</v>
      </c>
      <c r="B10" s="216"/>
      <c r="C10" s="591"/>
      <c r="D10" s="590"/>
      <c r="E10" s="1114">
        <v>2</v>
      </c>
      <c r="F10" s="10"/>
      <c r="G10" s="10"/>
      <c r="H10" s="3"/>
      <c r="I10" s="3"/>
      <c r="J10" s="3"/>
      <c r="K10" s="385"/>
      <c r="L10" s="12"/>
      <c r="M10" s="12"/>
    </row>
    <row r="11" spans="1:35" s="45" customFormat="1">
      <c r="A11" s="1452" t="s">
        <v>191</v>
      </c>
      <c r="B11" s="216"/>
      <c r="C11" s="591"/>
      <c r="D11" s="590"/>
      <c r="E11" s="1454">
        <v>0.56999999999999995</v>
      </c>
      <c r="F11" s="10"/>
      <c r="G11" s="3"/>
      <c r="H11" s="3"/>
      <c r="I11" s="3"/>
      <c r="J11" s="3"/>
      <c r="K11" s="10"/>
      <c r="L11" s="10"/>
      <c r="M11" s="161"/>
    </row>
    <row r="12" spans="1:35" s="45" customFormat="1">
      <c r="A12" s="203" t="s">
        <v>276</v>
      </c>
      <c r="B12" s="6"/>
      <c r="C12" s="6"/>
      <c r="D12" s="6" t="s">
        <v>3</v>
      </c>
      <c r="E12" s="728">
        <f ca="1">VLOOKUP($E$6,'TVT''s afscherming'!$A$45:$I$45,2)</f>
        <v>13.5</v>
      </c>
      <c r="F12" s="3"/>
      <c r="G12" s="3"/>
      <c r="H12" s="3"/>
      <c r="I12" s="3"/>
      <c r="J12" s="3"/>
      <c r="K12" s="3"/>
      <c r="L12" s="3"/>
      <c r="M12" s="3"/>
      <c r="N12" s="3"/>
      <c r="O12" s="81"/>
      <c r="P12" s="3"/>
    </row>
    <row r="13" spans="1:35" s="45" customFormat="1">
      <c r="A13" s="59"/>
      <c r="B13" s="10"/>
      <c r="C13" s="10"/>
      <c r="D13" s="10" t="s">
        <v>4</v>
      </c>
      <c r="E13" s="726">
        <f ca="1">VLOOKUP($E$6,'TVT''s afscherming'!$A$45:$I$45,3)</f>
        <v>4.3</v>
      </c>
      <c r="F13" s="3"/>
      <c r="G13" s="3"/>
      <c r="H13" s="3"/>
      <c r="I13" s="3"/>
      <c r="J13" s="3"/>
      <c r="K13" s="3"/>
      <c r="L13" s="3"/>
      <c r="M13" s="3"/>
      <c r="N13" s="3"/>
      <c r="O13" s="81"/>
      <c r="P13" s="3"/>
    </row>
    <row r="14" spans="1:35" s="45" customFormat="1" ht="15.75" thickBot="1">
      <c r="A14" s="194"/>
      <c r="B14" s="241"/>
      <c r="C14" s="241"/>
      <c r="D14" s="241" t="s">
        <v>27</v>
      </c>
      <c r="E14" s="731">
        <f ca="1">VLOOKUP($E$6,'TVT''s afscherming'!$A$45:$I$45,4)</f>
        <v>1.9</v>
      </c>
      <c r="F14" s="3"/>
      <c r="G14" s="3"/>
      <c r="H14" s="3"/>
      <c r="I14" s="3"/>
      <c r="J14" s="3"/>
      <c r="K14" s="3"/>
      <c r="L14" s="3"/>
      <c r="M14" s="3"/>
      <c r="N14" s="3"/>
      <c r="O14" s="81"/>
      <c r="P14" s="3"/>
    </row>
    <row r="15" spans="1:35" ht="15.75">
      <c r="A15" s="99"/>
      <c r="B15" s="99"/>
      <c r="C15" s="99"/>
      <c r="D15" s="105"/>
      <c r="E15" s="99"/>
      <c r="F15" s="99"/>
      <c r="G15" s="99"/>
      <c r="H15" s="104"/>
      <c r="I15" s="1"/>
      <c r="J15" s="1"/>
      <c r="K15" s="1"/>
      <c r="L15" s="1"/>
      <c r="M15" s="100"/>
      <c r="N15" s="1"/>
    </row>
    <row r="16" spans="1:35" ht="18">
      <c r="A16" s="42" t="s">
        <v>193</v>
      </c>
      <c r="B16" s="74"/>
      <c r="C16" s="75"/>
      <c r="D16" s="1"/>
      <c r="E16" s="1"/>
      <c r="F16" s="1"/>
      <c r="G16" s="1"/>
      <c r="H16" s="1"/>
      <c r="I16" s="1"/>
      <c r="J16" s="1"/>
      <c r="K16" s="73"/>
      <c r="L16" s="73"/>
      <c r="M16" s="73"/>
      <c r="N16" s="1"/>
      <c r="O16" s="1"/>
      <c r="P16" s="1"/>
      <c r="Q16" s="1"/>
      <c r="R16" s="1"/>
      <c r="S16" s="1"/>
      <c r="T16" s="1"/>
      <c r="U16" s="3"/>
      <c r="V16" s="5"/>
      <c r="W16" s="3"/>
      <c r="X16" s="3"/>
      <c r="Y16" s="3"/>
      <c r="Z16" s="3"/>
      <c r="AD16" s="76"/>
      <c r="AE16" s="76"/>
      <c r="AF16" s="76"/>
      <c r="AG16" s="76"/>
      <c r="AH16" s="76"/>
      <c r="AI16" s="76"/>
    </row>
    <row r="17" spans="1:15" ht="15.75">
      <c r="A17" s="106"/>
      <c r="B17" s="104"/>
      <c r="C17" s="74"/>
      <c r="D17" s="75"/>
      <c r="E17" s="1"/>
      <c r="F17" s="1"/>
      <c r="G17" s="1"/>
      <c r="H17" s="1"/>
      <c r="I17" s="1"/>
      <c r="J17" s="1"/>
      <c r="K17" s="73"/>
      <c r="L17" s="73"/>
      <c r="M17" s="73"/>
      <c r="N17" s="1"/>
      <c r="O17" s="1"/>
    </row>
    <row r="18" spans="1:15" s="45" customFormat="1" ht="15.75" thickBot="1">
      <c r="A18" s="655" t="s">
        <v>206</v>
      </c>
      <c r="B18" s="658"/>
      <c r="C18" s="3"/>
      <c r="D18" s="3"/>
      <c r="E18" s="3"/>
      <c r="F18" s="3"/>
      <c r="G18" s="61"/>
      <c r="H18" s="61"/>
      <c r="I18" s="173"/>
      <c r="J18" s="5"/>
      <c r="K18" s="5"/>
      <c r="L18" s="3"/>
      <c r="M18" s="3"/>
    </row>
    <row r="19" spans="1:15" s="45" customFormat="1">
      <c r="A19" s="3"/>
      <c r="B19" s="3"/>
      <c r="C19" s="47" t="s">
        <v>5</v>
      </c>
      <c r="D19" s="47" t="s">
        <v>363</v>
      </c>
      <c r="E19" s="47" t="s">
        <v>377</v>
      </c>
      <c r="F19" s="1669" t="s">
        <v>113</v>
      </c>
      <c r="G19" s="1670"/>
      <c r="H19" s="1671"/>
      <c r="I19" s="47" t="s">
        <v>367</v>
      </c>
      <c r="J19" s="47" t="s">
        <v>368</v>
      </c>
      <c r="K19" s="1911" t="s">
        <v>21</v>
      </c>
      <c r="L19" s="1912"/>
    </row>
    <row r="20" spans="1:15" s="45" customFormat="1">
      <c r="A20" s="3"/>
      <c r="B20" s="3"/>
      <c r="C20" s="79"/>
      <c r="D20" s="79" t="s">
        <v>374</v>
      </c>
      <c r="E20" s="79" t="s">
        <v>375</v>
      </c>
      <c r="F20" s="79" t="s">
        <v>3</v>
      </c>
      <c r="G20" s="68" t="s">
        <v>4</v>
      </c>
      <c r="H20" s="68" t="s">
        <v>27</v>
      </c>
      <c r="I20" s="79" t="s">
        <v>331</v>
      </c>
      <c r="J20" s="79" t="s">
        <v>13</v>
      </c>
      <c r="K20" s="599"/>
      <c r="L20" s="549"/>
    </row>
    <row r="21" spans="1:15" s="45" customFormat="1">
      <c r="A21" s="163" t="s">
        <v>9</v>
      </c>
      <c r="B21" s="110" t="s">
        <v>110</v>
      </c>
      <c r="C21" s="83" t="s">
        <v>10</v>
      </c>
      <c r="D21" s="83" t="s">
        <v>364</v>
      </c>
      <c r="E21" s="83" t="s">
        <v>376</v>
      </c>
      <c r="F21" s="72"/>
      <c r="G21" s="72"/>
      <c r="H21" s="72"/>
      <c r="I21" s="79"/>
      <c r="J21" s="79"/>
      <c r="K21" s="604" t="s">
        <v>588</v>
      </c>
      <c r="L21" s="565" t="s">
        <v>283</v>
      </c>
    </row>
    <row r="22" spans="1:15" s="45" customFormat="1" ht="15.75" thickBot="1">
      <c r="A22" s="1135" t="s">
        <v>347</v>
      </c>
      <c r="B22" s="1145" t="s">
        <v>26</v>
      </c>
      <c r="C22" s="1135">
        <v>1</v>
      </c>
      <c r="D22" s="1135">
        <v>10</v>
      </c>
      <c r="E22" s="1142">
        <v>170</v>
      </c>
      <c r="F22" s="1135">
        <v>70</v>
      </c>
      <c r="G22" s="1135">
        <v>0</v>
      </c>
      <c r="H22" s="1135">
        <v>0</v>
      </c>
      <c r="I22" s="112">
        <f>F22/$E$12+G22/E$13+H22/$E$14</f>
        <v>5.1851851851851851</v>
      </c>
      <c r="J22" s="226">
        <f>10^(-I22)</f>
        <v>6.5285211411278365E-6</v>
      </c>
      <c r="K22" s="567">
        <f>$E$7*(E$9*E$8/LN(2)*(1-2^(-(365/E$10)/E$8))/(365/E$10))*$D22/60/$C22/$C22*J22*E$11</f>
        <v>3.0521695642455497E-6</v>
      </c>
      <c r="L22" s="600">
        <f>K22*E22</f>
        <v>5.1886882592174345E-4</v>
      </c>
    </row>
    <row r="23" spans="1:15" s="53" customFormat="1">
      <c r="A23" s="49"/>
      <c r="B23" s="52"/>
      <c r="C23" s="12"/>
      <c r="D23" s="12"/>
      <c r="E23" s="94" t="s">
        <v>378</v>
      </c>
      <c r="F23" s="11"/>
      <c r="G23" s="11"/>
      <c r="H23" s="85"/>
    </row>
    <row r="24" spans="1:15" s="45" customFormat="1">
      <c r="A24" s="51"/>
      <c r="B24" s="52"/>
      <c r="C24" s="12"/>
      <c r="D24" s="12"/>
      <c r="E24" s="12"/>
      <c r="F24" s="12"/>
      <c r="G24" s="11"/>
      <c r="H24" s="11"/>
      <c r="I24" s="11"/>
      <c r="J24" s="11"/>
      <c r="K24" s="93"/>
      <c r="L24" s="11"/>
      <c r="M24" s="85"/>
    </row>
    <row r="25" spans="1:15" s="45" customFormat="1">
      <c r="A25" s="653" t="s">
        <v>514</v>
      </c>
      <c r="B25" s="654"/>
      <c r="C25" s="12"/>
      <c r="D25" s="12"/>
      <c r="E25" s="12"/>
      <c r="F25" s="11"/>
      <c r="G25" s="11"/>
      <c r="H25" s="11"/>
      <c r="I25" s="93"/>
      <c r="J25" s="11"/>
      <c r="K25" s="85"/>
      <c r="L25" s="53"/>
      <c r="M25" s="53"/>
    </row>
    <row r="26" spans="1:15" s="45" customFormat="1" ht="15.75" thickBot="1">
      <c r="B26" s="52" t="s">
        <v>506</v>
      </c>
      <c r="C26" s="58"/>
      <c r="D26" s="12"/>
      <c r="E26" s="12"/>
      <c r="F26" s="11"/>
      <c r="G26" s="11"/>
      <c r="H26" s="11"/>
      <c r="I26" s="93"/>
      <c r="J26" s="11"/>
      <c r="K26" s="85"/>
      <c r="L26" s="53"/>
      <c r="M26" s="53"/>
    </row>
    <row r="27" spans="1:15" ht="15.75">
      <c r="A27" s="497"/>
      <c r="B27" s="496"/>
      <c r="C27" s="316" t="s">
        <v>5</v>
      </c>
      <c r="D27" s="505" t="s">
        <v>363</v>
      </c>
      <c r="E27" s="1692" t="s">
        <v>578</v>
      </c>
      <c r="F27" s="47" t="s">
        <v>13</v>
      </c>
      <c r="G27" s="1692" t="s">
        <v>343</v>
      </c>
      <c r="H27" s="47" t="s">
        <v>368</v>
      </c>
      <c r="I27" s="601" t="s">
        <v>169</v>
      </c>
      <c r="J27" s="1387" t="s">
        <v>169</v>
      </c>
      <c r="K27" s="99"/>
      <c r="L27" s="106"/>
      <c r="M27" s="105"/>
      <c r="N27" s="77"/>
      <c r="O27" s="77"/>
    </row>
    <row r="28" spans="1:15" s="45" customFormat="1">
      <c r="A28" s="83" t="s">
        <v>9</v>
      </c>
      <c r="B28" s="205" t="s">
        <v>110</v>
      </c>
      <c r="C28" s="480" t="s">
        <v>114</v>
      </c>
      <c r="D28" s="506" t="s">
        <v>364</v>
      </c>
      <c r="E28" s="1682"/>
      <c r="F28" s="72" t="s">
        <v>379</v>
      </c>
      <c r="G28" s="1693"/>
      <c r="H28" s="79" t="s">
        <v>13</v>
      </c>
      <c r="I28" s="602" t="s">
        <v>574</v>
      </c>
      <c r="J28" s="1388" t="s">
        <v>279</v>
      </c>
      <c r="K28" s="85"/>
      <c r="L28" s="53"/>
      <c r="M28" s="53"/>
    </row>
    <row r="29" spans="1:15" s="45" customFormat="1">
      <c r="A29" s="1789" t="s">
        <v>349</v>
      </c>
      <c r="B29" s="1913" t="s">
        <v>192</v>
      </c>
      <c r="C29" s="986">
        <v>1</v>
      </c>
      <c r="D29" s="986">
        <v>1</v>
      </c>
      <c r="E29" s="1918">
        <v>1</v>
      </c>
      <c r="F29" s="986">
        <v>0</v>
      </c>
      <c r="G29" s="112">
        <f>+F29/$E$14</f>
        <v>0</v>
      </c>
      <c r="H29" s="226">
        <f>10^(-G29)</f>
        <v>1</v>
      </c>
      <c r="I29" s="1386">
        <f>$E$7*$E$9*$D$29/60/$C$29/$C$29*H29</f>
        <v>0.17143333333333335</v>
      </c>
      <c r="J29" s="1389">
        <f>I29*E29</f>
        <v>0.17143333333333335</v>
      </c>
      <c r="K29" s="53"/>
      <c r="L29" s="53"/>
      <c r="M29" s="53"/>
    </row>
    <row r="30" spans="1:15" ht="16.5" thickBot="1">
      <c r="A30" s="1915"/>
      <c r="B30" s="1914"/>
      <c r="C30" s="986">
        <v>0.1</v>
      </c>
      <c r="D30" s="1146">
        <v>0.1</v>
      </c>
      <c r="E30" s="1919"/>
      <c r="F30" s="1144">
        <v>0</v>
      </c>
      <c r="G30" s="112">
        <f>+F30/$E$14</f>
        <v>0</v>
      </c>
      <c r="H30" s="226">
        <f>10^(-G30)</f>
        <v>1</v>
      </c>
      <c r="I30" s="614">
        <f>$E$7*$E$9*$D$30/60/$C$30/$C$30*H30</f>
        <v>1.7143333333333335</v>
      </c>
      <c r="J30" s="1390">
        <f>I30*E29</f>
        <v>1.7143333333333335</v>
      </c>
      <c r="K30" s="53"/>
      <c r="L30" s="103"/>
      <c r="M30" s="102"/>
      <c r="N30" s="165"/>
    </row>
    <row r="31" spans="1:15" ht="15.75">
      <c r="A31" s="106"/>
      <c r="B31" s="105"/>
      <c r="C31" s="106"/>
      <c r="D31" s="166"/>
      <c r="E31" s="105"/>
      <c r="F31" s="166"/>
      <c r="G31" s="166"/>
      <c r="H31" s="166"/>
      <c r="I31" s="103"/>
      <c r="J31" s="103"/>
      <c r="K31" s="103"/>
    </row>
    <row r="32" spans="1:15" ht="15.75">
      <c r="A32" s="174"/>
      <c r="B32" s="105"/>
      <c r="C32" s="106"/>
      <c r="D32" s="166"/>
      <c r="E32" s="105"/>
      <c r="F32" s="166"/>
      <c r="G32" s="166"/>
      <c r="H32" s="166"/>
      <c r="I32" s="102"/>
      <c r="J32" s="102"/>
      <c r="K32" s="102"/>
      <c r="L32" s="105"/>
      <c r="M32" s="105"/>
      <c r="O32" s="77"/>
    </row>
    <row r="33" spans="1:29" ht="15.75">
      <c r="A33" s="174"/>
      <c r="B33" s="395"/>
      <c r="C33" s="12"/>
      <c r="D33" s="10"/>
      <c r="E33" s="1"/>
      <c r="F33" s="1"/>
      <c r="G33" s="1"/>
      <c r="H33" s="1"/>
      <c r="I33" s="1"/>
      <c r="J33" s="1"/>
      <c r="K33" s="77"/>
      <c r="L33" s="102"/>
      <c r="M33" s="165"/>
      <c r="N33" s="99"/>
      <c r="O33" s="77"/>
    </row>
    <row r="34" spans="1:29" s="53" customFormat="1">
      <c r="A34" s="498"/>
      <c r="B34" s="52"/>
      <c r="C34" s="12"/>
      <c r="D34" s="12"/>
      <c r="E34" s="12"/>
      <c r="F34" s="11"/>
      <c r="G34" s="11"/>
      <c r="H34" s="11"/>
      <c r="I34" s="93"/>
      <c r="J34" s="11"/>
      <c r="K34" s="85"/>
    </row>
    <row r="35" spans="1:29" s="53" customFormat="1">
      <c r="A35" s="52"/>
      <c r="B35" s="52"/>
      <c r="C35" s="12"/>
      <c r="D35" s="12"/>
      <c r="E35" s="12"/>
      <c r="F35" s="11"/>
      <c r="G35" s="11"/>
      <c r="H35" s="11"/>
      <c r="I35" s="93"/>
      <c r="J35" s="11"/>
      <c r="K35" s="85"/>
    </row>
    <row r="36" spans="1:29" s="77" customFormat="1" ht="15.75">
      <c r="A36" s="1920"/>
      <c r="B36" s="1920"/>
      <c r="C36" s="12"/>
      <c r="D36" s="10"/>
      <c r="E36" s="53"/>
      <c r="F36" s="12"/>
      <c r="G36" s="166"/>
      <c r="H36" s="166"/>
      <c r="K36" s="103"/>
      <c r="L36" s="167"/>
      <c r="M36" s="165"/>
      <c r="N36" s="99"/>
      <c r="P36" s="78"/>
      <c r="X36" s="78"/>
      <c r="Y36" s="78"/>
      <c r="Z36" s="78"/>
      <c r="AA36" s="78"/>
      <c r="AB36" s="78"/>
      <c r="AC36" s="78"/>
    </row>
    <row r="37" spans="1:29" s="77" customFormat="1" ht="15.75">
      <c r="A37" s="1920"/>
      <c r="B37" s="1920"/>
      <c r="C37" s="12"/>
      <c r="D37" s="10"/>
      <c r="E37" s="10"/>
      <c r="F37" s="10"/>
      <c r="G37" s="99"/>
      <c r="H37" s="99"/>
      <c r="J37" s="51"/>
      <c r="K37" s="99"/>
      <c r="L37" s="102"/>
      <c r="M37" s="99"/>
      <c r="O37" s="78"/>
      <c r="W37" s="78"/>
      <c r="X37" s="78"/>
      <c r="Y37" s="78"/>
      <c r="Z37" s="78"/>
      <c r="AA37" s="78"/>
      <c r="AB37" s="78"/>
    </row>
    <row r="38" spans="1:29" s="77" customFormat="1" ht="15.75">
      <c r="A38" s="494"/>
      <c r="B38" s="494"/>
      <c r="C38" s="12"/>
      <c r="D38" s="10"/>
      <c r="E38" s="10"/>
      <c r="F38" s="10"/>
      <c r="G38" s="99"/>
      <c r="H38" s="99"/>
      <c r="J38" s="51"/>
      <c r="K38" s="99"/>
      <c r="L38" s="102"/>
      <c r="M38" s="99"/>
      <c r="O38" s="78"/>
      <c r="W38" s="78"/>
      <c r="X38" s="78"/>
      <c r="Y38" s="78"/>
      <c r="Z38" s="78"/>
      <c r="AA38" s="78"/>
      <c r="AB38" s="78"/>
    </row>
    <row r="39" spans="1:29" s="77" customFormat="1" ht="15.75">
      <c r="A39" s="106"/>
      <c r="B39" s="443"/>
      <c r="C39" s="499"/>
      <c r="D39" s="1921"/>
      <c r="E39" s="1922"/>
      <c r="F39" s="1922"/>
      <c r="G39" s="1923"/>
      <c r="H39" s="51"/>
      <c r="I39" s="51"/>
      <c r="J39" s="51"/>
      <c r="K39" s="99"/>
      <c r="L39" s="102"/>
      <c r="M39" s="99"/>
      <c r="O39" s="78"/>
      <c r="W39" s="78"/>
      <c r="X39" s="78"/>
      <c r="Y39" s="78"/>
      <c r="Z39" s="78"/>
      <c r="AA39" s="78"/>
      <c r="AB39" s="78"/>
    </row>
    <row r="40" spans="1:29" s="53" customFormat="1">
      <c r="A40" s="51"/>
      <c r="B40" s="52"/>
      <c r="C40" s="499"/>
      <c r="D40" s="51"/>
      <c r="E40" s="51"/>
      <c r="F40" s="51"/>
      <c r="G40" s="1923"/>
      <c r="H40" s="51"/>
      <c r="I40" s="51"/>
      <c r="J40" s="51"/>
      <c r="K40" s="85"/>
    </row>
    <row r="41" spans="1:29" s="53" customFormat="1">
      <c r="A41" s="1786"/>
      <c r="B41" s="1786"/>
      <c r="C41" s="12"/>
      <c r="D41" s="12"/>
      <c r="E41" s="12"/>
      <c r="F41" s="12"/>
      <c r="G41" s="11"/>
      <c r="H41" s="93"/>
      <c r="I41" s="11"/>
      <c r="J41" s="159"/>
    </row>
    <row r="42" spans="1:29" s="53" customFormat="1">
      <c r="A42" s="1786"/>
      <c r="B42" s="1786"/>
      <c r="C42" s="12"/>
      <c r="D42" s="12"/>
      <c r="E42" s="12"/>
      <c r="F42" s="12"/>
      <c r="G42" s="11"/>
      <c r="H42" s="93"/>
      <c r="I42" s="11"/>
      <c r="J42" s="159"/>
    </row>
    <row r="43" spans="1:29" ht="15.75">
      <c r="A43" s="77"/>
      <c r="B43" s="77"/>
      <c r="C43" s="77"/>
      <c r="D43" s="77"/>
      <c r="E43" s="77"/>
      <c r="F43" s="168"/>
      <c r="G43" s="113"/>
      <c r="H43" s="101"/>
      <c r="I43" s="101"/>
      <c r="J43" s="102"/>
      <c r="K43" s="77"/>
    </row>
    <row r="44" spans="1:29" ht="15.75">
      <c r="A44" s="77"/>
      <c r="B44" s="77"/>
      <c r="C44" s="77"/>
      <c r="D44" s="77"/>
      <c r="E44" s="77"/>
      <c r="F44" s="113"/>
      <c r="G44" s="169"/>
      <c r="H44" s="105"/>
      <c r="I44" s="105"/>
      <c r="J44" s="105"/>
      <c r="K44" s="77"/>
    </row>
    <row r="45" spans="1:29" ht="15.75">
      <c r="A45" s="77"/>
      <c r="B45" s="77"/>
      <c r="C45" s="77"/>
      <c r="D45" s="77"/>
      <c r="E45" s="77"/>
      <c r="F45" s="113"/>
      <c r="G45" s="169"/>
      <c r="H45" s="105"/>
      <c r="I45" s="167"/>
      <c r="J45" s="105"/>
      <c r="K45" s="77"/>
    </row>
  </sheetData>
  <sheetProtection password="C526" sheet="1" objects="1" scenarios="1"/>
  <mergeCells count="12">
    <mergeCell ref="A41:A42"/>
    <mergeCell ref="B41:B42"/>
    <mergeCell ref="G27:G28"/>
    <mergeCell ref="F19:H19"/>
    <mergeCell ref="D39:F39"/>
    <mergeCell ref="G39:G40"/>
    <mergeCell ref="K19:L19"/>
    <mergeCell ref="B29:B30"/>
    <mergeCell ref="A29:A30"/>
    <mergeCell ref="A36:B37"/>
    <mergeCell ref="E27:E28"/>
    <mergeCell ref="E29:E3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&amp;C&amp;F 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Blad14">
    <tabColor theme="0" tint="-0.249977111117893"/>
  </sheetPr>
  <dimension ref="A1:AK48"/>
  <sheetViews>
    <sheetView showGridLines="0" topLeftCell="A10" zoomScaleNormal="100" workbookViewId="0">
      <selection activeCell="G37" sqref="G37"/>
    </sheetView>
  </sheetViews>
  <sheetFormatPr defaultRowHeight="15"/>
  <cols>
    <col min="1" max="1" width="7.7109375" style="41" customWidth="1"/>
    <col min="2" max="2" width="20.7109375" style="41" customWidth="1"/>
    <col min="3" max="6" width="12.7109375" style="41" customWidth="1"/>
    <col min="7" max="9" width="13" style="41" customWidth="1"/>
    <col min="10" max="15" width="9.140625" style="41"/>
    <col min="16" max="16" width="12.140625" style="41" bestFit="1" customWidth="1"/>
    <col min="17" max="18" width="9.140625" style="41"/>
    <col min="19" max="19" width="13.140625" style="41" customWidth="1"/>
    <col min="20" max="16384" width="9.140625" style="41"/>
  </cols>
  <sheetData>
    <row r="1" spans="1:34" s="510" customFormat="1" ht="27" thickBot="1">
      <c r="A1" s="23" t="s">
        <v>173</v>
      </c>
      <c r="B1" s="24"/>
      <c r="C1" s="25"/>
      <c r="D1" s="25"/>
      <c r="E1" s="24"/>
      <c r="F1" s="25"/>
      <c r="G1" s="25"/>
      <c r="H1" s="25"/>
      <c r="I1" s="25"/>
      <c r="J1" s="25"/>
      <c r="K1" s="25"/>
      <c r="L1" s="660"/>
      <c r="M1" s="509"/>
      <c r="N1" s="509"/>
      <c r="O1" s="509"/>
    </row>
    <row r="2" spans="1:34" s="3" customFormat="1" ht="18.75" customHeight="1" thickBot="1">
      <c r="A2" s="2"/>
      <c r="F2" s="5"/>
      <c r="G2" s="5"/>
      <c r="H2" s="5"/>
    </row>
    <row r="3" spans="1:34" s="311" customFormat="1" ht="26.25" customHeight="1" thickBot="1">
      <c r="A3" s="1015" t="s">
        <v>529</v>
      </c>
      <c r="B3" s="1016"/>
      <c r="C3" s="1099" t="s">
        <v>166</v>
      </c>
      <c r="D3" s="1017"/>
      <c r="E3" s="1044"/>
      <c r="F3" s="442"/>
      <c r="G3" s="442"/>
      <c r="H3" s="442"/>
      <c r="I3" s="336"/>
    </row>
    <row r="4" spans="1:34" s="311" customFormat="1" ht="22.5" customHeight="1">
      <c r="A4" s="1039"/>
      <c r="B4" s="336"/>
      <c r="C4" s="1040"/>
      <c r="D4" s="336"/>
      <c r="E4" s="336"/>
      <c r="F4" s="442"/>
      <c r="G4" s="442"/>
      <c r="H4" s="440"/>
    </row>
    <row r="5" spans="1:34" ht="19.5" customHeight="1" thickBot="1">
      <c r="A5" s="42" t="s">
        <v>189</v>
      </c>
      <c r="B5" s="43"/>
      <c r="C5" s="43"/>
      <c r="D5" s="1"/>
      <c r="F5" s="1"/>
      <c r="G5" s="1"/>
      <c r="H5" s="1"/>
      <c r="I5" s="1"/>
      <c r="J5" s="1"/>
      <c r="K5" s="1"/>
      <c r="L5" s="1"/>
      <c r="M5" s="1"/>
      <c r="N5" s="1"/>
      <c r="O5" s="1"/>
      <c r="P5" s="176"/>
      <c r="Q5" s="73"/>
      <c r="R5" s="73"/>
      <c r="S5" s="73"/>
      <c r="T5" s="73"/>
      <c r="U5" s="1"/>
      <c r="V5" s="1"/>
      <c r="W5" s="1"/>
      <c r="X5" s="1"/>
      <c r="Y5" s="1"/>
      <c r="Z5" s="1"/>
      <c r="AA5" s="1"/>
    </row>
    <row r="6" spans="1:34" s="45" customFormat="1">
      <c r="A6" s="1448" t="s">
        <v>22</v>
      </c>
      <c r="B6" s="1449"/>
      <c r="C6" s="1449"/>
      <c r="D6" s="1450"/>
      <c r="E6" s="1451" t="s">
        <v>166</v>
      </c>
      <c r="F6" s="158"/>
      <c r="G6" s="94"/>
      <c r="I6" s="157"/>
      <c r="J6" s="158"/>
      <c r="K6" s="3"/>
      <c r="L6" s="3"/>
      <c r="M6" s="3"/>
      <c r="N6" s="3"/>
      <c r="O6" s="3"/>
      <c r="P6" s="94"/>
      <c r="Q6" s="94"/>
      <c r="R6" s="94"/>
      <c r="S6" s="94"/>
      <c r="T6" s="177"/>
      <c r="U6" s="158"/>
      <c r="V6" s="94"/>
      <c r="W6" s="157"/>
      <c r="X6" s="158"/>
      <c r="Y6" s="3"/>
      <c r="Z6" s="3"/>
      <c r="AA6" s="3"/>
    </row>
    <row r="7" spans="1:34" s="45" customFormat="1" ht="18.75">
      <c r="A7" s="1452" t="s">
        <v>497</v>
      </c>
      <c r="B7" s="216"/>
      <c r="C7" s="216"/>
      <c r="D7" s="591"/>
      <c r="E7" s="458">
        <v>3.4000000000000002E-2</v>
      </c>
      <c r="F7" s="10"/>
      <c r="G7" s="52"/>
      <c r="I7" s="98"/>
      <c r="J7" s="10"/>
      <c r="K7" s="3"/>
      <c r="L7" s="3"/>
      <c r="M7" s="3"/>
      <c r="N7" s="3"/>
      <c r="O7" s="3"/>
      <c r="P7" s="52"/>
      <c r="Q7" s="52"/>
      <c r="R7" s="52"/>
      <c r="S7" s="52"/>
      <c r="T7" s="34"/>
      <c r="U7" s="10"/>
      <c r="V7" s="52"/>
      <c r="W7" s="98"/>
      <c r="X7" s="10"/>
      <c r="Y7" s="3"/>
      <c r="Z7" s="3"/>
      <c r="AA7" s="3"/>
    </row>
    <row r="8" spans="1:34" s="45" customFormat="1">
      <c r="A8" s="1452" t="s">
        <v>415</v>
      </c>
      <c r="B8" s="216"/>
      <c r="C8" s="216"/>
      <c r="D8" s="591"/>
      <c r="E8" s="1458">
        <v>59.4</v>
      </c>
      <c r="F8" s="10"/>
      <c r="G8" s="10"/>
      <c r="I8" s="10"/>
      <c r="J8" s="10"/>
      <c r="K8" s="3"/>
      <c r="L8" s="3"/>
      <c r="M8" s="3"/>
      <c r="N8" s="3"/>
      <c r="O8" s="3"/>
      <c r="P8" s="10"/>
      <c r="Q8" s="10"/>
      <c r="R8" s="10"/>
      <c r="S8" s="10"/>
      <c r="T8" s="160"/>
      <c r="U8" s="158"/>
      <c r="V8" s="52"/>
      <c r="W8" s="91"/>
      <c r="X8" s="158"/>
      <c r="Y8" s="3"/>
      <c r="Z8" s="3"/>
      <c r="AA8" s="3"/>
    </row>
    <row r="9" spans="1:34" s="45" customFormat="1">
      <c r="A9" s="708" t="s">
        <v>194</v>
      </c>
      <c r="B9" s="16"/>
      <c r="C9" s="16"/>
      <c r="D9" s="591"/>
      <c r="E9" s="1457">
        <v>200</v>
      </c>
      <c r="F9" s="159"/>
      <c r="G9" s="10"/>
      <c r="I9" s="10"/>
      <c r="J9" s="10"/>
      <c r="K9" s="3"/>
      <c r="L9" s="3"/>
      <c r="M9" s="3"/>
      <c r="N9" s="3"/>
      <c r="O9" s="3"/>
      <c r="P9" s="52"/>
      <c r="Q9" s="52"/>
      <c r="R9" s="52"/>
      <c r="S9" s="52"/>
      <c r="T9" s="12"/>
      <c r="U9" s="10"/>
      <c r="V9" s="10"/>
      <c r="W9" s="10"/>
      <c r="X9" s="10"/>
      <c r="Y9" s="3"/>
      <c r="Z9" s="3"/>
      <c r="AA9" s="3"/>
    </row>
    <row r="10" spans="1:34" s="45" customFormat="1">
      <c r="A10" s="708" t="s">
        <v>416</v>
      </c>
      <c r="B10" s="16"/>
      <c r="C10" s="16"/>
      <c r="D10" s="591"/>
      <c r="E10" s="1457">
        <v>17</v>
      </c>
      <c r="F10" s="158"/>
      <c r="G10" s="52"/>
      <c r="I10" s="91"/>
      <c r="J10" s="158"/>
      <c r="K10" s="3"/>
      <c r="L10" s="3"/>
      <c r="M10" s="3"/>
      <c r="N10" s="3"/>
      <c r="O10" s="3"/>
      <c r="P10" s="10"/>
      <c r="Q10" s="10"/>
      <c r="R10" s="10"/>
      <c r="S10" s="10"/>
      <c r="T10" s="160"/>
      <c r="U10" s="159"/>
      <c r="V10" s="10"/>
      <c r="W10" s="10"/>
      <c r="X10" s="10"/>
      <c r="Y10" s="3"/>
      <c r="Z10" s="3"/>
      <c r="AA10" s="3"/>
    </row>
    <row r="11" spans="1:34" s="45" customFormat="1">
      <c r="A11" s="708" t="s">
        <v>195</v>
      </c>
      <c r="B11" s="16"/>
      <c r="C11" s="16"/>
      <c r="D11" s="591"/>
      <c r="E11" s="1457">
        <v>80</v>
      </c>
      <c r="F11" s="159"/>
      <c r="G11" s="10"/>
      <c r="I11" s="10"/>
      <c r="J11" s="10"/>
      <c r="K11" s="3"/>
      <c r="L11" s="3"/>
      <c r="M11" s="3"/>
      <c r="N11" s="3"/>
      <c r="O11" s="3"/>
      <c r="P11" s="10"/>
      <c r="Q11" s="10"/>
      <c r="R11" s="10"/>
      <c r="S11" s="10"/>
      <c r="T11" s="160"/>
      <c r="U11" s="159"/>
      <c r="V11" s="10"/>
      <c r="W11" s="10"/>
      <c r="X11" s="10"/>
      <c r="Y11" s="3"/>
      <c r="Z11" s="3"/>
      <c r="AA11" s="3"/>
    </row>
    <row r="12" spans="1:34" s="45" customFormat="1" ht="17.25">
      <c r="A12" s="1452" t="s">
        <v>498</v>
      </c>
      <c r="B12" s="216"/>
      <c r="C12" s="216"/>
      <c r="D12" s="591"/>
      <c r="E12" s="1459">
        <f>6*E10/1.5/1000</f>
        <v>6.8000000000000005E-2</v>
      </c>
      <c r="F12" s="10" t="s">
        <v>381</v>
      </c>
      <c r="I12" s="10"/>
      <c r="J12" s="3"/>
      <c r="K12" s="3"/>
      <c r="L12" s="3"/>
      <c r="M12" s="3"/>
      <c r="N12" s="10"/>
      <c r="O12" s="3"/>
      <c r="P12" s="3"/>
      <c r="Q12" s="52"/>
      <c r="R12" s="52"/>
      <c r="S12" s="52"/>
      <c r="T12" s="161"/>
      <c r="U12" s="10"/>
      <c r="V12" s="10"/>
      <c r="W12" s="3"/>
      <c r="X12" s="10"/>
      <c r="Y12" s="3"/>
      <c r="Z12" s="3"/>
      <c r="AA12" s="3"/>
    </row>
    <row r="13" spans="1:34" s="45" customFormat="1" ht="18.75">
      <c r="A13" s="708" t="s">
        <v>503</v>
      </c>
      <c r="B13" s="216"/>
      <c r="C13" s="216"/>
      <c r="D13" s="591"/>
      <c r="E13" s="1459">
        <v>0.122</v>
      </c>
      <c r="F13" s="10" t="s">
        <v>417</v>
      </c>
      <c r="I13" s="3"/>
      <c r="J13" s="10"/>
      <c r="K13" s="3"/>
      <c r="L13" s="3"/>
      <c r="M13" s="3"/>
      <c r="N13" s="3"/>
      <c r="O13" s="3"/>
      <c r="P13" s="10"/>
      <c r="Q13" s="10"/>
      <c r="R13" s="10"/>
      <c r="S13" s="10"/>
      <c r="T13" s="160"/>
      <c r="U13" s="159"/>
      <c r="V13" s="10"/>
      <c r="W13" s="10"/>
      <c r="X13" s="10"/>
      <c r="Y13" s="3"/>
      <c r="Z13" s="3"/>
      <c r="AA13" s="3"/>
    </row>
    <row r="14" spans="1:34" s="45" customFormat="1" ht="15.75" thickBot="1">
      <c r="A14" s="289" t="s">
        <v>502</v>
      </c>
      <c r="B14" s="1460"/>
      <c r="C14" s="1460"/>
      <c r="D14" s="1461"/>
      <c r="E14" s="1462">
        <v>1</v>
      </c>
      <c r="F14" s="10"/>
      <c r="G14" s="10"/>
      <c r="I14" s="3"/>
      <c r="J14" s="10"/>
      <c r="K14" s="3"/>
      <c r="L14" s="3"/>
      <c r="M14" s="3"/>
      <c r="N14" s="3"/>
      <c r="O14" s="3"/>
      <c r="P14" s="10"/>
      <c r="Q14" s="10"/>
      <c r="R14" s="10"/>
      <c r="S14" s="10"/>
      <c r="T14" s="160"/>
      <c r="U14" s="159"/>
      <c r="V14" s="10"/>
      <c r="W14" s="10"/>
      <c r="X14" s="10"/>
      <c r="Y14" s="3"/>
      <c r="Z14" s="3"/>
      <c r="AA14" s="3"/>
    </row>
    <row r="15" spans="1:34" ht="15.75">
      <c r="O15" s="178"/>
      <c r="P15" s="106"/>
      <c r="Q15" s="106"/>
      <c r="R15" s="106"/>
      <c r="S15" s="106"/>
      <c r="T15" s="179"/>
      <c r="U15" s="99"/>
      <c r="V15" s="99"/>
      <c r="W15" s="99"/>
      <c r="X15" s="1"/>
      <c r="Y15" s="1"/>
      <c r="Z15" s="1"/>
      <c r="AA15" s="1"/>
    </row>
    <row r="16" spans="1:34" ht="18">
      <c r="A16" s="42" t="s">
        <v>193</v>
      </c>
      <c r="B16" s="74"/>
      <c r="C16" s="74"/>
      <c r="D16" s="75"/>
      <c r="E16" s="99"/>
      <c r="F16" s="99"/>
      <c r="G16" s="99"/>
      <c r="H16" s="99"/>
      <c r="I16" s="99"/>
      <c r="J16" s="99"/>
      <c r="K16" s="99"/>
      <c r="L16" s="105"/>
      <c r="M16" s="105"/>
      <c r="N16" s="105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</row>
    <row r="17" spans="1:37" ht="18">
      <c r="A17" s="42"/>
      <c r="B17" s="74"/>
      <c r="C17" s="74"/>
      <c r="D17" s="75"/>
      <c r="E17" s="99"/>
      <c r="F17" s="99"/>
      <c r="G17" s="99"/>
      <c r="H17" s="99"/>
      <c r="I17" s="99"/>
      <c r="J17" s="99"/>
      <c r="K17" s="99"/>
      <c r="L17" s="105"/>
      <c r="M17" s="105"/>
      <c r="N17" s="105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</row>
    <row r="18" spans="1:37" s="45" customFormat="1" ht="15.75" thickBot="1">
      <c r="A18" s="659" t="s">
        <v>206</v>
      </c>
      <c r="B18" s="656"/>
      <c r="C18" s="44"/>
      <c r="D18" s="116"/>
      <c r="E18" s="10"/>
      <c r="F18" s="10"/>
      <c r="G18" s="10"/>
      <c r="H18" s="10"/>
      <c r="I18" s="10"/>
      <c r="J18" s="10"/>
      <c r="K18" s="51"/>
      <c r="L18" s="51"/>
      <c r="M18" s="51"/>
      <c r="N18" s="10"/>
      <c r="O18" s="10"/>
      <c r="P18" s="10"/>
      <c r="Q18" s="10"/>
      <c r="R18" s="10"/>
      <c r="S18" s="10"/>
      <c r="T18" s="10"/>
      <c r="U18" s="10"/>
      <c r="V18" s="10"/>
      <c r="W18" s="94"/>
      <c r="X18" s="10"/>
      <c r="Y18" s="10"/>
      <c r="Z18" s="10"/>
      <c r="AA18" s="53"/>
      <c r="AB18" s="53"/>
      <c r="AC18" s="53"/>
      <c r="AD18" s="53"/>
      <c r="AE18" s="53"/>
      <c r="AF18" s="53"/>
      <c r="AG18" s="53"/>
      <c r="AH18" s="53"/>
    </row>
    <row r="19" spans="1:37" s="45" customFormat="1">
      <c r="A19" s="3"/>
      <c r="B19" s="3"/>
      <c r="C19" s="47" t="s">
        <v>5</v>
      </c>
      <c r="D19" s="47" t="s">
        <v>363</v>
      </c>
      <c r="E19" s="1911" t="s">
        <v>426</v>
      </c>
      <c r="F19" s="1912"/>
      <c r="G19" s="1911" t="s">
        <v>388</v>
      </c>
      <c r="H19" s="1912"/>
      <c r="I19" s="10"/>
      <c r="J19" s="95"/>
      <c r="K19" s="95"/>
      <c r="L19" s="33"/>
      <c r="M19" s="10"/>
      <c r="N19" s="10"/>
      <c r="O19" s="10"/>
      <c r="P19" s="10"/>
      <c r="Q19" s="10"/>
      <c r="R19" s="10"/>
      <c r="S19" s="51"/>
      <c r="T19" s="51"/>
      <c r="U19" s="51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</row>
    <row r="20" spans="1:37" s="45" customFormat="1" ht="15" customHeight="1">
      <c r="A20" s="3"/>
      <c r="B20" s="3"/>
      <c r="C20" s="79"/>
      <c r="D20" s="79"/>
      <c r="E20" s="607" t="s">
        <v>589</v>
      </c>
      <c r="F20" s="549"/>
      <c r="G20" s="607" t="s">
        <v>589</v>
      </c>
      <c r="H20" s="1317"/>
      <c r="I20" s="10"/>
      <c r="J20" s="95"/>
      <c r="K20" s="95"/>
      <c r="L20" s="33"/>
      <c r="M20" s="10"/>
      <c r="N20" s="10"/>
      <c r="O20" s="10"/>
      <c r="P20" s="10"/>
      <c r="Q20" s="10"/>
      <c r="R20" s="10"/>
      <c r="S20" s="51"/>
      <c r="T20" s="51"/>
      <c r="U20" s="51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</row>
    <row r="21" spans="1:37" s="45" customFormat="1">
      <c r="A21" s="163" t="s">
        <v>9</v>
      </c>
      <c r="B21" s="164" t="s">
        <v>110</v>
      </c>
      <c r="C21" s="83" t="s">
        <v>114</v>
      </c>
      <c r="D21" s="83" t="s">
        <v>364</v>
      </c>
      <c r="E21" s="608" t="s">
        <v>380</v>
      </c>
      <c r="F21" s="565" t="s">
        <v>43</v>
      </c>
      <c r="G21" s="607" t="s">
        <v>380</v>
      </c>
      <c r="H21" s="549" t="s">
        <v>279</v>
      </c>
      <c r="I21" s="10"/>
      <c r="J21" s="53"/>
      <c r="K21" s="10"/>
      <c r="L21" s="10"/>
      <c r="M21" s="10"/>
      <c r="N21" s="10"/>
      <c r="O21" s="10"/>
      <c r="P21" s="10"/>
      <c r="Q21" s="51"/>
      <c r="R21" s="51"/>
      <c r="S21" s="51"/>
      <c r="T21" s="51"/>
      <c r="U21" s="51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</row>
    <row r="22" spans="1:37" s="45" customFormat="1">
      <c r="A22" s="1856" t="s">
        <v>567</v>
      </c>
      <c r="B22" s="1924" t="s">
        <v>196</v>
      </c>
      <c r="C22" s="986">
        <v>0.4</v>
      </c>
      <c r="D22" s="1929">
        <v>0.5</v>
      </c>
      <c r="E22" s="1318">
        <f>$E$10*$E$11*$E$7/C22^2*$D$22/60*$E$13/1000</f>
        <v>2.9381666666666661E-4</v>
      </c>
      <c r="F22" s="610">
        <f>E$22*E$9</f>
        <v>5.876333333333332E-2</v>
      </c>
      <c r="G22" s="1321"/>
      <c r="H22" s="1322"/>
      <c r="I22" s="81"/>
      <c r="J22" s="53"/>
      <c r="K22" s="10"/>
      <c r="L22" s="10"/>
      <c r="M22" s="10"/>
      <c r="N22" s="10"/>
      <c r="O22" s="10"/>
      <c r="P22" s="10"/>
      <c r="Q22" s="51"/>
      <c r="R22" s="51"/>
      <c r="S22" s="51"/>
      <c r="T22" s="51"/>
      <c r="U22" s="51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</row>
    <row r="23" spans="1:37" s="45" customFormat="1">
      <c r="A23" s="1926"/>
      <c r="B23" s="1925"/>
      <c r="C23" s="986">
        <v>7.0000000000000007E-2</v>
      </c>
      <c r="D23" s="1929"/>
      <c r="E23" s="1319"/>
      <c r="F23" s="1317"/>
      <c r="G23" s="609">
        <f>E$10*E$11*E$7/C23^2*D$22/60*E$14/1000</f>
        <v>7.863945578231292E-2</v>
      </c>
      <c r="H23" s="566">
        <f>G$23*E$9</f>
        <v>15.727891156462585</v>
      </c>
      <c r="I23" s="81"/>
      <c r="J23" s="53"/>
      <c r="K23" s="10"/>
      <c r="L23" s="10"/>
      <c r="M23" s="10"/>
      <c r="N23" s="10"/>
      <c r="O23" s="10"/>
      <c r="P23" s="10"/>
      <c r="Q23" s="51"/>
      <c r="R23" s="51"/>
      <c r="S23" s="51"/>
      <c r="T23" s="51"/>
      <c r="U23" s="51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</row>
    <row r="24" spans="1:37" s="45" customFormat="1" ht="15.75" thickBot="1">
      <c r="A24" s="1304" t="s">
        <v>568</v>
      </c>
      <c r="B24" s="1186" t="s">
        <v>569</v>
      </c>
      <c r="C24" s="1148">
        <v>0.3</v>
      </c>
      <c r="D24" s="1147">
        <v>45</v>
      </c>
      <c r="E24" s="1320">
        <f>E$11*E$12*D$24/60*E$13*0.5/1000</f>
        <v>2.4887999999999999E-4</v>
      </c>
      <c r="F24" s="600">
        <f>E24*E$9</f>
        <v>4.9776000000000001E-2</v>
      </c>
      <c r="G24" s="1323"/>
      <c r="H24" s="1324"/>
      <c r="I24" s="81"/>
      <c r="J24" s="52"/>
      <c r="K24" s="52"/>
      <c r="L24" s="52"/>
      <c r="M24" s="10"/>
      <c r="N24" s="10"/>
      <c r="O24" s="10"/>
      <c r="P24" s="10"/>
      <c r="Q24" s="51"/>
      <c r="R24" s="51"/>
      <c r="S24" s="51"/>
      <c r="T24" s="51"/>
      <c r="U24" s="51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</row>
    <row r="25" spans="1:37" s="45" customFormat="1">
      <c r="A25" s="10"/>
      <c r="B25" s="10"/>
      <c r="C25" s="10"/>
      <c r="F25" s="10"/>
      <c r="G25" s="10"/>
      <c r="H25" s="10"/>
      <c r="I25" s="10"/>
      <c r="J25" s="10"/>
      <c r="K25" s="10"/>
      <c r="L25" s="53"/>
      <c r="M25" s="53"/>
      <c r="N25" s="53"/>
      <c r="O25" s="81"/>
      <c r="P25" s="53"/>
      <c r="Q25" s="52"/>
      <c r="R25" s="52"/>
      <c r="S25" s="52"/>
      <c r="T25" s="52"/>
      <c r="U25" s="51"/>
      <c r="V25" s="51"/>
      <c r="W25" s="12"/>
      <c r="X25" s="12"/>
      <c r="Y25" s="91"/>
      <c r="Z25" s="91"/>
      <c r="AA25" s="53"/>
      <c r="AB25" s="53"/>
      <c r="AC25" s="53"/>
      <c r="AD25" s="53"/>
      <c r="AE25" s="53"/>
      <c r="AF25" s="53"/>
      <c r="AG25" s="53"/>
      <c r="AH25" s="53"/>
    </row>
    <row r="26" spans="1:37" s="45" customFormat="1">
      <c r="A26" s="917"/>
      <c r="B26" s="344"/>
      <c r="C26" s="52"/>
      <c r="D26" s="52"/>
      <c r="E26" s="52"/>
      <c r="F26" s="51"/>
      <c r="G26" s="51"/>
      <c r="H26" s="12"/>
      <c r="I26" s="12"/>
      <c r="J26" s="91"/>
      <c r="K26" s="91"/>
      <c r="L26" s="53"/>
      <c r="M26" s="10"/>
      <c r="N26" s="10"/>
      <c r="O26" s="10"/>
      <c r="P26" s="53"/>
      <c r="Q26" s="52"/>
      <c r="R26" s="52"/>
      <c r="S26" s="52"/>
      <c r="T26" s="52"/>
      <c r="U26" s="51"/>
      <c r="V26" s="51"/>
      <c r="W26" s="12"/>
      <c r="X26" s="12"/>
      <c r="Y26" s="91"/>
      <c r="Z26" s="91"/>
      <c r="AA26" s="53"/>
      <c r="AB26" s="53"/>
      <c r="AC26" s="53"/>
      <c r="AD26" s="53"/>
      <c r="AE26" s="53"/>
      <c r="AF26" s="53"/>
      <c r="AG26" s="53"/>
      <c r="AH26" s="53"/>
    </row>
    <row r="27" spans="1:37" s="45" customFormat="1">
      <c r="A27" s="653" t="s">
        <v>516</v>
      </c>
      <c r="B27" s="653"/>
      <c r="C27" s="922"/>
      <c r="D27" s="922"/>
      <c r="E27" s="922"/>
      <c r="F27" s="923"/>
      <c r="G27" s="923"/>
      <c r="H27" s="11"/>
      <c r="I27" s="93"/>
      <c r="J27" s="11"/>
      <c r="K27" s="85"/>
      <c r="L27" s="53"/>
      <c r="M27" s="53"/>
    </row>
    <row r="28" spans="1:37" s="45" customFormat="1" ht="15.75" thickBot="1">
      <c r="B28" s="344" t="s">
        <v>515</v>
      </c>
      <c r="C28" s="921"/>
      <c r="D28" s="922"/>
      <c r="E28" s="922"/>
      <c r="F28" s="923"/>
      <c r="G28" s="923"/>
      <c r="H28" s="11"/>
      <c r="I28" s="93"/>
      <c r="J28" s="11"/>
      <c r="K28" s="85"/>
      <c r="L28" s="53"/>
      <c r="M28" s="53"/>
    </row>
    <row r="29" spans="1:37" ht="15.75" customHeight="1">
      <c r="A29" s="497"/>
      <c r="B29" s="496"/>
      <c r="C29" s="486" t="s">
        <v>367</v>
      </c>
      <c r="D29" s="505" t="s">
        <v>5</v>
      </c>
      <c r="E29" s="505" t="s">
        <v>382</v>
      </c>
      <c r="F29" s="1927" t="s">
        <v>578</v>
      </c>
      <c r="G29" s="605" t="s">
        <v>425</v>
      </c>
      <c r="H29" s="605" t="s">
        <v>425</v>
      </c>
      <c r="I29" s="99"/>
      <c r="J29" s="99"/>
      <c r="K29" s="106"/>
      <c r="L29" s="105"/>
      <c r="M29" s="77"/>
      <c r="N29" s="77"/>
    </row>
    <row r="30" spans="1:37" s="45" customFormat="1">
      <c r="A30" s="83" t="s">
        <v>9</v>
      </c>
      <c r="B30" s="826" t="s">
        <v>110</v>
      </c>
      <c r="C30" s="72" t="s">
        <v>500</v>
      </c>
      <c r="D30" s="506" t="s">
        <v>114</v>
      </c>
      <c r="E30" s="506" t="s">
        <v>383</v>
      </c>
      <c r="F30" s="1928"/>
      <c r="G30" s="606" t="s">
        <v>574</v>
      </c>
      <c r="H30" s="606" t="s">
        <v>279</v>
      </c>
      <c r="I30" s="11"/>
      <c r="J30" s="85"/>
      <c r="K30" s="53"/>
      <c r="L30" s="53"/>
    </row>
    <row r="31" spans="1:37" s="45" customFormat="1" ht="15.75" customHeight="1" thickBot="1">
      <c r="A31" s="514"/>
      <c r="B31" s="1149" t="s">
        <v>192</v>
      </c>
      <c r="C31" s="1125">
        <v>1</v>
      </c>
      <c r="D31" s="986">
        <v>1.5</v>
      </c>
      <c r="E31" s="986">
        <v>3</v>
      </c>
      <c r="F31" s="1154">
        <v>1</v>
      </c>
      <c r="G31" s="961">
        <f>C31*E13*E7*24*(1/LN(2)*E8)*E10/D31/D31*E31/24/1000</f>
        <v>8.0572602134634311E-3</v>
      </c>
      <c r="H31" s="961">
        <f>G31*F31</f>
        <v>8.0572602134634311E-3</v>
      </c>
      <c r="I31" s="159"/>
      <c r="J31" s="53"/>
      <c r="K31" s="53"/>
      <c r="L31" s="53"/>
    </row>
    <row r="32" spans="1:37" s="45" customFormat="1">
      <c r="A32" s="53"/>
      <c r="B32" s="52"/>
      <c r="C32" s="52"/>
      <c r="D32" s="52"/>
      <c r="E32" s="52"/>
      <c r="F32" s="51"/>
      <c r="G32" s="51"/>
      <c r="H32" s="12"/>
      <c r="I32" s="70"/>
      <c r="J32" s="12"/>
      <c r="K32" s="91"/>
      <c r="L32" s="91"/>
      <c r="M32" s="53"/>
      <c r="N32" s="53"/>
      <c r="O32" s="53"/>
      <c r="P32" s="10"/>
      <c r="Q32" s="10"/>
      <c r="R32" s="10"/>
      <c r="S32" s="10"/>
      <c r="T32" s="10"/>
      <c r="U32" s="10"/>
      <c r="V32" s="10"/>
      <c r="W32" s="51"/>
      <c r="X32" s="10"/>
      <c r="Y32" s="10"/>
      <c r="Z32" s="10"/>
      <c r="AA32" s="10"/>
      <c r="AB32" s="53"/>
      <c r="AC32" s="53"/>
      <c r="AD32" s="53"/>
      <c r="AE32" s="53"/>
      <c r="AF32" s="53"/>
      <c r="AG32" s="53"/>
      <c r="AH32" s="53"/>
    </row>
    <row r="33" spans="1:36" s="45" customFormat="1">
      <c r="A33" s="653" t="s">
        <v>516</v>
      </c>
      <c r="B33" s="653"/>
      <c r="C33" s="922"/>
      <c r="D33" s="922"/>
      <c r="E33" s="922"/>
      <c r="F33" s="923"/>
      <c r="G33" s="923"/>
      <c r="H33" s="11"/>
      <c r="I33" s="93"/>
      <c r="J33" s="11"/>
      <c r="K33" s="85"/>
      <c r="L33" s="53"/>
      <c r="M33" s="53"/>
    </row>
    <row r="34" spans="1:36" s="45" customFormat="1" ht="15.75" thickBot="1">
      <c r="B34" s="52" t="s">
        <v>517</v>
      </c>
      <c r="C34" s="52"/>
      <c r="D34" s="52"/>
      <c r="E34" s="11"/>
      <c r="F34" s="51"/>
      <c r="G34" s="51"/>
      <c r="H34" s="12"/>
      <c r="I34" s="12"/>
      <c r="J34" s="12"/>
      <c r="K34" s="91"/>
      <c r="L34" s="91"/>
      <c r="M34" s="53"/>
      <c r="N34" s="53"/>
      <c r="O34" s="53"/>
      <c r="P34" s="10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</row>
    <row r="35" spans="1:36" s="45" customFormat="1" ht="15.75" customHeight="1">
      <c r="A35" s="497"/>
      <c r="B35" s="496"/>
      <c r="C35" s="486" t="s">
        <v>367</v>
      </c>
      <c r="D35" s="505" t="s">
        <v>5</v>
      </c>
      <c r="E35" s="505" t="s">
        <v>501</v>
      </c>
      <c r="F35" s="1927" t="s">
        <v>578</v>
      </c>
      <c r="G35" s="605" t="s">
        <v>425</v>
      </c>
      <c r="H35" s="605" t="s">
        <v>425</v>
      </c>
      <c r="I35" s="12"/>
      <c r="J35" s="12"/>
      <c r="K35" s="12"/>
      <c r="L35" s="91"/>
      <c r="M35" s="91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</row>
    <row r="36" spans="1:36" s="45" customFormat="1">
      <c r="A36" s="83" t="s">
        <v>9</v>
      </c>
      <c r="B36" s="826" t="s">
        <v>110</v>
      </c>
      <c r="C36" s="72" t="s">
        <v>500</v>
      </c>
      <c r="D36" s="506" t="s">
        <v>114</v>
      </c>
      <c r="E36" s="506" t="s">
        <v>364</v>
      </c>
      <c r="F36" s="1928"/>
      <c r="G36" s="606" t="s">
        <v>574</v>
      </c>
      <c r="H36" s="606" t="s">
        <v>279</v>
      </c>
      <c r="I36" s="12"/>
      <c r="J36" s="12"/>
      <c r="K36" s="12"/>
      <c r="L36" s="91"/>
      <c r="M36" s="91"/>
      <c r="N36" s="85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</row>
    <row r="37" spans="1:36" s="45" customFormat="1" ht="15.75" thickBot="1">
      <c r="A37" s="514"/>
      <c r="B37" s="1149" t="s">
        <v>192</v>
      </c>
      <c r="C37" s="1125">
        <v>1</v>
      </c>
      <c r="D37" s="986">
        <v>0.5</v>
      </c>
      <c r="E37" s="986">
        <v>30</v>
      </c>
      <c r="F37" s="1154">
        <v>1</v>
      </c>
      <c r="G37" s="827">
        <f>$E$10*$C$37*$E$7/D37^2*$E$37/60*$E$13/1000</f>
        <v>1.4103200000000003E-4</v>
      </c>
      <c r="H37" s="827">
        <f>G37*F37</f>
        <v>1.4103200000000003E-4</v>
      </c>
      <c r="I37" s="12"/>
      <c r="J37" s="12"/>
      <c r="K37" s="12"/>
      <c r="L37" s="91"/>
      <c r="M37" s="91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</row>
    <row r="38" spans="1:36" s="45" customForma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</row>
    <row r="39" spans="1:36" s="45" customForma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</row>
    <row r="40" spans="1:36" s="45" customForma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10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66"/>
      <c r="AF40" s="66"/>
      <c r="AG40" s="66"/>
      <c r="AH40" s="66"/>
      <c r="AI40" s="82"/>
      <c r="AJ40" s="82"/>
    </row>
    <row r="41" spans="1:36" s="45" customForma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10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</row>
    <row r="42" spans="1:36" s="45" customForma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</row>
    <row r="43" spans="1:36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36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  <row r="45" spans="1:36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</row>
    <row r="46" spans="1:36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</row>
    <row r="47" spans="1:36" ht="15.75">
      <c r="A47" s="105"/>
      <c r="B47" s="106"/>
      <c r="C47" s="106"/>
      <c r="D47" s="166"/>
      <c r="E47" s="166"/>
      <c r="F47" s="166"/>
      <c r="G47" s="166"/>
      <c r="H47" s="166"/>
      <c r="I47" s="102"/>
      <c r="J47" s="102"/>
      <c r="K47" s="102"/>
      <c r="L47" s="103"/>
      <c r="M47" s="167"/>
      <c r="N47" s="165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</row>
    <row r="48" spans="1:36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</row>
  </sheetData>
  <sheetProtection password="C526" sheet="1" objects="1" scenarios="1"/>
  <mergeCells count="7">
    <mergeCell ref="B22:B23"/>
    <mergeCell ref="A22:A23"/>
    <mergeCell ref="E19:F19"/>
    <mergeCell ref="G19:H19"/>
    <mergeCell ref="F29:F30"/>
    <mergeCell ref="F35:F36"/>
    <mergeCell ref="D22:D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50" orientation="landscape" r:id="rId1"/>
  <headerFooter>
    <oddFooter>&amp;C&amp;A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Blad15">
    <tabColor theme="0" tint="-0.249977111117893"/>
  </sheetPr>
  <dimension ref="A1:AI50"/>
  <sheetViews>
    <sheetView showGridLines="0" topLeftCell="A4" zoomScale="115" zoomScaleNormal="115" workbookViewId="0">
      <selection activeCell="F27" sqref="F27"/>
    </sheetView>
  </sheetViews>
  <sheetFormatPr defaultColWidth="11.42578125" defaultRowHeight="14.25"/>
  <cols>
    <col min="1" max="1" width="6.7109375" style="3" customWidth="1"/>
    <col min="2" max="2" width="20.7109375" style="3" customWidth="1"/>
    <col min="3" max="10" width="12.7109375" style="3" customWidth="1"/>
    <col min="11" max="11" width="12.28515625" style="3" customWidth="1"/>
    <col min="12" max="12" width="9.5703125" style="3" customWidth="1"/>
    <col min="13" max="13" width="14.42578125" style="3" customWidth="1"/>
    <col min="14" max="14" width="11.140625" style="3" customWidth="1"/>
    <col min="15" max="15" width="14.140625" style="3" customWidth="1"/>
    <col min="16" max="16384" width="11.42578125" style="3"/>
  </cols>
  <sheetData>
    <row r="1" spans="1:35" s="336" customFormat="1" ht="27" thickBot="1">
      <c r="A1" s="23" t="s">
        <v>183</v>
      </c>
      <c r="B1" s="511"/>
      <c r="C1" s="511"/>
      <c r="D1" s="511"/>
      <c r="E1" s="20"/>
      <c r="F1" s="20"/>
      <c r="G1" s="20"/>
      <c r="H1" s="20"/>
      <c r="I1" s="20"/>
      <c r="J1" s="20"/>
      <c r="K1" s="20"/>
      <c r="L1" s="348"/>
    </row>
    <row r="2" spans="1:35" ht="18.75" customHeight="1" thickBot="1">
      <c r="A2" s="2"/>
      <c r="F2" s="5"/>
      <c r="G2" s="5"/>
      <c r="H2" s="5"/>
    </row>
    <row r="3" spans="1:35" s="311" customFormat="1" ht="26.25" customHeight="1" thickBot="1">
      <c r="A3" s="1015" t="s">
        <v>529</v>
      </c>
      <c r="B3" s="1016"/>
      <c r="C3" s="1099" t="s">
        <v>183</v>
      </c>
      <c r="D3" s="1017"/>
      <c r="E3" s="1044"/>
      <c r="F3" s="442"/>
      <c r="G3" s="442"/>
      <c r="H3" s="442"/>
      <c r="I3" s="336"/>
    </row>
    <row r="4" spans="1:35" s="311" customFormat="1" ht="22.5" customHeight="1">
      <c r="A4" s="1039"/>
      <c r="B4" s="336"/>
      <c r="C4" s="1040"/>
      <c r="D4" s="336"/>
      <c r="E4" s="336"/>
      <c r="F4" s="442"/>
      <c r="G4" s="442"/>
      <c r="H4" s="440"/>
    </row>
    <row r="5" spans="1:35" s="41" customFormat="1" ht="19.5" customHeight="1" thickBot="1">
      <c r="A5" s="332" t="s">
        <v>189</v>
      </c>
      <c r="B5" s="333"/>
      <c r="C5" s="333"/>
      <c r="D5" s="331"/>
      <c r="E5" s="331"/>
      <c r="F5" s="331" t="s">
        <v>360</v>
      </c>
      <c r="G5" s="331"/>
      <c r="H5" s="331"/>
      <c r="I5" s="331"/>
      <c r="J5" s="331"/>
      <c r="K5" s="1"/>
      <c r="L5" s="1"/>
      <c r="M5" s="42"/>
      <c r="N5" s="1"/>
      <c r="O5" s="1"/>
      <c r="P5" s="1"/>
      <c r="Q5" s="1"/>
      <c r="R5" s="1"/>
      <c r="S5" s="1"/>
      <c r="T5" s="1"/>
      <c r="U5" s="1"/>
      <c r="V5" s="3"/>
      <c r="W5" s="3"/>
      <c r="X5" s="3"/>
      <c r="Y5" s="3"/>
      <c r="Z5" s="3"/>
      <c r="AA5" s="3"/>
    </row>
    <row r="6" spans="1:35" s="45" customFormat="1" ht="15">
      <c r="A6" s="1463" t="s">
        <v>245</v>
      </c>
      <c r="B6" s="1464"/>
      <c r="C6" s="1464"/>
      <c r="D6" s="1465" t="s">
        <v>180</v>
      </c>
      <c r="E6" s="909"/>
      <c r="F6" s="358"/>
      <c r="G6" s="910"/>
      <c r="H6" s="909"/>
      <c r="I6" s="311"/>
      <c r="J6" s="311"/>
      <c r="K6" s="3"/>
      <c r="L6" s="3"/>
      <c r="M6" s="3"/>
      <c r="N6" s="3"/>
      <c r="O6" s="3"/>
    </row>
    <row r="7" spans="1:35" s="45" customFormat="1" ht="15" customHeight="1">
      <c r="A7" s="1466" t="s">
        <v>414</v>
      </c>
      <c r="B7" s="911"/>
      <c r="C7" s="911"/>
      <c r="D7" s="1467">
        <v>9.1999999999999998E-2</v>
      </c>
      <c r="E7" s="503" t="s">
        <v>359</v>
      </c>
      <c r="F7" s="344"/>
      <c r="G7" s="325"/>
      <c r="H7" s="503"/>
      <c r="I7" s="912"/>
      <c r="J7" s="912"/>
      <c r="K7" s="481"/>
      <c r="L7" s="481"/>
      <c r="M7" s="481"/>
      <c r="N7" s="481"/>
      <c r="O7" s="481"/>
      <c r="P7" s="481"/>
      <c r="Q7" s="481"/>
    </row>
    <row r="8" spans="1:35" s="45" customFormat="1" ht="15">
      <c r="A8" s="1468" t="s">
        <v>190</v>
      </c>
      <c r="B8" s="914"/>
      <c r="C8" s="914"/>
      <c r="D8" s="1469">
        <v>400</v>
      </c>
      <c r="E8" s="912"/>
      <c r="F8" s="336"/>
      <c r="G8" s="325"/>
      <c r="H8" s="912"/>
      <c r="I8" s="912"/>
      <c r="J8" s="912"/>
      <c r="K8" s="481"/>
      <c r="L8" s="481"/>
      <c r="M8" s="481"/>
      <c r="N8" s="481"/>
      <c r="O8" s="481"/>
      <c r="P8" s="481"/>
      <c r="Q8" s="481"/>
    </row>
    <row r="9" spans="1:35" s="45" customFormat="1" ht="15">
      <c r="A9" s="1470" t="s">
        <v>246</v>
      </c>
      <c r="B9" s="914"/>
      <c r="C9" s="914"/>
      <c r="D9" s="1457">
        <v>100</v>
      </c>
      <c r="E9" s="336"/>
      <c r="F9" s="915"/>
      <c r="G9" s="325"/>
      <c r="H9" s="336"/>
      <c r="I9" s="336"/>
      <c r="J9" s="311"/>
      <c r="K9" s="3"/>
      <c r="L9" s="3"/>
      <c r="M9" s="3"/>
      <c r="N9" s="3"/>
      <c r="O9" s="3"/>
      <c r="P9" s="3"/>
    </row>
    <row r="10" spans="1:35" s="45" customFormat="1" ht="15.75" thickBot="1">
      <c r="A10" s="1471" t="s">
        <v>419</v>
      </c>
      <c r="B10" s="1472"/>
      <c r="C10" s="1472"/>
      <c r="D10" s="1473">
        <v>6</v>
      </c>
      <c r="E10" s="311" t="s">
        <v>371</v>
      </c>
      <c r="F10" s="325"/>
      <c r="G10" s="325"/>
      <c r="H10" s="311"/>
      <c r="I10" s="311"/>
      <c r="J10" s="311"/>
      <c r="K10" s="311"/>
      <c r="L10" s="311"/>
      <c r="M10" s="311"/>
      <c r="N10" s="3"/>
      <c r="O10" s="3"/>
      <c r="P10" s="81"/>
      <c r="Q10" s="3"/>
    </row>
    <row r="11" spans="1:35" s="45" customFormat="1" ht="15">
      <c r="A11" s="336"/>
      <c r="B11" s="336"/>
      <c r="C11" s="359"/>
      <c r="D11" s="336"/>
      <c r="E11" s="325"/>
      <c r="F11" s="311"/>
      <c r="G11" s="311"/>
      <c r="H11" s="311"/>
      <c r="I11" s="311"/>
      <c r="J11" s="311"/>
      <c r="K11" s="311"/>
      <c r="L11" s="311"/>
      <c r="M11" s="311"/>
      <c r="N11" s="3"/>
      <c r="O11" s="81"/>
      <c r="P11" s="3"/>
    </row>
    <row r="12" spans="1:35" s="41" customFormat="1" ht="18">
      <c r="A12" s="332" t="s">
        <v>193</v>
      </c>
      <c r="B12" s="375"/>
      <c r="C12" s="376"/>
      <c r="D12" s="331"/>
      <c r="E12" s="331"/>
      <c r="F12" s="331"/>
      <c r="G12" s="331"/>
      <c r="H12" s="331"/>
      <c r="I12" s="331"/>
      <c r="J12" s="331"/>
      <c r="K12" s="377"/>
      <c r="L12" s="377"/>
      <c r="M12" s="377"/>
      <c r="N12" s="1"/>
      <c r="O12" s="1"/>
      <c r="P12" s="1"/>
      <c r="Q12" s="1"/>
      <c r="R12" s="1"/>
      <c r="S12" s="1"/>
      <c r="T12" s="1"/>
      <c r="U12" s="3"/>
      <c r="V12" s="5"/>
      <c r="W12" s="3"/>
      <c r="X12" s="3"/>
      <c r="Y12" s="3"/>
      <c r="Z12" s="3"/>
      <c r="AD12" s="76"/>
      <c r="AE12" s="76"/>
      <c r="AF12" s="76"/>
      <c r="AG12" s="76"/>
      <c r="AH12" s="76"/>
      <c r="AI12" s="76"/>
    </row>
    <row r="13" spans="1:35" s="41" customFormat="1" ht="15">
      <c r="A13" s="321"/>
      <c r="B13" s="321"/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1"/>
    </row>
    <row r="14" spans="1:35" s="41" customFormat="1" ht="15.75">
      <c r="A14" s="907"/>
      <c r="B14" s="391"/>
      <c r="C14" s="104"/>
      <c r="D14" s="319"/>
      <c r="E14" s="1"/>
      <c r="F14" s="1"/>
      <c r="G14" s="1"/>
      <c r="H14" s="1"/>
      <c r="I14" s="1"/>
      <c r="J14" s="1"/>
      <c r="K14" s="377"/>
      <c r="L14" s="377"/>
      <c r="M14" s="377"/>
      <c r="N14" s="1"/>
      <c r="O14" s="1"/>
    </row>
    <row r="15" spans="1:35" s="41" customFormat="1" ht="15.75">
      <c r="A15" s="906" t="s">
        <v>518</v>
      </c>
      <c r="B15" s="661"/>
      <c r="C15" s="391"/>
      <c r="D15" s="916"/>
      <c r="E15" s="331"/>
      <c r="F15" s="331"/>
      <c r="G15" s="331"/>
      <c r="H15" s="1"/>
      <c r="I15" s="1"/>
      <c r="J15" s="1"/>
      <c r="K15" s="377"/>
      <c r="L15" s="377"/>
      <c r="M15" s="377"/>
      <c r="N15" s="1"/>
      <c r="O15" s="1"/>
    </row>
    <row r="16" spans="1:35" s="41" customFormat="1" ht="16.5" thickBot="1">
      <c r="B16" s="331" t="s">
        <v>418</v>
      </c>
      <c r="C16" s="391"/>
      <c r="D16" s="916"/>
      <c r="E16" s="331"/>
      <c r="F16" s="331"/>
      <c r="G16" s="331"/>
      <c r="H16" s="1"/>
      <c r="I16" s="1"/>
      <c r="J16" s="1"/>
      <c r="K16" s="377"/>
      <c r="L16" s="377"/>
      <c r="M16" s="377"/>
      <c r="N16" s="1"/>
      <c r="O16" s="1"/>
    </row>
    <row r="17" spans="1:14" s="45" customFormat="1" ht="15">
      <c r="A17" s="3"/>
      <c r="B17" s="3"/>
      <c r="C17" s="67" t="s">
        <v>5</v>
      </c>
      <c r="D17" s="67" t="s">
        <v>363</v>
      </c>
      <c r="E17" s="67" t="s">
        <v>13</v>
      </c>
      <c r="F17" s="47" t="s">
        <v>367</v>
      </c>
      <c r="G17" s="47" t="s">
        <v>368</v>
      </c>
      <c r="H17" s="1911" t="s">
        <v>20</v>
      </c>
      <c r="I17" s="1912"/>
      <c r="J17" s="51"/>
      <c r="K17" s="442"/>
      <c r="L17" s="325"/>
      <c r="M17" s="325"/>
    </row>
    <row r="18" spans="1:14" s="45" customFormat="1" ht="15">
      <c r="A18" s="3"/>
      <c r="B18" s="3"/>
      <c r="C18" s="68"/>
      <c r="D18" s="68" t="s">
        <v>362</v>
      </c>
      <c r="E18" s="68" t="s">
        <v>27</v>
      </c>
      <c r="F18" s="79" t="s">
        <v>366</v>
      </c>
      <c r="G18" s="500"/>
      <c r="H18" s="612" t="s">
        <v>589</v>
      </c>
      <c r="I18" s="549"/>
      <c r="J18" s="51"/>
      <c r="K18" s="442"/>
      <c r="L18" s="325"/>
      <c r="M18" s="325"/>
    </row>
    <row r="19" spans="1:14" s="45" customFormat="1" ht="15">
      <c r="A19" s="163" t="s">
        <v>9</v>
      </c>
      <c r="B19" s="164" t="s">
        <v>110</v>
      </c>
      <c r="C19" s="72" t="s">
        <v>10</v>
      </c>
      <c r="D19" s="501" t="s">
        <v>364</v>
      </c>
      <c r="E19" s="72" t="s">
        <v>365</v>
      </c>
      <c r="F19" s="79" t="s">
        <v>27</v>
      </c>
      <c r="G19" s="502"/>
      <c r="H19" s="613" t="s">
        <v>370</v>
      </c>
      <c r="I19" s="565" t="s">
        <v>283</v>
      </c>
      <c r="J19" s="53"/>
      <c r="K19" s="345"/>
      <c r="L19" s="325"/>
      <c r="M19" s="325"/>
    </row>
    <row r="20" spans="1:14" s="45" customFormat="1" ht="15.75" thickBot="1">
      <c r="A20" s="88"/>
      <c r="B20" s="1141" t="s">
        <v>532</v>
      </c>
      <c r="C20" s="986">
        <v>1</v>
      </c>
      <c r="D20" s="986">
        <v>5</v>
      </c>
      <c r="E20" s="1135">
        <v>0</v>
      </c>
      <c r="F20" s="112">
        <f>E20/D10</f>
        <v>0</v>
      </c>
      <c r="G20" s="226">
        <f>10^(F20)</f>
        <v>1</v>
      </c>
      <c r="H20" s="615">
        <f>D7*D8*D20/60/C20/C20/1000</f>
        <v>3.0666666666666668E-3</v>
      </c>
      <c r="I20" s="600">
        <f>H20*D9</f>
        <v>0.3066666666666667</v>
      </c>
      <c r="J20" s="53"/>
      <c r="K20" s="345"/>
      <c r="L20" s="325"/>
      <c r="M20" s="325"/>
    </row>
    <row r="21" spans="1:14" ht="15">
      <c r="A21" s="44"/>
      <c r="B21" s="116"/>
      <c r="C21" s="116"/>
      <c r="D21" s="5"/>
      <c r="K21" s="311"/>
      <c r="L21" s="311"/>
      <c r="M21" s="311"/>
    </row>
    <row r="22" spans="1:14" s="45" customFormat="1" ht="15">
      <c r="A22" s="917"/>
      <c r="B22" s="344"/>
      <c r="C22" s="12"/>
      <c r="D22" s="12"/>
      <c r="E22" s="12"/>
      <c r="F22" s="11"/>
      <c r="G22" s="11"/>
      <c r="H22" s="11"/>
      <c r="I22" s="93"/>
      <c r="J22" s="11"/>
      <c r="K22" s="908"/>
      <c r="L22" s="345"/>
      <c r="M22" s="345"/>
    </row>
    <row r="23" spans="1:14" s="45" customFormat="1" ht="15.75">
      <c r="A23" s="918" t="s">
        <v>513</v>
      </c>
      <c r="B23" s="918"/>
      <c r="C23" s="925"/>
      <c r="D23" s="925"/>
      <c r="E23" s="925"/>
      <c r="F23" s="926"/>
      <c r="G23" s="926"/>
      <c r="H23" s="385"/>
      <c r="I23" s="428"/>
      <c r="J23" s="385"/>
      <c r="K23" s="908"/>
      <c r="L23" s="345"/>
      <c r="M23" s="345"/>
    </row>
    <row r="24" spans="1:14" s="45" customFormat="1" ht="16.5" thickBot="1">
      <c r="B24" s="927" t="s">
        <v>510</v>
      </c>
      <c r="C24" s="924"/>
      <c r="D24" s="925"/>
      <c r="E24" s="925"/>
      <c r="F24" s="926"/>
      <c r="G24" s="926"/>
      <c r="H24" s="385"/>
      <c r="I24" s="428"/>
      <c r="J24" s="385"/>
      <c r="K24" s="908"/>
      <c r="L24" s="345"/>
      <c r="M24" s="345"/>
    </row>
    <row r="25" spans="1:14" s="10" customFormat="1">
      <c r="A25" s="3"/>
      <c r="B25" s="3"/>
      <c r="C25" s="47" t="s">
        <v>5</v>
      </c>
      <c r="D25" s="47" t="s">
        <v>363</v>
      </c>
      <c r="E25" s="1932" t="s">
        <v>578</v>
      </c>
      <c r="F25" s="601" t="s">
        <v>425</v>
      </c>
      <c r="G25" s="605" t="s">
        <v>425</v>
      </c>
      <c r="H25" s="183"/>
      <c r="I25" s="184"/>
      <c r="J25" s="185"/>
      <c r="K25" s="183"/>
      <c r="L25" s="183"/>
      <c r="M25" s="183"/>
      <c r="N25" s="275"/>
    </row>
    <row r="26" spans="1:14" s="10" customFormat="1" ht="15">
      <c r="A26" s="163" t="s">
        <v>9</v>
      </c>
      <c r="B26" s="164" t="s">
        <v>110</v>
      </c>
      <c r="C26" s="83" t="s">
        <v>10</v>
      </c>
      <c r="D26" s="1391" t="s">
        <v>369</v>
      </c>
      <c r="E26" s="1933"/>
      <c r="F26" s="602" t="s">
        <v>590</v>
      </c>
      <c r="G26" s="606" t="s">
        <v>591</v>
      </c>
      <c r="H26" s="12"/>
      <c r="I26" s="85"/>
      <c r="J26" s="11"/>
      <c r="K26" s="85"/>
      <c r="L26" s="85"/>
      <c r="M26" s="91"/>
      <c r="N26" s="85"/>
    </row>
    <row r="27" spans="1:14" s="10" customFormat="1" ht="15" thickBot="1">
      <c r="A27" s="88"/>
      <c r="B27" s="1141" t="s">
        <v>536</v>
      </c>
      <c r="C27" s="986">
        <v>1</v>
      </c>
      <c r="D27" s="986">
        <v>1</v>
      </c>
      <c r="E27" s="1114">
        <v>1</v>
      </c>
      <c r="F27" s="614">
        <f>D7*D8*D27/C27/C27/1000</f>
        <v>3.6799999999999999E-2</v>
      </c>
      <c r="G27" s="603">
        <f>F27*E27</f>
        <v>3.6799999999999999E-2</v>
      </c>
    </row>
    <row r="28" spans="1:14" s="10" customFormat="1">
      <c r="B28" s="52"/>
      <c r="C28" s="52"/>
    </row>
    <row r="29" spans="1:14" s="10" customFormat="1" ht="18">
      <c r="A29" s="276"/>
      <c r="B29" s="51"/>
      <c r="C29" s="277"/>
      <c r="D29" s="51"/>
    </row>
    <row r="30" spans="1:14" s="10" customFormat="1">
      <c r="B30" s="51"/>
      <c r="C30" s="51"/>
      <c r="D30" s="51"/>
    </row>
    <row r="31" spans="1:14" s="10" customFormat="1">
      <c r="A31" s="92"/>
      <c r="B31" s="275"/>
      <c r="C31" s="275"/>
      <c r="D31" s="275"/>
      <c r="E31" s="275"/>
      <c r="F31" s="275"/>
      <c r="G31" s="275"/>
      <c r="H31" s="275"/>
      <c r="I31" s="275"/>
      <c r="J31" s="275"/>
      <c r="K31" s="275"/>
      <c r="L31" s="275"/>
    </row>
    <row r="32" spans="1:14" s="10" customFormat="1" ht="15">
      <c r="A32" s="95"/>
      <c r="B32" s="275"/>
      <c r="C32" s="275"/>
      <c r="D32" s="275"/>
      <c r="E32" s="275"/>
      <c r="F32" s="275"/>
      <c r="G32" s="275"/>
      <c r="H32" s="275"/>
      <c r="I32" s="275"/>
      <c r="J32" s="275"/>
      <c r="K32" s="275"/>
      <c r="L32" s="275"/>
    </row>
    <row r="33" spans="2:12" s="10" customFormat="1">
      <c r="B33" s="504"/>
      <c r="C33" s="504"/>
      <c r="D33" s="504"/>
      <c r="E33" s="504"/>
      <c r="F33" s="504"/>
      <c r="G33" s="504"/>
      <c r="H33" s="504"/>
      <c r="I33" s="504"/>
      <c r="J33" s="504"/>
      <c r="K33" s="504"/>
      <c r="L33" s="504"/>
    </row>
    <row r="34" spans="2:12" s="10" customFormat="1">
      <c r="B34" s="52"/>
      <c r="C34" s="52"/>
      <c r="D34" s="51"/>
    </row>
    <row r="35" spans="2:12" s="10" customFormat="1">
      <c r="B35" s="52"/>
      <c r="C35" s="52"/>
      <c r="D35" s="51"/>
    </row>
    <row r="36" spans="2:12" s="10" customFormat="1">
      <c r="C36" s="52"/>
      <c r="D36" s="51"/>
    </row>
    <row r="37" spans="2:12" s="10" customFormat="1">
      <c r="B37" s="1930"/>
      <c r="C37" s="1931"/>
      <c r="D37" s="1931"/>
      <c r="E37" s="1931"/>
      <c r="F37" s="1931"/>
      <c r="G37" s="1931"/>
      <c r="H37" s="1931"/>
      <c r="I37" s="1931"/>
      <c r="J37" s="1931"/>
      <c r="K37" s="1931"/>
      <c r="L37" s="1931"/>
    </row>
    <row r="38" spans="2:12" s="10" customFormat="1">
      <c r="B38" s="1931"/>
      <c r="C38" s="1931"/>
      <c r="D38" s="1931"/>
      <c r="E38" s="1931"/>
      <c r="F38" s="1931"/>
      <c r="G38" s="1931"/>
      <c r="H38" s="1931"/>
      <c r="I38" s="1931"/>
      <c r="J38" s="1931"/>
      <c r="K38" s="1931"/>
      <c r="L38" s="1931"/>
    </row>
    <row r="39" spans="2:12" s="10" customFormat="1">
      <c r="B39" s="52"/>
      <c r="C39" s="51"/>
      <c r="D39" s="51"/>
    </row>
    <row r="40" spans="2:12" s="10" customFormat="1">
      <c r="B40" s="52"/>
      <c r="C40" s="51"/>
      <c r="D40" s="51"/>
    </row>
    <row r="41" spans="2:12" s="10" customFormat="1">
      <c r="B41" s="52"/>
      <c r="C41" s="51"/>
      <c r="D41" s="51"/>
    </row>
    <row r="42" spans="2:12" s="10" customFormat="1">
      <c r="B42" s="52"/>
      <c r="C42" s="51"/>
      <c r="D42" s="51"/>
    </row>
    <row r="43" spans="2:12" s="10" customFormat="1">
      <c r="B43" s="52"/>
      <c r="C43" s="51"/>
      <c r="D43" s="51"/>
    </row>
    <row r="44" spans="2:12" s="10" customFormat="1">
      <c r="B44" s="52"/>
      <c r="C44" s="51"/>
      <c r="D44" s="51"/>
    </row>
    <row r="45" spans="2:12" s="10" customFormat="1">
      <c r="B45" s="52"/>
      <c r="C45" s="51"/>
      <c r="D45" s="51"/>
    </row>
    <row r="46" spans="2:12" s="10" customFormat="1">
      <c r="B46" s="94"/>
      <c r="C46" s="51"/>
      <c r="D46" s="51"/>
    </row>
    <row r="47" spans="2:12" s="10" customFormat="1">
      <c r="B47" s="52"/>
      <c r="C47" s="51"/>
      <c r="D47" s="51"/>
    </row>
    <row r="48" spans="2:12" s="10" customFormat="1">
      <c r="B48" s="52"/>
      <c r="C48" s="51"/>
      <c r="D48" s="51"/>
    </row>
    <row r="49" spans="2:4" s="10" customFormat="1">
      <c r="B49" s="52"/>
      <c r="C49" s="51"/>
      <c r="D49" s="51"/>
    </row>
    <row r="50" spans="2:4">
      <c r="B50" s="5"/>
      <c r="C50" s="5"/>
      <c r="D50" s="5"/>
    </row>
  </sheetData>
  <sheetProtection password="C526" sheet="1" objects="1" scenarios="1"/>
  <mergeCells count="3">
    <mergeCell ref="B37:L38"/>
    <mergeCell ref="H17:I17"/>
    <mergeCell ref="E25:E2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Blad16">
    <tabColor rgb="FFFF0000"/>
    <pageSetUpPr fitToPage="1"/>
  </sheetPr>
  <dimension ref="A1:BE105"/>
  <sheetViews>
    <sheetView topLeftCell="A3" zoomScaleNormal="100" workbookViewId="0">
      <selection activeCell="F21" sqref="F21"/>
    </sheetView>
  </sheetViews>
  <sheetFormatPr defaultRowHeight="14.25"/>
  <cols>
    <col min="1" max="1" width="13.42578125" style="3" customWidth="1"/>
    <col min="2" max="4" width="9.140625" style="5"/>
    <col min="5" max="5" width="10.140625" style="5" customWidth="1"/>
    <col min="6" max="6" width="10" style="5" customWidth="1"/>
    <col min="7" max="11" width="9.140625" style="5"/>
    <col min="12" max="12" width="9.140625" style="59"/>
    <col min="13" max="13" width="9.140625" style="3"/>
    <col min="14" max="14" width="11.5703125" style="3" customWidth="1"/>
    <col min="15" max="19" width="9.140625" style="3"/>
    <col min="20" max="20" width="11" style="3" bestFit="1" customWidth="1"/>
    <col min="21" max="22" width="9.140625" style="3"/>
    <col min="23" max="28" width="9.7109375" style="3" customWidth="1"/>
    <col min="29" max="31" width="9.140625" style="3"/>
    <col min="32" max="32" width="10.28515625" style="3" customWidth="1"/>
    <col min="33" max="33" width="7.28515625" style="3" customWidth="1"/>
    <col min="34" max="37" width="9.140625" style="3"/>
    <col min="38" max="38" width="16" style="3" customWidth="1"/>
    <col min="39" max="16384" width="9.140625" style="3"/>
  </cols>
  <sheetData>
    <row r="1" spans="1:40" s="40" customFormat="1" ht="27" thickBot="1">
      <c r="A1" s="1948" t="s">
        <v>233</v>
      </c>
      <c r="B1" s="1949"/>
      <c r="C1" s="1949"/>
      <c r="D1" s="219"/>
      <c r="E1" s="219"/>
      <c r="F1" s="219"/>
      <c r="G1" s="219"/>
      <c r="H1" s="219"/>
      <c r="I1" s="219"/>
      <c r="J1" s="219"/>
      <c r="K1" s="219"/>
      <c r="L1" s="218" t="s">
        <v>234</v>
      </c>
    </row>
    <row r="2" spans="1:40" ht="18.75" thickBot="1">
      <c r="A2" s="221"/>
      <c r="F2" s="3"/>
      <c r="G2" s="3"/>
      <c r="H2" s="3"/>
      <c r="I2" s="3"/>
      <c r="J2" s="3"/>
    </row>
    <row r="3" spans="1:40" ht="18.75" thickBot="1">
      <c r="A3" s="10" t="s">
        <v>256</v>
      </c>
      <c r="I3" s="222" t="s">
        <v>174</v>
      </c>
      <c r="J3" s="222"/>
      <c r="M3" s="266" t="s">
        <v>409</v>
      </c>
      <c r="N3" s="684"/>
      <c r="O3" s="208"/>
      <c r="P3" s="208"/>
      <c r="Q3" s="208"/>
      <c r="R3" s="208"/>
      <c r="S3" s="208"/>
      <c r="T3" s="208"/>
      <c r="U3" s="208"/>
      <c r="V3" s="208"/>
      <c r="W3" s="684" t="s">
        <v>218</v>
      </c>
      <c r="X3" s="684"/>
      <c r="Y3" s="684" t="s">
        <v>220</v>
      </c>
      <c r="Z3" s="208"/>
      <c r="AA3" s="208"/>
      <c r="AB3" s="208"/>
      <c r="AC3" s="190"/>
      <c r="AE3" s="285" t="s">
        <v>251</v>
      </c>
      <c r="AF3" s="208"/>
      <c r="AG3" s="208"/>
      <c r="AH3" s="208"/>
      <c r="AI3" s="208"/>
      <c r="AJ3" s="208"/>
      <c r="AK3" s="208"/>
      <c r="AL3" s="208"/>
      <c r="AM3" s="208"/>
      <c r="AN3" s="190"/>
    </row>
    <row r="4" spans="1:40" ht="17.25" thickBot="1">
      <c r="B4" s="51"/>
      <c r="C4" s="57"/>
      <c r="D4" s="57"/>
      <c r="E4" s="57"/>
      <c r="F4" s="51"/>
      <c r="G4" s="51"/>
      <c r="H4" s="51"/>
      <c r="I4" s="51"/>
      <c r="J4" s="51"/>
      <c r="K4" s="51"/>
      <c r="M4" s="59" t="s">
        <v>319</v>
      </c>
      <c r="N4" s="10"/>
      <c r="O4" s="10"/>
      <c r="P4" s="10"/>
      <c r="Q4" s="10"/>
      <c r="R4" s="10"/>
      <c r="S4" s="10"/>
      <c r="T4" s="10"/>
      <c r="U4" s="10"/>
      <c r="V4" s="10"/>
      <c r="W4" s="685" t="s">
        <v>219</v>
      </c>
      <c r="X4" s="685"/>
      <c r="Y4" s="685" t="s">
        <v>221</v>
      </c>
      <c r="Z4" s="10"/>
      <c r="AA4" s="10"/>
      <c r="AB4" s="10"/>
      <c r="AC4" s="192"/>
      <c r="AE4" s="285"/>
      <c r="AF4" s="208"/>
      <c r="AG4" s="208"/>
      <c r="AH4" s="208"/>
      <c r="AI4" s="588" t="s">
        <v>252</v>
      </c>
      <c r="AJ4" s="199"/>
      <c r="AK4" s="199"/>
      <c r="AL4" s="191"/>
      <c r="AM4" s="10"/>
      <c r="AN4" s="192"/>
    </row>
    <row r="5" spans="1:40" ht="18">
      <c r="A5" s="198" t="s">
        <v>197</v>
      </c>
      <c r="B5" s="199"/>
      <c r="C5" s="189"/>
      <c r="D5" s="189"/>
      <c r="E5" s="189"/>
      <c r="F5" s="199"/>
      <c r="G5" s="199"/>
      <c r="H5" s="199"/>
      <c r="I5" s="199"/>
      <c r="J5" s="425"/>
      <c r="K5" s="222"/>
      <c r="M5" s="215" t="s">
        <v>314</v>
      </c>
      <c r="N5" s="685"/>
      <c r="O5" s="10"/>
      <c r="P5" s="10"/>
      <c r="Q5" s="10"/>
      <c r="R5" s="10"/>
      <c r="S5" s="10"/>
      <c r="T5" s="10"/>
      <c r="U5" s="10"/>
      <c r="V5" s="10"/>
      <c r="W5" s="10"/>
      <c r="X5" s="685"/>
      <c r="Y5" s="10"/>
      <c r="Z5" s="10"/>
      <c r="AA5" s="10"/>
      <c r="AB5" s="10"/>
      <c r="AC5" s="192"/>
      <c r="AE5" s="59"/>
      <c r="AF5" s="10"/>
      <c r="AG5" s="10"/>
      <c r="AH5" s="10"/>
      <c r="AI5" s="584" t="s">
        <v>48</v>
      </c>
      <c r="AJ5" s="584" t="s">
        <v>3</v>
      </c>
      <c r="AK5" s="493" t="s">
        <v>4</v>
      </c>
      <c r="AL5" s="191"/>
      <c r="AM5" s="10"/>
      <c r="AN5" s="192"/>
    </row>
    <row r="6" spans="1:40" ht="15">
      <c r="A6" s="308" t="s">
        <v>473</v>
      </c>
      <c r="B6" s="3"/>
      <c r="C6" s="3"/>
      <c r="D6" s="3"/>
      <c r="E6" s="3"/>
      <c r="F6" s="3"/>
      <c r="G6" s="3"/>
      <c r="H6" s="3"/>
      <c r="I6" s="10"/>
      <c r="J6" s="301"/>
      <c r="K6" s="51"/>
      <c r="L6" s="191"/>
      <c r="M6" s="215" t="s">
        <v>313</v>
      </c>
      <c r="N6" s="685"/>
      <c r="O6" s="10"/>
      <c r="P6" s="10"/>
      <c r="Q6" s="10"/>
      <c r="R6" s="10"/>
      <c r="S6" s="10"/>
      <c r="T6" s="10"/>
      <c r="U6" s="10"/>
      <c r="V6" s="10"/>
      <c r="W6" s="685"/>
      <c r="X6" s="685"/>
      <c r="Y6" s="10"/>
      <c r="Z6" s="10"/>
      <c r="AA6" s="10"/>
      <c r="AB6" s="10"/>
      <c r="AC6" s="192"/>
      <c r="AE6" s="297"/>
      <c r="AF6" s="298"/>
      <c r="AG6" s="298"/>
      <c r="AH6" s="13"/>
      <c r="AI6" s="587" t="s">
        <v>47</v>
      </c>
      <c r="AJ6" s="587" t="s">
        <v>96</v>
      </c>
      <c r="AK6" s="414" t="s">
        <v>27</v>
      </c>
      <c r="AL6" s="191"/>
      <c r="AM6" s="10"/>
      <c r="AN6" s="192"/>
    </row>
    <row r="7" spans="1:40" ht="15" customHeight="1">
      <c r="A7" s="59"/>
      <c r="B7" s="1944" t="s">
        <v>24</v>
      </c>
      <c r="C7" s="1946"/>
      <c r="D7" s="1946"/>
      <c r="E7" s="1946"/>
      <c r="F7" s="1945"/>
      <c r="G7" s="1944" t="s">
        <v>25</v>
      </c>
      <c r="H7" s="1946"/>
      <c r="I7" s="1946"/>
      <c r="J7" s="1947"/>
      <c r="K7" s="51"/>
      <c r="L7" s="191"/>
      <c r="M7" s="686" t="s">
        <v>436</v>
      </c>
      <c r="N7" s="687"/>
      <c r="O7" s="688"/>
      <c r="P7" s="688"/>
      <c r="Q7" s="688"/>
      <c r="R7" s="688"/>
      <c r="S7" s="10"/>
      <c r="T7" s="10"/>
      <c r="U7" s="10"/>
      <c r="V7" s="10"/>
      <c r="W7" s="685"/>
      <c r="X7" s="685"/>
      <c r="Y7" s="10"/>
      <c r="Z7" s="10"/>
      <c r="AA7" s="10"/>
      <c r="AB7" s="10"/>
      <c r="AC7" s="192"/>
      <c r="AE7" s="286" t="s">
        <v>259</v>
      </c>
      <c r="AF7" s="46"/>
      <c r="AG7" s="46"/>
      <c r="AH7" s="65" t="s">
        <v>45</v>
      </c>
      <c r="AI7" s="584">
        <v>15</v>
      </c>
      <c r="AJ7" s="584">
        <v>25</v>
      </c>
      <c r="AK7" s="493">
        <v>42</v>
      </c>
      <c r="AL7" s="59"/>
      <c r="AM7" s="10"/>
      <c r="AN7" s="192"/>
    </row>
    <row r="8" spans="1:40">
      <c r="A8" s="201" t="s">
        <v>70</v>
      </c>
      <c r="B8" s="1944" t="s">
        <v>3</v>
      </c>
      <c r="C8" s="1945"/>
      <c r="D8" s="67" t="s">
        <v>96</v>
      </c>
      <c r="E8" s="67" t="s">
        <v>4</v>
      </c>
      <c r="F8" s="67" t="s">
        <v>27</v>
      </c>
      <c r="G8" s="67" t="s">
        <v>3</v>
      </c>
      <c r="H8" s="67" t="s">
        <v>96</v>
      </c>
      <c r="I8" s="67" t="s">
        <v>4</v>
      </c>
      <c r="J8" s="300" t="s">
        <v>27</v>
      </c>
      <c r="K8" s="51"/>
      <c r="L8" s="191"/>
      <c r="M8" s="59"/>
      <c r="N8" s="10"/>
      <c r="O8" s="10"/>
      <c r="P8" s="10"/>
      <c r="Q8" s="10"/>
      <c r="R8" s="10"/>
      <c r="S8" s="10"/>
      <c r="T8" s="10"/>
      <c r="U8" s="10"/>
      <c r="V8" s="10"/>
      <c r="W8" s="10"/>
      <c r="X8" s="685"/>
      <c r="Y8" s="10"/>
      <c r="Z8" s="10"/>
      <c r="AA8" s="10"/>
      <c r="AB8" s="10"/>
      <c r="AC8" s="192"/>
      <c r="AE8" s="287"/>
      <c r="AF8" s="13"/>
      <c r="AG8" s="13"/>
      <c r="AH8" s="60" t="s">
        <v>46</v>
      </c>
      <c r="AI8" s="585">
        <v>10</v>
      </c>
      <c r="AJ8" s="585">
        <v>16</v>
      </c>
      <c r="AK8" s="586">
        <v>42</v>
      </c>
      <c r="AL8" s="59"/>
      <c r="AM8" s="10"/>
      <c r="AN8" s="192"/>
    </row>
    <row r="9" spans="1:40" ht="19.5" thickBot="1">
      <c r="A9" s="413"/>
      <c r="B9" s="47" t="s">
        <v>434</v>
      </c>
      <c r="C9" s="48" t="s">
        <v>435</v>
      </c>
      <c r="D9" s="1944" t="s">
        <v>441</v>
      </c>
      <c r="E9" s="1946"/>
      <c r="F9" s="1945"/>
      <c r="G9" s="1944"/>
      <c r="H9" s="1946"/>
      <c r="I9" s="1946"/>
      <c r="J9" s="1947"/>
      <c r="K9" s="51"/>
      <c r="L9" s="191"/>
      <c r="M9" s="59"/>
      <c r="N9" s="685"/>
      <c r="O9" s="418"/>
      <c r="P9" s="418"/>
      <c r="Q9" s="418"/>
      <c r="R9" s="418"/>
      <c r="S9" s="418"/>
      <c r="T9" s="418"/>
      <c r="U9" s="13"/>
      <c r="V9" s="13"/>
      <c r="W9" s="13"/>
      <c r="X9" s="576"/>
      <c r="Y9" s="411"/>
      <c r="Z9" s="10"/>
      <c r="AA9" s="10"/>
      <c r="AB9" s="10"/>
      <c r="AC9" s="192"/>
      <c r="AE9" s="59" t="s">
        <v>69</v>
      </c>
      <c r="AF9" s="52"/>
      <c r="AG9" s="10"/>
      <c r="AH9" s="307" t="s">
        <v>7</v>
      </c>
      <c r="AI9" s="584">
        <v>8</v>
      </c>
      <c r="AJ9" s="584">
        <v>13</v>
      </c>
      <c r="AK9" s="493">
        <v>37</v>
      </c>
      <c r="AL9" s="308"/>
      <c r="AM9" s="10"/>
      <c r="AN9" s="192"/>
    </row>
    <row r="10" spans="1:40" ht="15">
      <c r="A10" s="665">
        <v>0</v>
      </c>
      <c r="B10" s="438">
        <f t="shared" ref="B10:J10" si="0">10^-100</f>
        <v>1E-100</v>
      </c>
      <c r="C10" s="48"/>
      <c r="D10" s="580">
        <f t="shared" si="0"/>
        <v>1E-100</v>
      </c>
      <c r="E10" s="580">
        <f t="shared" si="0"/>
        <v>1E-100</v>
      </c>
      <c r="F10" s="580">
        <f t="shared" si="0"/>
        <v>1E-100</v>
      </c>
      <c r="G10" s="580">
        <f t="shared" si="0"/>
        <v>1E-100</v>
      </c>
      <c r="H10" s="580">
        <f t="shared" si="0"/>
        <v>1E-100</v>
      </c>
      <c r="I10" s="580">
        <f t="shared" si="0"/>
        <v>1E-100</v>
      </c>
      <c r="J10" s="581">
        <f t="shared" si="0"/>
        <v>1E-100</v>
      </c>
      <c r="K10" s="12"/>
      <c r="L10" s="191"/>
      <c r="M10" s="59"/>
      <c r="N10" s="685"/>
      <c r="O10" s="96"/>
      <c r="P10" s="96"/>
      <c r="Q10" s="67"/>
      <c r="R10" s="419"/>
      <c r="S10" s="420"/>
      <c r="T10" s="1934" t="s">
        <v>317</v>
      </c>
      <c r="U10" s="1935"/>
      <c r="V10" s="1950"/>
      <c r="W10" s="1934" t="s">
        <v>40</v>
      </c>
      <c r="X10" s="1950"/>
      <c r="Y10" s="421"/>
      <c r="Z10" s="1934" t="s">
        <v>42</v>
      </c>
      <c r="AA10" s="1935"/>
      <c r="AB10" s="1935"/>
      <c r="AC10" s="1936"/>
      <c r="AE10" s="266"/>
      <c r="AF10" s="293"/>
      <c r="AG10" s="208"/>
      <c r="AH10" s="208"/>
      <c r="AI10" s="294"/>
      <c r="AJ10" s="294"/>
      <c r="AK10" s="294"/>
      <c r="AL10" s="55"/>
      <c r="AM10" s="10"/>
      <c r="AN10" s="192"/>
    </row>
    <row r="11" spans="1:40">
      <c r="A11" s="665">
        <v>0.5</v>
      </c>
      <c r="B11" s="1939">
        <v>11.9</v>
      </c>
      <c r="C11" s="1940"/>
      <c r="D11" s="1105">
        <v>9.4</v>
      </c>
      <c r="E11" s="1105">
        <v>3.2</v>
      </c>
      <c r="F11" s="1150">
        <v>1.03</v>
      </c>
      <c r="G11" s="1105"/>
      <c r="H11" s="1105"/>
      <c r="I11" s="1105"/>
      <c r="J11" s="1106"/>
      <c r="K11" s="12"/>
      <c r="L11" s="191"/>
      <c r="M11" s="59"/>
      <c r="N11" s="685"/>
      <c r="O11" s="69"/>
      <c r="P11" s="68"/>
      <c r="Q11" s="68" t="s">
        <v>14</v>
      </c>
      <c r="R11" s="689" t="s">
        <v>68</v>
      </c>
      <c r="S11" s="689" t="s">
        <v>54</v>
      </c>
      <c r="T11" s="1669" t="s">
        <v>24</v>
      </c>
      <c r="U11" s="1671"/>
      <c r="V11" s="67" t="s">
        <v>1</v>
      </c>
      <c r="W11" s="310" t="s">
        <v>53</v>
      </c>
      <c r="X11" s="88" t="s">
        <v>1</v>
      </c>
      <c r="Y11" s="689" t="s">
        <v>42</v>
      </c>
      <c r="Z11" s="80" t="s">
        <v>24</v>
      </c>
      <c r="AA11" s="48"/>
      <c r="AB11" s="412" t="s">
        <v>249</v>
      </c>
      <c r="AC11" s="690"/>
      <c r="AE11" s="59"/>
      <c r="AF11" s="10"/>
      <c r="AG11" s="10"/>
      <c r="AH11" s="10"/>
      <c r="AI11" s="10"/>
      <c r="AJ11" s="10"/>
      <c r="AK11" s="10"/>
      <c r="AL11" s="10"/>
      <c r="AM11" s="10"/>
      <c r="AN11" s="192"/>
    </row>
    <row r="12" spans="1:40" ht="15.75" thickBot="1">
      <c r="A12" s="665">
        <v>1</v>
      </c>
      <c r="B12" s="1104">
        <v>15</v>
      </c>
      <c r="C12" s="1151">
        <v>15</v>
      </c>
      <c r="D12" s="1105"/>
      <c r="E12" s="1105">
        <v>5.0999999999999996</v>
      </c>
      <c r="F12" s="1105">
        <v>2.52</v>
      </c>
      <c r="G12" s="1105"/>
      <c r="H12" s="1105"/>
      <c r="I12" s="1105"/>
      <c r="J12" s="1106"/>
      <c r="K12" s="12"/>
      <c r="L12" s="191"/>
      <c r="M12" s="191"/>
      <c r="N12" s="10"/>
      <c r="O12" s="69" t="s">
        <v>95</v>
      </c>
      <c r="P12" s="68" t="s">
        <v>56</v>
      </c>
      <c r="Q12" s="68" t="s">
        <v>311</v>
      </c>
      <c r="R12" s="689" t="s">
        <v>67</v>
      </c>
      <c r="S12" s="689" t="s">
        <v>320</v>
      </c>
      <c r="T12" s="79"/>
      <c r="U12" s="309"/>
      <c r="V12" s="68"/>
      <c r="W12" s="309" t="s">
        <v>199</v>
      </c>
      <c r="X12" s="79" t="s">
        <v>199</v>
      </c>
      <c r="Y12" s="422" t="s">
        <v>452</v>
      </c>
      <c r="Z12" s="79" t="s">
        <v>247</v>
      </c>
      <c r="AA12" s="309"/>
      <c r="AB12" s="79" t="s">
        <v>248</v>
      </c>
      <c r="AC12" s="193"/>
      <c r="AE12" s="713" t="s">
        <v>257</v>
      </c>
      <c r="AF12" s="288"/>
      <c r="AG12" s="241"/>
      <c r="AH12" s="241"/>
      <c r="AI12" s="295"/>
      <c r="AJ12" s="295"/>
      <c r="AK12" s="295"/>
      <c r="AL12" s="292"/>
      <c r="AM12" s="55"/>
      <c r="AN12" s="192"/>
    </row>
    <row r="13" spans="1:40">
      <c r="A13" s="665">
        <v>4</v>
      </c>
      <c r="B13" s="1104">
        <v>35</v>
      </c>
      <c r="C13" s="1151">
        <v>30</v>
      </c>
      <c r="D13" s="1105"/>
      <c r="E13" s="1105"/>
      <c r="F13" s="1105"/>
      <c r="G13" s="1105"/>
      <c r="H13" s="1105"/>
      <c r="I13" s="1105"/>
      <c r="J13" s="1106"/>
      <c r="K13" s="12"/>
      <c r="L13" s="191"/>
      <c r="M13" s="691" t="s">
        <v>70</v>
      </c>
      <c r="N13" s="50"/>
      <c r="O13" s="71" t="s">
        <v>94</v>
      </c>
      <c r="P13" s="69"/>
      <c r="Q13" s="51"/>
      <c r="R13" s="689" t="s">
        <v>318</v>
      </c>
      <c r="S13" s="688"/>
      <c r="T13" s="83" t="s">
        <v>45</v>
      </c>
      <c r="U13" s="120" t="s">
        <v>46</v>
      </c>
      <c r="V13" s="71"/>
      <c r="W13" s="51"/>
      <c r="X13" s="71" t="s">
        <v>315</v>
      </c>
      <c r="Y13" s="423"/>
      <c r="Z13" s="79" t="s">
        <v>45</v>
      </c>
      <c r="AA13" s="51" t="s">
        <v>46</v>
      </c>
      <c r="AB13" s="79" t="s">
        <v>45</v>
      </c>
      <c r="AC13" s="692" t="s">
        <v>46</v>
      </c>
      <c r="AE13" s="296" t="s">
        <v>250</v>
      </c>
      <c r="AF13" s="10"/>
      <c r="AG13" s="10"/>
      <c r="AH13" s="10"/>
      <c r="AI13" s="79" t="s">
        <v>52</v>
      </c>
      <c r="AJ13" s="79" t="s">
        <v>3</v>
      </c>
      <c r="AK13" s="68" t="s">
        <v>27</v>
      </c>
      <c r="AL13" s="299" t="s">
        <v>4</v>
      </c>
      <c r="AM13" s="13"/>
      <c r="AN13" s="192"/>
    </row>
    <row r="14" spans="1:40">
      <c r="A14" s="665">
        <v>6</v>
      </c>
      <c r="B14" s="1104">
        <v>37</v>
      </c>
      <c r="C14" s="1151">
        <v>33</v>
      </c>
      <c r="D14" s="1105">
        <v>24.2</v>
      </c>
      <c r="E14" s="1105">
        <v>9.9</v>
      </c>
      <c r="F14" s="1105">
        <v>5.7</v>
      </c>
      <c r="G14" s="1105">
        <v>34</v>
      </c>
      <c r="H14" s="1105">
        <v>20</v>
      </c>
      <c r="I14" s="1105">
        <v>9.9</v>
      </c>
      <c r="J14" s="1106">
        <v>5.7</v>
      </c>
      <c r="K14" s="12"/>
      <c r="L14" s="191"/>
      <c r="M14" s="662">
        <v>0.5</v>
      </c>
      <c r="N14" s="96" t="s">
        <v>3</v>
      </c>
      <c r="O14" s="96"/>
      <c r="P14" s="67"/>
      <c r="Q14" s="67">
        <v>11.9</v>
      </c>
      <c r="R14" s="67"/>
      <c r="S14" s="67"/>
      <c r="T14" s="47"/>
      <c r="U14" s="48"/>
      <c r="V14" s="67"/>
      <c r="W14" s="96"/>
      <c r="X14" s="50"/>
      <c r="Y14" s="84">
        <f>20*2.2/2.35</f>
        <v>18.723404255319149</v>
      </c>
      <c r="Z14" s="47"/>
      <c r="AA14" s="6"/>
      <c r="AB14" s="50"/>
      <c r="AC14" s="693"/>
      <c r="AE14" s="203" t="s">
        <v>179</v>
      </c>
      <c r="AF14" s="6"/>
      <c r="AG14" s="6"/>
      <c r="AH14" s="6"/>
      <c r="AI14" s="47"/>
      <c r="AJ14" s="47"/>
      <c r="AK14" s="67">
        <v>6.1</v>
      </c>
      <c r="AL14" s="300"/>
      <c r="AM14" s="65" t="s">
        <v>253</v>
      </c>
      <c r="AN14" s="192"/>
    </row>
    <row r="15" spans="1:40">
      <c r="A15" s="665">
        <v>10</v>
      </c>
      <c r="B15" s="1104">
        <v>41</v>
      </c>
      <c r="C15" s="1151">
        <v>37</v>
      </c>
      <c r="D15" s="1105">
        <v>27</v>
      </c>
      <c r="E15" s="1105">
        <v>10</v>
      </c>
      <c r="F15" s="1105">
        <v>5.7</v>
      </c>
      <c r="G15" s="1105">
        <v>38</v>
      </c>
      <c r="H15" s="1105">
        <v>24</v>
      </c>
      <c r="I15" s="1105">
        <v>10</v>
      </c>
      <c r="J15" s="1106">
        <v>5.7</v>
      </c>
      <c r="K15" s="12"/>
      <c r="L15" s="191"/>
      <c r="M15" s="665"/>
      <c r="N15" s="69" t="s">
        <v>96</v>
      </c>
      <c r="O15" s="69"/>
      <c r="P15" s="68"/>
      <c r="Q15" s="68"/>
      <c r="R15" s="68"/>
      <c r="S15" s="68"/>
      <c r="T15" s="79"/>
      <c r="U15" s="309"/>
      <c r="V15" s="68"/>
      <c r="W15" s="69"/>
      <c r="X15" s="54"/>
      <c r="Y15" s="779">
        <f>10*3.2/3.4</f>
        <v>9.4117647058823533</v>
      </c>
      <c r="Z15" s="79"/>
      <c r="AA15" s="10"/>
      <c r="AB15" s="54"/>
      <c r="AC15" s="192"/>
      <c r="AE15" s="59"/>
      <c r="AF15" s="10"/>
      <c r="AG15" s="10"/>
      <c r="AH15" s="10"/>
      <c r="AI15" s="79"/>
      <c r="AJ15" s="79"/>
      <c r="AK15" s="68">
        <v>0.6</v>
      </c>
      <c r="AL15" s="210"/>
      <c r="AM15" s="62" t="s">
        <v>254</v>
      </c>
      <c r="AN15" s="192"/>
    </row>
    <row r="16" spans="1:40">
      <c r="A16" s="665">
        <v>15</v>
      </c>
      <c r="B16" s="1104">
        <v>44</v>
      </c>
      <c r="C16" s="1151">
        <v>41</v>
      </c>
      <c r="D16" s="1105">
        <v>29.5</v>
      </c>
      <c r="E16" s="1105">
        <v>11</v>
      </c>
      <c r="F16" s="1105">
        <v>5.7</v>
      </c>
      <c r="G16" s="1105">
        <v>38.1</v>
      </c>
      <c r="H16" s="1105">
        <v>25.3</v>
      </c>
      <c r="I16" s="1105">
        <v>10.7</v>
      </c>
      <c r="J16" s="1106">
        <v>5.7</v>
      </c>
      <c r="K16" s="12"/>
      <c r="L16" s="191"/>
      <c r="M16" s="665"/>
      <c r="N16" s="69" t="s">
        <v>4</v>
      </c>
      <c r="O16" s="69"/>
      <c r="P16" s="68"/>
      <c r="Q16" s="68"/>
      <c r="R16" s="68"/>
      <c r="S16" s="68">
        <v>3.2</v>
      </c>
      <c r="T16" s="79"/>
      <c r="U16" s="309"/>
      <c r="V16" s="68"/>
      <c r="W16" s="69"/>
      <c r="X16" s="54"/>
      <c r="Y16" s="779"/>
      <c r="Z16" s="79"/>
      <c r="AA16" s="10"/>
      <c r="AB16" s="54"/>
      <c r="AC16" s="192"/>
      <c r="AD16" s="5"/>
      <c r="AE16" s="203" t="s">
        <v>260</v>
      </c>
      <c r="AF16" s="6"/>
      <c r="AG16" s="6"/>
      <c r="AH16" s="6"/>
      <c r="AI16" s="47"/>
      <c r="AJ16" s="47">
        <v>21</v>
      </c>
      <c r="AK16" s="67"/>
      <c r="AL16" s="300"/>
      <c r="AM16" s="203"/>
      <c r="AN16" s="192"/>
    </row>
    <row r="17" spans="1:40" ht="15" thickBot="1">
      <c r="A17" s="665">
        <v>16</v>
      </c>
      <c r="B17" s="1104">
        <v>43</v>
      </c>
      <c r="C17" s="1151">
        <v>43</v>
      </c>
      <c r="D17" s="1105"/>
      <c r="E17" s="1105"/>
      <c r="F17" s="1105"/>
      <c r="G17" s="1105">
        <v>43</v>
      </c>
      <c r="H17" s="1105"/>
      <c r="I17" s="1105"/>
      <c r="J17" s="1106"/>
      <c r="K17" s="12"/>
      <c r="L17" s="191"/>
      <c r="M17" s="694"/>
      <c r="N17" s="71" t="s">
        <v>27</v>
      </c>
      <c r="O17" s="71"/>
      <c r="P17" s="72"/>
      <c r="Q17" s="72">
        <v>1.03</v>
      </c>
      <c r="R17" s="71"/>
      <c r="S17" s="72"/>
      <c r="T17" s="83"/>
      <c r="U17" s="120"/>
      <c r="V17" s="72"/>
      <c r="W17" s="71"/>
      <c r="X17" s="56"/>
      <c r="Y17" s="83"/>
      <c r="Z17" s="83"/>
      <c r="AA17" s="13"/>
      <c r="AB17" s="56"/>
      <c r="AC17" s="301"/>
      <c r="AD17" s="5"/>
      <c r="AE17" s="289" t="s">
        <v>69</v>
      </c>
      <c r="AF17" s="244"/>
      <c r="AG17" s="244"/>
      <c r="AH17" s="244"/>
      <c r="AI17" s="290">
        <v>4.5</v>
      </c>
      <c r="AJ17" s="290">
        <v>16.100000000000001</v>
      </c>
      <c r="AK17" s="291"/>
      <c r="AL17" s="305"/>
      <c r="AM17" s="10"/>
      <c r="AN17" s="192"/>
    </row>
    <row r="18" spans="1:40">
      <c r="A18" s="699">
        <v>18</v>
      </c>
      <c r="B18" s="1104">
        <v>45</v>
      </c>
      <c r="C18" s="1151">
        <v>43</v>
      </c>
      <c r="D18" s="1105">
        <v>27</v>
      </c>
      <c r="E18" s="1105">
        <v>11</v>
      </c>
      <c r="F18" s="1105">
        <v>5.6</v>
      </c>
      <c r="G18" s="1105">
        <v>44</v>
      </c>
      <c r="H18" s="1105">
        <v>26.8</v>
      </c>
      <c r="I18" s="1105">
        <v>11</v>
      </c>
      <c r="J18" s="1106">
        <v>5.6</v>
      </c>
      <c r="K18" s="12"/>
      <c r="L18" s="191"/>
      <c r="M18" s="662">
        <v>1</v>
      </c>
      <c r="N18" s="96" t="s">
        <v>3</v>
      </c>
      <c r="O18" s="96"/>
      <c r="P18" s="67"/>
      <c r="Q18" s="67">
        <v>15</v>
      </c>
      <c r="R18" s="67"/>
      <c r="S18" s="67">
        <v>15.5</v>
      </c>
      <c r="T18" s="47"/>
      <c r="U18" s="48"/>
      <c r="V18" s="67"/>
      <c r="W18" s="96"/>
      <c r="X18" s="50"/>
      <c r="Y18" s="47"/>
      <c r="Z18" s="47"/>
      <c r="AA18" s="49"/>
      <c r="AB18" s="50"/>
      <c r="AC18" s="693"/>
      <c r="AD18" s="5"/>
      <c r="AE18" s="296" t="s">
        <v>258</v>
      </c>
      <c r="AF18" s="10"/>
      <c r="AG18" s="10"/>
      <c r="AH18" s="10"/>
      <c r="AI18" s="79"/>
      <c r="AJ18" s="79"/>
      <c r="AK18" s="68"/>
      <c r="AL18" s="79"/>
      <c r="AM18" s="59"/>
      <c r="AN18" s="192"/>
    </row>
    <row r="19" spans="1:40">
      <c r="A19" s="665">
        <v>20</v>
      </c>
      <c r="B19" s="1104">
        <v>46</v>
      </c>
      <c r="C19" s="1151">
        <v>44</v>
      </c>
      <c r="D19" s="1105"/>
      <c r="E19" s="1105"/>
      <c r="F19" s="1105"/>
      <c r="G19" s="1105"/>
      <c r="H19" s="1105"/>
      <c r="I19" s="1105"/>
      <c r="J19" s="1106"/>
      <c r="K19" s="12"/>
      <c r="L19" s="191"/>
      <c r="M19" s="665"/>
      <c r="N19" s="69" t="s">
        <v>4</v>
      </c>
      <c r="O19" s="69"/>
      <c r="P19" s="69"/>
      <c r="Q19" s="69"/>
      <c r="R19" s="68">
        <v>5.0999999999999996</v>
      </c>
      <c r="S19" s="68">
        <v>5.0999999999999996</v>
      </c>
      <c r="T19" s="79"/>
      <c r="U19" s="309"/>
      <c r="V19" s="68"/>
      <c r="W19" s="69"/>
      <c r="X19" s="54"/>
      <c r="Y19" s="79"/>
      <c r="Z19" s="79"/>
      <c r="AA19" s="51"/>
      <c r="AB19" s="54"/>
      <c r="AC19" s="192"/>
      <c r="AD19" s="64"/>
      <c r="AE19" s="203" t="s">
        <v>261</v>
      </c>
      <c r="AF19" s="6"/>
      <c r="AG19" s="6"/>
      <c r="AH19" s="6"/>
      <c r="AI19" s="47"/>
      <c r="AJ19" s="47" t="s">
        <v>262</v>
      </c>
      <c r="AK19" s="67">
        <v>6.1</v>
      </c>
      <c r="AL19" s="163">
        <v>13.5</v>
      </c>
      <c r="AM19" s="59"/>
      <c r="AN19" s="192"/>
    </row>
    <row r="20" spans="1:40" ht="15.75" thickBot="1">
      <c r="A20" s="665">
        <v>25</v>
      </c>
      <c r="B20" s="1104">
        <v>49</v>
      </c>
      <c r="C20" s="1151">
        <v>46</v>
      </c>
      <c r="D20" s="1105"/>
      <c r="E20" s="1105"/>
      <c r="F20" s="1105"/>
      <c r="G20" s="1105"/>
      <c r="H20" s="1105"/>
      <c r="I20" s="1105"/>
      <c r="J20" s="1106"/>
      <c r="K20" s="12"/>
      <c r="L20" s="191"/>
      <c r="M20" s="695"/>
      <c r="N20" s="71" t="s">
        <v>27</v>
      </c>
      <c r="O20" s="71"/>
      <c r="P20" s="72"/>
      <c r="Q20" s="72">
        <v>2.52</v>
      </c>
      <c r="R20" s="72"/>
      <c r="S20" s="72" t="s">
        <v>71</v>
      </c>
      <c r="T20" s="83"/>
      <c r="U20" s="120"/>
      <c r="V20" s="72"/>
      <c r="W20" s="71"/>
      <c r="X20" s="56"/>
      <c r="Y20" s="83"/>
      <c r="Z20" s="83"/>
      <c r="AA20" s="228"/>
      <c r="AB20" s="56"/>
      <c r="AC20" s="301"/>
      <c r="AD20" s="64"/>
      <c r="AE20" s="289" t="s">
        <v>259</v>
      </c>
      <c r="AF20" s="244"/>
      <c r="AG20" s="244"/>
      <c r="AH20" s="244"/>
      <c r="AI20" s="290"/>
      <c r="AJ20" s="290">
        <v>21</v>
      </c>
      <c r="AK20" s="291"/>
      <c r="AL20" s="304"/>
      <c r="AM20" s="59"/>
      <c r="AN20" s="192"/>
    </row>
    <row r="21" spans="1:40" ht="15" thickBot="1">
      <c r="A21" s="665" t="s">
        <v>310</v>
      </c>
      <c r="B21" s="1104">
        <v>36</v>
      </c>
      <c r="C21" s="1151">
        <v>36</v>
      </c>
      <c r="D21" s="1105">
        <v>23.6</v>
      </c>
      <c r="E21" s="1105">
        <v>10.199999999999999</v>
      </c>
      <c r="F21" s="1105">
        <v>5.7</v>
      </c>
      <c r="G21" s="1105">
        <v>35.6</v>
      </c>
      <c r="H21" s="1105">
        <v>23.7</v>
      </c>
      <c r="I21" s="1105">
        <v>10.7</v>
      </c>
      <c r="J21" s="1106">
        <v>5.7</v>
      </c>
      <c r="K21" s="51"/>
      <c r="L21" s="191"/>
      <c r="M21" s="662">
        <v>4</v>
      </c>
      <c r="N21" s="96" t="s">
        <v>3</v>
      </c>
      <c r="O21" s="67"/>
      <c r="P21" s="96"/>
      <c r="Q21" s="67">
        <v>27.4</v>
      </c>
      <c r="R21" s="67"/>
      <c r="S21" s="67"/>
      <c r="T21" s="47"/>
      <c r="U21" s="48"/>
      <c r="V21" s="67"/>
      <c r="W21" s="584">
        <v>29</v>
      </c>
      <c r="X21" s="493">
        <v>25.4</v>
      </c>
      <c r="Y21" s="47"/>
      <c r="Z21" s="47">
        <v>35</v>
      </c>
      <c r="AA21" s="49">
        <v>30</v>
      </c>
      <c r="AB21" s="47">
        <v>33</v>
      </c>
      <c r="AC21" s="690">
        <v>28</v>
      </c>
      <c r="AD21" s="64"/>
      <c r="AE21" s="289" t="s">
        <v>69</v>
      </c>
      <c r="AF21" s="244"/>
      <c r="AG21" s="244"/>
      <c r="AH21" s="244"/>
      <c r="AI21" s="290">
        <v>4.5</v>
      </c>
      <c r="AJ21" s="290"/>
      <c r="AK21" s="291"/>
      <c r="AL21" s="306"/>
      <c r="AM21" s="10"/>
      <c r="AN21" s="192"/>
    </row>
    <row r="22" spans="1:40" ht="15" thickBot="1">
      <c r="A22" s="665" t="s">
        <v>451</v>
      </c>
      <c r="B22" s="1104">
        <v>39</v>
      </c>
      <c r="C22" s="1151">
        <v>40</v>
      </c>
      <c r="D22" s="1105"/>
      <c r="E22" s="1105"/>
      <c r="F22" s="1105"/>
      <c r="G22" s="1105"/>
      <c r="H22" s="1105"/>
      <c r="I22" s="1105"/>
      <c r="J22" s="1106"/>
      <c r="K22" s="51"/>
      <c r="L22" s="191"/>
      <c r="M22" s="665"/>
      <c r="N22" s="69" t="s">
        <v>96</v>
      </c>
      <c r="O22" s="68"/>
      <c r="P22" s="69"/>
      <c r="Q22" s="68"/>
      <c r="R22" s="68">
        <v>15.1</v>
      </c>
      <c r="S22" s="68"/>
      <c r="T22" s="79"/>
      <c r="U22" s="309"/>
      <c r="V22" s="68"/>
      <c r="W22" s="585"/>
      <c r="X22" s="586"/>
      <c r="Y22" s="79">
        <v>20.7</v>
      </c>
      <c r="Z22" s="79"/>
      <c r="AA22" s="51"/>
      <c r="AB22" s="79"/>
      <c r="AC22" s="193"/>
      <c r="AD22" s="64"/>
      <c r="AE22" s="59"/>
      <c r="AF22" s="10"/>
      <c r="AG22" s="10"/>
      <c r="AH22" s="10"/>
      <c r="AI22" s="10"/>
      <c r="AJ22" s="10"/>
      <c r="AK22" s="10"/>
      <c r="AL22" s="10"/>
      <c r="AM22" s="10"/>
      <c r="AN22" s="192"/>
    </row>
    <row r="23" spans="1:40">
      <c r="A23" s="694" t="s">
        <v>309</v>
      </c>
      <c r="B23" s="1152">
        <v>30</v>
      </c>
      <c r="C23" s="1153">
        <v>27</v>
      </c>
      <c r="D23" s="1134">
        <v>19.7</v>
      </c>
      <c r="E23" s="1134">
        <v>10.199999999999999</v>
      </c>
      <c r="F23" s="1134">
        <v>5.7</v>
      </c>
      <c r="G23" s="1134">
        <v>30.5</v>
      </c>
      <c r="H23" s="1134">
        <v>20.3</v>
      </c>
      <c r="I23" s="1134">
        <v>10.199999999999999</v>
      </c>
      <c r="J23" s="1154">
        <v>5</v>
      </c>
      <c r="K23" s="51"/>
      <c r="L23" s="191"/>
      <c r="M23" s="665"/>
      <c r="N23" s="69" t="s">
        <v>4</v>
      </c>
      <c r="O23" s="68"/>
      <c r="P23" s="69"/>
      <c r="Q23" s="69"/>
      <c r="R23" s="68"/>
      <c r="S23" s="68"/>
      <c r="T23" s="79"/>
      <c r="U23" s="309"/>
      <c r="V23" s="68"/>
      <c r="W23" s="585">
        <v>9.1</v>
      </c>
      <c r="X23" s="586"/>
      <c r="Y23" s="79"/>
      <c r="Z23" s="79">
        <v>9.9</v>
      </c>
      <c r="AA23" s="51">
        <v>9.9</v>
      </c>
      <c r="AB23" s="54"/>
      <c r="AC23" s="192"/>
      <c r="AD23" s="64"/>
      <c r="AE23" s="266" t="s">
        <v>263</v>
      </c>
      <c r="AF23" s="208"/>
      <c r="AG23" s="208"/>
      <c r="AH23" s="208"/>
      <c r="AI23" s="190"/>
      <c r="AJ23" s="10"/>
      <c r="AK23" s="10"/>
      <c r="AL23" s="10"/>
      <c r="AM23" s="10"/>
      <c r="AN23" s="192"/>
    </row>
    <row r="24" spans="1:40">
      <c r="A24" s="59"/>
      <c r="B24" s="12"/>
      <c r="C24" s="12"/>
      <c r="D24" s="12"/>
      <c r="E24" s="12"/>
      <c r="F24" s="12"/>
      <c r="G24" s="12"/>
      <c r="H24" s="12"/>
      <c r="I24" s="12"/>
      <c r="J24" s="717"/>
      <c r="K24" s="51"/>
      <c r="L24" s="191"/>
      <c r="M24" s="665"/>
      <c r="N24" s="71" t="s">
        <v>27</v>
      </c>
      <c r="O24" s="68"/>
      <c r="P24" s="69"/>
      <c r="Q24" s="68">
        <v>4.9000000000000004</v>
      </c>
      <c r="R24" s="68"/>
      <c r="S24" s="68"/>
      <c r="T24" s="79"/>
      <c r="U24" s="309"/>
      <c r="V24" s="68"/>
      <c r="W24" s="585">
        <v>5.3</v>
      </c>
      <c r="X24" s="586"/>
      <c r="Y24" s="79"/>
      <c r="Z24" s="79">
        <v>5.7</v>
      </c>
      <c r="AA24" s="51">
        <v>5.7</v>
      </c>
      <c r="AB24" s="54"/>
      <c r="AC24" s="192"/>
      <c r="AD24" s="64"/>
      <c r="AE24" s="59" t="s">
        <v>264</v>
      </c>
      <c r="AF24" s="10"/>
      <c r="AG24" s="10"/>
      <c r="AH24" s="10"/>
      <c r="AI24" s="192"/>
      <c r="AJ24" s="10"/>
      <c r="AK24" s="10"/>
      <c r="AL24" s="10"/>
      <c r="AM24" s="10"/>
      <c r="AN24" s="192"/>
    </row>
    <row r="25" spans="1:40" ht="15.75" customHeight="1">
      <c r="A25" s="308" t="s">
        <v>255</v>
      </c>
      <c r="B25" s="12"/>
      <c r="C25" s="12"/>
      <c r="D25" s="12"/>
      <c r="E25" s="12"/>
      <c r="F25" s="12"/>
      <c r="G25" s="12"/>
      <c r="H25" s="12"/>
      <c r="I25" s="12"/>
      <c r="J25" s="187"/>
      <c r="K25" s="51"/>
      <c r="L25" s="191"/>
      <c r="M25" s="662" t="s">
        <v>309</v>
      </c>
      <c r="N25" s="96" t="s">
        <v>3</v>
      </c>
      <c r="O25" s="67"/>
      <c r="P25" s="96"/>
      <c r="Q25" s="96"/>
      <c r="R25" s="67"/>
      <c r="S25" s="67"/>
      <c r="T25" s="47">
        <v>30</v>
      </c>
      <c r="U25" s="48">
        <v>27</v>
      </c>
      <c r="V25" s="67">
        <v>30.5</v>
      </c>
      <c r="W25" s="584"/>
      <c r="X25" s="493"/>
      <c r="Y25" s="47"/>
      <c r="Z25" s="50"/>
      <c r="AA25" s="65"/>
      <c r="AB25" s="50"/>
      <c r="AC25" s="693"/>
      <c r="AD25" s="64"/>
      <c r="AE25" s="59" t="s">
        <v>265</v>
      </c>
      <c r="AF25" s="10"/>
      <c r="AG25" s="10"/>
      <c r="AH25" s="10"/>
      <c r="AI25" s="192"/>
      <c r="AJ25" s="10"/>
      <c r="AK25" s="10"/>
      <c r="AL25" s="10"/>
      <c r="AM25" s="10"/>
      <c r="AN25" s="192"/>
    </row>
    <row r="26" spans="1:40" ht="15" thickBot="1">
      <c r="A26" s="50"/>
      <c r="B26" s="80" t="s">
        <v>69</v>
      </c>
      <c r="C26" s="49"/>
      <c r="D26" s="49"/>
      <c r="E26" s="48"/>
      <c r="F26" s="51"/>
      <c r="G26" s="51"/>
      <c r="H26" s="51"/>
      <c r="I26" s="51"/>
      <c r="J26" s="193"/>
      <c r="K26" s="51"/>
      <c r="L26" s="191"/>
      <c r="M26" s="665"/>
      <c r="N26" s="69" t="s">
        <v>96</v>
      </c>
      <c r="O26" s="68"/>
      <c r="P26" s="69"/>
      <c r="Q26" s="69"/>
      <c r="R26" s="68"/>
      <c r="S26" s="68"/>
      <c r="T26" s="1937">
        <v>19.7</v>
      </c>
      <c r="U26" s="1938"/>
      <c r="V26" s="68">
        <v>20.3</v>
      </c>
      <c r="W26" s="585"/>
      <c r="X26" s="586"/>
      <c r="Y26" s="79"/>
      <c r="Z26" s="79"/>
      <c r="AA26" s="51"/>
      <c r="AB26" s="54"/>
      <c r="AC26" s="192"/>
      <c r="AD26" s="64"/>
      <c r="AE26" s="59" t="s">
        <v>266</v>
      </c>
      <c r="AF26" s="10"/>
      <c r="AG26" s="10"/>
      <c r="AH26" s="10"/>
      <c r="AI26" s="192"/>
      <c r="AJ26" s="10"/>
      <c r="AK26" s="10"/>
      <c r="AL26" s="10"/>
      <c r="AM26" s="10"/>
      <c r="AN26" s="192"/>
    </row>
    <row r="27" spans="1:40">
      <c r="A27" s="54" t="s">
        <v>70</v>
      </c>
      <c r="B27" s="67" t="s">
        <v>3</v>
      </c>
      <c r="C27" s="67" t="s">
        <v>4</v>
      </c>
      <c r="D27" s="67" t="s">
        <v>27</v>
      </c>
      <c r="E27" s="67" t="s">
        <v>52</v>
      </c>
      <c r="F27" s="51"/>
      <c r="G27" s="51"/>
      <c r="H27" s="51"/>
      <c r="I27" s="51"/>
      <c r="J27" s="193"/>
      <c r="K27" s="51"/>
      <c r="L27" s="191"/>
      <c r="M27" s="665"/>
      <c r="N27" s="69" t="s">
        <v>4</v>
      </c>
      <c r="O27" s="68"/>
      <c r="P27" s="69"/>
      <c r="Q27" s="69"/>
      <c r="R27" s="68"/>
      <c r="S27" s="68"/>
      <c r="T27" s="1937">
        <v>10.199999999999999</v>
      </c>
      <c r="U27" s="1938"/>
      <c r="V27" s="68">
        <v>10.199999999999999</v>
      </c>
      <c r="W27" s="585"/>
      <c r="X27" s="586"/>
      <c r="Y27" s="79"/>
      <c r="Z27" s="79"/>
      <c r="AA27" s="51"/>
      <c r="AB27" s="54"/>
      <c r="AC27" s="192"/>
      <c r="AD27" s="64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</row>
    <row r="28" spans="1:40">
      <c r="A28" s="163">
        <v>0.1</v>
      </c>
      <c r="B28" s="1135">
        <v>16.100000000000001</v>
      </c>
      <c r="C28" s="1135">
        <v>37</v>
      </c>
      <c r="D28" s="1135">
        <v>37</v>
      </c>
      <c r="E28" s="1135">
        <v>4.5</v>
      </c>
      <c r="F28" s="51"/>
      <c r="G28" s="51"/>
      <c r="H28" s="51"/>
      <c r="I28" s="51"/>
      <c r="J28" s="193"/>
      <c r="K28" s="51"/>
      <c r="L28" s="191"/>
      <c r="M28" s="694"/>
      <c r="N28" s="71" t="s">
        <v>27</v>
      </c>
      <c r="O28" s="72"/>
      <c r="P28" s="71"/>
      <c r="Q28" s="71"/>
      <c r="R28" s="72"/>
      <c r="S28" s="72"/>
      <c r="T28" s="83"/>
      <c r="U28" s="120"/>
      <c r="V28" s="72"/>
      <c r="W28" s="587"/>
      <c r="X28" s="414"/>
      <c r="Y28" s="83"/>
      <c r="Z28" s="83"/>
      <c r="AA28" s="228"/>
      <c r="AB28" s="56"/>
      <c r="AC28" s="301"/>
      <c r="AD28" s="64"/>
      <c r="AE28" s="10"/>
      <c r="AF28" s="10"/>
      <c r="AG28" s="10"/>
      <c r="AH28" s="10"/>
      <c r="AI28" s="10"/>
      <c r="AJ28" s="10"/>
      <c r="AK28" s="10"/>
      <c r="AL28" s="10"/>
      <c r="AM28" s="10"/>
      <c r="AN28" s="10"/>
    </row>
    <row r="29" spans="1:40">
      <c r="A29" s="163"/>
      <c r="B29" s="313" t="s">
        <v>179</v>
      </c>
      <c r="C29" s="318"/>
      <c r="D29" s="318"/>
      <c r="E29" s="318"/>
      <c r="F29" s="51"/>
      <c r="G29" s="51"/>
      <c r="H29" s="51"/>
      <c r="I29" s="51"/>
      <c r="J29" s="193"/>
      <c r="K29" s="51"/>
      <c r="L29" s="191"/>
      <c r="M29" s="665">
        <v>6</v>
      </c>
      <c r="N29" s="69" t="s">
        <v>3</v>
      </c>
      <c r="O29" s="68">
        <v>32.200000000000003</v>
      </c>
      <c r="P29" s="68"/>
      <c r="Q29" s="68">
        <v>34</v>
      </c>
      <c r="R29" s="68"/>
      <c r="S29" s="68"/>
      <c r="T29" s="1937" t="s">
        <v>42</v>
      </c>
      <c r="U29" s="1938"/>
      <c r="V29" s="68">
        <v>30.5</v>
      </c>
      <c r="W29" s="585">
        <v>34.299999999999997</v>
      </c>
      <c r="X29" s="586">
        <v>27.9</v>
      </c>
      <c r="Y29" s="79"/>
      <c r="Z29" s="79">
        <v>37</v>
      </c>
      <c r="AA29" s="51">
        <v>33</v>
      </c>
      <c r="AB29" s="79">
        <v>34</v>
      </c>
      <c r="AC29" s="193">
        <v>29</v>
      </c>
      <c r="AD29" s="64"/>
    </row>
    <row r="30" spans="1:40">
      <c r="A30" s="1951">
        <v>3.6</v>
      </c>
      <c r="B30" s="1627">
        <v>35</v>
      </c>
      <c r="C30" s="1627">
        <v>13.5</v>
      </c>
      <c r="D30" s="1132">
        <v>6.1</v>
      </c>
      <c r="E30" s="582"/>
      <c r="F30" s="10" t="s">
        <v>50</v>
      </c>
      <c r="G30" s="51"/>
      <c r="H30" s="51"/>
      <c r="I30" s="51"/>
      <c r="J30" s="193"/>
      <c r="K30" s="51"/>
      <c r="L30" s="191"/>
      <c r="M30" s="665"/>
      <c r="N30" s="69" t="s">
        <v>96</v>
      </c>
      <c r="O30" s="68">
        <v>19.7</v>
      </c>
      <c r="P30" s="68"/>
      <c r="Q30" s="68"/>
      <c r="R30" s="68">
        <v>18.5</v>
      </c>
      <c r="S30" s="68"/>
      <c r="T30" s="1937">
        <v>24.2</v>
      </c>
      <c r="U30" s="1938"/>
      <c r="V30" s="68">
        <v>20.3</v>
      </c>
      <c r="W30" s="585"/>
      <c r="X30" s="586"/>
      <c r="Y30" s="79">
        <v>21.2</v>
      </c>
      <c r="Z30" s="79"/>
      <c r="AA30" s="51"/>
      <c r="AB30" s="79"/>
      <c r="AC30" s="193"/>
    </row>
    <row r="31" spans="1:40" ht="15" thickBot="1">
      <c r="A31" s="1952"/>
      <c r="B31" s="1953"/>
      <c r="C31" s="1953"/>
      <c r="D31" s="1107">
        <v>0.6</v>
      </c>
      <c r="E31" s="583"/>
      <c r="F31" s="10" t="s">
        <v>51</v>
      </c>
      <c r="G31" s="51"/>
      <c r="H31" s="51"/>
      <c r="I31" s="51"/>
      <c r="J31" s="196"/>
      <c r="K31" s="12"/>
      <c r="L31" s="191"/>
      <c r="M31" s="665"/>
      <c r="N31" s="69" t="s">
        <v>4</v>
      </c>
      <c r="O31" s="68">
        <v>8.1</v>
      </c>
      <c r="P31" s="69"/>
      <c r="Q31" s="69"/>
      <c r="R31" s="68"/>
      <c r="S31" s="68"/>
      <c r="T31" s="1937">
        <v>10.199999999999999</v>
      </c>
      <c r="U31" s="1938"/>
      <c r="V31" s="68">
        <v>10.199999999999999</v>
      </c>
      <c r="W31" s="585">
        <v>9.8000000000000007</v>
      </c>
      <c r="X31" s="586"/>
      <c r="Y31" s="79"/>
      <c r="Z31" s="79">
        <v>10</v>
      </c>
      <c r="AA31" s="51">
        <v>10</v>
      </c>
      <c r="AB31" s="54"/>
      <c r="AC31" s="192"/>
    </row>
    <row r="32" spans="1:40" ht="15" thickBot="1">
      <c r="A32" s="303"/>
      <c r="B32" s="302"/>
      <c r="C32" s="302"/>
      <c r="D32" s="302"/>
      <c r="E32" s="302"/>
      <c r="F32" s="302"/>
      <c r="G32" s="302"/>
      <c r="H32" s="302"/>
      <c r="I32" s="302"/>
      <c r="J32" s="51"/>
      <c r="K32" s="12"/>
      <c r="L32" s="191"/>
      <c r="M32" s="665"/>
      <c r="N32" s="69" t="s">
        <v>27</v>
      </c>
      <c r="O32" s="68">
        <v>4.9000000000000004</v>
      </c>
      <c r="P32" s="69"/>
      <c r="Q32" s="68">
        <v>5.0999999999999996</v>
      </c>
      <c r="R32" s="68"/>
      <c r="S32" s="68"/>
      <c r="T32" s="79"/>
      <c r="U32" s="309"/>
      <c r="V32" s="68"/>
      <c r="W32" s="585">
        <v>5.5</v>
      </c>
      <c r="X32" s="586"/>
      <c r="Y32" s="79"/>
      <c r="Z32" s="79">
        <v>5.7</v>
      </c>
      <c r="AA32" s="51">
        <v>5.7</v>
      </c>
      <c r="AB32" s="54"/>
      <c r="AC32" s="192"/>
      <c r="AF32" s="5"/>
      <c r="AG32" s="204"/>
    </row>
    <row r="33" spans="1:33" ht="18">
      <c r="A33" s="213" t="s">
        <v>177</v>
      </c>
      <c r="B33" s="12"/>
      <c r="C33" s="12"/>
      <c r="D33" s="12"/>
      <c r="E33" s="12"/>
      <c r="F33" s="12"/>
      <c r="G33" s="12"/>
      <c r="H33" s="12"/>
      <c r="I33" s="12"/>
      <c r="J33" s="718"/>
      <c r="K33" s="12"/>
      <c r="L33" s="191"/>
      <c r="M33" s="662" t="s">
        <v>310</v>
      </c>
      <c r="N33" s="96" t="s">
        <v>3</v>
      </c>
      <c r="O33" s="67"/>
      <c r="P33" s="96"/>
      <c r="Q33" s="96"/>
      <c r="R33" s="67"/>
      <c r="S33" s="67"/>
      <c r="T33" s="47">
        <v>36</v>
      </c>
      <c r="U33" s="48">
        <v>36</v>
      </c>
      <c r="V33" s="67">
        <v>35.6</v>
      </c>
      <c r="W33" s="584"/>
      <c r="X33" s="493"/>
      <c r="Y33" s="47"/>
      <c r="Z33" s="50"/>
      <c r="AA33" s="65"/>
      <c r="AB33" s="50"/>
      <c r="AC33" s="693"/>
      <c r="AF33" s="5"/>
      <c r="AG33" s="204"/>
    </row>
    <row r="34" spans="1:33">
      <c r="A34" s="1913" t="s">
        <v>340</v>
      </c>
      <c r="B34" s="47" t="s">
        <v>3</v>
      </c>
      <c r="C34" s="49" t="s">
        <v>4</v>
      </c>
      <c r="D34" s="48" t="s">
        <v>27</v>
      </c>
      <c r="E34" s="12"/>
      <c r="F34" s="12"/>
      <c r="G34" s="12"/>
      <c r="H34" s="12"/>
      <c r="I34" s="51"/>
      <c r="J34" s="193"/>
      <c r="K34" s="12"/>
      <c r="L34" s="191"/>
      <c r="M34" s="665"/>
      <c r="N34" s="69" t="s">
        <v>96</v>
      </c>
      <c r="O34" s="68"/>
      <c r="P34" s="69"/>
      <c r="Q34" s="69"/>
      <c r="R34" s="68"/>
      <c r="S34" s="68"/>
      <c r="T34" s="1937">
        <v>23.6</v>
      </c>
      <c r="U34" s="1938"/>
      <c r="V34" s="68">
        <v>23.7</v>
      </c>
      <c r="W34" s="585"/>
      <c r="X34" s="586"/>
      <c r="Y34" s="79"/>
      <c r="Z34" s="79"/>
      <c r="AA34" s="51"/>
      <c r="AB34" s="54"/>
      <c r="AC34" s="192"/>
      <c r="AF34" s="5"/>
      <c r="AG34" s="204"/>
    </row>
    <row r="35" spans="1:33">
      <c r="A35" s="1914"/>
      <c r="B35" s="1941" t="s">
        <v>33</v>
      </c>
      <c r="C35" s="1942"/>
      <c r="D35" s="1943"/>
      <c r="E35" s="51"/>
      <c r="F35" s="12"/>
      <c r="G35" s="12"/>
      <c r="H35" s="12"/>
      <c r="I35" s="51"/>
      <c r="J35" s="193"/>
      <c r="K35" s="12"/>
      <c r="L35" s="191"/>
      <c r="M35" s="665"/>
      <c r="N35" s="69" t="s">
        <v>4</v>
      </c>
      <c r="O35" s="68"/>
      <c r="P35" s="69"/>
      <c r="Q35" s="69"/>
      <c r="R35" s="68"/>
      <c r="S35" s="68"/>
      <c r="T35" s="1937">
        <v>10.199999999999999</v>
      </c>
      <c r="U35" s="1938"/>
      <c r="V35" s="68">
        <v>10.7</v>
      </c>
      <c r="W35" s="585"/>
      <c r="X35" s="586"/>
      <c r="Y35" s="79"/>
      <c r="Z35" s="79"/>
      <c r="AA35" s="51"/>
      <c r="AB35" s="54"/>
      <c r="AC35" s="192"/>
      <c r="AF35" s="5"/>
      <c r="AG35" s="204"/>
    </row>
    <row r="36" spans="1:33">
      <c r="A36" s="665">
        <v>50</v>
      </c>
      <c r="B36" s="1155">
        <v>1.7</v>
      </c>
      <c r="C36" s="1131">
        <v>0.16</v>
      </c>
      <c r="D36" s="1132">
        <v>0.02</v>
      </c>
      <c r="E36" s="51"/>
      <c r="F36" s="12"/>
      <c r="G36" s="12"/>
      <c r="H36" s="12"/>
      <c r="I36" s="51"/>
      <c r="J36" s="193"/>
      <c r="K36" s="51"/>
      <c r="L36" s="191"/>
      <c r="M36" s="694"/>
      <c r="N36" s="71" t="s">
        <v>27</v>
      </c>
      <c r="O36" s="72"/>
      <c r="P36" s="71"/>
      <c r="Q36" s="71"/>
      <c r="R36" s="72"/>
      <c r="S36" s="72"/>
      <c r="T36" s="83"/>
      <c r="U36" s="120"/>
      <c r="V36" s="72"/>
      <c r="W36" s="587"/>
      <c r="X36" s="414"/>
      <c r="Y36" s="83"/>
      <c r="Z36" s="83"/>
      <c r="AA36" s="228"/>
      <c r="AB36" s="56"/>
      <c r="AC36" s="301"/>
      <c r="AF36" s="5"/>
      <c r="AG36" s="204"/>
    </row>
    <row r="37" spans="1:33">
      <c r="A37" s="665">
        <v>100</v>
      </c>
      <c r="B37" s="1156">
        <v>6.1</v>
      </c>
      <c r="C37" s="1157">
        <v>0.81</v>
      </c>
      <c r="D37" s="1105">
        <v>0.09</v>
      </c>
      <c r="E37" s="51"/>
      <c r="F37" s="51"/>
      <c r="G37" s="51"/>
      <c r="H37" s="51"/>
      <c r="I37" s="51"/>
      <c r="J37" s="193"/>
      <c r="K37" s="51"/>
      <c r="L37" s="191"/>
      <c r="M37" s="662">
        <v>10</v>
      </c>
      <c r="N37" s="96" t="s">
        <v>3</v>
      </c>
      <c r="O37" s="96"/>
      <c r="P37" s="67">
        <v>38</v>
      </c>
      <c r="Q37" s="67">
        <v>38</v>
      </c>
      <c r="R37" s="67">
        <v>36</v>
      </c>
      <c r="S37" s="67">
        <v>38.6</v>
      </c>
      <c r="T37" s="1669" t="s">
        <v>42</v>
      </c>
      <c r="U37" s="1671"/>
      <c r="V37" s="67">
        <v>35.6</v>
      </c>
      <c r="W37" s="584">
        <v>38.9</v>
      </c>
      <c r="X37" s="493">
        <v>30.5</v>
      </c>
      <c r="Y37" s="47"/>
      <c r="Z37" s="47">
        <v>41</v>
      </c>
      <c r="AA37" s="49">
        <v>37</v>
      </c>
      <c r="AB37" s="493">
        <v>35</v>
      </c>
      <c r="AC37" s="696">
        <v>31</v>
      </c>
      <c r="AE37" s="5"/>
      <c r="AF37" s="204"/>
    </row>
    <row r="38" spans="1:33" ht="15" customHeight="1">
      <c r="A38" s="68">
        <v>150</v>
      </c>
      <c r="B38" s="1126">
        <v>7.4</v>
      </c>
      <c r="C38" s="1126">
        <v>1.1499999999999999</v>
      </c>
      <c r="D38" s="1126">
        <v>9.9000000000000005E-2</v>
      </c>
      <c r="I38" s="51"/>
      <c r="J38" s="193"/>
      <c r="K38" s="51"/>
      <c r="L38" s="191"/>
      <c r="M38" s="665"/>
      <c r="N38" s="69" t="s">
        <v>96</v>
      </c>
      <c r="O38" s="69"/>
      <c r="P38" s="68"/>
      <c r="Q38" s="68"/>
      <c r="R38" s="68">
        <v>24</v>
      </c>
      <c r="S38" s="68"/>
      <c r="T38" s="1937">
        <v>26.9</v>
      </c>
      <c r="U38" s="1938"/>
      <c r="V38" s="68">
        <v>23.7</v>
      </c>
      <c r="W38" s="585"/>
      <c r="X38" s="586"/>
      <c r="Y38" s="79">
        <v>23.5</v>
      </c>
      <c r="Z38" s="79"/>
      <c r="AA38" s="51"/>
      <c r="AB38" s="586"/>
      <c r="AC38" s="697"/>
    </row>
    <row r="39" spans="1:33">
      <c r="A39" s="665">
        <v>200</v>
      </c>
      <c r="B39" s="1156">
        <v>9.3000000000000007</v>
      </c>
      <c r="C39" s="1157">
        <v>1.78</v>
      </c>
      <c r="D39" s="1105">
        <v>0.17</v>
      </c>
      <c r="E39" s="51"/>
      <c r="F39" s="51"/>
      <c r="G39" s="51"/>
      <c r="H39" s="51"/>
      <c r="I39" s="51"/>
      <c r="J39" s="193"/>
      <c r="K39" s="51"/>
      <c r="L39" s="191"/>
      <c r="M39" s="665"/>
      <c r="N39" s="69" t="s">
        <v>4</v>
      </c>
      <c r="O39" s="69"/>
      <c r="P39" s="68">
        <v>10</v>
      </c>
      <c r="Q39" s="69"/>
      <c r="R39" s="69"/>
      <c r="S39" s="68">
        <v>11.3</v>
      </c>
      <c r="T39" s="1937">
        <v>10.199999999999999</v>
      </c>
      <c r="U39" s="1938"/>
      <c r="V39" s="68">
        <v>10.7</v>
      </c>
      <c r="W39" s="585">
        <v>10.5</v>
      </c>
      <c r="X39" s="586"/>
      <c r="Y39" s="79"/>
      <c r="Z39" s="79">
        <v>11</v>
      </c>
      <c r="AA39" s="51">
        <v>11</v>
      </c>
      <c r="AB39" s="586"/>
      <c r="AC39" s="697"/>
    </row>
    <row r="40" spans="1:33">
      <c r="A40" s="665">
        <v>250</v>
      </c>
      <c r="B40" s="1156">
        <v>9.8000000000000007</v>
      </c>
      <c r="C40" s="1157">
        <v>2.0099999999999998</v>
      </c>
      <c r="D40" s="1105">
        <v>0.28000000000000003</v>
      </c>
      <c r="E40" s="51"/>
      <c r="F40" s="51"/>
      <c r="G40" s="51"/>
      <c r="H40" s="51"/>
      <c r="I40" s="51"/>
      <c r="J40" s="193"/>
      <c r="K40" s="51"/>
      <c r="L40" s="191"/>
      <c r="M40" s="694"/>
      <c r="N40" s="71" t="s">
        <v>27</v>
      </c>
      <c r="O40" s="71"/>
      <c r="P40" s="71"/>
      <c r="Q40" s="71"/>
      <c r="R40" s="71"/>
      <c r="S40" s="72">
        <v>5.5</v>
      </c>
      <c r="T40" s="83"/>
      <c r="U40" s="120"/>
      <c r="V40" s="72"/>
      <c r="W40" s="587">
        <v>5.6</v>
      </c>
      <c r="X40" s="414"/>
      <c r="Y40" s="83"/>
      <c r="Z40" s="83">
        <v>5.7</v>
      </c>
      <c r="AA40" s="228">
        <v>5.7</v>
      </c>
      <c r="AB40" s="56"/>
      <c r="AC40" s="301"/>
    </row>
    <row r="41" spans="1:33">
      <c r="A41" s="694">
        <v>300</v>
      </c>
      <c r="B41" s="1158">
        <v>10.6</v>
      </c>
      <c r="C41" s="1133">
        <v>2.2200000000000002</v>
      </c>
      <c r="D41" s="1134">
        <v>0.46</v>
      </c>
      <c r="E41" s="51"/>
      <c r="F41" s="51"/>
      <c r="G41" s="51"/>
      <c r="H41" s="51"/>
      <c r="I41" s="51"/>
      <c r="J41" s="193"/>
      <c r="K41" s="51"/>
      <c r="L41" s="191"/>
      <c r="M41" s="665">
        <v>15</v>
      </c>
      <c r="N41" s="96" t="s">
        <v>3</v>
      </c>
      <c r="O41" s="69"/>
      <c r="P41" s="69"/>
      <c r="Q41" s="69"/>
      <c r="R41" s="69"/>
      <c r="S41" s="69"/>
      <c r="T41" s="1669" t="s">
        <v>42</v>
      </c>
      <c r="U41" s="1671"/>
      <c r="V41" s="68">
        <v>38.1</v>
      </c>
      <c r="W41" s="585">
        <v>43.2</v>
      </c>
      <c r="X41" s="586">
        <v>33</v>
      </c>
      <c r="Y41" s="54"/>
      <c r="Z41" s="79">
        <v>44</v>
      </c>
      <c r="AA41" s="51">
        <v>41</v>
      </c>
      <c r="AB41" s="586">
        <v>36</v>
      </c>
      <c r="AC41" s="697">
        <v>33</v>
      </c>
    </row>
    <row r="42" spans="1:33" ht="15" thickBot="1">
      <c r="A42" s="194"/>
      <c r="B42" s="206"/>
      <c r="C42" s="206"/>
      <c r="D42" s="206"/>
      <c r="E42" s="195"/>
      <c r="F42" s="195"/>
      <c r="G42" s="195"/>
      <c r="H42" s="195"/>
      <c r="I42" s="195"/>
      <c r="J42" s="193"/>
      <c r="K42" s="51"/>
      <c r="M42" s="665"/>
      <c r="N42" s="69" t="s">
        <v>96</v>
      </c>
      <c r="O42" s="69"/>
      <c r="P42" s="69"/>
      <c r="Q42" s="69"/>
      <c r="R42" s="68">
        <v>26.3</v>
      </c>
      <c r="S42" s="69"/>
      <c r="T42" s="1937">
        <v>29.5</v>
      </c>
      <c r="U42" s="1938"/>
      <c r="V42" s="68">
        <v>25.3</v>
      </c>
      <c r="W42" s="585"/>
      <c r="X42" s="586"/>
      <c r="Y42" s="79">
        <v>24.5</v>
      </c>
      <c r="Z42" s="79"/>
      <c r="AA42" s="51"/>
      <c r="AB42" s="586"/>
      <c r="AC42" s="697"/>
    </row>
    <row r="43" spans="1:33" ht="18">
      <c r="A43" s="198" t="s">
        <v>198</v>
      </c>
      <c r="B43" s="577"/>
      <c r="C43" s="577"/>
      <c r="D43" s="199"/>
      <c r="E43" s="199"/>
      <c r="F43" s="199"/>
      <c r="G43" s="199"/>
      <c r="H43" s="199"/>
      <c r="I43" s="199"/>
      <c r="J43" s="425"/>
      <c r="K43" s="51"/>
      <c r="M43" s="665"/>
      <c r="N43" s="69" t="s">
        <v>4</v>
      </c>
      <c r="O43" s="69"/>
      <c r="P43" s="69"/>
      <c r="Q43" s="69"/>
      <c r="R43" s="69"/>
      <c r="S43" s="69"/>
      <c r="T43" s="1937">
        <v>10.7</v>
      </c>
      <c r="U43" s="1938"/>
      <c r="V43" s="68">
        <v>10.7</v>
      </c>
      <c r="W43" s="585">
        <v>10.8</v>
      </c>
      <c r="X43" s="586"/>
      <c r="Y43" s="54"/>
      <c r="Z43" s="79">
        <v>11</v>
      </c>
      <c r="AA43" s="51">
        <v>11</v>
      </c>
      <c r="AB43" s="586"/>
      <c r="AC43" s="697"/>
    </row>
    <row r="44" spans="1:33">
      <c r="A44" s="456" t="s">
        <v>70</v>
      </c>
      <c r="B44" s="47" t="s">
        <v>3</v>
      </c>
      <c r="C44" s="49" t="s">
        <v>4</v>
      </c>
      <c r="D44" s="48" t="s">
        <v>27</v>
      </c>
      <c r="E44" s="51"/>
      <c r="F44" s="51"/>
      <c r="G44" s="51"/>
      <c r="H44" s="51"/>
      <c r="I44" s="51"/>
      <c r="J44" s="193"/>
      <c r="M44" s="665"/>
      <c r="N44" s="69" t="s">
        <v>27</v>
      </c>
      <c r="O44" s="69"/>
      <c r="P44" s="69"/>
      <c r="Q44" s="69"/>
      <c r="R44" s="69"/>
      <c r="S44" s="69"/>
      <c r="T44" s="54"/>
      <c r="U44" s="60"/>
      <c r="V44" s="69"/>
      <c r="W44" s="585">
        <v>5.7</v>
      </c>
      <c r="X44" s="586"/>
      <c r="Y44" s="54"/>
      <c r="Z44" s="79">
        <v>5.7</v>
      </c>
      <c r="AA44" s="51">
        <v>5.7</v>
      </c>
      <c r="AB44" s="586"/>
      <c r="AC44" s="697"/>
    </row>
    <row r="45" spans="1:33" ht="15">
      <c r="A45" s="663" t="s">
        <v>23</v>
      </c>
      <c r="B45" s="1135">
        <v>13.5</v>
      </c>
      <c r="C45" s="1135">
        <v>4.3</v>
      </c>
      <c r="D45" s="1135">
        <v>1.9</v>
      </c>
      <c r="E45" s="51"/>
      <c r="F45" s="51"/>
      <c r="G45" s="51"/>
      <c r="H45" s="51"/>
      <c r="I45" s="12"/>
      <c r="J45" s="187"/>
      <c r="M45" s="662">
        <v>16</v>
      </c>
      <c r="N45" s="96" t="s">
        <v>3</v>
      </c>
      <c r="O45" s="96"/>
      <c r="P45" s="67">
        <v>43</v>
      </c>
      <c r="Q45" s="67">
        <v>44</v>
      </c>
      <c r="R45" s="67">
        <v>42</v>
      </c>
      <c r="S45" s="280"/>
      <c r="T45" s="281"/>
      <c r="U45" s="415"/>
      <c r="V45" s="280"/>
      <c r="W45" s="584"/>
      <c r="X45" s="493"/>
      <c r="Y45" s="281"/>
      <c r="Z45" s="281"/>
      <c r="AA45" s="282"/>
      <c r="AB45" s="493"/>
      <c r="AC45" s="696"/>
    </row>
    <row r="46" spans="1:33" ht="15.75" thickBot="1">
      <c r="A46" s="578"/>
      <c r="B46" s="575"/>
      <c r="C46" s="575"/>
      <c r="D46" s="195"/>
      <c r="E46" s="195"/>
      <c r="F46" s="195"/>
      <c r="G46" s="195"/>
      <c r="H46" s="195"/>
      <c r="I46" s="575"/>
      <c r="J46" s="579"/>
      <c r="L46" s="191"/>
      <c r="M46" s="665"/>
      <c r="N46" s="69" t="s">
        <v>96</v>
      </c>
      <c r="O46" s="69"/>
      <c r="P46" s="68"/>
      <c r="Q46" s="68"/>
      <c r="R46" s="68">
        <v>26.6</v>
      </c>
      <c r="S46" s="278"/>
      <c r="T46" s="279"/>
      <c r="U46" s="416"/>
      <c r="V46" s="278"/>
      <c r="W46" s="585"/>
      <c r="X46" s="586"/>
      <c r="Y46" s="279"/>
      <c r="Z46" s="279"/>
      <c r="AA46" s="57"/>
      <c r="AB46" s="586"/>
      <c r="AC46" s="697"/>
    </row>
    <row r="47" spans="1:33" ht="15">
      <c r="A47" s="10"/>
      <c r="B47" s="12"/>
      <c r="C47" s="12"/>
      <c r="D47" s="12"/>
      <c r="E47" s="12"/>
      <c r="F47" s="12"/>
      <c r="G47" s="12"/>
      <c r="H47" s="12"/>
      <c r="I47" s="12"/>
      <c r="J47" s="12"/>
      <c r="L47" s="186"/>
      <c r="M47" s="665"/>
      <c r="N47" s="69" t="s">
        <v>4</v>
      </c>
      <c r="O47" s="69"/>
      <c r="P47" s="68"/>
      <c r="Q47" s="68"/>
      <c r="R47" s="68"/>
      <c r="S47" s="278"/>
      <c r="T47" s="279"/>
      <c r="U47" s="416"/>
      <c r="V47" s="278"/>
      <c r="W47" s="585"/>
      <c r="X47" s="586"/>
      <c r="Y47" s="279"/>
      <c r="Z47" s="279"/>
      <c r="AA47" s="57"/>
      <c r="AB47" s="586"/>
      <c r="AC47" s="697"/>
    </row>
    <row r="48" spans="1:33" ht="15">
      <c r="A48" s="10"/>
      <c r="B48" s="51"/>
      <c r="C48" s="51"/>
      <c r="D48" s="51"/>
      <c r="E48" s="51"/>
      <c r="F48" s="51"/>
      <c r="G48" s="51"/>
      <c r="H48" s="51"/>
      <c r="I48" s="51"/>
      <c r="J48" s="51"/>
      <c r="L48" s="186"/>
      <c r="M48" s="694"/>
      <c r="N48" s="71" t="s">
        <v>27</v>
      </c>
      <c r="O48" s="71"/>
      <c r="P48" s="72"/>
      <c r="Q48" s="72"/>
      <c r="R48" s="72"/>
      <c r="S48" s="202"/>
      <c r="T48" s="283"/>
      <c r="U48" s="417"/>
      <c r="V48" s="202"/>
      <c r="W48" s="587"/>
      <c r="X48" s="414"/>
      <c r="Y48" s="283"/>
      <c r="Z48" s="283"/>
      <c r="AA48" s="284"/>
      <c r="AB48" s="414"/>
      <c r="AC48" s="698"/>
    </row>
    <row r="49" spans="12:57">
      <c r="L49" s="186"/>
      <c r="M49" s="662" t="s">
        <v>451</v>
      </c>
      <c r="N49" s="69" t="s">
        <v>3</v>
      </c>
      <c r="O49" s="69"/>
      <c r="P49" s="68"/>
      <c r="Q49" s="68"/>
      <c r="R49" s="68"/>
      <c r="S49" s="68"/>
      <c r="T49" s="79">
        <v>39</v>
      </c>
      <c r="U49" s="309">
        <v>40</v>
      </c>
      <c r="V49" s="68"/>
      <c r="W49" s="585"/>
      <c r="X49" s="586"/>
      <c r="Y49" s="79"/>
      <c r="Z49" s="79"/>
      <c r="AA49" s="51"/>
      <c r="AB49" s="586"/>
      <c r="AC49" s="697"/>
    </row>
    <row r="50" spans="12:57">
      <c r="M50" s="699"/>
      <c r="N50" s="69" t="s">
        <v>96</v>
      </c>
      <c r="O50" s="69"/>
      <c r="P50" s="68"/>
      <c r="Q50" s="68"/>
      <c r="R50" s="68"/>
      <c r="S50" s="68"/>
      <c r="T50" s="79"/>
      <c r="U50" s="309"/>
      <c r="V50" s="68"/>
      <c r="W50" s="585"/>
      <c r="X50" s="586"/>
      <c r="Y50" s="79"/>
      <c r="Z50" s="79"/>
      <c r="AA50" s="51"/>
      <c r="AB50" s="586"/>
      <c r="AC50" s="697"/>
    </row>
    <row r="51" spans="12:57">
      <c r="M51" s="665"/>
      <c r="N51" s="69" t="s">
        <v>4</v>
      </c>
      <c r="O51" s="69"/>
      <c r="P51" s="68"/>
      <c r="Q51" s="68"/>
      <c r="R51" s="68"/>
      <c r="S51" s="68"/>
      <c r="T51" s="79"/>
      <c r="U51" s="309"/>
      <c r="V51" s="68"/>
      <c r="W51" s="585"/>
      <c r="X51" s="586"/>
      <c r="Y51" s="79"/>
      <c r="Z51" s="79"/>
      <c r="AA51" s="51"/>
      <c r="AB51" s="586"/>
      <c r="AC51" s="697"/>
      <c r="AO51" s="312"/>
      <c r="AP51" s="10"/>
      <c r="AQ51" s="10"/>
      <c r="AR51" s="51"/>
      <c r="AS51" s="51"/>
      <c r="AT51" s="51"/>
      <c r="AU51" s="51"/>
      <c r="AV51" s="51"/>
      <c r="AW51" s="51"/>
      <c r="AX51" s="51"/>
      <c r="AY51" s="51"/>
      <c r="AZ51" s="443"/>
      <c r="BA51" s="443"/>
      <c r="BB51" s="51"/>
      <c r="BC51" s="51"/>
      <c r="BD51" s="443"/>
      <c r="BE51" s="443"/>
    </row>
    <row r="52" spans="12:57">
      <c r="M52" s="665"/>
      <c r="N52" s="69" t="s">
        <v>27</v>
      </c>
      <c r="O52" s="69"/>
      <c r="P52" s="68"/>
      <c r="Q52" s="68"/>
      <c r="R52" s="68"/>
      <c r="S52" s="68"/>
      <c r="T52" s="79"/>
      <c r="U52" s="309"/>
      <c r="V52" s="68"/>
      <c r="W52" s="585"/>
      <c r="X52" s="586"/>
      <c r="Y52" s="79"/>
      <c r="Z52" s="79"/>
      <c r="AA52" s="51"/>
      <c r="AB52" s="586"/>
      <c r="AC52" s="697"/>
      <c r="AO52" s="312"/>
      <c r="AP52" s="10"/>
      <c r="AQ52" s="10"/>
      <c r="AR52" s="51"/>
      <c r="AS52" s="51"/>
      <c r="AT52" s="51"/>
      <c r="AU52" s="51"/>
      <c r="AV52" s="51"/>
      <c r="AW52" s="51"/>
      <c r="AX52" s="51"/>
      <c r="AY52" s="51"/>
      <c r="AZ52" s="443"/>
      <c r="BA52" s="443"/>
      <c r="BB52" s="51"/>
      <c r="BC52" s="51"/>
      <c r="BD52" s="443"/>
      <c r="BE52" s="443"/>
    </row>
    <row r="53" spans="12:57">
      <c r="M53" s="776">
        <v>18</v>
      </c>
      <c r="N53" s="96" t="s">
        <v>3</v>
      </c>
      <c r="O53" s="96"/>
      <c r="P53" s="67"/>
      <c r="Q53" s="67">
        <v>44</v>
      </c>
      <c r="R53" s="67">
        <v>43</v>
      </c>
      <c r="S53" s="67"/>
      <c r="T53" s="47"/>
      <c r="U53" s="48"/>
      <c r="V53" s="67"/>
      <c r="W53" s="584">
        <v>44.5</v>
      </c>
      <c r="X53" s="493">
        <v>33</v>
      </c>
      <c r="Y53" s="47"/>
      <c r="Z53" s="47">
        <v>45</v>
      </c>
      <c r="AA53" s="49">
        <v>43</v>
      </c>
      <c r="AB53" s="493">
        <v>36</v>
      </c>
      <c r="AC53" s="696">
        <v>34</v>
      </c>
      <c r="AO53" s="51"/>
      <c r="AP53" s="10"/>
      <c r="AQ53" s="10"/>
      <c r="AR53" s="51"/>
      <c r="AS53" s="51"/>
      <c r="AT53" s="51"/>
      <c r="AU53" s="51"/>
      <c r="AV53" s="51"/>
      <c r="AW53" s="51"/>
      <c r="AX53" s="51"/>
      <c r="AY53" s="51"/>
      <c r="AZ53" s="443"/>
      <c r="BA53" s="443"/>
      <c r="BB53" s="51"/>
      <c r="BC53" s="51"/>
      <c r="BD53" s="443"/>
      <c r="BE53" s="443"/>
    </row>
    <row r="54" spans="12:57">
      <c r="M54" s="699"/>
      <c r="N54" s="69" t="s">
        <v>96</v>
      </c>
      <c r="O54" s="69"/>
      <c r="P54" s="68"/>
      <c r="Q54" s="68"/>
      <c r="R54" s="68">
        <v>27</v>
      </c>
      <c r="S54" s="68"/>
      <c r="T54" s="79"/>
      <c r="U54" s="309"/>
      <c r="V54" s="68"/>
      <c r="W54" s="585"/>
      <c r="X54" s="586"/>
      <c r="Y54" s="79"/>
      <c r="Z54" s="79"/>
      <c r="AA54" s="51"/>
      <c r="AB54" s="586"/>
      <c r="AC54" s="697"/>
      <c r="AO54" s="51"/>
      <c r="AP54" s="10"/>
      <c r="AQ54" s="10"/>
      <c r="AR54" s="51"/>
      <c r="AS54" s="51"/>
      <c r="AT54" s="51"/>
      <c r="AU54" s="51"/>
      <c r="AV54" s="51"/>
      <c r="AW54" s="51"/>
      <c r="AX54" s="51"/>
      <c r="AY54" s="51"/>
      <c r="AZ54" s="443"/>
      <c r="BA54" s="443"/>
      <c r="BB54" s="51"/>
      <c r="BC54" s="51"/>
      <c r="BD54" s="443"/>
      <c r="BE54" s="443"/>
    </row>
    <row r="55" spans="12:57">
      <c r="M55" s="665"/>
      <c r="N55" s="69" t="s">
        <v>4</v>
      </c>
      <c r="O55" s="69"/>
      <c r="P55" s="68"/>
      <c r="Q55" s="68"/>
      <c r="R55" s="68">
        <v>11</v>
      </c>
      <c r="S55" s="68"/>
      <c r="T55" s="79"/>
      <c r="U55" s="309"/>
      <c r="V55" s="68"/>
      <c r="W55" s="585">
        <v>11.1</v>
      </c>
      <c r="X55" s="586"/>
      <c r="Y55" s="79"/>
      <c r="Z55" s="79">
        <v>11</v>
      </c>
      <c r="AA55" s="51">
        <v>11</v>
      </c>
      <c r="AB55" s="586"/>
      <c r="AC55" s="697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</row>
    <row r="56" spans="12:57">
      <c r="M56" s="665"/>
      <c r="N56" s="69" t="s">
        <v>27</v>
      </c>
      <c r="O56" s="69"/>
      <c r="P56" s="68"/>
      <c r="Q56" s="68">
        <v>5.6</v>
      </c>
      <c r="R56" s="68">
        <v>6.3</v>
      </c>
      <c r="S56" s="68"/>
      <c r="T56" s="79"/>
      <c r="U56" s="309"/>
      <c r="V56" s="68"/>
      <c r="W56" s="585">
        <v>5.6</v>
      </c>
      <c r="X56" s="586"/>
      <c r="Y56" s="79"/>
      <c r="Z56" s="79">
        <v>5.7</v>
      </c>
      <c r="AA56" s="51">
        <v>5.7</v>
      </c>
      <c r="AB56" s="586"/>
      <c r="AC56" s="697"/>
    </row>
    <row r="57" spans="12:57">
      <c r="M57" s="662">
        <v>20</v>
      </c>
      <c r="N57" s="96" t="s">
        <v>3</v>
      </c>
      <c r="O57" s="96"/>
      <c r="P57" s="96"/>
      <c r="Q57" s="96"/>
      <c r="R57" s="96"/>
      <c r="S57" s="67">
        <v>45.8</v>
      </c>
      <c r="T57" s="47"/>
      <c r="U57" s="48"/>
      <c r="V57" s="67"/>
      <c r="W57" s="67">
        <v>45.7</v>
      </c>
      <c r="X57" s="47">
        <v>34.299999999999997</v>
      </c>
      <c r="Y57" s="47"/>
      <c r="Z57" s="47">
        <v>46</v>
      </c>
      <c r="AA57" s="49">
        <v>44</v>
      </c>
      <c r="AB57" s="47">
        <v>36</v>
      </c>
      <c r="AC57" s="690">
        <v>34</v>
      </c>
    </row>
    <row r="58" spans="12:57">
      <c r="M58" s="665"/>
      <c r="N58" s="69" t="s">
        <v>96</v>
      </c>
      <c r="O58" s="69"/>
      <c r="P58" s="69"/>
      <c r="Q58" s="69"/>
      <c r="R58" s="68">
        <v>27</v>
      </c>
      <c r="S58" s="68"/>
      <c r="T58" s="79"/>
      <c r="U58" s="309"/>
      <c r="V58" s="68"/>
      <c r="W58" s="68"/>
      <c r="X58" s="79"/>
      <c r="Y58" s="79"/>
      <c r="Z58" s="79"/>
      <c r="AA58" s="51"/>
      <c r="AB58" s="79"/>
      <c r="AC58" s="193"/>
    </row>
    <row r="59" spans="12:57">
      <c r="M59" s="665"/>
      <c r="N59" s="69" t="s">
        <v>4</v>
      </c>
      <c r="O59" s="69"/>
      <c r="P59" s="69"/>
      <c r="Q59" s="69"/>
      <c r="R59" s="69"/>
      <c r="S59" s="68">
        <v>11.3</v>
      </c>
      <c r="T59" s="79"/>
      <c r="U59" s="309"/>
      <c r="V59" s="68"/>
      <c r="W59" s="68">
        <v>11.1</v>
      </c>
      <c r="X59" s="79"/>
      <c r="Y59" s="79"/>
      <c r="Z59" s="79">
        <v>11</v>
      </c>
      <c r="AA59" s="51">
        <v>11</v>
      </c>
      <c r="AB59" s="79"/>
      <c r="AC59" s="193"/>
    </row>
    <row r="60" spans="12:57" ht="15">
      <c r="M60" s="695"/>
      <c r="N60" s="71" t="s">
        <v>27</v>
      </c>
      <c r="O60" s="71"/>
      <c r="P60" s="97"/>
      <c r="Q60" s="97"/>
      <c r="R60" s="97"/>
      <c r="S60" s="72">
        <v>5.5</v>
      </c>
      <c r="T60" s="83"/>
      <c r="U60" s="120"/>
      <c r="V60" s="72"/>
      <c r="W60" s="72">
        <v>5.5</v>
      </c>
      <c r="X60" s="83"/>
      <c r="Y60" s="83"/>
      <c r="Z60" s="83">
        <v>5.7</v>
      </c>
      <c r="AA60" s="228">
        <v>5.7</v>
      </c>
      <c r="AB60" s="83"/>
      <c r="AC60" s="700"/>
    </row>
    <row r="61" spans="12:57">
      <c r="M61" s="662">
        <v>25</v>
      </c>
      <c r="N61" s="96" t="s">
        <v>3</v>
      </c>
      <c r="O61" s="96"/>
      <c r="P61" s="67">
        <v>46</v>
      </c>
      <c r="Q61" s="67">
        <v>47</v>
      </c>
      <c r="R61" s="67">
        <v>45</v>
      </c>
      <c r="S61" s="67"/>
      <c r="T61" s="47"/>
      <c r="U61" s="48"/>
      <c r="V61" s="67"/>
      <c r="W61" s="96"/>
      <c r="X61" s="50"/>
      <c r="Y61" s="47"/>
      <c r="Z61" s="47">
        <v>49</v>
      </c>
      <c r="AA61" s="49">
        <v>46</v>
      </c>
      <c r="AB61" s="47">
        <v>37</v>
      </c>
      <c r="AC61" s="690">
        <v>35</v>
      </c>
    </row>
    <row r="62" spans="12:57">
      <c r="M62" s="665"/>
      <c r="N62" s="69" t="s">
        <v>96</v>
      </c>
      <c r="O62" s="69"/>
      <c r="P62" s="68"/>
      <c r="Q62" s="68"/>
      <c r="R62" s="68"/>
      <c r="S62" s="68"/>
      <c r="T62" s="79"/>
      <c r="U62" s="309"/>
      <c r="V62" s="68"/>
      <c r="W62" s="69"/>
      <c r="X62" s="54"/>
      <c r="Y62" s="79"/>
      <c r="Z62" s="79"/>
      <c r="AA62" s="51"/>
      <c r="AB62" s="79"/>
      <c r="AC62" s="193"/>
    </row>
    <row r="63" spans="12:57">
      <c r="M63" s="665"/>
      <c r="N63" s="69" t="s">
        <v>4</v>
      </c>
      <c r="O63" s="69"/>
      <c r="P63" s="69"/>
      <c r="Q63" s="69"/>
      <c r="R63" s="69"/>
      <c r="S63" s="69"/>
      <c r="T63" s="54"/>
      <c r="U63" s="60"/>
      <c r="V63" s="69"/>
      <c r="W63" s="69"/>
      <c r="X63" s="54"/>
      <c r="Y63" s="54"/>
      <c r="Z63" s="79">
        <v>11</v>
      </c>
      <c r="AA63" s="51">
        <v>11</v>
      </c>
      <c r="AB63" s="54"/>
      <c r="AC63" s="192"/>
    </row>
    <row r="64" spans="12:57">
      <c r="M64" s="694"/>
      <c r="N64" s="71" t="s">
        <v>27</v>
      </c>
      <c r="O64" s="71"/>
      <c r="P64" s="71"/>
      <c r="Q64" s="71"/>
      <c r="R64" s="71"/>
      <c r="S64" s="71"/>
      <c r="T64" s="56"/>
      <c r="U64" s="62"/>
      <c r="V64" s="71"/>
      <c r="W64" s="71"/>
      <c r="X64" s="56"/>
      <c r="Y64" s="56"/>
      <c r="Z64" s="83">
        <v>5.7</v>
      </c>
      <c r="AA64" s="228">
        <v>5.7</v>
      </c>
      <c r="AB64" s="56"/>
      <c r="AC64" s="301"/>
    </row>
    <row r="65" spans="13:29">
      <c r="M65" s="191"/>
      <c r="N65" s="10"/>
      <c r="O65" s="51"/>
      <c r="P65" s="51"/>
      <c r="Q65" s="10"/>
      <c r="R65" s="10" t="s">
        <v>312</v>
      </c>
      <c r="S65" s="10"/>
      <c r="T65" s="10"/>
      <c r="U65" s="10"/>
      <c r="V65" s="10"/>
      <c r="W65" s="10"/>
      <c r="X65" s="10" t="s">
        <v>316</v>
      </c>
      <c r="Y65" s="10"/>
      <c r="Z65" s="10"/>
      <c r="AA65" s="10"/>
      <c r="AB65" s="10"/>
      <c r="AC65" s="192"/>
    </row>
    <row r="66" spans="13:29">
      <c r="M66" s="191"/>
      <c r="N66" s="10"/>
      <c r="O66" s="51"/>
      <c r="P66" s="51"/>
      <c r="Q66" s="10"/>
      <c r="R66" s="10" t="s">
        <v>181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92"/>
    </row>
    <row r="67" spans="13:29" ht="19.5" thickBot="1">
      <c r="M67" s="701"/>
      <c r="N67" s="241"/>
      <c r="O67" s="241"/>
      <c r="P67" s="241"/>
      <c r="Q67" s="241"/>
      <c r="R67" s="241" t="s">
        <v>217</v>
      </c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4"/>
    </row>
    <row r="68" spans="13:29" ht="15" thickBot="1">
      <c r="M68" s="52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3:29">
      <c r="M69" s="285" t="s">
        <v>200</v>
      </c>
      <c r="N69" s="208"/>
      <c r="O69" s="208"/>
      <c r="P69" s="199"/>
      <c r="Q69" s="190"/>
    </row>
    <row r="70" spans="13:29">
      <c r="M70" s="59"/>
      <c r="N70" s="10"/>
      <c r="O70" s="84" t="s">
        <v>40</v>
      </c>
      <c r="P70" s="49" t="s">
        <v>14</v>
      </c>
      <c r="Q70" s="693" t="s">
        <v>41</v>
      </c>
      <c r="R70" s="5"/>
    </row>
    <row r="71" spans="13:29">
      <c r="M71" s="59"/>
      <c r="N71" s="10"/>
      <c r="O71" s="207"/>
      <c r="P71" s="228" t="s">
        <v>199</v>
      </c>
      <c r="Q71" s="301" t="s">
        <v>131</v>
      </c>
      <c r="S71" s="200"/>
      <c r="T71" s="200"/>
      <c r="U71" s="200"/>
    </row>
    <row r="72" spans="13:29">
      <c r="M72" s="702" t="s">
        <v>3</v>
      </c>
      <c r="N72" s="50" t="s">
        <v>7</v>
      </c>
      <c r="O72" s="47">
        <v>15.2</v>
      </c>
      <c r="P72" s="49">
        <v>13.5</v>
      </c>
      <c r="Q72" s="690">
        <v>14.7</v>
      </c>
      <c r="S72" s="200"/>
      <c r="T72" s="200"/>
      <c r="U72" s="200"/>
    </row>
    <row r="73" spans="13:29" ht="15">
      <c r="M73" s="703"/>
      <c r="N73" s="54" t="s">
        <v>127</v>
      </c>
      <c r="O73" s="83">
        <v>4.3</v>
      </c>
      <c r="P73" s="228">
        <v>4.0999999999999996</v>
      </c>
      <c r="Q73" s="700">
        <v>4.3</v>
      </c>
      <c r="S73" s="200"/>
      <c r="T73" s="200"/>
      <c r="U73" s="200"/>
    </row>
    <row r="74" spans="13:29">
      <c r="M74" s="702" t="s">
        <v>4</v>
      </c>
      <c r="N74" s="50" t="s">
        <v>7</v>
      </c>
      <c r="O74" s="47">
        <v>4.3</v>
      </c>
      <c r="P74" s="49">
        <v>4.3</v>
      </c>
      <c r="Q74" s="690">
        <v>4.3</v>
      </c>
      <c r="S74" s="200"/>
      <c r="T74" s="200"/>
      <c r="U74" s="200"/>
    </row>
    <row r="75" spans="13:29" ht="15">
      <c r="M75" s="704"/>
      <c r="N75" s="71" t="s">
        <v>127</v>
      </c>
      <c r="O75" s="83">
        <v>1.3</v>
      </c>
      <c r="P75" s="228">
        <v>1.3</v>
      </c>
      <c r="Q75" s="700">
        <v>1.3</v>
      </c>
    </row>
    <row r="76" spans="13:29">
      <c r="M76" s="702" t="s">
        <v>27</v>
      </c>
      <c r="N76" s="50" t="s">
        <v>7</v>
      </c>
      <c r="O76" s="47">
        <v>1.6</v>
      </c>
      <c r="P76" s="49">
        <v>1.9</v>
      </c>
      <c r="Q76" s="690">
        <v>2</v>
      </c>
    </row>
    <row r="77" spans="13:29" ht="15.75" thickBot="1">
      <c r="M77" s="705"/>
      <c r="N77" s="706" t="s">
        <v>127</v>
      </c>
      <c r="O77" s="304">
        <v>0.6</v>
      </c>
      <c r="P77" s="195">
        <v>0.6</v>
      </c>
      <c r="Q77" s="196">
        <v>0.6</v>
      </c>
    </row>
    <row r="79" spans="13:29" ht="15" customHeight="1" thickBot="1"/>
    <row r="80" spans="13:29">
      <c r="M80" s="296" t="s">
        <v>408</v>
      </c>
      <c r="N80" s="243"/>
      <c r="O80" s="243"/>
      <c r="P80" s="707"/>
      <c r="R80" s="10"/>
    </row>
    <row r="81" spans="13:18">
      <c r="M81" s="708" t="s">
        <v>178</v>
      </c>
      <c r="N81" s="16"/>
      <c r="O81" s="16"/>
      <c r="P81" s="709"/>
      <c r="R81" s="51"/>
    </row>
    <row r="82" spans="13:18">
      <c r="M82" s="710" t="s">
        <v>58</v>
      </c>
      <c r="N82" s="47" t="s">
        <v>3</v>
      </c>
      <c r="O82" s="49" t="s">
        <v>4</v>
      </c>
      <c r="P82" s="690" t="s">
        <v>27</v>
      </c>
      <c r="Q82" s="10"/>
      <c r="R82" s="51"/>
    </row>
    <row r="83" spans="13:18">
      <c r="M83" s="691">
        <v>50</v>
      </c>
      <c r="N83" s="48">
        <v>1.7</v>
      </c>
      <c r="O83" s="49">
        <v>0.16</v>
      </c>
      <c r="P83" s="300">
        <v>0.02</v>
      </c>
      <c r="Q83" s="51"/>
      <c r="R83" s="51"/>
    </row>
    <row r="84" spans="13:18">
      <c r="M84" s="209">
        <v>100</v>
      </c>
      <c r="N84" s="309">
        <v>6.1</v>
      </c>
      <c r="O84" s="51">
        <v>0.81</v>
      </c>
      <c r="P84" s="210">
        <v>0.09</v>
      </c>
      <c r="Q84" s="51"/>
      <c r="R84" s="51"/>
    </row>
    <row r="85" spans="13:18">
      <c r="M85" s="209">
        <v>200</v>
      </c>
      <c r="N85" s="309">
        <v>9.3000000000000007</v>
      </c>
      <c r="O85" s="51">
        <v>1.78</v>
      </c>
      <c r="P85" s="210">
        <v>0.17</v>
      </c>
      <c r="Q85" s="51"/>
    </row>
    <row r="86" spans="13:18">
      <c r="M86" s="209">
        <v>250</v>
      </c>
      <c r="N86" s="309">
        <v>9.8000000000000007</v>
      </c>
      <c r="O86" s="51">
        <v>2.0099999999999998</v>
      </c>
      <c r="P86" s="210">
        <v>0.28000000000000003</v>
      </c>
      <c r="Q86" s="51"/>
    </row>
    <row r="87" spans="13:18">
      <c r="M87" s="211">
        <v>300</v>
      </c>
      <c r="N87" s="120">
        <v>10.6</v>
      </c>
      <c r="O87" s="228">
        <v>2.2200000000000002</v>
      </c>
      <c r="P87" s="711">
        <v>0.46</v>
      </c>
    </row>
    <row r="88" spans="13:18">
      <c r="M88" s="59"/>
      <c r="N88" s="10"/>
      <c r="O88" s="10"/>
      <c r="P88" s="192"/>
    </row>
    <row r="89" spans="13:18">
      <c r="M89" s="708" t="s">
        <v>204</v>
      </c>
      <c r="N89" s="16"/>
      <c r="O89" s="16"/>
      <c r="P89" s="709"/>
    </row>
    <row r="90" spans="13:18">
      <c r="M90" s="712" t="s">
        <v>58</v>
      </c>
      <c r="N90" s="47" t="s">
        <v>3</v>
      </c>
      <c r="O90" s="49" t="s">
        <v>4</v>
      </c>
      <c r="P90" s="690" t="s">
        <v>27</v>
      </c>
    </row>
    <row r="91" spans="13:18">
      <c r="M91" s="691">
        <v>50</v>
      </c>
      <c r="N91" s="48">
        <v>1.3</v>
      </c>
      <c r="O91" s="49"/>
      <c r="P91" s="300">
        <v>1.7999999999999999E-2</v>
      </c>
    </row>
    <row r="92" spans="13:18">
      <c r="M92" s="209">
        <v>100</v>
      </c>
      <c r="N92" s="309">
        <v>5.5</v>
      </c>
      <c r="O92" s="51"/>
      <c r="P92" s="210">
        <v>8.4000000000000005E-2</v>
      </c>
    </row>
    <row r="93" spans="13:18">
      <c r="M93" s="209">
        <v>150</v>
      </c>
      <c r="N93" s="68">
        <v>7</v>
      </c>
      <c r="O93" s="68"/>
      <c r="P93" s="210">
        <v>9.6000000000000002E-2</v>
      </c>
    </row>
    <row r="94" spans="13:18">
      <c r="M94" s="209">
        <v>200</v>
      </c>
      <c r="N94" s="309">
        <v>8.6</v>
      </c>
      <c r="O94" s="51"/>
      <c r="P94" s="210">
        <v>0.14000000000000001</v>
      </c>
    </row>
    <row r="95" spans="13:18">
      <c r="M95" s="209">
        <v>250</v>
      </c>
      <c r="N95" s="309">
        <v>9</v>
      </c>
      <c r="O95" s="51"/>
      <c r="P95" s="210">
        <v>0.28999999999999998</v>
      </c>
    </row>
    <row r="96" spans="13:18">
      <c r="M96" s="211">
        <v>300</v>
      </c>
      <c r="N96" s="120">
        <v>10</v>
      </c>
      <c r="O96" s="228"/>
      <c r="P96" s="711">
        <v>0.56999999999999995</v>
      </c>
    </row>
    <row r="97" spans="13:16">
      <c r="M97" s="713"/>
      <c r="N97" s="10"/>
      <c r="O97" s="10"/>
      <c r="P97" s="192"/>
    </row>
    <row r="98" spans="13:16">
      <c r="M98" s="708" t="s">
        <v>205</v>
      </c>
      <c r="N98" s="16"/>
      <c r="O98" s="16"/>
      <c r="P98" s="709"/>
    </row>
    <row r="99" spans="13:16">
      <c r="M99" s="712" t="s">
        <v>58</v>
      </c>
      <c r="N99" s="47" t="s">
        <v>3</v>
      </c>
      <c r="O99" s="49" t="s">
        <v>4</v>
      </c>
      <c r="P99" s="690" t="s">
        <v>27</v>
      </c>
    </row>
    <row r="100" spans="13:16">
      <c r="M100" s="691">
        <v>50</v>
      </c>
      <c r="N100" s="48">
        <v>1.5</v>
      </c>
      <c r="O100" s="49"/>
      <c r="P100" s="300">
        <v>1.7000000000000001E-2</v>
      </c>
    </row>
    <row r="101" spans="13:16">
      <c r="M101" s="209">
        <v>100</v>
      </c>
      <c r="N101" s="309">
        <v>5.3</v>
      </c>
      <c r="O101" s="51"/>
      <c r="P101" s="210">
        <v>8.7999999999999995E-2</v>
      </c>
    </row>
    <row r="102" spans="13:16">
      <c r="M102" s="209">
        <v>150</v>
      </c>
      <c r="N102" s="68">
        <v>7.4</v>
      </c>
      <c r="O102" s="69"/>
      <c r="P102" s="210">
        <v>9.9000000000000005E-2</v>
      </c>
    </row>
    <row r="103" spans="13:16">
      <c r="M103" s="209">
        <v>200</v>
      </c>
      <c r="N103" s="309">
        <v>8.4</v>
      </c>
      <c r="O103" s="51"/>
      <c r="P103" s="210">
        <v>0.17</v>
      </c>
    </row>
    <row r="104" spans="13:16">
      <c r="M104" s="209">
        <v>250</v>
      </c>
      <c r="N104" s="309">
        <v>9.4</v>
      </c>
      <c r="O104" s="51"/>
      <c r="P104" s="210">
        <v>0.28999999999999998</v>
      </c>
    </row>
    <row r="105" spans="13:16" ht="15" thickBot="1">
      <c r="M105" s="714">
        <v>300</v>
      </c>
      <c r="N105" s="715">
        <v>10.4</v>
      </c>
      <c r="O105" s="195"/>
      <c r="P105" s="716">
        <v>0.48</v>
      </c>
    </row>
  </sheetData>
  <sheetProtection password="C526" sheet="1" objects="1" scenarios="1"/>
  <mergeCells count="29">
    <mergeCell ref="T27:U27"/>
    <mergeCell ref="T11:U11"/>
    <mergeCell ref="T10:V10"/>
    <mergeCell ref="B7:F7"/>
    <mergeCell ref="G7:J7"/>
    <mergeCell ref="G9:J9"/>
    <mergeCell ref="D9:F9"/>
    <mergeCell ref="A1:C1"/>
    <mergeCell ref="W10:X10"/>
    <mergeCell ref="T41:U41"/>
    <mergeCell ref="T42:U42"/>
    <mergeCell ref="B35:D35"/>
    <mergeCell ref="T37:U37"/>
    <mergeCell ref="T43:U43"/>
    <mergeCell ref="B8:C8"/>
    <mergeCell ref="B30:B31"/>
    <mergeCell ref="C30:C31"/>
    <mergeCell ref="T29:U29"/>
    <mergeCell ref="T26:U26"/>
    <mergeCell ref="A34:A35"/>
    <mergeCell ref="Z10:AC10"/>
    <mergeCell ref="T39:U39"/>
    <mergeCell ref="T30:U30"/>
    <mergeCell ref="T31:U31"/>
    <mergeCell ref="B11:C11"/>
    <mergeCell ref="T34:U34"/>
    <mergeCell ref="T35:U35"/>
    <mergeCell ref="T38:U38"/>
    <mergeCell ref="A30:A3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24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Blad17">
    <tabColor rgb="FFFF0000"/>
    <pageSetUpPr fitToPage="1"/>
  </sheetPr>
  <dimension ref="A1:AC58"/>
  <sheetViews>
    <sheetView zoomScale="70" zoomScaleNormal="70" workbookViewId="0">
      <selection activeCell="E15" sqref="E15"/>
    </sheetView>
  </sheetViews>
  <sheetFormatPr defaultRowHeight="14.25"/>
  <cols>
    <col min="1" max="1" width="17.85546875" style="3" customWidth="1"/>
    <col min="2" max="6" width="10.7109375" style="3" customWidth="1"/>
    <col min="7" max="7" width="10" style="3" bestFit="1" customWidth="1"/>
    <col min="8" max="12" width="9.140625" style="3"/>
    <col min="13" max="13" width="4.85546875" style="3" customWidth="1"/>
    <col min="14" max="15" width="9.140625" style="3"/>
    <col min="16" max="16" width="9.140625" style="59"/>
    <col min="17" max="17" width="12.7109375" style="3" customWidth="1"/>
    <col min="18" max="18" width="14.7109375" style="3" customWidth="1"/>
    <col min="19" max="23" width="9.140625" style="3"/>
    <col min="24" max="24" width="11.5703125" style="3" customWidth="1"/>
    <col min="25" max="16384" width="9.140625" style="3"/>
  </cols>
  <sheetData>
    <row r="1" spans="1:29" s="40" customFormat="1" ht="27" thickBot="1">
      <c r="A1" s="218" t="s">
        <v>102</v>
      </c>
      <c r="B1" s="219"/>
      <c r="C1" s="220"/>
      <c r="I1" s="220"/>
      <c r="J1" s="220"/>
      <c r="K1" s="220"/>
      <c r="P1" s="218" t="s">
        <v>235</v>
      </c>
    </row>
    <row r="2" spans="1:29" ht="18.75" thickBot="1">
      <c r="A2" s="221"/>
    </row>
    <row r="3" spans="1:29" ht="18">
      <c r="A3" s="212" t="s">
        <v>278</v>
      </c>
      <c r="B3" s="208"/>
      <c r="C3" s="208"/>
      <c r="D3" s="199"/>
      <c r="E3" s="199"/>
      <c r="F3" s="199"/>
      <c r="G3" s="425"/>
      <c r="H3" s="191"/>
      <c r="I3" s="51"/>
      <c r="J3" s="51"/>
      <c r="K3" s="51"/>
      <c r="L3" s="10"/>
      <c r="M3" s="10"/>
      <c r="Q3" s="3" t="s">
        <v>97</v>
      </c>
    </row>
    <row r="4" spans="1:29" ht="18">
      <c r="A4" s="214"/>
      <c r="B4" s="10"/>
      <c r="C4" s="10"/>
      <c r="D4" s="51"/>
      <c r="E4" s="51"/>
      <c r="F4" s="51" t="s">
        <v>573</v>
      </c>
      <c r="G4" s="193"/>
      <c r="H4" s="191"/>
      <c r="I4" s="51"/>
      <c r="J4" s="51"/>
      <c r="K4" s="51"/>
      <c r="L4" s="10"/>
      <c r="M4" s="10"/>
      <c r="N4" s="222"/>
      <c r="O4" s="222"/>
      <c r="Q4" s="3" t="s">
        <v>222</v>
      </c>
    </row>
    <row r="5" spans="1:29" ht="18">
      <c r="A5" s="315" t="s">
        <v>404</v>
      </c>
      <c r="B5" s="92"/>
      <c r="C5" s="92"/>
      <c r="D5" s="94"/>
      <c r="E5" s="94"/>
      <c r="F5" s="94"/>
      <c r="G5" s="187"/>
      <c r="H5" s="191"/>
      <c r="I5" s="51"/>
      <c r="J5" s="51"/>
      <c r="K5" s="51"/>
      <c r="L5" s="10"/>
      <c r="M5" s="10"/>
      <c r="N5" s="10"/>
      <c r="Q5" s="5"/>
    </row>
    <row r="6" spans="1:29" ht="15.75">
      <c r="A6" s="317"/>
      <c r="B6" s="430" t="s">
        <v>324</v>
      </c>
      <c r="C6" s="430" t="s">
        <v>325</v>
      </c>
      <c r="D6" s="430" t="s">
        <v>326</v>
      </c>
      <c r="E6" s="430" t="s">
        <v>327</v>
      </c>
      <c r="F6" s="430" t="s">
        <v>328</v>
      </c>
      <c r="G6" s="432"/>
      <c r="H6" s="191"/>
      <c r="I6" s="51"/>
      <c r="J6" s="51"/>
      <c r="K6" s="51"/>
      <c r="L6" s="10"/>
      <c r="M6" s="10"/>
      <c r="N6" s="10"/>
      <c r="Q6" s="50" t="s">
        <v>275</v>
      </c>
      <c r="R6" s="6"/>
      <c r="S6" s="6"/>
      <c r="T6" s="49"/>
      <c r="U6" s="6"/>
      <c r="V6" s="49"/>
      <c r="W6" s="6"/>
      <c r="X6" s="6"/>
      <c r="Y6" s="6"/>
      <c r="Z6" s="65"/>
      <c r="AA6" s="51"/>
      <c r="AB6" s="10"/>
      <c r="AC6" s="51"/>
    </row>
    <row r="7" spans="1:29">
      <c r="A7" s="400" t="s">
        <v>103</v>
      </c>
      <c r="B7" s="430">
        <v>0</v>
      </c>
      <c r="C7" s="430">
        <v>0</v>
      </c>
      <c r="D7" s="430">
        <v>0</v>
      </c>
      <c r="E7" s="430">
        <v>45</v>
      </c>
      <c r="F7" s="430">
        <v>0</v>
      </c>
      <c r="G7" s="433"/>
      <c r="H7" s="191"/>
      <c r="I7" s="51"/>
      <c r="J7" s="51"/>
      <c r="K7" s="51"/>
      <c r="L7" s="10"/>
      <c r="M7" s="10"/>
      <c r="N7" s="10"/>
      <c r="Q7" s="54" t="s">
        <v>130</v>
      </c>
      <c r="R7" s="10"/>
      <c r="S7" s="51"/>
      <c r="T7" s="51"/>
      <c r="U7" s="51"/>
      <c r="V7" s="51"/>
      <c r="W7" s="10"/>
      <c r="X7" s="10"/>
      <c r="Y7" s="10"/>
      <c r="Z7" s="309"/>
      <c r="AA7" s="51"/>
      <c r="AB7" s="51"/>
      <c r="AC7" s="51"/>
    </row>
    <row r="8" spans="1:29" ht="15" customHeight="1">
      <c r="A8" s="400" t="s">
        <v>104</v>
      </c>
      <c r="B8" s="430">
        <v>75</v>
      </c>
      <c r="C8" s="430">
        <v>75</v>
      </c>
      <c r="D8" s="430">
        <v>75</v>
      </c>
      <c r="E8" s="430">
        <v>0</v>
      </c>
      <c r="F8" s="430">
        <v>75</v>
      </c>
      <c r="G8" s="433"/>
      <c r="H8" s="191"/>
      <c r="I8" s="51"/>
      <c r="J8" s="51"/>
      <c r="K8" s="51"/>
      <c r="L8" s="10"/>
      <c r="M8" s="10"/>
      <c r="N8" s="10"/>
      <c r="Q8" s="79"/>
      <c r="R8" s="1944" t="s">
        <v>98</v>
      </c>
      <c r="S8" s="1946"/>
      <c r="T8" s="1946"/>
      <c r="U8" s="1946"/>
      <c r="V8" s="1945"/>
      <c r="W8" s="10"/>
      <c r="X8" s="51"/>
      <c r="Y8" s="10"/>
      <c r="Z8" s="197"/>
      <c r="AA8" s="51"/>
      <c r="AB8" s="51"/>
      <c r="AC8" s="51"/>
    </row>
    <row r="9" spans="1:29">
      <c r="A9" s="400" t="s">
        <v>70</v>
      </c>
      <c r="B9" s="429"/>
      <c r="C9" s="429"/>
      <c r="D9" s="429"/>
      <c r="E9" s="429"/>
      <c r="F9" s="429"/>
      <c r="G9" s="432"/>
      <c r="H9" s="186"/>
      <c r="I9" s="12"/>
      <c r="J9" s="12"/>
      <c r="K9" s="12"/>
      <c r="L9" s="90"/>
      <c r="M9" s="10"/>
      <c r="N9" s="10"/>
      <c r="Q9" s="80" t="s">
        <v>70</v>
      </c>
      <c r="R9" s="88">
        <v>0</v>
      </c>
      <c r="S9" s="88">
        <v>30</v>
      </c>
      <c r="T9" s="88">
        <v>45</v>
      </c>
      <c r="U9" s="88">
        <v>60</v>
      </c>
      <c r="V9" s="88">
        <v>75</v>
      </c>
      <c r="W9" s="10"/>
      <c r="X9" s="52"/>
      <c r="Y9" s="51"/>
      <c r="Z9" s="309"/>
      <c r="AA9" s="51"/>
      <c r="AB9" s="51"/>
      <c r="AC9" s="51"/>
    </row>
    <row r="10" spans="1:29">
      <c r="A10" s="109">
        <v>0.5</v>
      </c>
      <c r="B10" s="791"/>
      <c r="C10" s="791"/>
      <c r="D10" s="1159">
        <v>2.375E-2</v>
      </c>
      <c r="E10" s="791"/>
      <c r="F10" s="1159">
        <v>2.375E-2</v>
      </c>
      <c r="G10" s="432"/>
      <c r="H10" s="186"/>
      <c r="I10" s="12"/>
      <c r="J10" s="12"/>
      <c r="K10" s="12"/>
      <c r="L10" s="12"/>
      <c r="M10" s="10"/>
      <c r="N10" s="10"/>
      <c r="Q10" s="67">
        <v>30</v>
      </c>
      <c r="R10" s="67">
        <v>3.0000000000000001E-3</v>
      </c>
      <c r="S10" s="67">
        <v>2.7000000000000001E-3</v>
      </c>
      <c r="T10" s="67">
        <v>2.5999999999999999E-3</v>
      </c>
      <c r="U10" s="67">
        <v>2.2000000000000001E-3</v>
      </c>
      <c r="V10" s="67">
        <v>1.5E-3</v>
      </c>
      <c r="W10" s="10"/>
      <c r="X10" s="51"/>
      <c r="Y10" s="51"/>
      <c r="Z10" s="309"/>
      <c r="AA10" s="51"/>
      <c r="AB10" s="51"/>
      <c r="AC10" s="51"/>
    </row>
    <row r="11" spans="1:29">
      <c r="A11" s="318">
        <v>4</v>
      </c>
      <c r="B11" s="1159">
        <v>1.4999999999999999E-2</v>
      </c>
      <c r="C11" s="1159">
        <v>1.4999999999999999E-2</v>
      </c>
      <c r="D11" s="791"/>
      <c r="E11" s="1159">
        <v>1.4999999999999999E-2</v>
      </c>
      <c r="F11" s="791"/>
      <c r="G11" s="432"/>
      <c r="H11" s="59"/>
      <c r="I11" s="10"/>
      <c r="J11" s="10"/>
      <c r="K11" s="10"/>
      <c r="L11" s="10"/>
      <c r="M11" s="10"/>
      <c r="N11" s="10"/>
      <c r="Q11" s="88">
        <v>24</v>
      </c>
      <c r="R11" s="88">
        <v>3.2000000000000002E-3</v>
      </c>
      <c r="S11" s="88">
        <v>3.2000000000000002E-3</v>
      </c>
      <c r="T11" s="88">
        <v>2.8E-3</v>
      </c>
      <c r="U11" s="88">
        <v>2.3E-3</v>
      </c>
      <c r="V11" s="88">
        <v>1.5E-3</v>
      </c>
      <c r="W11" s="10"/>
      <c r="X11" s="51"/>
      <c r="Y11" s="51"/>
      <c r="Z11" s="309"/>
      <c r="AA11" s="51"/>
      <c r="AB11" s="51"/>
      <c r="AC11" s="51"/>
    </row>
    <row r="12" spans="1:29">
      <c r="A12" s="318">
        <v>6</v>
      </c>
      <c r="B12" s="1159">
        <v>1.7500000000000002E-2</v>
      </c>
      <c r="C12" s="1159">
        <v>1.7500000000000002E-2</v>
      </c>
      <c r="D12" s="791"/>
      <c r="E12" s="1159">
        <v>1.7500000000000002E-2</v>
      </c>
      <c r="F12" s="791"/>
      <c r="G12" s="434"/>
      <c r="H12" s="59"/>
      <c r="I12" s="10"/>
      <c r="J12" s="10"/>
      <c r="K12" s="10"/>
      <c r="L12" s="10"/>
      <c r="M12" s="10"/>
      <c r="N12" s="10"/>
      <c r="Q12" s="217">
        <v>18</v>
      </c>
      <c r="R12" s="88">
        <v>3.3999999999999998E-3</v>
      </c>
      <c r="S12" s="88">
        <v>3.3999999999999998E-3</v>
      </c>
      <c r="T12" s="88">
        <v>3.0000000000000001E-3</v>
      </c>
      <c r="U12" s="88">
        <v>2.5000000000000001E-3</v>
      </c>
      <c r="V12" s="88">
        <v>1.6000000000000001E-3</v>
      </c>
      <c r="W12" s="10"/>
      <c r="X12" s="312"/>
      <c r="Y12" s="51"/>
      <c r="Z12" s="309"/>
      <c r="AA12" s="51"/>
      <c r="AB12" s="51"/>
      <c r="AC12" s="51"/>
    </row>
    <row r="13" spans="1:29">
      <c r="A13" s="318">
        <v>10</v>
      </c>
      <c r="B13" s="1159">
        <v>2.2499999999999999E-2</v>
      </c>
      <c r="C13" s="1159">
        <v>2.2499999999999999E-2</v>
      </c>
      <c r="D13" s="791"/>
      <c r="E13" s="1159">
        <v>2.2499999999999999E-2</v>
      </c>
      <c r="F13" s="791"/>
      <c r="G13" s="192"/>
      <c r="H13" s="186"/>
      <c r="I13" s="12"/>
      <c r="J13" s="12"/>
      <c r="K13" s="12"/>
      <c r="L13" s="12"/>
      <c r="M13" s="10"/>
      <c r="N13" s="10"/>
      <c r="Q13" s="88">
        <v>10</v>
      </c>
      <c r="R13" s="88">
        <v>4.3E-3</v>
      </c>
      <c r="S13" s="88">
        <v>4.1000000000000003E-3</v>
      </c>
      <c r="T13" s="88">
        <v>3.8E-3</v>
      </c>
      <c r="U13" s="88">
        <v>3.0999999999999999E-3</v>
      </c>
      <c r="V13" s="88">
        <v>2.0999999999999999E-3</v>
      </c>
      <c r="W13" s="10"/>
      <c r="X13" s="51"/>
      <c r="Y13" s="51"/>
      <c r="Z13" s="309"/>
      <c r="AA13" s="51"/>
      <c r="AB13" s="51"/>
      <c r="AC13" s="51"/>
    </row>
    <row r="14" spans="1:29">
      <c r="A14" s="318">
        <v>15</v>
      </c>
      <c r="B14" s="1159">
        <v>3.2500000000000001E-2</v>
      </c>
      <c r="C14" s="1159">
        <v>3.2500000000000001E-2</v>
      </c>
      <c r="D14" s="791"/>
      <c r="E14" s="1159">
        <v>3.2500000000000001E-2</v>
      </c>
      <c r="F14" s="791"/>
      <c r="G14" s="192"/>
      <c r="H14" s="186"/>
      <c r="I14" s="12"/>
      <c r="J14" s="12"/>
      <c r="K14" s="12"/>
      <c r="L14" s="12"/>
      <c r="M14" s="10"/>
      <c r="N14" s="10"/>
      <c r="Q14" s="68">
        <v>6</v>
      </c>
      <c r="R14" s="68">
        <v>5.3E-3</v>
      </c>
      <c r="S14" s="68">
        <v>5.1999999999999998E-3</v>
      </c>
      <c r="T14" s="68">
        <v>4.7000000000000002E-3</v>
      </c>
      <c r="U14" s="68">
        <v>4.0000000000000001E-3</v>
      </c>
      <c r="V14" s="68">
        <v>2.7000000000000001E-3</v>
      </c>
      <c r="W14" s="10"/>
      <c r="X14" s="51"/>
      <c r="Y14" s="51"/>
      <c r="Z14" s="309"/>
      <c r="AA14" s="51"/>
      <c r="AB14" s="51"/>
      <c r="AC14" s="51"/>
    </row>
    <row r="15" spans="1:29">
      <c r="A15" s="318">
        <v>18</v>
      </c>
      <c r="B15" s="1159">
        <v>3.7499999999999999E-2</v>
      </c>
      <c r="C15" s="1159">
        <v>3.7499999999999999E-2</v>
      </c>
      <c r="D15" s="791"/>
      <c r="E15" s="1159">
        <v>3.7499999999999999E-2</v>
      </c>
      <c r="F15" s="791"/>
      <c r="G15" s="192"/>
      <c r="H15" s="186"/>
      <c r="I15" s="12"/>
      <c r="J15" s="12"/>
      <c r="K15" s="12"/>
      <c r="L15" s="12"/>
      <c r="M15" s="10"/>
      <c r="N15" s="10"/>
      <c r="Q15" s="67">
        <v>4</v>
      </c>
      <c r="R15" s="67">
        <v>6.7000000000000002E-3</v>
      </c>
      <c r="S15" s="67">
        <v>6.4000000000000003E-3</v>
      </c>
      <c r="T15" s="67">
        <v>5.7999999999999996E-3</v>
      </c>
      <c r="U15" s="67">
        <v>4.8999999999999998E-3</v>
      </c>
      <c r="V15" s="67">
        <v>3.0999999999999999E-3</v>
      </c>
      <c r="W15" s="10"/>
      <c r="X15" s="51"/>
      <c r="Y15" s="51"/>
      <c r="Z15" s="309"/>
      <c r="AA15" s="51"/>
      <c r="AB15" s="51"/>
      <c r="AC15" s="51"/>
    </row>
    <row r="16" spans="1:29">
      <c r="A16" s="318" t="s">
        <v>310</v>
      </c>
      <c r="B16" s="1159">
        <v>1.49E-2</v>
      </c>
      <c r="C16" s="1159">
        <v>1.49E-2</v>
      </c>
      <c r="D16" s="791"/>
      <c r="E16" s="1159">
        <v>1.49E-2</v>
      </c>
      <c r="F16" s="791"/>
      <c r="G16" s="192"/>
      <c r="H16" s="215"/>
      <c r="I16" s="90"/>
      <c r="J16" s="90"/>
      <c r="K16" s="90"/>
      <c r="L16" s="90"/>
      <c r="M16" s="10"/>
      <c r="N16" s="10"/>
      <c r="Q16" s="88">
        <v>0.5</v>
      </c>
      <c r="R16" s="88">
        <v>1.9E-2</v>
      </c>
      <c r="S16" s="88">
        <v>1.7000000000000001E-2</v>
      </c>
      <c r="T16" s="88">
        <v>1.4999999999999999E-2</v>
      </c>
      <c r="U16" s="88">
        <v>1.2999999999999999E-2</v>
      </c>
      <c r="V16" s="88">
        <v>8.0000000000000002E-3</v>
      </c>
      <c r="W16" s="10"/>
      <c r="X16" s="51"/>
      <c r="Y16" s="51"/>
      <c r="Z16" s="309"/>
      <c r="AA16" s="51"/>
      <c r="AB16" s="51"/>
      <c r="AC16" s="51"/>
    </row>
    <row r="17" spans="1:26">
      <c r="A17" s="318" t="s">
        <v>451</v>
      </c>
      <c r="B17" s="1159">
        <v>0.02</v>
      </c>
      <c r="C17" s="1159">
        <v>0.02</v>
      </c>
      <c r="D17" s="791"/>
      <c r="E17" s="1159">
        <v>0.02</v>
      </c>
      <c r="F17" s="791"/>
      <c r="G17" s="433"/>
      <c r="H17" s="59"/>
      <c r="I17" s="10"/>
      <c r="J17" s="10"/>
      <c r="K17" s="10"/>
      <c r="L17" s="10"/>
      <c r="M17" s="10"/>
      <c r="N17" s="10"/>
      <c r="Q17" s="54"/>
      <c r="R17" s="10"/>
      <c r="S17" s="10"/>
      <c r="T17" s="10"/>
      <c r="U17" s="10"/>
      <c r="V17" s="10"/>
      <c r="W17" s="10"/>
      <c r="X17" s="10"/>
      <c r="Y17" s="10"/>
      <c r="Z17" s="60"/>
    </row>
    <row r="18" spans="1:26" ht="16.5">
      <c r="A18" s="318" t="s">
        <v>309</v>
      </c>
      <c r="B18" s="1159">
        <v>1.4999999999999999E-2</v>
      </c>
      <c r="C18" s="1159">
        <v>1.4999999999999999E-2</v>
      </c>
      <c r="D18" s="791"/>
      <c r="E18" s="1159">
        <v>1.4999999999999999E-2</v>
      </c>
      <c r="F18" s="791"/>
      <c r="G18" s="435"/>
      <c r="H18" s="59"/>
      <c r="I18" s="10"/>
      <c r="J18" s="10"/>
      <c r="K18" s="10"/>
      <c r="L18" s="10"/>
      <c r="M18" s="10"/>
      <c r="N18" s="10"/>
      <c r="Q18" s="54" t="s">
        <v>223</v>
      </c>
      <c r="R18" s="10"/>
      <c r="S18" s="51"/>
      <c r="T18" s="51"/>
      <c r="U18" s="51"/>
      <c r="V18" s="51"/>
      <c r="W18" s="10"/>
      <c r="X18" s="10"/>
      <c r="Y18" s="10"/>
      <c r="Z18" s="60"/>
    </row>
    <row r="19" spans="1:26" ht="15" customHeight="1">
      <c r="A19" s="10"/>
      <c r="B19" s="792"/>
      <c r="C19" s="792"/>
      <c r="D19" s="792"/>
      <c r="E19" s="792"/>
      <c r="F19" s="792"/>
      <c r="G19" s="434"/>
      <c r="H19" s="59"/>
      <c r="I19" s="10"/>
      <c r="J19" s="10"/>
      <c r="K19" s="10"/>
      <c r="L19" s="10"/>
      <c r="M19" s="10"/>
      <c r="N19" s="10"/>
      <c r="Q19" s="79"/>
      <c r="R19" s="1944" t="s">
        <v>98</v>
      </c>
      <c r="S19" s="1946"/>
      <c r="T19" s="1946"/>
      <c r="U19" s="1946"/>
      <c r="V19" s="1945"/>
      <c r="W19" s="10"/>
      <c r="X19" s="10"/>
      <c r="Y19" s="10"/>
      <c r="Z19" s="60"/>
    </row>
    <row r="20" spans="1:26">
      <c r="A20" s="10"/>
      <c r="B20" s="92"/>
      <c r="C20" s="92"/>
      <c r="D20" s="92"/>
      <c r="E20" s="92"/>
      <c r="F20" s="92"/>
      <c r="G20" s="434"/>
      <c r="H20" s="59"/>
      <c r="I20" s="10"/>
      <c r="J20" s="10"/>
      <c r="K20" s="10"/>
      <c r="L20" s="10"/>
      <c r="M20" s="10"/>
      <c r="N20" s="10"/>
      <c r="Q20" s="80" t="s">
        <v>70</v>
      </c>
      <c r="R20" s="88">
        <v>0</v>
      </c>
      <c r="S20" s="88">
        <v>30</v>
      </c>
      <c r="T20" s="88">
        <v>45</v>
      </c>
      <c r="U20" s="88">
        <v>60</v>
      </c>
      <c r="V20" s="88">
        <v>75</v>
      </c>
      <c r="W20" s="10"/>
      <c r="X20" s="10"/>
      <c r="Y20" s="10"/>
      <c r="Z20" s="60"/>
    </row>
    <row r="21" spans="1:26" ht="18">
      <c r="A21" s="315" t="s">
        <v>405</v>
      </c>
      <c r="B21" s="92"/>
      <c r="C21" s="92"/>
      <c r="D21" s="92"/>
      <c r="E21" s="92"/>
      <c r="F21" s="92"/>
      <c r="G21" s="434"/>
      <c r="H21" s="59"/>
      <c r="I21" s="10"/>
      <c r="J21" s="10"/>
      <c r="K21" s="10"/>
      <c r="L21" s="10"/>
      <c r="M21" s="10"/>
      <c r="N21" s="10"/>
      <c r="Q21" s="67">
        <v>30</v>
      </c>
      <c r="R21" s="67">
        <v>4.7999999999999996E-3</v>
      </c>
      <c r="S21" s="67">
        <v>5.0000000000000001E-3</v>
      </c>
      <c r="T21" s="67">
        <v>4.8999999999999998E-3</v>
      </c>
      <c r="U21" s="67">
        <v>4.0000000000000001E-3</v>
      </c>
      <c r="V21" s="67">
        <v>3.0000000000000001E-3</v>
      </c>
      <c r="W21" s="10"/>
      <c r="X21" s="10"/>
      <c r="Y21" s="10"/>
      <c r="Z21" s="60"/>
    </row>
    <row r="22" spans="1:26" ht="15.75">
      <c r="A22" s="314"/>
      <c r="B22" s="430" t="s">
        <v>324</v>
      </c>
      <c r="C22" s="430" t="s">
        <v>325</v>
      </c>
      <c r="D22" s="430" t="s">
        <v>326</v>
      </c>
      <c r="E22" s="430" t="s">
        <v>327</v>
      </c>
      <c r="F22" s="430" t="s">
        <v>328</v>
      </c>
      <c r="G22" s="434"/>
      <c r="H22" s="59"/>
      <c r="I22" s="10"/>
      <c r="J22" s="10"/>
      <c r="K22" s="10"/>
      <c r="L22" s="10"/>
      <c r="M22" s="10"/>
      <c r="N22" s="10"/>
      <c r="Q22" s="67">
        <v>24</v>
      </c>
      <c r="R22" s="67">
        <v>3.7000000000000002E-3</v>
      </c>
      <c r="S22" s="67">
        <v>3.8999999999999998E-3</v>
      </c>
      <c r="T22" s="67">
        <v>3.8999999999999998E-3</v>
      </c>
      <c r="U22" s="67">
        <v>3.7000000000000002E-3</v>
      </c>
      <c r="V22" s="67">
        <v>3.3999999999999998E-3</v>
      </c>
      <c r="W22" s="10"/>
      <c r="X22" s="10"/>
      <c r="Y22" s="10"/>
      <c r="Z22" s="60"/>
    </row>
    <row r="23" spans="1:26">
      <c r="A23" s="313" t="s">
        <v>103</v>
      </c>
      <c r="B23" s="430">
        <v>0</v>
      </c>
      <c r="C23" s="430">
        <v>0</v>
      </c>
      <c r="D23" s="430">
        <v>45</v>
      </c>
      <c r="E23" s="430">
        <v>45</v>
      </c>
      <c r="F23" s="430">
        <v>0</v>
      </c>
      <c r="G23" s="434"/>
      <c r="H23" s="59"/>
      <c r="I23" s="10"/>
      <c r="J23" s="10"/>
      <c r="K23" s="10"/>
      <c r="L23" s="10"/>
      <c r="M23" s="10"/>
      <c r="Q23" s="217">
        <v>18</v>
      </c>
      <c r="R23" s="88">
        <v>4.4999999999999997E-3</v>
      </c>
      <c r="S23" s="88">
        <v>4.5999999999999999E-3</v>
      </c>
      <c r="T23" s="88">
        <v>4.5999999999999999E-3</v>
      </c>
      <c r="U23" s="88">
        <v>4.3E-3</v>
      </c>
      <c r="V23" s="88">
        <v>4.0000000000000001E-3</v>
      </c>
      <c r="W23" s="10"/>
      <c r="X23" s="10"/>
      <c r="Y23" s="10"/>
      <c r="Z23" s="60"/>
    </row>
    <row r="24" spans="1:26">
      <c r="A24" s="313" t="s">
        <v>104</v>
      </c>
      <c r="B24" s="430">
        <v>30</v>
      </c>
      <c r="C24" s="430">
        <v>75</v>
      </c>
      <c r="D24" s="430">
        <v>0</v>
      </c>
      <c r="E24" s="430">
        <v>0</v>
      </c>
      <c r="F24" s="430">
        <v>75</v>
      </c>
      <c r="G24" s="434"/>
      <c r="H24" s="59"/>
      <c r="I24" s="10"/>
      <c r="J24" s="10"/>
      <c r="K24" s="10"/>
      <c r="L24" s="10"/>
      <c r="M24" s="10"/>
      <c r="Q24" s="88">
        <v>10</v>
      </c>
      <c r="R24" s="88">
        <v>5.1000000000000004E-3</v>
      </c>
      <c r="S24" s="88">
        <v>5.7000000000000002E-3</v>
      </c>
      <c r="T24" s="88">
        <v>5.7999999999999996E-3</v>
      </c>
      <c r="U24" s="88">
        <v>6.0000000000000001E-3</v>
      </c>
      <c r="V24" s="88">
        <v>6.0000000000000001E-3</v>
      </c>
      <c r="W24" s="10"/>
      <c r="X24" s="10"/>
      <c r="Y24" s="10"/>
      <c r="Z24" s="60"/>
    </row>
    <row r="25" spans="1:26">
      <c r="A25" s="431" t="s">
        <v>70</v>
      </c>
      <c r="B25" s="430"/>
      <c r="C25" s="430"/>
      <c r="D25" s="430"/>
      <c r="E25" s="430"/>
      <c r="F25" s="430"/>
      <c r="G25" s="434"/>
      <c r="M25" s="10"/>
      <c r="Q25" s="68">
        <v>6</v>
      </c>
      <c r="R25" s="68">
        <v>6.4000000000000003E-3</v>
      </c>
      <c r="S25" s="68">
        <v>7.1000000000000004E-3</v>
      </c>
      <c r="T25" s="68">
        <v>7.3000000000000001E-3</v>
      </c>
      <c r="U25" s="68">
        <v>7.7000000000000002E-3</v>
      </c>
      <c r="V25" s="68">
        <v>8.0000000000000002E-3</v>
      </c>
      <c r="W25" s="10"/>
      <c r="X25" s="10"/>
      <c r="Y25" s="10"/>
      <c r="Z25" s="60"/>
    </row>
    <row r="26" spans="1:26">
      <c r="A26" s="318">
        <v>0.5</v>
      </c>
      <c r="B26" s="791"/>
      <c r="C26" s="791"/>
      <c r="D26" s="1159">
        <v>2.375E-2</v>
      </c>
      <c r="E26" s="791"/>
      <c r="F26" s="1159">
        <v>2.375E-2</v>
      </c>
      <c r="G26" s="434"/>
      <c r="M26" s="10"/>
      <c r="Q26" s="67">
        <v>4</v>
      </c>
      <c r="R26" s="67">
        <v>7.6E-3</v>
      </c>
      <c r="S26" s="67">
        <v>8.5000000000000006E-3</v>
      </c>
      <c r="T26" s="67">
        <v>8.9999999999999993E-3</v>
      </c>
      <c r="U26" s="67">
        <v>9.1999999999999998E-3</v>
      </c>
      <c r="V26" s="67">
        <v>9.4999999999999998E-3</v>
      </c>
      <c r="W26" s="10"/>
      <c r="X26" s="10"/>
      <c r="Y26" s="10"/>
      <c r="Z26" s="60"/>
    </row>
    <row r="27" spans="1:26">
      <c r="A27" s="318">
        <v>4</v>
      </c>
      <c r="B27" s="1159">
        <v>1.4999999999999999E-2</v>
      </c>
      <c r="C27" s="1159">
        <v>1.4999999999999999E-2</v>
      </c>
      <c r="D27" s="791"/>
      <c r="E27" s="1159">
        <v>1.4999999999999999E-2</v>
      </c>
      <c r="F27" s="791"/>
      <c r="G27" s="434"/>
      <c r="M27" s="10"/>
      <c r="Q27" s="88">
        <v>0.5</v>
      </c>
      <c r="R27" s="88">
        <v>2.1999999999999999E-2</v>
      </c>
      <c r="S27" s="88">
        <v>2.2499999999999999E-2</v>
      </c>
      <c r="T27" s="88">
        <v>2.1999999999999999E-2</v>
      </c>
      <c r="U27" s="88">
        <v>0.02</v>
      </c>
      <c r="V27" s="88">
        <v>1.7999999999999999E-2</v>
      </c>
      <c r="W27" s="10"/>
      <c r="X27" s="10"/>
      <c r="Y27" s="10"/>
      <c r="Z27" s="60"/>
    </row>
    <row r="28" spans="1:26">
      <c r="A28" s="318">
        <v>6</v>
      </c>
      <c r="B28" s="1159">
        <v>1.7500000000000002E-2</v>
      </c>
      <c r="C28" s="1159">
        <v>1.7500000000000002E-2</v>
      </c>
      <c r="D28" s="791"/>
      <c r="E28" s="1159">
        <v>1.7500000000000002E-2</v>
      </c>
      <c r="F28" s="791"/>
      <c r="G28" s="434"/>
      <c r="Q28" s="79"/>
      <c r="R28" s="51"/>
      <c r="S28" s="51"/>
      <c r="T28" s="51"/>
      <c r="U28" s="51"/>
      <c r="V28" s="51"/>
      <c r="W28" s="10"/>
      <c r="X28" s="10"/>
      <c r="Y28" s="10"/>
      <c r="Z28" s="60"/>
    </row>
    <row r="29" spans="1:26">
      <c r="A29" s="318">
        <v>10</v>
      </c>
      <c r="B29" s="1159">
        <v>2.2499999999999999E-2</v>
      </c>
      <c r="C29" s="1159">
        <v>2.2499999999999999E-2</v>
      </c>
      <c r="D29" s="791"/>
      <c r="E29" s="1159">
        <v>2.2499999999999999E-2</v>
      </c>
      <c r="F29" s="791"/>
      <c r="G29" s="434"/>
      <c r="Q29" s="54" t="s">
        <v>272</v>
      </c>
      <c r="R29" s="10"/>
      <c r="S29" s="10"/>
      <c r="T29" s="10"/>
      <c r="U29" s="10"/>
      <c r="V29" s="10"/>
      <c r="W29" s="10"/>
      <c r="X29" s="10"/>
      <c r="Y29" s="10"/>
      <c r="Z29" s="60"/>
    </row>
    <row r="30" spans="1:26">
      <c r="A30" s="318">
        <v>15</v>
      </c>
      <c r="B30" s="1159">
        <v>3.2500000000000001E-2</v>
      </c>
      <c r="C30" s="1159">
        <v>3.2500000000000001E-2</v>
      </c>
      <c r="D30" s="791"/>
      <c r="E30" s="1159">
        <v>3.2500000000000001E-2</v>
      </c>
      <c r="F30" s="791"/>
      <c r="G30" s="434"/>
      <c r="Q30" s="56" t="s">
        <v>273</v>
      </c>
      <c r="R30" s="13"/>
      <c r="S30" s="13"/>
      <c r="T30" s="13"/>
      <c r="U30" s="13"/>
      <c r="V30" s="13"/>
      <c r="W30" s="13"/>
      <c r="X30" s="13"/>
      <c r="Y30" s="13"/>
      <c r="Z30" s="62"/>
    </row>
    <row r="31" spans="1:26">
      <c r="A31" s="318">
        <v>18</v>
      </c>
      <c r="B31" s="1159">
        <v>3.7499999999999999E-2</v>
      </c>
      <c r="C31" s="1159">
        <v>3.7499999999999999E-2</v>
      </c>
      <c r="D31" s="791"/>
      <c r="E31" s="1159">
        <v>3.7499999999999999E-2</v>
      </c>
      <c r="F31" s="791"/>
      <c r="G31" s="192"/>
      <c r="Q31" s="50"/>
      <c r="R31" s="6"/>
      <c r="S31" s="6"/>
      <c r="T31" s="6"/>
      <c r="U31" s="6"/>
      <c r="V31" s="6"/>
      <c r="W31" s="6"/>
      <c r="X31" s="6"/>
      <c r="Y31" s="6"/>
      <c r="Z31" s="65"/>
    </row>
    <row r="32" spans="1:26">
      <c r="A32" s="318" t="s">
        <v>310</v>
      </c>
      <c r="B32" s="1159">
        <v>1.49E-2</v>
      </c>
      <c r="C32" s="1159">
        <v>1.49E-2</v>
      </c>
      <c r="D32" s="791"/>
      <c r="E32" s="1159">
        <v>1.49E-2</v>
      </c>
      <c r="F32" s="791"/>
      <c r="G32" s="192"/>
      <c r="Q32" s="54" t="s">
        <v>14</v>
      </c>
      <c r="R32" s="10"/>
      <c r="S32" s="10"/>
      <c r="T32" s="10"/>
      <c r="U32" s="10"/>
      <c r="V32" s="10"/>
      <c r="W32" s="10"/>
      <c r="X32" s="10"/>
      <c r="Y32" s="10"/>
      <c r="Z32" s="60"/>
    </row>
    <row r="33" spans="1:26">
      <c r="A33" s="318" t="s">
        <v>451</v>
      </c>
      <c r="B33" s="1159">
        <v>0.02</v>
      </c>
      <c r="C33" s="1159">
        <v>0.02</v>
      </c>
      <c r="D33" s="791"/>
      <c r="E33" s="1159">
        <v>0.02</v>
      </c>
      <c r="F33" s="791"/>
      <c r="G33" s="192"/>
      <c r="Q33" s="54" t="s">
        <v>99</v>
      </c>
      <c r="R33" s="10"/>
      <c r="S33" s="10"/>
      <c r="T33" s="10"/>
      <c r="U33" s="10"/>
      <c r="V33" s="10"/>
      <c r="W33" s="10"/>
      <c r="X33" s="10"/>
      <c r="Y33" s="10"/>
      <c r="Z33" s="60"/>
    </row>
    <row r="34" spans="1:26" ht="16.5">
      <c r="A34" s="318" t="s">
        <v>309</v>
      </c>
      <c r="B34" s="1159">
        <v>1.4999999999999999E-2</v>
      </c>
      <c r="C34" s="1159">
        <v>1.4999999999999999E-2</v>
      </c>
      <c r="D34" s="791"/>
      <c r="E34" s="1159">
        <v>1.4999999999999999E-2</v>
      </c>
      <c r="F34" s="791"/>
      <c r="G34" s="192"/>
      <c r="Q34" s="493" t="s">
        <v>3</v>
      </c>
      <c r="R34" s="67" t="s">
        <v>224</v>
      </c>
      <c r="S34" s="67" t="s">
        <v>225</v>
      </c>
      <c r="T34" s="10"/>
      <c r="U34" s="10"/>
      <c r="V34" s="10"/>
      <c r="W34" s="10"/>
      <c r="X34" s="10"/>
      <c r="Y34" s="10"/>
      <c r="Z34" s="60"/>
    </row>
    <row r="35" spans="1:26">
      <c r="A35" s="10"/>
      <c r="B35" s="10"/>
      <c r="C35" s="10"/>
      <c r="D35" s="10"/>
      <c r="E35" s="10"/>
      <c r="F35" s="10"/>
      <c r="G35" s="192"/>
      <c r="Q35" s="80" t="s">
        <v>70</v>
      </c>
      <c r="R35" s="72" t="s">
        <v>100</v>
      </c>
      <c r="S35" s="72" t="s">
        <v>101</v>
      </c>
      <c r="T35" s="10"/>
      <c r="U35" s="10"/>
      <c r="V35" s="10"/>
      <c r="W35" s="10"/>
      <c r="X35" s="10"/>
      <c r="Y35" s="10"/>
      <c r="Z35" s="60"/>
    </row>
    <row r="36" spans="1:26" ht="15" thickBot="1">
      <c r="A36" s="241"/>
      <c r="B36" s="241"/>
      <c r="C36" s="241"/>
      <c r="D36" s="241"/>
      <c r="E36" s="241"/>
      <c r="F36" s="241"/>
      <c r="G36" s="4"/>
      <c r="Q36" s="88">
        <v>25</v>
      </c>
      <c r="R36" s="88">
        <v>0.16</v>
      </c>
      <c r="S36" s="88">
        <f t="shared" ref="S36:S42" si="0">R36*0.01*100/4</f>
        <v>0.04</v>
      </c>
      <c r="T36" s="10"/>
      <c r="U36" s="10"/>
      <c r="V36" s="10"/>
      <c r="W36" s="10"/>
      <c r="X36" s="10"/>
      <c r="Y36" s="10"/>
      <c r="Z36" s="60"/>
    </row>
    <row r="37" spans="1:26">
      <c r="Q37" s="217">
        <v>18</v>
      </c>
      <c r="R37" s="88">
        <v>0.15</v>
      </c>
      <c r="S37" s="88">
        <f t="shared" si="0"/>
        <v>3.7499999999999999E-2</v>
      </c>
      <c r="T37" s="10"/>
      <c r="U37" s="10"/>
      <c r="V37" s="10"/>
      <c r="W37" s="10"/>
      <c r="X37" s="10"/>
      <c r="Y37" s="10"/>
      <c r="Z37" s="60"/>
    </row>
    <row r="38" spans="1:26">
      <c r="Q38" s="217">
        <v>15</v>
      </c>
      <c r="R38" s="88">
        <v>0.13</v>
      </c>
      <c r="S38" s="88">
        <f t="shared" si="0"/>
        <v>3.2500000000000001E-2</v>
      </c>
      <c r="T38" s="10"/>
      <c r="U38" s="10"/>
      <c r="V38" s="10"/>
      <c r="W38" s="10"/>
      <c r="X38" s="10"/>
      <c r="Y38" s="10"/>
      <c r="Z38" s="60"/>
    </row>
    <row r="39" spans="1:26">
      <c r="Q39" s="88">
        <v>10</v>
      </c>
      <c r="R39" s="88">
        <v>0.09</v>
      </c>
      <c r="S39" s="88">
        <f t="shared" si="0"/>
        <v>2.2499999999999999E-2</v>
      </c>
      <c r="T39" s="10"/>
      <c r="U39" s="10"/>
      <c r="V39" s="10"/>
      <c r="W39" s="10"/>
      <c r="X39" s="10"/>
      <c r="Y39" s="10"/>
      <c r="Z39" s="60"/>
    </row>
    <row r="40" spans="1:26">
      <c r="Q40" s="88">
        <v>6</v>
      </c>
      <c r="R40" s="88">
        <v>7.0000000000000007E-2</v>
      </c>
      <c r="S40" s="88">
        <f t="shared" si="0"/>
        <v>1.7500000000000002E-2</v>
      </c>
      <c r="T40" s="10"/>
      <c r="U40" s="10"/>
      <c r="V40" s="10"/>
      <c r="W40" s="10"/>
      <c r="X40" s="10"/>
      <c r="Y40" s="10"/>
      <c r="Z40" s="60"/>
    </row>
    <row r="41" spans="1:26">
      <c r="Q41" s="88">
        <v>4</v>
      </c>
      <c r="R41" s="88">
        <v>0.06</v>
      </c>
      <c r="S41" s="88">
        <f>R41*0.01*100/4</f>
        <v>1.4999999999999999E-2</v>
      </c>
      <c r="T41" s="10"/>
      <c r="U41" s="10"/>
      <c r="V41" s="10"/>
      <c r="W41" s="10"/>
      <c r="X41" s="10"/>
      <c r="Y41" s="10"/>
      <c r="Z41" s="60"/>
    </row>
    <row r="42" spans="1:26">
      <c r="Q42" s="88">
        <v>0.5</v>
      </c>
      <c r="R42" s="88">
        <v>9.5000000000000001E-2</v>
      </c>
      <c r="S42" s="88">
        <f t="shared" si="0"/>
        <v>2.375E-2</v>
      </c>
      <c r="T42" s="10"/>
      <c r="U42" s="10"/>
      <c r="V42" s="10"/>
      <c r="W42" s="10"/>
      <c r="X42" s="10"/>
      <c r="Y42" s="10"/>
      <c r="Z42" s="60"/>
    </row>
    <row r="43" spans="1:26">
      <c r="Q43" s="54" t="s">
        <v>274</v>
      </c>
      <c r="R43" s="10"/>
      <c r="S43" s="10"/>
      <c r="T43" s="10"/>
      <c r="U43" s="10"/>
      <c r="V43" s="10"/>
      <c r="W43" s="10"/>
      <c r="X43" s="10"/>
      <c r="Y43" s="10"/>
      <c r="Z43" s="60"/>
    </row>
    <row r="44" spans="1:26">
      <c r="Q44" s="54"/>
      <c r="R44" s="10"/>
      <c r="S44" s="10"/>
      <c r="T44" s="10"/>
      <c r="U44" s="10"/>
      <c r="V44" s="10"/>
      <c r="W44" s="10"/>
      <c r="X44" s="10"/>
      <c r="Y44" s="10"/>
      <c r="Z44" s="60"/>
    </row>
    <row r="45" spans="1:26">
      <c r="Q45" s="54"/>
      <c r="R45" s="10"/>
      <c r="S45" s="10"/>
      <c r="T45" s="10"/>
      <c r="U45" s="10"/>
      <c r="V45" s="10"/>
      <c r="W45" s="10"/>
      <c r="X45" s="10"/>
      <c r="Y45" s="10"/>
      <c r="Z45" s="60"/>
    </row>
    <row r="46" spans="1:26">
      <c r="Q46" s="54" t="s">
        <v>14</v>
      </c>
      <c r="R46" s="10"/>
      <c r="S46" s="10"/>
      <c r="T46" s="10"/>
      <c r="U46" s="10"/>
      <c r="V46" s="10"/>
      <c r="W46" s="10"/>
      <c r="X46" s="10"/>
      <c r="Y46" s="10"/>
      <c r="Z46" s="60"/>
    </row>
    <row r="47" spans="1:26">
      <c r="Q47" s="54" t="s">
        <v>128</v>
      </c>
      <c r="R47" s="10"/>
      <c r="S47" s="10"/>
      <c r="T47" s="10"/>
      <c r="U47" s="10"/>
      <c r="V47" s="10"/>
      <c r="W47" s="10"/>
      <c r="X47" s="10"/>
      <c r="Y47" s="10"/>
      <c r="Z47" s="60"/>
    </row>
    <row r="48" spans="1:26">
      <c r="A48" s="10"/>
      <c r="Q48" s="80" t="s">
        <v>70</v>
      </c>
      <c r="R48" s="88"/>
      <c r="S48" s="10"/>
      <c r="T48" s="10"/>
      <c r="U48" s="10"/>
      <c r="V48" s="10"/>
      <c r="W48" s="10"/>
      <c r="X48" s="10"/>
      <c r="Y48" s="10"/>
      <c r="Z48" s="60"/>
    </row>
    <row r="49" spans="1:26" ht="16.5">
      <c r="A49" s="92"/>
      <c r="Q49" s="80"/>
      <c r="R49" s="67" t="s">
        <v>277</v>
      </c>
      <c r="S49" s="67"/>
      <c r="T49" s="10"/>
      <c r="U49" s="10"/>
      <c r="V49" s="10"/>
      <c r="W49" s="10"/>
      <c r="X49" s="10"/>
      <c r="Y49" s="10"/>
      <c r="Z49" s="60"/>
    </row>
    <row r="50" spans="1:26">
      <c r="Q50" s="88"/>
      <c r="R50" s="163" t="s">
        <v>129</v>
      </c>
      <c r="S50" s="310"/>
      <c r="T50" s="16"/>
      <c r="U50" s="188"/>
      <c r="V50" s="10"/>
      <c r="W50" s="10"/>
      <c r="X50" s="10"/>
      <c r="Y50" s="10"/>
      <c r="Z50" s="60"/>
    </row>
    <row r="51" spans="1:26">
      <c r="A51" s="94"/>
      <c r="Q51" s="217"/>
      <c r="R51" s="88">
        <v>0</v>
      </c>
      <c r="S51" s="88">
        <v>30</v>
      </c>
      <c r="T51" s="88">
        <v>45</v>
      </c>
      <c r="U51" s="88">
        <v>60</v>
      </c>
      <c r="V51" s="10"/>
      <c r="W51" s="10"/>
      <c r="X51" s="10"/>
      <c r="Y51" s="10"/>
      <c r="Z51" s="60"/>
    </row>
    <row r="52" spans="1:26">
      <c r="A52" s="94"/>
      <c r="Q52" s="88">
        <v>6</v>
      </c>
      <c r="R52" s="88">
        <v>1E-3</v>
      </c>
      <c r="S52" s="88">
        <v>5.0000000000000001E-3</v>
      </c>
      <c r="T52" s="88">
        <v>6.0000000000000001E-3</v>
      </c>
      <c r="U52" s="88">
        <v>6.4999999999999997E-3</v>
      </c>
      <c r="V52" s="10"/>
      <c r="W52" s="10"/>
      <c r="X52" s="10"/>
      <c r="Y52" s="10"/>
      <c r="Z52" s="60"/>
    </row>
    <row r="53" spans="1:26">
      <c r="A53" s="12"/>
      <c r="Q53" s="163"/>
      <c r="R53" s="310"/>
      <c r="S53" s="310"/>
      <c r="T53" s="13"/>
      <c r="U53" s="13"/>
      <c r="V53" s="13"/>
      <c r="W53" s="13"/>
      <c r="X53" s="13"/>
      <c r="Y53" s="13"/>
      <c r="Z53" s="62"/>
    </row>
    <row r="54" spans="1:26">
      <c r="A54" s="12"/>
    </row>
    <row r="55" spans="1:26">
      <c r="A55" s="12"/>
      <c r="Q55" s="51"/>
      <c r="R55" s="51"/>
      <c r="S55" s="51"/>
    </row>
    <row r="56" spans="1:26">
      <c r="A56" s="12"/>
      <c r="Q56" s="51"/>
      <c r="R56" s="51"/>
      <c r="S56" s="51"/>
    </row>
    <row r="57" spans="1:26">
      <c r="A57" s="90"/>
    </row>
    <row r="58" spans="1:26">
      <c r="A58" s="12"/>
    </row>
  </sheetData>
  <mergeCells count="2">
    <mergeCell ref="R8:V8"/>
    <mergeCell ref="R19:V19"/>
  </mergeCells>
  <phoneticPr fontId="0" type="noConversion"/>
  <pageMargins left="0.70866141732283472" right="0.70866141732283472" top="0.74803149606299213" bottom="0.74803149606299213" header="0.31496062992125984" footer="0.31496062992125984"/>
  <pageSetup paperSize="8" scale="4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Blad18">
    <tabColor rgb="FFFF0000"/>
    <pageSetUpPr fitToPage="1"/>
  </sheetPr>
  <dimension ref="A1:Y64"/>
  <sheetViews>
    <sheetView zoomScaleNormal="100" workbookViewId="0">
      <selection activeCell="E9" sqref="E9"/>
    </sheetView>
  </sheetViews>
  <sheetFormatPr defaultRowHeight="14.25"/>
  <cols>
    <col min="1" max="1" width="17.85546875" style="3" customWidth="1"/>
    <col min="2" max="6" width="10.7109375" style="3" customWidth="1"/>
    <col min="7" max="7" width="10" style="3" bestFit="1" customWidth="1"/>
    <col min="8" max="9" width="10" style="3" customWidth="1"/>
    <col min="10" max="11" width="9.140625" style="3"/>
    <col min="12" max="12" width="9.140625" style="59"/>
    <col min="13" max="13" width="12.7109375" style="3" customWidth="1"/>
    <col min="14" max="19" width="10.7109375" style="5" customWidth="1"/>
    <col min="20" max="20" width="11.5703125" style="3" customWidth="1"/>
    <col min="21" max="16384" width="9.140625" style="3"/>
  </cols>
  <sheetData>
    <row r="1" spans="1:25" s="40" customFormat="1" ht="27" thickBot="1">
      <c r="A1" s="218" t="s">
        <v>478</v>
      </c>
      <c r="B1" s="219"/>
      <c r="C1" s="220"/>
      <c r="K1" s="220"/>
      <c r="L1" s="218" t="s">
        <v>427</v>
      </c>
      <c r="N1" s="219"/>
      <c r="O1" s="219"/>
      <c r="P1" s="219"/>
      <c r="Q1" s="219"/>
      <c r="R1" s="219"/>
      <c r="S1" s="219"/>
    </row>
    <row r="2" spans="1:25" ht="18.75" thickBot="1">
      <c r="A2" s="221"/>
    </row>
    <row r="3" spans="1:25" ht="18">
      <c r="A3" s="212" t="s">
        <v>278</v>
      </c>
      <c r="B3" s="208"/>
      <c r="C3" s="208"/>
      <c r="D3" s="199"/>
      <c r="E3" s="199"/>
      <c r="F3" s="199"/>
      <c r="G3" s="199"/>
      <c r="H3" s="199"/>
      <c r="I3" s="425"/>
      <c r="J3" s="51"/>
      <c r="K3" s="51"/>
    </row>
    <row r="4" spans="1:25" ht="18">
      <c r="A4" s="214"/>
      <c r="B4" s="10"/>
      <c r="C4" s="10"/>
      <c r="D4" s="51"/>
      <c r="E4" s="51"/>
      <c r="F4" s="51"/>
      <c r="G4" s="51"/>
      <c r="H4" s="51"/>
      <c r="I4" s="193"/>
      <c r="J4" s="51"/>
      <c r="K4" s="51"/>
    </row>
    <row r="5" spans="1:25" ht="18">
      <c r="A5" s="315"/>
      <c r="B5" s="92"/>
      <c r="C5" s="92"/>
      <c r="D5" s="94"/>
      <c r="E5" s="94"/>
      <c r="F5" s="94"/>
      <c r="G5" s="12"/>
      <c r="H5" s="12"/>
      <c r="I5" s="187"/>
      <c r="J5" s="51"/>
      <c r="K5" s="51"/>
      <c r="M5" s="10" t="s">
        <v>40</v>
      </c>
    </row>
    <row r="6" spans="1:25" ht="16.5">
      <c r="A6" s="287"/>
      <c r="B6" s="1944" t="s">
        <v>406</v>
      </c>
      <c r="C6" s="1946"/>
      <c r="D6" s="1946"/>
      <c r="E6" s="1946"/>
      <c r="F6" s="1946"/>
      <c r="G6" s="1946"/>
      <c r="H6" s="79"/>
      <c r="I6" s="193"/>
      <c r="J6" s="51"/>
      <c r="K6" s="51"/>
      <c r="M6" s="10" t="s">
        <v>407</v>
      </c>
      <c r="N6" s="52" t="s">
        <v>444</v>
      </c>
      <c r="O6" s="51"/>
      <c r="P6" s="51"/>
      <c r="Q6" s="51"/>
      <c r="R6" s="51"/>
      <c r="S6" s="51"/>
      <c r="T6" s="10"/>
      <c r="U6" s="10"/>
      <c r="V6" s="10"/>
      <c r="W6" s="51"/>
      <c r="X6" s="10"/>
      <c r="Y6" s="51"/>
    </row>
    <row r="7" spans="1:25" ht="14.25" customHeight="1">
      <c r="A7" s="771" t="s">
        <v>340</v>
      </c>
      <c r="B7" s="88">
        <v>30</v>
      </c>
      <c r="C7" s="88">
        <v>45</v>
      </c>
      <c r="D7" s="88">
        <v>60</v>
      </c>
      <c r="E7" s="88">
        <v>90</v>
      </c>
      <c r="F7" s="88">
        <v>120</v>
      </c>
      <c r="G7" s="163">
        <v>135</v>
      </c>
      <c r="H7" s="79"/>
      <c r="I7" s="193"/>
      <c r="J7" s="51"/>
      <c r="K7" s="51"/>
      <c r="M7" s="10"/>
      <c r="N7" s="52" t="s">
        <v>443</v>
      </c>
      <c r="O7" s="51"/>
      <c r="P7" s="51"/>
      <c r="Q7" s="51"/>
      <c r="R7" s="51"/>
      <c r="S7" s="51"/>
      <c r="T7" s="10"/>
      <c r="U7" s="10"/>
      <c r="V7" s="51"/>
      <c r="W7" s="51"/>
      <c r="X7" s="51"/>
      <c r="Y7" s="51"/>
    </row>
    <row r="8" spans="1:25" ht="15" customHeight="1">
      <c r="A8" s="662">
        <v>50</v>
      </c>
      <c r="B8" s="1160">
        <v>5.0000000000000001E-4</v>
      </c>
      <c r="C8" s="1160">
        <v>2.0000000000000001E-4</v>
      </c>
      <c r="D8" s="1161">
        <v>2.5000000000000001E-4</v>
      </c>
      <c r="E8" s="1161">
        <v>3.5E-4</v>
      </c>
      <c r="F8" s="1160">
        <v>8.0000000000000004E-4</v>
      </c>
      <c r="G8" s="1162">
        <v>1E-3</v>
      </c>
      <c r="H8" s="774"/>
      <c r="I8" s="772"/>
      <c r="J8" s="51"/>
      <c r="K8" s="51"/>
      <c r="M8" s="228"/>
      <c r="N8" s="1944" t="s">
        <v>406</v>
      </c>
      <c r="O8" s="1946"/>
      <c r="P8" s="1946"/>
      <c r="Q8" s="1946"/>
      <c r="R8" s="1946"/>
      <c r="S8" s="1945"/>
      <c r="T8" s="51"/>
      <c r="U8" s="10"/>
      <c r="V8" s="52"/>
      <c r="W8" s="51"/>
      <c r="X8" s="51"/>
      <c r="Y8" s="51"/>
    </row>
    <row r="9" spans="1:25">
      <c r="A9" s="663">
        <v>100</v>
      </c>
      <c r="B9" s="1163">
        <v>1.5E-3</v>
      </c>
      <c r="C9" s="1163">
        <v>1.1999999999999999E-3</v>
      </c>
      <c r="D9" s="1163">
        <v>1.1999999999999999E-3</v>
      </c>
      <c r="E9" s="1163">
        <v>1.2999999999999999E-3</v>
      </c>
      <c r="F9" s="1163">
        <v>2E-3</v>
      </c>
      <c r="G9" s="1162">
        <v>2.2000000000000001E-3</v>
      </c>
      <c r="H9" s="774"/>
      <c r="I9" s="772"/>
      <c r="J9" s="12"/>
      <c r="K9" s="12"/>
      <c r="M9" s="80" t="s">
        <v>340</v>
      </c>
      <c r="N9" s="88">
        <v>30</v>
      </c>
      <c r="O9" s="88">
        <v>45</v>
      </c>
      <c r="P9" s="88">
        <v>60</v>
      </c>
      <c r="Q9" s="88">
        <v>90</v>
      </c>
      <c r="R9" s="88">
        <v>120</v>
      </c>
      <c r="S9" s="88">
        <v>135</v>
      </c>
      <c r="T9" s="52"/>
      <c r="U9" s="51"/>
      <c r="V9" s="51"/>
      <c r="W9" s="51"/>
      <c r="X9" s="51"/>
      <c r="Y9" s="51"/>
    </row>
    <row r="10" spans="1:25">
      <c r="A10" s="664">
        <v>150</v>
      </c>
      <c r="B10" s="1163">
        <v>2E-3</v>
      </c>
      <c r="C10" s="1163">
        <v>1.6000000000000001E-3</v>
      </c>
      <c r="D10" s="1163">
        <v>1.6000000000000001E-3</v>
      </c>
      <c r="E10" s="1163">
        <v>1.6000000000000001E-3</v>
      </c>
      <c r="F10" s="1163">
        <v>2.3999999999999998E-3</v>
      </c>
      <c r="G10" s="1162">
        <v>2.5999999999999999E-3</v>
      </c>
      <c r="H10" s="774"/>
      <c r="I10" s="772"/>
      <c r="J10" s="12"/>
      <c r="K10" s="12"/>
      <c r="M10" s="67">
        <v>50</v>
      </c>
      <c r="N10" s="569">
        <v>5.0000000000000001E-4</v>
      </c>
      <c r="O10" s="569">
        <v>2.0000000000000001E-4</v>
      </c>
      <c r="P10" s="572">
        <v>2.5000000000000001E-4</v>
      </c>
      <c r="Q10" s="572">
        <v>3.5E-4</v>
      </c>
      <c r="R10" s="569">
        <v>8.0000000000000004E-4</v>
      </c>
      <c r="S10" s="570">
        <v>1E-3</v>
      </c>
      <c r="T10" s="51"/>
      <c r="U10" s="51"/>
      <c r="V10" s="51"/>
      <c r="W10" s="51"/>
      <c r="X10" s="51"/>
      <c r="Y10" s="51"/>
    </row>
    <row r="11" spans="1:25">
      <c r="A11" s="663">
        <v>200</v>
      </c>
      <c r="B11" s="1163">
        <v>2.3999999999999998E-3</v>
      </c>
      <c r="C11" s="1163">
        <v>2E-3</v>
      </c>
      <c r="D11" s="1163">
        <v>1.9E-3</v>
      </c>
      <c r="E11" s="1163">
        <v>1.9E-3</v>
      </c>
      <c r="F11" s="1163">
        <v>2.7000000000000001E-3</v>
      </c>
      <c r="G11" s="1162">
        <v>2.8E-3</v>
      </c>
      <c r="H11" s="774"/>
      <c r="I11" s="772"/>
      <c r="J11" s="10"/>
      <c r="K11" s="10"/>
      <c r="M11" s="88">
        <v>100</v>
      </c>
      <c r="N11" s="570">
        <v>1.5E-3</v>
      </c>
      <c r="O11" s="570">
        <v>1.1999999999999999E-3</v>
      </c>
      <c r="P11" s="570">
        <v>1.1999999999999999E-3</v>
      </c>
      <c r="Q11" s="570">
        <v>1.2999999999999999E-3</v>
      </c>
      <c r="R11" s="570">
        <v>2E-3</v>
      </c>
      <c r="S11" s="570">
        <v>2.2000000000000001E-3</v>
      </c>
      <c r="T11" s="51"/>
      <c r="U11" s="51"/>
      <c r="V11" s="51"/>
      <c r="W11" s="51"/>
      <c r="X11" s="51"/>
      <c r="Y11" s="51"/>
    </row>
    <row r="12" spans="1:25">
      <c r="A12" s="665">
        <v>250</v>
      </c>
      <c r="B12" s="1164">
        <v>5.4999999999999997E-3</v>
      </c>
      <c r="C12" s="1164">
        <v>2.0999999999999999E-3</v>
      </c>
      <c r="D12" s="1164">
        <v>1.9E-3</v>
      </c>
      <c r="E12" s="1164">
        <v>1.9E-3</v>
      </c>
      <c r="F12" s="1164">
        <v>2.7000000000000001E-3</v>
      </c>
      <c r="G12" s="1162">
        <v>2.8E-3</v>
      </c>
      <c r="H12" s="774"/>
      <c r="I12" s="772"/>
      <c r="J12" s="10"/>
      <c r="K12" s="10"/>
      <c r="M12" s="217">
        <v>150</v>
      </c>
      <c r="N12" s="570">
        <v>2E-3</v>
      </c>
      <c r="O12" s="570">
        <v>1.6000000000000001E-3</v>
      </c>
      <c r="P12" s="570">
        <v>1.6000000000000001E-3</v>
      </c>
      <c r="Q12" s="570">
        <v>1.6000000000000001E-3</v>
      </c>
      <c r="R12" s="570">
        <v>2.3999999999999998E-3</v>
      </c>
      <c r="S12" s="570">
        <v>2.5999999999999999E-3</v>
      </c>
      <c r="T12" s="312"/>
      <c r="U12" s="51"/>
      <c r="V12" s="51"/>
      <c r="W12" s="51"/>
      <c r="X12" s="51"/>
      <c r="Y12" s="51"/>
    </row>
    <row r="13" spans="1:25">
      <c r="A13" s="662">
        <v>300</v>
      </c>
      <c r="B13" s="1160">
        <v>2.5999999999999999E-3</v>
      </c>
      <c r="C13" s="1160">
        <v>2.2000000000000001E-3</v>
      </c>
      <c r="D13" s="1160">
        <v>2E-3</v>
      </c>
      <c r="E13" s="1160">
        <v>1.9E-3</v>
      </c>
      <c r="F13" s="1160">
        <v>2.5999999999999999E-3</v>
      </c>
      <c r="G13" s="1162">
        <v>2.8E-3</v>
      </c>
      <c r="H13" s="774"/>
      <c r="I13" s="772"/>
      <c r="J13" s="12"/>
      <c r="K13" s="12"/>
      <c r="M13" s="88">
        <v>200</v>
      </c>
      <c r="N13" s="570">
        <v>2.3999999999999998E-3</v>
      </c>
      <c r="O13" s="570">
        <v>2E-3</v>
      </c>
      <c r="P13" s="570">
        <v>1.9E-3</v>
      </c>
      <c r="Q13" s="570">
        <v>1.9E-3</v>
      </c>
      <c r="R13" s="570">
        <v>2.7000000000000001E-3</v>
      </c>
      <c r="S13" s="570">
        <v>2.8E-3</v>
      </c>
      <c r="T13" s="51"/>
      <c r="U13" s="51"/>
      <c r="V13" s="51"/>
      <c r="W13" s="51"/>
      <c r="X13" s="51"/>
      <c r="Y13" s="51"/>
    </row>
    <row r="14" spans="1:25" ht="15" thickBot="1">
      <c r="A14" s="666"/>
      <c r="B14" s="667"/>
      <c r="C14" s="667"/>
      <c r="D14" s="667"/>
      <c r="E14" s="667"/>
      <c r="F14" s="667"/>
      <c r="G14" s="244"/>
      <c r="H14" s="56"/>
      <c r="I14" s="192"/>
      <c r="J14" s="12"/>
      <c r="K14" s="12"/>
      <c r="M14" s="68">
        <v>250</v>
      </c>
      <c r="N14" s="571">
        <v>5.4999999999999997E-3</v>
      </c>
      <c r="O14" s="571">
        <v>2.0999999999999999E-3</v>
      </c>
      <c r="P14" s="571">
        <v>1.9E-3</v>
      </c>
      <c r="Q14" s="571">
        <v>1.9E-3</v>
      </c>
      <c r="R14" s="571">
        <v>2.7000000000000001E-3</v>
      </c>
      <c r="S14" s="570">
        <v>2.8E-3</v>
      </c>
      <c r="T14" s="51"/>
      <c r="U14" s="51"/>
      <c r="V14" s="51"/>
      <c r="W14" s="51"/>
      <c r="X14" s="51"/>
      <c r="Y14" s="51"/>
    </row>
    <row r="15" spans="1:25">
      <c r="A15" s="287" t="s">
        <v>447</v>
      </c>
      <c r="B15" s="1944" t="s">
        <v>406</v>
      </c>
      <c r="C15" s="1946"/>
      <c r="D15" s="1946"/>
      <c r="E15" s="1946"/>
      <c r="F15" s="1946"/>
      <c r="G15" s="1946"/>
      <c r="H15" s="1946"/>
      <c r="I15" s="1947"/>
      <c r="J15" s="12"/>
      <c r="K15" s="12"/>
      <c r="M15" s="67">
        <v>300</v>
      </c>
      <c r="N15" s="569">
        <v>2.5999999999999999E-3</v>
      </c>
      <c r="O15" s="569">
        <v>2.2000000000000001E-3</v>
      </c>
      <c r="P15" s="569">
        <v>2E-3</v>
      </c>
      <c r="Q15" s="569">
        <v>1.9E-3</v>
      </c>
      <c r="R15" s="569">
        <v>2.5999999999999999E-3</v>
      </c>
      <c r="S15" s="570">
        <v>2.8E-3</v>
      </c>
      <c r="T15" s="51"/>
      <c r="U15" s="51"/>
      <c r="V15" s="51"/>
      <c r="W15" s="51"/>
      <c r="X15" s="51"/>
      <c r="Y15" s="51"/>
    </row>
    <row r="16" spans="1:25">
      <c r="A16" s="191"/>
      <c r="B16" s="88">
        <v>10</v>
      </c>
      <c r="C16" s="88">
        <v>20</v>
      </c>
      <c r="D16" s="88">
        <v>30</v>
      </c>
      <c r="E16" s="88">
        <v>45</v>
      </c>
      <c r="F16" s="88">
        <v>60</v>
      </c>
      <c r="G16" s="88">
        <v>90</v>
      </c>
      <c r="H16" s="88">
        <v>135</v>
      </c>
      <c r="I16" s="458">
        <v>150</v>
      </c>
      <c r="J16" s="90"/>
      <c r="K16" s="90"/>
      <c r="M16" s="49"/>
      <c r="N16" s="49"/>
      <c r="O16" s="49"/>
      <c r="P16" s="49"/>
      <c r="Q16" s="49"/>
      <c r="R16" s="49"/>
      <c r="S16" s="49"/>
      <c r="T16" s="51"/>
      <c r="U16" s="51"/>
      <c r="V16" s="51"/>
      <c r="W16" s="51"/>
      <c r="X16" s="51"/>
      <c r="Y16" s="51"/>
    </row>
    <row r="17" spans="1:22">
      <c r="A17" s="780" t="s">
        <v>445</v>
      </c>
      <c r="B17" s="1165">
        <v>1.0999999999999999E-2</v>
      </c>
      <c r="C17" s="1165">
        <v>0.08</v>
      </c>
      <c r="D17" s="1165">
        <v>6.0000000000000001E-3</v>
      </c>
      <c r="E17" s="1165">
        <v>3.7000000000000002E-3</v>
      </c>
      <c r="F17" s="1165">
        <v>2.2000000000000001E-3</v>
      </c>
      <c r="G17" s="1165">
        <v>9.1E-4</v>
      </c>
      <c r="H17" s="1165">
        <v>5.4000000000000001E-4</v>
      </c>
      <c r="I17" s="1166">
        <v>1.4999999999999999E-4</v>
      </c>
      <c r="J17" s="10"/>
      <c r="K17" s="10"/>
      <c r="V17" s="10"/>
    </row>
    <row r="18" spans="1:22">
      <c r="A18" s="781">
        <v>4</v>
      </c>
      <c r="B18" s="1167">
        <v>1.04E-2</v>
      </c>
      <c r="C18" s="1167">
        <v>6.7299999999999999E-3</v>
      </c>
      <c r="D18" s="1167">
        <v>2.7699999999999999E-3</v>
      </c>
      <c r="E18" s="1167">
        <v>2.0899999999999998E-3</v>
      </c>
      <c r="F18" s="1167">
        <v>1.24E-3</v>
      </c>
      <c r="G18" s="1167">
        <v>6.3900000000000003E-4</v>
      </c>
      <c r="H18" s="1167">
        <v>4.4999999999999999E-4</v>
      </c>
      <c r="I18" s="1168">
        <v>4.3100000000000001E-4</v>
      </c>
      <c r="K18" s="10"/>
      <c r="M18" s="52" t="s">
        <v>448</v>
      </c>
      <c r="N18" s="51"/>
      <c r="O18" s="51"/>
      <c r="P18" s="51"/>
      <c r="Q18" s="51"/>
      <c r="R18" s="51"/>
      <c r="S18" s="51"/>
      <c r="T18" s="51"/>
      <c r="U18" s="51"/>
      <c r="V18" s="10"/>
    </row>
    <row r="19" spans="1:22">
      <c r="A19" s="781">
        <v>6</v>
      </c>
      <c r="B19" s="1167">
        <v>1.04E-2</v>
      </c>
      <c r="C19" s="1167">
        <v>6.7299999999999999E-3</v>
      </c>
      <c r="D19" s="1167">
        <v>2.7699999999999999E-3</v>
      </c>
      <c r="E19" s="1167">
        <v>1.39E-3</v>
      </c>
      <c r="F19" s="1167">
        <v>8.2399999999999997E-4</v>
      </c>
      <c r="G19" s="1167">
        <v>4.26E-4</v>
      </c>
      <c r="H19" s="1167">
        <v>2.9999999999999997E-4</v>
      </c>
      <c r="I19" s="1168">
        <v>2.8699999999999998E-4</v>
      </c>
      <c r="J19" s="10"/>
      <c r="K19" s="10"/>
      <c r="M19" s="3" t="s">
        <v>446</v>
      </c>
      <c r="N19" s="51"/>
      <c r="O19" s="51"/>
      <c r="P19" s="51"/>
      <c r="Q19" s="51"/>
      <c r="R19" s="51"/>
      <c r="S19" s="51"/>
      <c r="T19" s="51"/>
      <c r="U19" s="51"/>
      <c r="V19" s="10"/>
    </row>
    <row r="20" spans="1:22" ht="16.5">
      <c r="A20" s="782">
        <v>10</v>
      </c>
      <c r="B20" s="1167">
        <v>1.66E-2</v>
      </c>
      <c r="C20" s="1167">
        <v>5.79E-3</v>
      </c>
      <c r="D20" s="1167">
        <v>3.1800000000000001E-3</v>
      </c>
      <c r="E20" s="1167">
        <v>1.3500000000000001E-3</v>
      </c>
      <c r="F20" s="1167">
        <v>7.4600000000000003E-4</v>
      </c>
      <c r="G20" s="1167">
        <v>3.8099999999999999E-4</v>
      </c>
      <c r="H20" s="1167">
        <v>3.0200000000000002E-4</v>
      </c>
      <c r="I20" s="1168">
        <v>2.7399999999999999E-4</v>
      </c>
      <c r="J20" s="10"/>
      <c r="K20" s="10"/>
      <c r="M20" s="10"/>
      <c r="N20" s="10" t="s">
        <v>442</v>
      </c>
      <c r="O20" s="51"/>
      <c r="P20" s="51"/>
      <c r="Q20" s="51"/>
      <c r="R20" s="51"/>
      <c r="S20" s="51"/>
      <c r="T20" s="10"/>
      <c r="U20" s="10"/>
      <c r="V20" s="10"/>
    </row>
    <row r="21" spans="1:22">
      <c r="A21" s="782">
        <v>15</v>
      </c>
      <c r="B21" s="1167">
        <v>1.5100000000000001E-2</v>
      </c>
      <c r="C21" s="1167">
        <v>5.5399999999999998E-3</v>
      </c>
      <c r="D21" s="1167">
        <v>2.7699999999999999E-3</v>
      </c>
      <c r="E21" s="1167">
        <v>1.0499999999999999E-3</v>
      </c>
      <c r="F21" s="1167">
        <v>5.4500000000000002E-4</v>
      </c>
      <c r="G21" s="1167">
        <v>2.61E-4</v>
      </c>
      <c r="H21" s="1167">
        <v>1.9100000000000001E-4</v>
      </c>
      <c r="I21" s="1168">
        <v>1.7799999999999999E-4</v>
      </c>
      <c r="J21" s="10"/>
      <c r="K21" s="10"/>
      <c r="N21" s="52" t="s">
        <v>443</v>
      </c>
      <c r="V21" s="10"/>
    </row>
    <row r="22" spans="1:22">
      <c r="A22" s="781">
        <v>18</v>
      </c>
      <c r="B22" s="1167">
        <v>1.4200000000000001E-2</v>
      </c>
      <c r="C22" s="1167">
        <v>5.3899999999999998E-3</v>
      </c>
      <c r="D22" s="1167">
        <v>2.5300000000000001E-3</v>
      </c>
      <c r="E22" s="1167">
        <v>8.6399999999999997E-4</v>
      </c>
      <c r="F22" s="1167">
        <v>4.2400000000000001E-4</v>
      </c>
      <c r="G22" s="1167">
        <v>1.8900000000000001E-4</v>
      </c>
      <c r="H22" s="1169">
        <v>1.2400000000000001E-4</v>
      </c>
      <c r="I22" s="1168">
        <v>1.2E-4</v>
      </c>
      <c r="J22" s="10"/>
      <c r="K22" s="10"/>
      <c r="M22" s="51"/>
      <c r="N22" s="1944" t="s">
        <v>406</v>
      </c>
      <c r="O22" s="1946"/>
      <c r="P22" s="1946"/>
      <c r="Q22" s="1946"/>
      <c r="R22" s="1946"/>
      <c r="S22" s="1946"/>
      <c r="T22" s="1946"/>
      <c r="U22" s="1945"/>
      <c r="V22" s="10"/>
    </row>
    <row r="23" spans="1:22">
      <c r="A23" s="781">
        <v>20</v>
      </c>
      <c r="B23" s="1167">
        <v>1.52E-2</v>
      </c>
      <c r="C23" s="1167">
        <v>5.6600000000000001E-3</v>
      </c>
      <c r="D23" s="1167">
        <v>2.5899999999999999E-3</v>
      </c>
      <c r="E23" s="1167">
        <v>8.5400000000000005E-4</v>
      </c>
      <c r="F23" s="1167">
        <v>4.1300000000000001E-4</v>
      </c>
      <c r="G23" s="1167">
        <v>1.85E-4</v>
      </c>
      <c r="H23" s="1169">
        <v>1.2300000000000001E-4</v>
      </c>
      <c r="I23" s="1168">
        <v>1.18E-4</v>
      </c>
      <c r="J23" s="10"/>
      <c r="K23" s="10"/>
      <c r="M23" s="62"/>
      <c r="N23" s="88">
        <v>10</v>
      </c>
      <c r="O23" s="88">
        <v>20</v>
      </c>
      <c r="P23" s="88">
        <v>30</v>
      </c>
      <c r="Q23" s="88">
        <v>45</v>
      </c>
      <c r="R23" s="88">
        <v>60</v>
      </c>
      <c r="S23" s="88">
        <v>90</v>
      </c>
      <c r="T23" s="88">
        <v>135</v>
      </c>
      <c r="U23" s="88">
        <v>150</v>
      </c>
      <c r="V23" s="10"/>
    </row>
    <row r="24" spans="1:22">
      <c r="A24" s="780">
        <v>24</v>
      </c>
      <c r="B24" s="1165">
        <v>1.78E-2</v>
      </c>
      <c r="C24" s="1165">
        <v>6.3200000000000001E-3</v>
      </c>
      <c r="D24" s="1165">
        <v>2.7399999999999998E-3</v>
      </c>
      <c r="E24" s="1165">
        <v>8.3000000000000001E-4</v>
      </c>
      <c r="F24" s="1165">
        <v>3.86E-4</v>
      </c>
      <c r="G24" s="1165">
        <v>1.74E-4</v>
      </c>
      <c r="H24" s="1170">
        <v>1.2E-4</v>
      </c>
      <c r="I24" s="1166">
        <v>1.13E-4</v>
      </c>
      <c r="J24" s="10"/>
      <c r="K24" s="10"/>
      <c r="M24" s="67" t="s">
        <v>445</v>
      </c>
      <c r="N24" s="569">
        <v>1.0999999999999999E-2</v>
      </c>
      <c r="O24" s="569">
        <v>0.08</v>
      </c>
      <c r="P24" s="569">
        <v>6.0000000000000001E-3</v>
      </c>
      <c r="Q24" s="569">
        <v>3.7000000000000002E-3</v>
      </c>
      <c r="R24" s="569">
        <v>2.2000000000000001E-3</v>
      </c>
      <c r="S24" s="570">
        <v>9.1E-4</v>
      </c>
      <c r="T24" s="570">
        <v>5.4000000000000001E-4</v>
      </c>
      <c r="U24" s="570">
        <v>1.4999999999999999E-4</v>
      </c>
      <c r="V24" s="10"/>
    </row>
    <row r="25" spans="1:22">
      <c r="A25" s="663" t="s">
        <v>310</v>
      </c>
      <c r="B25" s="1171">
        <v>1.1599999999999999E-2</v>
      </c>
      <c r="C25" s="1171">
        <v>4.4299999999999999E-3</v>
      </c>
      <c r="D25" s="1171">
        <v>2.63E-3</v>
      </c>
      <c r="E25" s="1171">
        <v>1.1999999999999999E-3</v>
      </c>
      <c r="F25" s="1171">
        <v>6.8599999999999998E-4</v>
      </c>
      <c r="G25" s="1171">
        <v>4.0299999999999998E-4</v>
      </c>
      <c r="H25" s="1169">
        <v>3.8200000000000002E-4</v>
      </c>
      <c r="I25" s="1172">
        <v>3.4699999999999998E-4</v>
      </c>
      <c r="J25" s="10"/>
      <c r="M25" s="88">
        <v>6</v>
      </c>
      <c r="N25" s="570">
        <v>1.04E-2</v>
      </c>
      <c r="O25" s="570">
        <v>6.7299999999999999E-3</v>
      </c>
      <c r="P25" s="570">
        <v>2.7699999999999999E-3</v>
      </c>
      <c r="Q25" s="570">
        <v>1.39E-3</v>
      </c>
      <c r="R25" s="570">
        <v>8.2399999999999997E-4</v>
      </c>
      <c r="S25" s="570">
        <v>4.26E-4</v>
      </c>
      <c r="T25" s="570">
        <v>2.9999999999999997E-4</v>
      </c>
      <c r="U25" s="570">
        <v>2.8699999999999998E-4</v>
      </c>
      <c r="V25" s="10"/>
    </row>
    <row r="26" spans="1:22">
      <c r="A26" s="663" t="s">
        <v>451</v>
      </c>
      <c r="B26" s="1171">
        <v>9.6299999999999997E-3</v>
      </c>
      <c r="C26" s="1171">
        <v>4.0299999999999997E-3</v>
      </c>
      <c r="D26" s="1171">
        <v>1.65E-3</v>
      </c>
      <c r="E26" s="1171">
        <v>7.36E-4</v>
      </c>
      <c r="F26" s="1171">
        <v>4.0000000000000002E-4</v>
      </c>
      <c r="G26" s="1171">
        <v>1.93E-4</v>
      </c>
      <c r="H26" s="1169">
        <v>1.4100000000000001E-4</v>
      </c>
      <c r="I26" s="1172">
        <v>1.25E-4</v>
      </c>
      <c r="M26" s="217">
        <v>10</v>
      </c>
      <c r="N26" s="570">
        <v>1.66E-2</v>
      </c>
      <c r="O26" s="570">
        <v>5.79E-3</v>
      </c>
      <c r="P26" s="570">
        <v>3.1800000000000001E-3</v>
      </c>
      <c r="Q26" s="570">
        <v>1.3500000000000001E-3</v>
      </c>
      <c r="R26" s="570">
        <v>7.4600000000000003E-4</v>
      </c>
      <c r="S26" s="570">
        <v>3.8099999999999999E-4</v>
      </c>
      <c r="T26" s="570">
        <v>3.0200000000000002E-4</v>
      </c>
      <c r="U26" s="570">
        <v>2.7399999999999999E-4</v>
      </c>
      <c r="V26" s="10"/>
    </row>
    <row r="27" spans="1:22" ht="15" thickBot="1">
      <c r="A27" s="773" t="s">
        <v>309</v>
      </c>
      <c r="B27" s="1173">
        <v>8.0700000000000008E-3</v>
      </c>
      <c r="C27" s="1173">
        <v>5.5900000000000004E-3</v>
      </c>
      <c r="D27" s="1173">
        <v>2.4399999999999999E-3</v>
      </c>
      <c r="E27" s="1173">
        <v>1.2999999999999999E-3</v>
      </c>
      <c r="F27" s="1173">
        <v>8.12E-4</v>
      </c>
      <c r="G27" s="1173">
        <v>4.46E-4</v>
      </c>
      <c r="H27" s="1174">
        <v>3.4200000000000002E-4</v>
      </c>
      <c r="I27" s="1175">
        <v>3.3199999999999999E-4</v>
      </c>
      <c r="M27" s="88">
        <v>18</v>
      </c>
      <c r="N27" s="570">
        <v>1.4200000000000001E-2</v>
      </c>
      <c r="O27" s="570">
        <v>5.3899999999999998E-3</v>
      </c>
      <c r="P27" s="570">
        <v>2.5300000000000001E-3</v>
      </c>
      <c r="Q27" s="570">
        <v>8.6399999999999997E-4</v>
      </c>
      <c r="R27" s="570">
        <v>4.2400000000000001E-4</v>
      </c>
      <c r="S27" s="570">
        <v>1.8900000000000001E-4</v>
      </c>
      <c r="T27" s="770">
        <v>1.2400000000000001E-4</v>
      </c>
      <c r="U27" s="570">
        <v>1.2E-4</v>
      </c>
      <c r="V27" s="10"/>
    </row>
    <row r="28" spans="1:22">
      <c r="A28" s="51"/>
      <c r="B28" s="157"/>
      <c r="C28" s="157"/>
      <c r="D28" s="157"/>
      <c r="E28" s="157"/>
      <c r="F28" s="157"/>
      <c r="G28" s="157"/>
      <c r="H28" s="157"/>
      <c r="I28" s="157"/>
      <c r="M28" s="88">
        <v>24</v>
      </c>
      <c r="N28" s="570">
        <v>1.78E-2</v>
      </c>
      <c r="O28" s="570">
        <v>6.3200000000000001E-3</v>
      </c>
      <c r="P28" s="570">
        <v>2.7399999999999998E-3</v>
      </c>
      <c r="Q28" s="570">
        <v>8.3000000000000001E-4</v>
      </c>
      <c r="R28" s="570">
        <v>3.86E-4</v>
      </c>
      <c r="S28" s="570">
        <v>1.74E-4</v>
      </c>
      <c r="T28" s="770">
        <v>1.2E-4</v>
      </c>
      <c r="U28" s="570">
        <v>1.13E-4</v>
      </c>
      <c r="V28" s="10"/>
    </row>
    <row r="29" spans="1:22">
      <c r="A29" s="775" t="s">
        <v>449</v>
      </c>
      <c r="C29" s="157"/>
      <c r="D29" s="157"/>
      <c r="E29" s="157"/>
      <c r="F29" s="157"/>
      <c r="G29" s="157"/>
      <c r="H29" s="157"/>
      <c r="I29" s="157"/>
      <c r="M29" s="10"/>
      <c r="N29" s="52"/>
      <c r="O29" s="51"/>
      <c r="P29" s="51"/>
      <c r="Q29" s="51"/>
      <c r="R29" s="51"/>
      <c r="S29" s="51"/>
      <c r="T29" s="10"/>
      <c r="U29" s="10"/>
      <c r="V29" s="10"/>
    </row>
    <row r="30" spans="1:22">
      <c r="B30" s="92" t="s">
        <v>450</v>
      </c>
      <c r="C30" s="573"/>
      <c r="D30" s="573"/>
      <c r="E30" s="573"/>
      <c r="F30" s="573"/>
      <c r="G30" s="90"/>
      <c r="H30" s="90"/>
      <c r="I30" s="90"/>
      <c r="M30" s="10"/>
      <c r="N30" s="52"/>
      <c r="O30" s="51"/>
      <c r="P30" s="51"/>
      <c r="Q30" s="51"/>
      <c r="R30" s="51"/>
      <c r="S30" s="51"/>
      <c r="T30" s="10"/>
      <c r="U30" s="10"/>
      <c r="V30" s="10"/>
    </row>
    <row r="31" spans="1:22">
      <c r="A31" s="775" t="s">
        <v>457</v>
      </c>
      <c r="B31" s="574"/>
      <c r="C31" s="574"/>
      <c r="D31" s="574"/>
      <c r="E31" s="574"/>
      <c r="F31" s="573"/>
      <c r="G31" s="90"/>
      <c r="H31" s="90"/>
      <c r="I31" s="90"/>
      <c r="M31" s="51"/>
      <c r="N31" s="51"/>
      <c r="O31" s="51"/>
      <c r="P31" s="51"/>
      <c r="Q31" s="51"/>
      <c r="R31" s="51"/>
      <c r="S31" s="51"/>
      <c r="T31" s="10"/>
      <c r="U31" s="10"/>
      <c r="V31" s="10"/>
    </row>
    <row r="32" spans="1:22">
      <c r="A32" s="34"/>
      <c r="B32" s="12"/>
      <c r="C32" s="12"/>
      <c r="D32" s="12"/>
      <c r="E32" s="12"/>
      <c r="F32" s="12"/>
      <c r="G32" s="90"/>
      <c r="H32" s="90"/>
      <c r="I32" s="90"/>
      <c r="M32" s="10"/>
      <c r="N32" s="51"/>
      <c r="O32" s="51"/>
      <c r="P32" s="51"/>
      <c r="Q32" s="51"/>
      <c r="R32" s="51"/>
      <c r="S32" s="51"/>
      <c r="T32" s="10"/>
      <c r="U32" s="10"/>
      <c r="V32" s="10"/>
    </row>
    <row r="33" spans="1:22">
      <c r="A33" s="34"/>
      <c r="B33" s="12"/>
      <c r="C33" s="12"/>
      <c r="D33" s="12"/>
      <c r="E33" s="12"/>
      <c r="F33" s="12"/>
      <c r="G33" s="90"/>
      <c r="H33" s="90"/>
      <c r="I33" s="90"/>
      <c r="M33" s="10"/>
      <c r="N33" s="51"/>
      <c r="O33" s="51"/>
      <c r="P33" s="51"/>
      <c r="Q33" s="51"/>
      <c r="R33" s="51"/>
      <c r="S33" s="51"/>
      <c r="T33" s="10"/>
      <c r="U33" s="10"/>
      <c r="V33" s="10"/>
    </row>
    <row r="34" spans="1:22">
      <c r="A34" s="34"/>
      <c r="B34" s="12"/>
      <c r="C34" s="12"/>
      <c r="D34" s="12"/>
      <c r="E34" s="12"/>
      <c r="F34" s="12"/>
      <c r="G34" s="90"/>
      <c r="H34" s="90"/>
      <c r="I34" s="90"/>
      <c r="M34" s="10"/>
      <c r="N34" s="51"/>
      <c r="O34" s="51"/>
      <c r="P34" s="51"/>
      <c r="Q34" s="51"/>
      <c r="R34" s="51"/>
      <c r="S34" s="51"/>
      <c r="T34" s="10"/>
      <c r="U34" s="10"/>
      <c r="V34" s="10"/>
    </row>
    <row r="35" spans="1:22">
      <c r="A35" s="34"/>
      <c r="B35" s="12"/>
      <c r="C35" s="12"/>
      <c r="D35" s="12"/>
      <c r="E35" s="12"/>
      <c r="F35" s="12"/>
      <c r="G35" s="90"/>
      <c r="H35" s="90"/>
      <c r="I35" s="90"/>
      <c r="M35" s="10"/>
      <c r="N35" s="51"/>
      <c r="O35" s="51"/>
      <c r="P35" s="51"/>
      <c r="Q35" s="51"/>
      <c r="R35" s="51"/>
      <c r="S35" s="51"/>
      <c r="T35" s="10"/>
      <c r="U35" s="10"/>
      <c r="V35" s="10"/>
    </row>
    <row r="36" spans="1:22">
      <c r="A36" s="34"/>
      <c r="B36" s="12"/>
      <c r="C36" s="12"/>
      <c r="D36" s="12"/>
      <c r="E36" s="12"/>
      <c r="F36" s="12"/>
      <c r="G36" s="90"/>
      <c r="H36" s="90"/>
      <c r="I36" s="90"/>
      <c r="M36" s="10"/>
      <c r="N36" s="51"/>
      <c r="O36" s="51"/>
      <c r="P36" s="51"/>
      <c r="Q36" s="51"/>
      <c r="R36" s="51"/>
      <c r="S36" s="51"/>
      <c r="T36" s="10"/>
      <c r="U36" s="10"/>
      <c r="V36" s="10"/>
    </row>
    <row r="37" spans="1:22">
      <c r="A37" s="34"/>
      <c r="B37" s="12"/>
      <c r="C37" s="12"/>
      <c r="D37" s="12"/>
      <c r="E37" s="12"/>
      <c r="F37" s="12"/>
      <c r="G37" s="10"/>
      <c r="H37" s="10"/>
      <c r="I37" s="10"/>
      <c r="M37" s="52"/>
      <c r="N37" s="51"/>
      <c r="O37" s="51"/>
      <c r="P37" s="51"/>
      <c r="Q37" s="51"/>
      <c r="R37" s="51"/>
      <c r="S37" s="51"/>
      <c r="T37" s="10"/>
      <c r="U37" s="10"/>
      <c r="V37" s="10"/>
    </row>
    <row r="38" spans="1:22">
      <c r="A38" s="34"/>
      <c r="B38" s="12"/>
      <c r="C38" s="12"/>
      <c r="D38" s="12"/>
      <c r="E38" s="12"/>
      <c r="F38" s="12"/>
      <c r="G38" s="10"/>
      <c r="H38" s="10"/>
      <c r="I38" s="10"/>
      <c r="M38" s="52"/>
      <c r="N38" s="51"/>
      <c r="O38" s="51"/>
      <c r="P38" s="51"/>
      <c r="Q38" s="51"/>
      <c r="R38" s="51"/>
      <c r="S38" s="51"/>
      <c r="T38" s="10"/>
      <c r="U38" s="10"/>
      <c r="V38" s="10"/>
    </row>
    <row r="39" spans="1:22">
      <c r="A39" s="34"/>
      <c r="B39" s="12"/>
      <c r="C39" s="12"/>
      <c r="D39" s="12"/>
      <c r="E39" s="12"/>
      <c r="F39" s="12"/>
      <c r="G39" s="10"/>
      <c r="H39" s="10"/>
      <c r="I39" s="10"/>
      <c r="M39" s="51"/>
      <c r="N39" s="51"/>
      <c r="O39" s="51"/>
      <c r="P39" s="51"/>
      <c r="Q39" s="51"/>
      <c r="R39" s="51"/>
      <c r="S39" s="51"/>
      <c r="T39" s="10"/>
      <c r="U39" s="10"/>
      <c r="V39" s="10"/>
    </row>
    <row r="40" spans="1:22">
      <c r="A40" s="34"/>
      <c r="B40" s="12"/>
      <c r="C40" s="12"/>
      <c r="D40" s="12"/>
      <c r="E40" s="12"/>
      <c r="F40" s="12"/>
      <c r="G40" s="10"/>
      <c r="H40" s="10"/>
      <c r="I40" s="10"/>
      <c r="M40" s="312"/>
      <c r="N40" s="51"/>
      <c r="O40" s="51"/>
      <c r="P40" s="51"/>
      <c r="Q40" s="51"/>
      <c r="R40" s="51"/>
      <c r="S40" s="51"/>
      <c r="T40" s="10"/>
      <c r="U40" s="10"/>
      <c r="V40" s="10"/>
    </row>
    <row r="41" spans="1:22">
      <c r="A41" s="10"/>
      <c r="B41" s="10"/>
      <c r="C41" s="10"/>
      <c r="D41" s="10"/>
      <c r="E41" s="10"/>
      <c r="F41" s="10"/>
      <c r="G41" s="10"/>
      <c r="H41" s="10"/>
      <c r="I41" s="10"/>
      <c r="M41" s="312"/>
      <c r="N41" s="51"/>
      <c r="O41" s="51"/>
      <c r="P41" s="51"/>
      <c r="Q41" s="51"/>
      <c r="R41" s="51"/>
      <c r="S41" s="51"/>
      <c r="T41" s="10"/>
      <c r="U41" s="10"/>
      <c r="V41" s="10"/>
    </row>
    <row r="42" spans="1:22">
      <c r="A42" s="10"/>
      <c r="B42" s="10"/>
      <c r="C42" s="10"/>
      <c r="D42" s="10"/>
      <c r="E42" s="10"/>
      <c r="F42" s="10"/>
      <c r="G42" s="10"/>
      <c r="H42" s="10"/>
      <c r="I42" s="10"/>
      <c r="M42" s="51"/>
      <c r="N42" s="51"/>
      <c r="O42" s="51"/>
      <c r="P42" s="51"/>
      <c r="Q42" s="51"/>
      <c r="R42" s="51"/>
      <c r="S42" s="51"/>
      <c r="T42" s="10"/>
      <c r="U42" s="10"/>
      <c r="V42" s="10"/>
    </row>
    <row r="43" spans="1:22">
      <c r="M43" s="51"/>
      <c r="N43" s="51"/>
      <c r="O43" s="51"/>
      <c r="P43" s="51"/>
      <c r="Q43" s="51"/>
      <c r="R43" s="51"/>
      <c r="S43" s="51"/>
      <c r="T43" s="10"/>
      <c r="U43" s="10"/>
      <c r="V43" s="10"/>
    </row>
    <row r="44" spans="1:22">
      <c r="M44" s="51"/>
      <c r="N44" s="51"/>
      <c r="O44" s="51"/>
      <c r="P44" s="51"/>
      <c r="Q44" s="51"/>
      <c r="R44" s="51"/>
      <c r="S44" s="51"/>
      <c r="T44" s="10"/>
      <c r="U44" s="10"/>
      <c r="V44" s="10"/>
    </row>
    <row r="45" spans="1:22">
      <c r="M45" s="51"/>
      <c r="N45" s="51"/>
      <c r="O45" s="51"/>
      <c r="P45" s="51"/>
      <c r="Q45" s="51"/>
      <c r="R45" s="51"/>
      <c r="S45" s="51"/>
      <c r="T45" s="10"/>
      <c r="U45" s="10"/>
      <c r="V45" s="10"/>
    </row>
    <row r="46" spans="1:22">
      <c r="M46" s="10"/>
      <c r="N46" s="51"/>
      <c r="O46" s="51"/>
      <c r="P46" s="51"/>
      <c r="Q46" s="51"/>
      <c r="R46" s="51"/>
      <c r="S46" s="51"/>
      <c r="T46" s="10"/>
      <c r="U46" s="10"/>
      <c r="V46" s="10"/>
    </row>
    <row r="47" spans="1:22">
      <c r="M47" s="10"/>
      <c r="N47" s="51"/>
      <c r="O47" s="51"/>
      <c r="P47" s="51"/>
      <c r="Q47" s="51"/>
      <c r="R47" s="51"/>
      <c r="S47" s="51"/>
      <c r="T47" s="10"/>
      <c r="U47" s="10"/>
      <c r="V47" s="10"/>
    </row>
    <row r="48" spans="1:22">
      <c r="M48" s="10"/>
      <c r="N48" s="51"/>
      <c r="O48" s="51"/>
      <c r="P48" s="51"/>
      <c r="Q48" s="51"/>
      <c r="R48" s="51"/>
      <c r="S48" s="51"/>
      <c r="T48" s="10"/>
      <c r="U48" s="10"/>
      <c r="V48" s="10"/>
    </row>
    <row r="49" spans="1:22">
      <c r="M49" s="10"/>
      <c r="N49" s="51"/>
      <c r="O49" s="51"/>
      <c r="P49" s="51"/>
      <c r="Q49" s="51"/>
      <c r="R49" s="51"/>
      <c r="S49" s="51"/>
      <c r="T49" s="10"/>
      <c r="U49" s="10"/>
      <c r="V49" s="10"/>
    </row>
    <row r="50" spans="1:22">
      <c r="M50" s="10"/>
      <c r="N50" s="51"/>
      <c r="O50" s="51"/>
      <c r="P50" s="51"/>
      <c r="Q50" s="51"/>
      <c r="R50" s="51"/>
      <c r="S50" s="51"/>
      <c r="T50" s="10"/>
      <c r="U50" s="10"/>
      <c r="V50" s="10"/>
    </row>
    <row r="51" spans="1:22">
      <c r="M51" s="52"/>
      <c r="N51" s="51"/>
      <c r="O51" s="51"/>
      <c r="P51" s="51"/>
      <c r="Q51" s="51"/>
      <c r="R51" s="51"/>
      <c r="S51" s="51"/>
      <c r="T51" s="10"/>
      <c r="U51" s="10"/>
      <c r="V51" s="10"/>
    </row>
    <row r="52" spans="1:22">
      <c r="M52" s="52"/>
      <c r="N52" s="51"/>
      <c r="O52" s="51"/>
      <c r="P52" s="51"/>
      <c r="Q52" s="51"/>
      <c r="R52" s="51"/>
      <c r="S52" s="51"/>
      <c r="T52" s="10"/>
      <c r="U52" s="10"/>
      <c r="V52" s="10"/>
    </row>
    <row r="53" spans="1:22">
      <c r="M53" s="51"/>
      <c r="N53" s="51"/>
      <c r="O53" s="51"/>
      <c r="P53" s="51"/>
      <c r="Q53" s="51"/>
      <c r="R53" s="51"/>
      <c r="S53" s="51"/>
      <c r="T53" s="10"/>
      <c r="U53" s="10"/>
      <c r="V53" s="10"/>
    </row>
    <row r="54" spans="1:22">
      <c r="A54" s="10"/>
      <c r="M54" s="312"/>
      <c r="N54" s="51"/>
      <c r="O54" s="51"/>
      <c r="P54" s="51"/>
      <c r="Q54" s="51"/>
      <c r="R54" s="51"/>
      <c r="S54" s="51"/>
      <c r="T54" s="10"/>
      <c r="U54" s="10"/>
      <c r="V54" s="10"/>
    </row>
    <row r="55" spans="1:22">
      <c r="A55" s="92"/>
      <c r="M55" s="51"/>
      <c r="N55" s="51"/>
      <c r="O55" s="51"/>
      <c r="P55" s="51"/>
      <c r="Q55" s="51"/>
      <c r="R55" s="51"/>
      <c r="S55" s="51"/>
      <c r="T55" s="10"/>
      <c r="U55" s="10"/>
      <c r="V55" s="10"/>
    </row>
    <row r="56" spans="1:22">
      <c r="M56" s="51"/>
      <c r="N56" s="51"/>
      <c r="O56" s="51"/>
      <c r="P56" s="51"/>
      <c r="Q56" s="51"/>
      <c r="R56" s="51"/>
      <c r="S56" s="51"/>
      <c r="T56" s="10"/>
      <c r="U56" s="10"/>
      <c r="V56" s="10"/>
    </row>
    <row r="57" spans="1:22">
      <c r="A57" s="94"/>
      <c r="M57" s="51"/>
      <c r="N57" s="51"/>
      <c r="O57" s="51"/>
      <c r="P57" s="51"/>
      <c r="Q57" s="51"/>
      <c r="R57" s="51"/>
      <c r="S57" s="51"/>
      <c r="T57" s="10"/>
      <c r="U57" s="10"/>
      <c r="V57" s="10"/>
    </row>
    <row r="58" spans="1:22">
      <c r="A58" s="94"/>
      <c r="M58" s="51"/>
      <c r="N58" s="51"/>
      <c r="O58" s="51"/>
      <c r="P58" s="51"/>
      <c r="Q58" s="51"/>
      <c r="R58" s="51"/>
      <c r="S58" s="51"/>
      <c r="T58" s="10"/>
      <c r="U58" s="10"/>
      <c r="V58" s="10"/>
    </row>
    <row r="59" spans="1:22">
      <c r="A59" s="12"/>
      <c r="M59" s="10"/>
      <c r="N59" s="51"/>
      <c r="O59" s="51"/>
      <c r="P59" s="51"/>
      <c r="Q59" s="51"/>
      <c r="R59" s="51"/>
      <c r="S59" s="51"/>
      <c r="T59" s="10"/>
      <c r="U59" s="10"/>
      <c r="V59" s="10"/>
    </row>
    <row r="60" spans="1:22">
      <c r="A60" s="12"/>
      <c r="M60" s="10"/>
      <c r="N60" s="51"/>
      <c r="O60" s="51"/>
      <c r="P60" s="51"/>
      <c r="Q60" s="51"/>
      <c r="R60" s="51"/>
      <c r="S60" s="51"/>
      <c r="T60" s="10"/>
      <c r="U60" s="10"/>
      <c r="V60" s="10"/>
    </row>
    <row r="61" spans="1:22">
      <c r="A61" s="12"/>
      <c r="M61" s="10"/>
      <c r="N61" s="51"/>
      <c r="O61" s="51"/>
      <c r="P61" s="51"/>
      <c r="Q61" s="51"/>
      <c r="R61" s="51"/>
      <c r="S61" s="51"/>
      <c r="T61" s="10"/>
      <c r="U61" s="10"/>
      <c r="V61" s="10"/>
    </row>
    <row r="62" spans="1:22">
      <c r="A62" s="12"/>
      <c r="M62" s="10"/>
      <c r="N62" s="51"/>
      <c r="O62" s="51"/>
      <c r="P62" s="51"/>
      <c r="Q62" s="51"/>
      <c r="R62" s="51"/>
      <c r="S62" s="51"/>
      <c r="T62" s="10"/>
      <c r="U62" s="10"/>
    </row>
    <row r="63" spans="1:22">
      <c r="A63" s="90"/>
      <c r="M63" s="10"/>
      <c r="N63" s="51"/>
      <c r="O63" s="51"/>
      <c r="P63" s="51"/>
      <c r="Q63" s="51"/>
      <c r="R63" s="51"/>
      <c r="S63" s="51"/>
      <c r="T63" s="10"/>
      <c r="U63" s="10"/>
    </row>
    <row r="64" spans="1:22">
      <c r="A64" s="12"/>
      <c r="M64" s="10"/>
      <c r="N64" s="51"/>
      <c r="O64" s="51"/>
      <c r="P64" s="51"/>
      <c r="Q64" s="51"/>
      <c r="R64" s="51"/>
      <c r="S64" s="51"/>
      <c r="T64" s="10"/>
    </row>
  </sheetData>
  <sheetProtection password="C526" sheet="1" objects="1" scenarios="1"/>
  <mergeCells count="4">
    <mergeCell ref="N22:U22"/>
    <mergeCell ref="B15:I15"/>
    <mergeCell ref="N8:S8"/>
    <mergeCell ref="B6:G6"/>
  </mergeCells>
  <phoneticPr fontId="0" type="noConversion"/>
  <pageMargins left="0.70866141732283472" right="0.70866141732283472" top="0.74803149606299213" bottom="0.74803149606299213" header="0.31496062992125984" footer="0.31496062992125984"/>
  <pageSetup paperSize="8" scale="7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Blad1"/>
  <dimension ref="A1:B22"/>
  <sheetViews>
    <sheetView workbookViewId="0">
      <selection activeCell="I14" sqref="I14"/>
    </sheetView>
  </sheetViews>
  <sheetFormatPr defaultRowHeight="15"/>
  <sheetData>
    <row r="1" spans="1:2" ht="15.75">
      <c r="A1" s="484" t="s">
        <v>492</v>
      </c>
    </row>
    <row r="3" spans="1:2">
      <c r="A3" t="s">
        <v>493</v>
      </c>
    </row>
    <row r="4" spans="1:2">
      <c r="A4" t="s">
        <v>494</v>
      </c>
    </row>
    <row r="5" spans="1:2">
      <c r="A5" t="s">
        <v>594</v>
      </c>
    </row>
    <row r="6" spans="1:2">
      <c r="A6" t="s">
        <v>595</v>
      </c>
    </row>
    <row r="7" spans="1:2">
      <c r="A7" t="s">
        <v>495</v>
      </c>
    </row>
    <row r="8" spans="1:2">
      <c r="A8" t="s">
        <v>496</v>
      </c>
    </row>
    <row r="10" spans="1:2">
      <c r="A10" t="s">
        <v>428</v>
      </c>
    </row>
    <row r="12" spans="1:2">
      <c r="A12" s="668"/>
      <c r="B12" t="s">
        <v>429</v>
      </c>
    </row>
    <row r="14" spans="1:2">
      <c r="A14" s="682"/>
      <c r="B14" t="s">
        <v>430</v>
      </c>
    </row>
    <row r="16" spans="1:2">
      <c r="A16" s="722"/>
      <c r="B16" t="s">
        <v>440</v>
      </c>
    </row>
    <row r="18" spans="1:2">
      <c r="A18" s="683"/>
      <c r="B18" t="s">
        <v>431</v>
      </c>
    </row>
    <row r="20" spans="1:2">
      <c r="A20" s="669"/>
      <c r="B20" t="s">
        <v>432</v>
      </c>
    </row>
    <row r="22" spans="1:2">
      <c r="A22" s="681"/>
      <c r="B22" t="s">
        <v>433</v>
      </c>
    </row>
  </sheetData>
  <phoneticPr fontId="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Blad19"/>
  <dimension ref="A1:F16"/>
  <sheetViews>
    <sheetView workbookViewId="0">
      <selection activeCell="D27" sqref="D27"/>
    </sheetView>
  </sheetViews>
  <sheetFormatPr defaultRowHeight="14.25"/>
  <cols>
    <col min="1" max="1" width="5.85546875" style="3" customWidth="1"/>
    <col min="2" max="2" width="12.85546875" style="3" customWidth="1"/>
    <col min="3" max="3" width="9.140625" style="3"/>
    <col min="4" max="4" width="10.5703125" style="3" customWidth="1"/>
    <col min="5" max="5" width="19.7109375" style="227" customWidth="1"/>
    <col min="6" max="6" width="112.140625" style="227" customWidth="1"/>
    <col min="7" max="16384" width="9.140625" style="3"/>
  </cols>
  <sheetData>
    <row r="1" spans="1:6" s="267" customFormat="1" ht="27" thickBot="1">
      <c r="A1" s="269" t="s">
        <v>237</v>
      </c>
      <c r="E1" s="268"/>
      <c r="F1" s="268"/>
    </row>
    <row r="2" spans="1:6" ht="15">
      <c r="A2" s="61"/>
    </row>
    <row r="3" spans="1:6">
      <c r="B3" s="272" t="s">
        <v>239</v>
      </c>
      <c r="C3" s="272" t="s">
        <v>240</v>
      </c>
      <c r="D3" s="272" t="s">
        <v>243</v>
      </c>
      <c r="E3" s="273" t="s">
        <v>242</v>
      </c>
      <c r="F3" s="273" t="s">
        <v>241</v>
      </c>
    </row>
    <row r="4" spans="1:6">
      <c r="B4" s="274">
        <v>41338</v>
      </c>
      <c r="C4" s="69" t="s">
        <v>238</v>
      </c>
      <c r="D4" s="69" t="s">
        <v>244</v>
      </c>
      <c r="E4" s="270"/>
      <c r="F4" s="270"/>
    </row>
    <row r="5" spans="1:6">
      <c r="B5" s="69"/>
      <c r="C5" s="69"/>
      <c r="D5" s="69"/>
      <c r="E5" s="270"/>
      <c r="F5" s="270"/>
    </row>
    <row r="6" spans="1:6">
      <c r="B6" s="69"/>
      <c r="C6" s="69"/>
      <c r="D6" s="69"/>
      <c r="E6" s="270"/>
      <c r="F6" s="270"/>
    </row>
    <row r="7" spans="1:6">
      <c r="B7" s="69"/>
      <c r="C7" s="69"/>
      <c r="D7" s="69"/>
      <c r="E7" s="270"/>
      <c r="F7" s="270"/>
    </row>
    <row r="8" spans="1:6">
      <c r="B8" s="69"/>
      <c r="C8" s="69"/>
      <c r="D8" s="69"/>
      <c r="E8" s="270"/>
      <c r="F8" s="270"/>
    </row>
    <row r="9" spans="1:6">
      <c r="B9" s="69"/>
      <c r="C9" s="69"/>
      <c r="D9" s="69"/>
      <c r="E9" s="270"/>
      <c r="F9" s="270"/>
    </row>
    <row r="10" spans="1:6">
      <c r="B10" s="69"/>
      <c r="C10" s="69"/>
      <c r="D10" s="69"/>
      <c r="E10" s="270"/>
      <c r="F10" s="270"/>
    </row>
    <row r="11" spans="1:6">
      <c r="B11" s="69"/>
      <c r="C11" s="69"/>
      <c r="D11" s="69"/>
      <c r="E11" s="270"/>
      <c r="F11" s="270"/>
    </row>
    <row r="12" spans="1:6">
      <c r="B12" s="69"/>
      <c r="C12" s="69"/>
      <c r="D12" s="69"/>
      <c r="E12" s="270"/>
      <c r="F12" s="270"/>
    </row>
    <row r="13" spans="1:6">
      <c r="B13" s="69"/>
      <c r="C13" s="69"/>
      <c r="D13" s="69"/>
      <c r="E13" s="270"/>
      <c r="F13" s="270"/>
    </row>
    <row r="14" spans="1:6">
      <c r="B14" s="69"/>
      <c r="C14" s="69"/>
      <c r="D14" s="69"/>
      <c r="E14" s="270"/>
      <c r="F14" s="270"/>
    </row>
    <row r="15" spans="1:6">
      <c r="B15" s="69"/>
      <c r="C15" s="69"/>
      <c r="D15" s="69"/>
      <c r="E15" s="270"/>
      <c r="F15" s="270"/>
    </row>
    <row r="16" spans="1:6">
      <c r="B16" s="71"/>
      <c r="C16" s="71"/>
      <c r="D16" s="71"/>
      <c r="E16" s="271"/>
      <c r="F16" s="271"/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Blad2">
    <tabColor theme="3" tint="0.59999389629810485"/>
  </sheetPr>
  <dimension ref="A1:V49"/>
  <sheetViews>
    <sheetView zoomScale="70" zoomScaleNormal="70" workbookViewId="0">
      <selection activeCell="A2" sqref="A2:IV2"/>
    </sheetView>
  </sheetViews>
  <sheetFormatPr defaultRowHeight="14.25"/>
  <cols>
    <col min="1" max="1" width="26.28515625" style="3" customWidth="1"/>
    <col min="2" max="2" width="7.7109375" style="3" customWidth="1"/>
    <col min="3" max="3" width="6.28515625" style="3" customWidth="1"/>
    <col min="4" max="4" width="23.5703125" style="200" customWidth="1"/>
    <col min="5" max="5" width="28.85546875" style="200" customWidth="1"/>
    <col min="6" max="7" width="12.28515625" style="3" customWidth="1"/>
    <col min="8" max="8" width="12.42578125" style="3" customWidth="1"/>
    <col min="9" max="9" width="12.85546875" style="3" customWidth="1"/>
    <col min="10" max="10" width="12.28515625" style="3" customWidth="1"/>
    <col min="11" max="16384" width="9.140625" style="3"/>
  </cols>
  <sheetData>
    <row r="1" spans="1:22" s="336" customFormat="1" ht="26.25" customHeight="1" thickBot="1">
      <c r="A1" s="560" t="s">
        <v>206</v>
      </c>
      <c r="B1" s="616"/>
      <c r="C1" s="561"/>
      <c r="D1" s="1276"/>
      <c r="E1" s="1276"/>
      <c r="F1" s="561"/>
      <c r="G1" s="561"/>
      <c r="H1" s="561"/>
      <c r="I1" s="561"/>
      <c r="J1" s="617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</row>
    <row r="2" spans="1:22" ht="15.6" customHeight="1" thickBot="1">
      <c r="A2" s="2" t="s">
        <v>420</v>
      </c>
      <c r="F2" s="5"/>
      <c r="G2" s="5"/>
      <c r="H2" s="5"/>
      <c r="I2" s="5"/>
    </row>
    <row r="3" spans="1:22" ht="15.6" customHeight="1">
      <c r="F3" s="224" t="s">
        <v>122</v>
      </c>
      <c r="G3" s="224" t="s">
        <v>120</v>
      </c>
      <c r="H3" s="224" t="s">
        <v>236</v>
      </c>
      <c r="I3" s="224" t="s">
        <v>170</v>
      </c>
      <c r="J3" s="611" t="s">
        <v>122</v>
      </c>
    </row>
    <row r="4" spans="1:22" ht="15.6" customHeight="1">
      <c r="F4" s="225" t="s">
        <v>55</v>
      </c>
      <c r="G4" s="225" t="s">
        <v>172</v>
      </c>
      <c r="H4" s="225" t="s">
        <v>362</v>
      </c>
      <c r="I4" s="225" t="s">
        <v>390</v>
      </c>
      <c r="J4" s="626" t="s">
        <v>232</v>
      </c>
    </row>
    <row r="5" spans="1:22" ht="15.6" customHeight="1" thickBot="1">
      <c r="D5" s="200" t="s">
        <v>55</v>
      </c>
      <c r="F5" s="460" t="s">
        <v>279</v>
      </c>
      <c r="G5" s="460" t="s">
        <v>55</v>
      </c>
      <c r="H5" s="460" t="s">
        <v>520</v>
      </c>
      <c r="I5" s="460" t="s">
        <v>171</v>
      </c>
      <c r="J5" s="627" t="s">
        <v>279</v>
      </c>
    </row>
    <row r="6" spans="1:22" ht="15.6" customHeight="1">
      <c r="A6" s="229" t="s">
        <v>182</v>
      </c>
      <c r="B6" s="208"/>
      <c r="C6" s="208"/>
      <c r="D6" s="1325" t="s">
        <v>118</v>
      </c>
      <c r="E6" s="684" t="s">
        <v>26</v>
      </c>
      <c r="F6" s="988">
        <f ca="1">MAX('Dosis overzicht'!E$8:E$20)</f>
        <v>3.10699279310375E-3</v>
      </c>
      <c r="G6" s="983">
        <v>24</v>
      </c>
      <c r="H6" s="527"/>
      <c r="I6" s="528"/>
      <c r="J6" s="628">
        <f>F6*G6/40</f>
        <v>1.86419567586225E-3</v>
      </c>
    </row>
    <row r="7" spans="1:22" ht="15.6" customHeight="1">
      <c r="A7" s="8" t="s">
        <v>91</v>
      </c>
      <c r="B7" s="10"/>
      <c r="C7" s="9"/>
      <c r="D7" s="514" t="s">
        <v>57</v>
      </c>
      <c r="E7" s="1278" t="s">
        <v>26</v>
      </c>
      <c r="F7" s="461"/>
      <c r="G7" s="111"/>
      <c r="H7" s="989">
        <f ca="1">'Dosis overzicht'!L$8</f>
        <v>2.3610777428857135E-4</v>
      </c>
      <c r="I7" s="984">
        <v>16</v>
      </c>
      <c r="J7" s="629">
        <f t="shared" ref="J7:J12" si="0">H7*I7</f>
        <v>3.7777243886171416E-3</v>
      </c>
    </row>
    <row r="8" spans="1:22" ht="15.6" customHeight="1">
      <c r="A8" s="238"/>
      <c r="B8" s="262"/>
      <c r="C8" s="9"/>
      <c r="D8" s="514" t="s">
        <v>177</v>
      </c>
      <c r="E8" s="1278" t="s">
        <v>26</v>
      </c>
      <c r="F8" s="461"/>
      <c r="G8" s="111"/>
      <c r="H8" s="989">
        <f ca="1">'Dosis overzicht'!L$10</f>
        <v>1.5429993760350895E-7</v>
      </c>
      <c r="I8" s="984">
        <v>18</v>
      </c>
      <c r="J8" s="629">
        <f t="shared" si="0"/>
        <v>2.7773988768631609E-6</v>
      </c>
    </row>
    <row r="9" spans="1:22" ht="15.6" customHeight="1">
      <c r="A9" s="238" t="s">
        <v>119</v>
      </c>
      <c r="B9" s="402">
        <f>SUM(J6:J12)</f>
        <v>2.2592663936108551E-2</v>
      </c>
      <c r="C9" s="9"/>
      <c r="D9" s="514" t="s">
        <v>121</v>
      </c>
      <c r="E9" s="1278" t="s">
        <v>26</v>
      </c>
      <c r="F9" s="461"/>
      <c r="G9" s="111"/>
      <c r="H9" s="989">
        <f ca="1">'Dosis overzicht'!L$12</f>
        <v>2.6057791652880827E-5</v>
      </c>
      <c r="I9" s="984">
        <v>5</v>
      </c>
      <c r="J9" s="629">
        <f t="shared" si="0"/>
        <v>1.3028895826440413E-4</v>
      </c>
    </row>
    <row r="10" spans="1:22" ht="15.6" customHeight="1">
      <c r="A10" s="238"/>
      <c r="B10" s="262"/>
      <c r="C10" s="9"/>
      <c r="D10" s="514" t="s">
        <v>176</v>
      </c>
      <c r="E10" s="1278" t="s">
        <v>26</v>
      </c>
      <c r="F10" s="461"/>
      <c r="G10" s="111"/>
      <c r="H10" s="989">
        <f ca="1">'Dosis overzicht'!L$14</f>
        <v>3.0521695642455497E-6</v>
      </c>
      <c r="I10" s="984">
        <v>5</v>
      </c>
      <c r="J10" s="629">
        <f t="shared" si="0"/>
        <v>1.526084782122775E-5</v>
      </c>
    </row>
    <row r="11" spans="1:22" ht="15.6" customHeight="1">
      <c r="A11" s="238"/>
      <c r="B11" s="262"/>
      <c r="C11" s="9"/>
      <c r="D11" s="514" t="s">
        <v>173</v>
      </c>
      <c r="E11" s="1278" t="s">
        <v>167</v>
      </c>
      <c r="F11" s="461"/>
      <c r="G11" s="111"/>
      <c r="H11" s="989">
        <f ca="1">'Dosis overzicht'!L$16</f>
        <v>2.9381666666666661E-4</v>
      </c>
      <c r="I11" s="984">
        <v>5</v>
      </c>
      <c r="J11" s="629">
        <f t="shared" si="0"/>
        <v>1.4690833333333331E-3</v>
      </c>
    </row>
    <row r="12" spans="1:22" ht="15.6" customHeight="1" thickBot="1">
      <c r="A12" s="239"/>
      <c r="B12" s="264"/>
      <c r="C12" s="240"/>
      <c r="D12" s="1326" t="s">
        <v>183</v>
      </c>
      <c r="E12" s="1279" t="s">
        <v>532</v>
      </c>
      <c r="F12" s="470"/>
      <c r="G12" s="398"/>
      <c r="H12" s="990">
        <f ca="1">'Dosis overzicht'!L$19</f>
        <v>3.0666666666666668E-3</v>
      </c>
      <c r="I12" s="985">
        <v>5</v>
      </c>
      <c r="J12" s="630">
        <f t="shared" si="0"/>
        <v>1.5333333333333334E-2</v>
      </c>
    </row>
    <row r="13" spans="1:22" ht="15.6" customHeight="1">
      <c r="A13" s="242"/>
      <c r="B13" s="265"/>
      <c r="C13" s="15"/>
    </row>
    <row r="14" spans="1:22" ht="15.6" customHeight="1" thickBot="1"/>
    <row r="15" spans="1:22" ht="15.6" customHeight="1">
      <c r="A15" s="229" t="s">
        <v>207</v>
      </c>
      <c r="B15" s="208"/>
      <c r="C15" s="208"/>
      <c r="D15" s="1325" t="s">
        <v>118</v>
      </c>
      <c r="E15" s="684" t="s">
        <v>26</v>
      </c>
      <c r="F15" s="988">
        <f ca="1">MAX('Dosis overzicht'!E$8:E$20)</f>
        <v>3.10699279310375E-3</v>
      </c>
      <c r="G15" s="983">
        <v>0</v>
      </c>
      <c r="H15" s="1327"/>
      <c r="I15" s="1328"/>
      <c r="J15" s="628">
        <f>F15*G15/40</f>
        <v>0</v>
      </c>
    </row>
    <row r="16" spans="1:22" ht="15.6" customHeight="1">
      <c r="A16" s="238"/>
      <c r="B16" s="263"/>
      <c r="C16" s="9"/>
      <c r="D16" s="514" t="s">
        <v>57</v>
      </c>
      <c r="E16" s="1278" t="s">
        <v>26</v>
      </c>
      <c r="F16" s="461"/>
      <c r="G16" s="111"/>
      <c r="H16" s="989">
        <f ca="1">'Dosis overzicht'!L$8</f>
        <v>2.3610777428857135E-4</v>
      </c>
      <c r="I16" s="984">
        <v>16</v>
      </c>
      <c r="J16" s="629">
        <f t="shared" ref="J16:J21" si="1">H16*I16</f>
        <v>3.7777243886171416E-3</v>
      </c>
    </row>
    <row r="17" spans="1:10" ht="15.6" customHeight="1">
      <c r="A17" s="238"/>
      <c r="B17" s="262"/>
      <c r="C17" s="9"/>
      <c r="D17" s="514" t="s">
        <v>177</v>
      </c>
      <c r="E17" s="1278" t="s">
        <v>26</v>
      </c>
      <c r="F17" s="461"/>
      <c r="G17" s="111"/>
      <c r="H17" s="989">
        <f ca="1">'Dosis overzicht'!L$10</f>
        <v>1.5429993760350895E-7</v>
      </c>
      <c r="I17" s="984">
        <v>24</v>
      </c>
      <c r="J17" s="629">
        <f t="shared" si="1"/>
        <v>3.7031985024842147E-6</v>
      </c>
    </row>
    <row r="18" spans="1:10" ht="15.6" customHeight="1">
      <c r="A18" s="238" t="s">
        <v>119</v>
      </c>
      <c r="B18" s="402">
        <f>SUM(J15:J21)</f>
        <v>1.9866715590024363E-2</v>
      </c>
      <c r="C18" s="9"/>
      <c r="D18" s="514" t="s">
        <v>121</v>
      </c>
      <c r="E18" s="1278" t="s">
        <v>26</v>
      </c>
      <c r="F18" s="461"/>
      <c r="G18" s="111"/>
      <c r="H18" s="989">
        <f ca="1">'Dosis overzicht'!L$12</f>
        <v>2.6057791652880827E-5</v>
      </c>
      <c r="I18" s="986">
        <v>50</v>
      </c>
      <c r="J18" s="629">
        <f t="shared" si="1"/>
        <v>1.3028895826440413E-3</v>
      </c>
    </row>
    <row r="19" spans="1:10" ht="15.6" customHeight="1">
      <c r="A19" s="238"/>
      <c r="B19" s="262"/>
      <c r="C19" s="9"/>
      <c r="D19" s="514" t="s">
        <v>176</v>
      </c>
      <c r="E19" s="1278" t="s">
        <v>26</v>
      </c>
      <c r="F19" s="461"/>
      <c r="G19" s="111"/>
      <c r="H19" s="989">
        <f ca="1">'Dosis overzicht'!L$14</f>
        <v>3.0521695642455497E-6</v>
      </c>
      <c r="I19" s="986">
        <v>30</v>
      </c>
      <c r="J19" s="629">
        <f t="shared" si="1"/>
        <v>9.1565086927366491E-5</v>
      </c>
    </row>
    <row r="20" spans="1:10" ht="15.6" customHeight="1">
      <c r="A20" s="238"/>
      <c r="B20" s="262"/>
      <c r="C20" s="9"/>
      <c r="D20" s="514" t="s">
        <v>173</v>
      </c>
      <c r="E20" s="1278" t="s">
        <v>201</v>
      </c>
      <c r="F20" s="461"/>
      <c r="G20" s="111"/>
      <c r="H20" s="989">
        <f ca="1">'Dosis overzicht'!L$16</f>
        <v>2.9381666666666661E-4</v>
      </c>
      <c r="I20" s="986">
        <v>50</v>
      </c>
      <c r="J20" s="629">
        <f t="shared" si="1"/>
        <v>1.469083333333333E-2</v>
      </c>
    </row>
    <row r="21" spans="1:10" ht="15.6" customHeight="1" thickBot="1">
      <c r="A21" s="239"/>
      <c r="B21" s="264"/>
      <c r="C21" s="240"/>
      <c r="D21" s="1326" t="s">
        <v>183</v>
      </c>
      <c r="E21" s="1279"/>
      <c r="F21" s="470"/>
      <c r="G21" s="398"/>
      <c r="H21" s="990">
        <f ca="1">'Dosis overzicht'!L$19</f>
        <v>3.0666666666666668E-3</v>
      </c>
      <c r="I21" s="987">
        <v>0</v>
      </c>
      <c r="J21" s="630">
        <f t="shared" si="1"/>
        <v>0</v>
      </c>
    </row>
    <row r="22" spans="1:10" ht="15.6" customHeight="1" thickBot="1"/>
    <row r="23" spans="1:10" ht="15.6" customHeight="1">
      <c r="A23" s="229" t="s">
        <v>123</v>
      </c>
      <c r="B23" s="208"/>
      <c r="C23" s="208"/>
      <c r="D23" s="1325" t="s">
        <v>118</v>
      </c>
      <c r="E23" s="684" t="s">
        <v>26</v>
      </c>
      <c r="F23" s="988">
        <f ca="1">MAX('Dosis overzicht'!E$8:E$20)</f>
        <v>3.10699279310375E-3</v>
      </c>
      <c r="G23" s="983">
        <v>4</v>
      </c>
      <c r="H23" s="1327"/>
      <c r="I23" s="1328"/>
      <c r="J23" s="628">
        <f>F23*G23/40</f>
        <v>3.1069927931037501E-4</v>
      </c>
    </row>
    <row r="24" spans="1:10" ht="15.6" customHeight="1">
      <c r="A24" s="238"/>
      <c r="B24" s="263"/>
      <c r="C24" s="9"/>
      <c r="D24" s="514" t="s">
        <v>57</v>
      </c>
      <c r="E24" s="1278" t="s">
        <v>26</v>
      </c>
      <c r="F24" s="461"/>
      <c r="G24" s="111"/>
      <c r="H24" s="989">
        <f ca="1">'Dosis overzicht'!L$8</f>
        <v>2.3610777428857135E-4</v>
      </c>
      <c r="I24" s="631">
        <v>24</v>
      </c>
      <c r="J24" s="629">
        <f t="shared" ref="J24:J29" si="2">H24*I24</f>
        <v>5.6665865829257124E-3</v>
      </c>
    </row>
    <row r="25" spans="1:10" ht="15.6" customHeight="1">
      <c r="A25" s="238"/>
      <c r="B25" s="262"/>
      <c r="C25" s="9"/>
      <c r="D25" s="514" t="s">
        <v>177</v>
      </c>
      <c r="E25" s="1278" t="s">
        <v>26</v>
      </c>
      <c r="F25" s="461"/>
      <c r="G25" s="111"/>
      <c r="H25" s="989">
        <f ca="1">'Dosis overzicht'!L$10</f>
        <v>1.5429993760350895E-7</v>
      </c>
      <c r="I25" s="631">
        <v>24</v>
      </c>
      <c r="J25" s="629">
        <f t="shared" si="2"/>
        <v>3.7031985024842147E-6</v>
      </c>
    </row>
    <row r="26" spans="1:10" ht="15.6" customHeight="1">
      <c r="A26" s="238" t="s">
        <v>119</v>
      </c>
      <c r="B26" s="402">
        <f>SUM(J23:J29)</f>
        <v>1.6189943730309977E-2</v>
      </c>
      <c r="C26" s="9"/>
      <c r="D26" s="514" t="s">
        <v>121</v>
      </c>
      <c r="E26" s="1278" t="s">
        <v>26</v>
      </c>
      <c r="F26" s="461"/>
      <c r="G26" s="111"/>
      <c r="H26" s="989">
        <f ca="1">'Dosis overzicht'!L$12</f>
        <v>2.6057791652880827E-5</v>
      </c>
      <c r="I26" s="594">
        <v>50</v>
      </c>
      <c r="J26" s="629">
        <f t="shared" si="2"/>
        <v>1.3028895826440413E-3</v>
      </c>
    </row>
    <row r="27" spans="1:10" ht="15.6" customHeight="1">
      <c r="A27" s="238"/>
      <c r="B27" s="483"/>
      <c r="C27" s="9"/>
      <c r="D27" s="514" t="s">
        <v>176</v>
      </c>
      <c r="E27" s="1278" t="s">
        <v>26</v>
      </c>
      <c r="F27" s="461"/>
      <c r="G27" s="111"/>
      <c r="H27" s="989">
        <f ca="1">'Dosis overzicht'!L$14</f>
        <v>3.0521695642455497E-6</v>
      </c>
      <c r="I27" s="594">
        <v>30</v>
      </c>
      <c r="J27" s="629">
        <f t="shared" si="2"/>
        <v>9.1565086927366491E-5</v>
      </c>
    </row>
    <row r="28" spans="1:10" ht="15.6" customHeight="1">
      <c r="A28" s="238"/>
      <c r="B28" s="262"/>
      <c r="C28" s="9"/>
      <c r="D28" s="514" t="s">
        <v>173</v>
      </c>
      <c r="E28" s="1278" t="s">
        <v>167</v>
      </c>
      <c r="F28" s="461"/>
      <c r="G28" s="111"/>
      <c r="H28" s="989">
        <f ca="1">'Dosis overzicht'!L$16</f>
        <v>2.9381666666666661E-4</v>
      </c>
      <c r="I28" s="594">
        <v>30</v>
      </c>
      <c r="J28" s="629">
        <f t="shared" si="2"/>
        <v>8.8144999999999977E-3</v>
      </c>
    </row>
    <row r="29" spans="1:10" ht="15.6" customHeight="1" thickBot="1">
      <c r="A29" s="239"/>
      <c r="B29" s="264"/>
      <c r="C29" s="240"/>
      <c r="D29" s="1326" t="s">
        <v>183</v>
      </c>
      <c r="E29" s="1279"/>
      <c r="F29" s="470"/>
      <c r="G29" s="398"/>
      <c r="H29" s="990">
        <f ca="1">'Dosis overzicht'!L$19</f>
        <v>3.0666666666666668E-3</v>
      </c>
      <c r="I29" s="632">
        <v>0</v>
      </c>
      <c r="J29" s="630">
        <f t="shared" si="2"/>
        <v>0</v>
      </c>
    </row>
    <row r="30" spans="1:10" ht="15.6" customHeight="1" thickBot="1">
      <c r="J30" s="10"/>
    </row>
    <row r="31" spans="1:10" ht="15.6" customHeight="1">
      <c r="A31" s="229" t="s">
        <v>124</v>
      </c>
      <c r="B31" s="208"/>
      <c r="C31" s="208"/>
      <c r="D31" s="1325" t="s">
        <v>118</v>
      </c>
      <c r="E31" s="684" t="s">
        <v>26</v>
      </c>
      <c r="F31" s="988">
        <f ca="1">MAX('Dosis overzicht'!E$8:E$20)</f>
        <v>3.10699279310375E-3</v>
      </c>
      <c r="G31" s="983">
        <v>4</v>
      </c>
      <c r="H31" s="1327"/>
      <c r="I31" s="1328"/>
      <c r="J31" s="628">
        <f>F31*G31/40</f>
        <v>3.1069927931037501E-4</v>
      </c>
    </row>
    <row r="32" spans="1:10" ht="15.6" customHeight="1">
      <c r="A32" s="238"/>
      <c r="B32" s="263"/>
      <c r="C32" s="9"/>
      <c r="D32" s="514" t="s">
        <v>57</v>
      </c>
      <c r="E32" s="1278" t="s">
        <v>26</v>
      </c>
      <c r="F32" s="461"/>
      <c r="G32" s="111"/>
      <c r="H32" s="989">
        <f ca="1">'Dosis overzicht'!L$8</f>
        <v>2.3610777428857135E-4</v>
      </c>
      <c r="I32" s="984">
        <v>24</v>
      </c>
      <c r="J32" s="629">
        <f t="shared" ref="J32:J37" si="3">H32*I32</f>
        <v>5.6665865829257124E-3</v>
      </c>
    </row>
    <row r="33" spans="1:11" ht="15.6" customHeight="1">
      <c r="A33" s="238"/>
      <c r="B33" s="262"/>
      <c r="C33" s="9"/>
      <c r="D33" s="514" t="s">
        <v>177</v>
      </c>
      <c r="E33" s="1278" t="s">
        <v>26</v>
      </c>
      <c r="F33" s="461"/>
      <c r="G33" s="111"/>
      <c r="H33" s="989">
        <f ca="1">'Dosis overzicht'!L$10</f>
        <v>1.5429993760350895E-7</v>
      </c>
      <c r="I33" s="984">
        <v>24</v>
      </c>
      <c r="J33" s="629">
        <f t="shared" si="3"/>
        <v>3.7031985024842147E-6</v>
      </c>
    </row>
    <row r="34" spans="1:11" ht="15.6" customHeight="1">
      <c r="A34" s="238" t="s">
        <v>119</v>
      </c>
      <c r="B34" s="402">
        <f>SUM(J31:J37)</f>
        <v>2.9350469669301757E-2</v>
      </c>
      <c r="C34" s="9"/>
      <c r="D34" s="514" t="s">
        <v>121</v>
      </c>
      <c r="E34" s="1278" t="s">
        <v>26</v>
      </c>
      <c r="F34" s="461"/>
      <c r="G34" s="111"/>
      <c r="H34" s="989">
        <f ca="1">'Dosis overzicht'!L$12</f>
        <v>2.6057791652880827E-5</v>
      </c>
      <c r="I34" s="986">
        <v>500</v>
      </c>
      <c r="J34" s="629">
        <f t="shared" si="3"/>
        <v>1.3028895826440413E-2</v>
      </c>
    </row>
    <row r="35" spans="1:11" ht="15.6" customHeight="1">
      <c r="A35" s="238"/>
      <c r="B35" s="483"/>
      <c r="C35" s="9"/>
      <c r="D35" s="514" t="s">
        <v>176</v>
      </c>
      <c r="E35" s="1278" t="s">
        <v>26</v>
      </c>
      <c r="F35" s="471"/>
      <c r="G35" s="111"/>
      <c r="H35" s="989">
        <f ca="1">'Dosis overzicht'!L$14</f>
        <v>3.0521695642455497E-6</v>
      </c>
      <c r="I35" s="986">
        <v>500</v>
      </c>
      <c r="J35" s="629">
        <f t="shared" si="3"/>
        <v>1.5260847821227748E-3</v>
      </c>
    </row>
    <row r="36" spans="1:11" ht="15.6" customHeight="1">
      <c r="A36" s="238"/>
      <c r="B36" s="262"/>
      <c r="C36" s="9"/>
      <c r="D36" s="514" t="s">
        <v>173</v>
      </c>
      <c r="E36" s="1278" t="s">
        <v>167</v>
      </c>
      <c r="F36" s="471"/>
      <c r="G36" s="111"/>
      <c r="H36" s="989">
        <f ca="1">'Dosis overzicht'!L$16</f>
        <v>2.9381666666666661E-4</v>
      </c>
      <c r="I36" s="986">
        <v>30</v>
      </c>
      <c r="J36" s="629">
        <f t="shared" si="3"/>
        <v>8.8144999999999977E-3</v>
      </c>
      <c r="K36" s="17"/>
    </row>
    <row r="37" spans="1:11" ht="15.6" customHeight="1" thickBot="1">
      <c r="A37" s="239"/>
      <c r="B37" s="264"/>
      <c r="C37" s="240"/>
      <c r="D37" s="1326" t="s">
        <v>183</v>
      </c>
      <c r="E37" s="1279"/>
      <c r="F37" s="470"/>
      <c r="G37" s="398"/>
      <c r="H37" s="990">
        <f ca="1">'Dosis overzicht'!L$19</f>
        <v>3.0666666666666668E-3</v>
      </c>
      <c r="I37" s="987">
        <v>0</v>
      </c>
      <c r="J37" s="630">
        <f t="shared" si="3"/>
        <v>0</v>
      </c>
    </row>
    <row r="38" spans="1:11" ht="15.6" customHeight="1" thickBot="1">
      <c r="J38" s="10"/>
    </row>
    <row r="39" spans="1:11" ht="15.6" customHeight="1">
      <c r="A39" s="229" t="s">
        <v>208</v>
      </c>
      <c r="B39" s="208"/>
      <c r="C39" s="208"/>
      <c r="D39" s="1325" t="s">
        <v>118</v>
      </c>
      <c r="E39" s="1277" t="s">
        <v>26</v>
      </c>
      <c r="F39" s="988">
        <f ca="1">MAX('Dosis overzicht'!E$8:E$20)</f>
        <v>3.10699279310375E-3</v>
      </c>
      <c r="G39" s="983">
        <v>4</v>
      </c>
      <c r="H39" s="1327"/>
      <c r="I39" s="1328"/>
      <c r="J39" s="628">
        <f>F39*G39/40</f>
        <v>3.1069927931037501E-4</v>
      </c>
    </row>
    <row r="40" spans="1:11" ht="15.6" customHeight="1">
      <c r="A40" s="1280"/>
      <c r="B40" s="10"/>
      <c r="C40" s="10"/>
      <c r="D40" s="514" t="s">
        <v>57</v>
      </c>
      <c r="E40" s="1278" t="s">
        <v>26</v>
      </c>
      <c r="F40" s="461"/>
      <c r="G40" s="111"/>
      <c r="H40" s="989">
        <f ca="1">'Dosis overzicht'!L$8</f>
        <v>2.3610777428857135E-4</v>
      </c>
      <c r="I40" s="984">
        <f>12*4</f>
        <v>48</v>
      </c>
      <c r="J40" s="629">
        <f>H40*I40</f>
        <v>1.1333173165851425E-2</v>
      </c>
    </row>
    <row r="41" spans="1:11" ht="15.6" customHeight="1">
      <c r="A41" s="1280"/>
      <c r="B41" s="10"/>
      <c r="C41" s="10"/>
      <c r="D41" s="514" t="s">
        <v>177</v>
      </c>
      <c r="E41" s="1278" t="s">
        <v>26</v>
      </c>
      <c r="F41" s="461"/>
      <c r="G41" s="111"/>
      <c r="H41" s="989">
        <f ca="1">'Dosis overzicht'!L$10</f>
        <v>1.5429993760350895E-7</v>
      </c>
      <c r="I41" s="984">
        <f>12*2</f>
        <v>24</v>
      </c>
      <c r="J41" s="629">
        <f>H41*I41</f>
        <v>3.7031985024842147E-6</v>
      </c>
    </row>
    <row r="42" spans="1:11" ht="15.6" customHeight="1">
      <c r="A42" s="238"/>
      <c r="B42" s="263"/>
      <c r="C42" s="9"/>
      <c r="D42" s="514" t="s">
        <v>121</v>
      </c>
      <c r="E42" s="1278" t="s">
        <v>26</v>
      </c>
      <c r="F42" s="461"/>
      <c r="G42" s="111"/>
      <c r="H42" s="989">
        <f ca="1">'Dosis overzicht'!L$12</f>
        <v>2.6057791652880827E-5</v>
      </c>
      <c r="I42" s="986">
        <v>2</v>
      </c>
      <c r="J42" s="629">
        <f>H42*I42</f>
        <v>5.2115583305761655E-5</v>
      </c>
    </row>
    <row r="43" spans="1:11" ht="15.6" customHeight="1">
      <c r="A43" s="238"/>
      <c r="B43" s="262"/>
      <c r="C43" s="9"/>
      <c r="D43" s="514" t="s">
        <v>176</v>
      </c>
      <c r="E43" s="1278" t="s">
        <v>26</v>
      </c>
      <c r="F43" s="461"/>
      <c r="G43" s="111"/>
      <c r="H43" s="989">
        <f ca="1">'Dosis overzicht'!L$14</f>
        <v>3.0521695642455497E-6</v>
      </c>
      <c r="I43" s="986">
        <v>2</v>
      </c>
      <c r="J43" s="629">
        <f>H43*I43</f>
        <v>6.1043391284910993E-6</v>
      </c>
    </row>
    <row r="44" spans="1:11" ht="15.6" customHeight="1" thickBot="1">
      <c r="A44" s="238" t="s">
        <v>119</v>
      </c>
      <c r="B44" s="402">
        <f>SUM(J39:J44)</f>
        <v>1.1705795566098536E-2</v>
      </c>
      <c r="C44" s="9"/>
      <c r="D44" s="1326" t="s">
        <v>183</v>
      </c>
      <c r="E44" s="1279"/>
      <c r="F44" s="470"/>
      <c r="G44" s="398"/>
      <c r="H44" s="990">
        <f ca="1">'Dosis overzicht'!L$19</f>
        <v>3.0666666666666668E-3</v>
      </c>
      <c r="I44" s="987">
        <v>0</v>
      </c>
      <c r="J44" s="630">
        <f>H44*I44</f>
        <v>0</v>
      </c>
    </row>
    <row r="45" spans="1:11" ht="15.6" customHeight="1">
      <c r="A45" s="1414"/>
      <c r="B45" s="1415"/>
      <c r="C45" s="1416"/>
      <c r="K45" s="17"/>
    </row>
    <row r="46" spans="1:11" ht="15.6" customHeight="1">
      <c r="A46" s="1417"/>
      <c r="B46" s="262"/>
      <c r="C46" s="9"/>
    </row>
    <row r="47" spans="1:11" ht="15.6" customHeight="1"/>
    <row r="48" spans="1:11" ht="15.6" customHeight="1"/>
    <row r="49" ht="15.6" customHeight="1"/>
  </sheetData>
  <phoneticPr fontId="0" type="noConversion"/>
  <dataValidations count="1">
    <dataValidation type="decimal" allowBlank="1" showErrorMessage="1" errorTitle=" " error="De deeltijdfactor kan maximaal 100% zijn" sqref="B13:C13">
      <formula1>0</formula1>
      <formula2>1</formula2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portrait" r:id="rId1"/>
  <headerFooter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Blad3">
    <tabColor rgb="FFCCFFCC"/>
    <pageSetUpPr fitToPage="1"/>
  </sheetPr>
  <dimension ref="A1:Z111"/>
  <sheetViews>
    <sheetView topLeftCell="A13" zoomScale="70" zoomScaleNormal="70" workbookViewId="0">
      <selection activeCell="I6" sqref="I6"/>
    </sheetView>
  </sheetViews>
  <sheetFormatPr defaultColWidth="27.85546875" defaultRowHeight="12.75"/>
  <cols>
    <col min="1" max="1" width="27.85546875" style="27" customWidth="1"/>
    <col min="2" max="2" width="7.7109375" style="35" customWidth="1"/>
    <col min="3" max="3" width="6.28515625" style="232" customWidth="1"/>
    <col min="4" max="4" width="28" style="27" customWidth="1"/>
    <col min="5" max="5" width="48.28515625" style="250" customWidth="1"/>
    <col min="6" max="6" width="10.140625" style="1268" customWidth="1"/>
    <col min="7" max="7" width="10.7109375" style="27" customWidth="1"/>
    <col min="8" max="8" width="13.85546875" style="27" customWidth="1"/>
    <col min="9" max="9" width="11.85546875" style="27" customWidth="1"/>
    <col min="10" max="10" width="9.7109375" style="27" customWidth="1"/>
    <col min="11" max="11" width="9.140625" style="27" customWidth="1"/>
    <col min="12" max="12" width="14.28515625" style="27" customWidth="1"/>
    <col min="13" max="18" width="12.7109375" style="27" customWidth="1"/>
    <col min="19" max="255" width="9.140625" style="27" customWidth="1"/>
    <col min="256" max="16384" width="27.85546875" style="27"/>
  </cols>
  <sheetData>
    <row r="1" spans="1:22" s="336" customFormat="1" ht="26.25" customHeight="1" thickBot="1">
      <c r="A1" s="618" t="s">
        <v>296</v>
      </c>
      <c r="B1" s="619"/>
      <c r="C1" s="620"/>
      <c r="D1" s="621"/>
      <c r="E1" s="622"/>
      <c r="F1" s="1265"/>
      <c r="G1" s="623"/>
      <c r="H1" s="623"/>
      <c r="I1" s="623"/>
      <c r="J1" s="623"/>
      <c r="K1" s="624"/>
      <c r="L1" s="624"/>
      <c r="M1" s="624"/>
      <c r="N1" s="624"/>
      <c r="O1" s="624"/>
      <c r="P1" s="624"/>
      <c r="Q1" s="625"/>
      <c r="R1" s="389"/>
      <c r="S1" s="389"/>
      <c r="T1" s="389"/>
      <c r="U1" s="389"/>
      <c r="V1" s="389"/>
    </row>
    <row r="2" spans="1:22" s="3" customFormat="1" ht="18.75" thickBot="1">
      <c r="A2" s="2" t="s">
        <v>353</v>
      </c>
      <c r="B2" s="5"/>
      <c r="C2" s="175"/>
      <c r="E2" s="245"/>
      <c r="F2" s="1266"/>
      <c r="G2" s="5"/>
      <c r="H2" s="5"/>
      <c r="I2" s="5"/>
    </row>
    <row r="3" spans="1:22" ht="15.75" customHeight="1">
      <c r="A3" s="26"/>
      <c r="B3" s="403"/>
      <c r="C3" s="231"/>
      <c r="D3" s="22"/>
      <c r="E3" s="246"/>
      <c r="F3" s="1408" t="s">
        <v>169</v>
      </c>
      <c r="G3" s="1409" t="s">
        <v>213</v>
      </c>
      <c r="H3" s="1409" t="s">
        <v>214</v>
      </c>
      <c r="I3" s="1409" t="s">
        <v>215</v>
      </c>
      <c r="J3" s="1410" t="s">
        <v>216</v>
      </c>
      <c r="M3" s="3"/>
      <c r="N3" s="3"/>
      <c r="O3" s="3"/>
      <c r="P3" s="3"/>
      <c r="Q3" s="3"/>
    </row>
    <row r="4" spans="1:22" ht="15.75" customHeight="1" thickBot="1">
      <c r="D4" s="22" t="s">
        <v>188</v>
      </c>
      <c r="E4" s="1259" t="s">
        <v>72</v>
      </c>
      <c r="F4" s="1411" t="s">
        <v>209</v>
      </c>
      <c r="G4" s="1412" t="s">
        <v>210</v>
      </c>
      <c r="H4" s="1412" t="s">
        <v>212</v>
      </c>
      <c r="I4" s="1412" t="s">
        <v>210</v>
      </c>
      <c r="J4" s="1413" t="s">
        <v>211</v>
      </c>
      <c r="L4" s="28"/>
    </row>
    <row r="5" spans="1:22" ht="15.75" customHeight="1" thickBot="1">
      <c r="A5" s="229" t="s">
        <v>182</v>
      </c>
      <c r="B5" s="404"/>
      <c r="C5" s="233"/>
      <c r="D5" s="254" t="s">
        <v>66</v>
      </c>
      <c r="E5" s="1256" t="s">
        <v>519</v>
      </c>
      <c r="F5" s="670">
        <f ca="1">MAX('Dosis overzicht'!E$31:E$46)</f>
        <v>3.4782642936666557E-4</v>
      </c>
      <c r="G5" s="991">
        <v>10</v>
      </c>
      <c r="H5" s="1198">
        <v>1</v>
      </c>
      <c r="I5" s="1207">
        <f>VLOOKUP(F5,$M$29:$Q$36,5,TRUE)</f>
        <v>1</v>
      </c>
      <c r="J5" s="674">
        <f t="shared" ref="J5:J15" si="0">G5*H5*I5</f>
        <v>10</v>
      </c>
      <c r="L5" s="28"/>
      <c r="M5" s="1531" t="s">
        <v>132</v>
      </c>
      <c r="N5" s="1532"/>
      <c r="O5" s="1532"/>
      <c r="P5" s="1533"/>
    </row>
    <row r="6" spans="1:22" ht="15.75" customHeight="1" thickBot="1">
      <c r="A6" s="8" t="s">
        <v>91</v>
      </c>
      <c r="B6" s="405"/>
      <c r="C6" s="234"/>
      <c r="D6" s="1260"/>
      <c r="E6" s="1255" t="s">
        <v>541</v>
      </c>
      <c r="F6" s="671">
        <f ca="1">'Dosis overzicht'!D$48</f>
        <v>1.6500000000000001</v>
      </c>
      <c r="G6" s="992">
        <v>10</v>
      </c>
      <c r="H6" s="992">
        <v>0.1</v>
      </c>
      <c r="I6" s="1208">
        <f>VLOOKUP(F6,$M$29:$Q$36,5,TRUE)</f>
        <v>10</v>
      </c>
      <c r="J6" s="928">
        <f t="shared" si="0"/>
        <v>10</v>
      </c>
      <c r="L6" s="28"/>
      <c r="M6" s="1070" t="s">
        <v>146</v>
      </c>
      <c r="N6" s="1071" t="s">
        <v>19</v>
      </c>
      <c r="O6" s="1071"/>
      <c r="P6" s="1072" t="s">
        <v>164</v>
      </c>
    </row>
    <row r="7" spans="1:22" ht="15.75" customHeight="1">
      <c r="A7" s="30"/>
      <c r="D7" s="256" t="s">
        <v>57</v>
      </c>
      <c r="E7" s="247" t="s">
        <v>540</v>
      </c>
      <c r="F7" s="672">
        <f ca="1">'Dosis overzicht'!$N$31</f>
        <v>0.18899999999999997</v>
      </c>
      <c r="G7" s="993">
        <v>10</v>
      </c>
      <c r="H7" s="993">
        <v>0.1</v>
      </c>
      <c r="I7" s="1208">
        <f>VLOOKUP(F7,$M$29:$Q$36,5,TRUE)</f>
        <v>5</v>
      </c>
      <c r="J7" s="676">
        <f t="shared" si="0"/>
        <v>5</v>
      </c>
      <c r="L7" s="28"/>
      <c r="M7" s="1073">
        <v>0.5</v>
      </c>
      <c r="N7" s="1074" t="s">
        <v>133</v>
      </c>
      <c r="O7" s="1074"/>
      <c r="P7" s="1187" t="s">
        <v>139</v>
      </c>
      <c r="Q7" s="1194"/>
    </row>
    <row r="8" spans="1:22" ht="15.75" customHeight="1">
      <c r="A8" s="261" t="s">
        <v>74</v>
      </c>
      <c r="B8" s="679">
        <f>LARGE(J5:J15,1)</f>
        <v>10</v>
      </c>
      <c r="C8" s="29"/>
      <c r="D8" s="257" t="s">
        <v>177</v>
      </c>
      <c r="E8" s="1254" t="s">
        <v>543</v>
      </c>
      <c r="F8" s="672">
        <f ca="1">'Dosis overzicht'!N$33</f>
        <v>0.52749999999999997</v>
      </c>
      <c r="G8" s="993">
        <v>3</v>
      </c>
      <c r="H8" s="993">
        <v>0.2</v>
      </c>
      <c r="I8" s="1208">
        <f>VLOOKUP(F8,$M$29:$Q$36,5,TRUE)</f>
        <v>7</v>
      </c>
      <c r="J8" s="676">
        <f t="shared" si="0"/>
        <v>4.2000000000000011</v>
      </c>
      <c r="L8" s="28"/>
      <c r="M8" s="1075">
        <v>1</v>
      </c>
      <c r="N8" s="1076" t="s">
        <v>134</v>
      </c>
      <c r="O8" s="1076"/>
      <c r="P8" s="1077" t="s">
        <v>140</v>
      </c>
    </row>
    <row r="9" spans="1:22" ht="15.75" customHeight="1">
      <c r="A9" s="261"/>
      <c r="B9" s="477"/>
      <c r="C9" s="29"/>
      <c r="D9" s="1534" t="s">
        <v>92</v>
      </c>
      <c r="E9" s="1254" t="s">
        <v>350</v>
      </c>
      <c r="F9" s="672">
        <f ca="1">'Dosis overzicht'!N$35</f>
        <v>1.0425</v>
      </c>
      <c r="G9" s="993">
        <v>3</v>
      </c>
      <c r="H9" s="993">
        <v>0.1</v>
      </c>
      <c r="I9" s="1063">
        <f>VLOOKUP(F9,$M$29:$Q$36,5,TRUE)</f>
        <v>10</v>
      </c>
      <c r="J9" s="676">
        <f t="shared" si="0"/>
        <v>3.0000000000000004</v>
      </c>
      <c r="L9" s="28"/>
      <c r="M9" s="1075">
        <v>2</v>
      </c>
      <c r="N9" s="1076" t="s">
        <v>135</v>
      </c>
      <c r="O9" s="1076"/>
      <c r="P9" s="1077" t="s">
        <v>141</v>
      </c>
    </row>
    <row r="10" spans="1:22" ht="15.75" customHeight="1">
      <c r="A10" s="30"/>
      <c r="B10" s="406"/>
      <c r="C10" s="235"/>
      <c r="D10" s="1535"/>
      <c r="E10" s="1254" t="s">
        <v>351</v>
      </c>
      <c r="F10" s="672">
        <f ca="1">'Dosis overzicht'!N$36</f>
        <v>21.27551020408163</v>
      </c>
      <c r="G10" s="993">
        <v>3</v>
      </c>
      <c r="H10" s="993">
        <v>0.1</v>
      </c>
      <c r="I10" s="1208">
        <f>VLOOKUP(F10,$O$29:$Q$36,3,TRUE)</f>
        <v>3</v>
      </c>
      <c r="J10" s="675">
        <f t="shared" si="0"/>
        <v>0.90000000000000013</v>
      </c>
      <c r="L10" s="28"/>
      <c r="M10" s="1075">
        <v>3</v>
      </c>
      <c r="N10" s="1076" t="s">
        <v>136</v>
      </c>
      <c r="O10" s="1076"/>
      <c r="P10" s="1077" t="s">
        <v>142</v>
      </c>
      <c r="R10" s="28"/>
      <c r="S10" s="28"/>
    </row>
    <row r="11" spans="1:22" ht="15.75" customHeight="1">
      <c r="A11" s="30"/>
      <c r="B11" s="406"/>
      <c r="C11" s="235"/>
      <c r="D11" s="1534" t="s">
        <v>175</v>
      </c>
      <c r="E11" s="1254" t="s">
        <v>350</v>
      </c>
      <c r="F11" s="673">
        <f ca="1">'Dosis overzicht'!N$38</f>
        <v>0.17143333333333335</v>
      </c>
      <c r="G11" s="993">
        <v>3</v>
      </c>
      <c r="H11" s="993">
        <v>0.1</v>
      </c>
      <c r="I11" s="1208">
        <f>VLOOKUP(F11,$M$29:$Q$36,5,TRUE)</f>
        <v>5</v>
      </c>
      <c r="J11" s="676">
        <f t="shared" si="0"/>
        <v>1.5000000000000002</v>
      </c>
      <c r="L11" s="28"/>
      <c r="M11" s="1075">
        <v>6</v>
      </c>
      <c r="N11" s="1076" t="s">
        <v>137</v>
      </c>
      <c r="O11" s="1076"/>
      <c r="P11" s="1077" t="s">
        <v>143</v>
      </c>
      <c r="R11" s="28"/>
      <c r="S11" s="28"/>
    </row>
    <row r="12" spans="1:22" ht="15.75" customHeight="1" thickBot="1">
      <c r="A12" s="30"/>
      <c r="B12" s="406"/>
      <c r="C12" s="235"/>
      <c r="D12" s="1535"/>
      <c r="E12" s="1254" t="s">
        <v>351</v>
      </c>
      <c r="F12" s="673">
        <f ca="1">'Dosis overzicht'!N$39</f>
        <v>1.7143333333333335</v>
      </c>
      <c r="G12" s="993">
        <v>3</v>
      </c>
      <c r="H12" s="993">
        <v>0.1</v>
      </c>
      <c r="I12" s="1208">
        <f>VLOOKUP(F12,$O$29:$Q$36,3,TRUE)</f>
        <v>3</v>
      </c>
      <c r="J12" s="676">
        <f t="shared" si="0"/>
        <v>0.90000000000000013</v>
      </c>
      <c r="M12" s="1078">
        <v>10</v>
      </c>
      <c r="N12" s="1079" t="s">
        <v>138</v>
      </c>
      <c r="O12" s="1079"/>
      <c r="P12" s="1080" t="s">
        <v>144</v>
      </c>
      <c r="R12" s="1541"/>
      <c r="S12" s="1542"/>
    </row>
    <row r="13" spans="1:22" ht="15.75" customHeight="1" thickBot="1">
      <c r="A13" s="30"/>
      <c r="B13" s="406"/>
      <c r="C13" s="235"/>
      <c r="D13" s="257" t="s">
        <v>173</v>
      </c>
      <c r="E13" s="1254" t="s">
        <v>504</v>
      </c>
      <c r="F13" s="672">
        <f ca="1">'Dosis overzicht'!N$41</f>
        <v>8.0572602134634311E-3</v>
      </c>
      <c r="G13" s="993">
        <v>3</v>
      </c>
      <c r="H13" s="993">
        <v>0.2</v>
      </c>
      <c r="I13" s="1208">
        <f>VLOOKUP(F13,$M$29:$Q$36,5,TRUE)</f>
        <v>1</v>
      </c>
      <c r="J13" s="676">
        <f t="shared" si="0"/>
        <v>0.60000000000000009</v>
      </c>
      <c r="L13" s="28"/>
      <c r="M13" s="22"/>
      <c r="N13" s="22"/>
      <c r="O13" s="22"/>
      <c r="P13" s="22"/>
      <c r="R13" s="825"/>
      <c r="S13" s="1184"/>
    </row>
    <row r="14" spans="1:22" ht="15.75" customHeight="1" thickBot="1">
      <c r="A14" s="30"/>
      <c r="B14" s="406"/>
      <c r="C14" s="235"/>
      <c r="D14" s="255"/>
      <c r="E14" s="1216" t="s">
        <v>505</v>
      </c>
      <c r="F14" s="672">
        <f ca="1">'Dosis overzicht'!N$42</f>
        <v>1.4103200000000003E-4</v>
      </c>
      <c r="G14" s="993">
        <v>3</v>
      </c>
      <c r="H14" s="993">
        <v>0.5</v>
      </c>
      <c r="I14" s="1208">
        <f>VLOOKUP(F14,$M$29:$Q$36,5,TRUE)</f>
        <v>1</v>
      </c>
      <c r="J14" s="678">
        <f t="shared" si="0"/>
        <v>1.5</v>
      </c>
      <c r="L14" s="28"/>
      <c r="M14" s="1536" t="s">
        <v>145</v>
      </c>
      <c r="N14" s="1537"/>
      <c r="O14" s="1537"/>
      <c r="P14" s="1537"/>
      <c r="Q14" s="1538"/>
      <c r="R14" s="825"/>
      <c r="S14" s="825"/>
    </row>
    <row r="15" spans="1:22" ht="15.75" customHeight="1" thickBot="1">
      <c r="A15" s="230"/>
      <c r="B15" s="407"/>
      <c r="C15" s="236"/>
      <c r="D15" s="258" t="s">
        <v>183</v>
      </c>
      <c r="E15" s="1258" t="s">
        <v>593</v>
      </c>
      <c r="F15" s="999">
        <f ca="1">'Dosis overzicht'!N$44</f>
        <v>3.6799999999999999E-2</v>
      </c>
      <c r="G15" s="994">
        <v>3</v>
      </c>
      <c r="H15" s="994">
        <v>0.5</v>
      </c>
      <c r="I15" s="1209">
        <f>VLOOKUP(F15,$M$29:$Q$36,5,TRUE)</f>
        <v>3</v>
      </c>
      <c r="J15" s="677">
        <f t="shared" si="0"/>
        <v>4.5</v>
      </c>
      <c r="L15" s="28"/>
      <c r="M15" s="1081" t="s">
        <v>75</v>
      </c>
      <c r="N15" s="1543" t="s">
        <v>19</v>
      </c>
      <c r="O15" s="1543"/>
      <c r="P15" s="1543" t="s">
        <v>165</v>
      </c>
      <c r="Q15" s="1544"/>
      <c r="R15" s="32"/>
      <c r="S15" s="32"/>
    </row>
    <row r="16" spans="1:22" ht="15.75" customHeight="1" thickBot="1">
      <c r="A16" s="30"/>
      <c r="B16" s="406"/>
      <c r="C16" s="235"/>
      <c r="D16" s="31"/>
      <c r="E16" s="1257"/>
      <c r="F16" s="473"/>
      <c r="G16" s="1059"/>
      <c r="H16" s="1060"/>
      <c r="I16" s="1059"/>
      <c r="J16" s="252"/>
      <c r="L16" s="28"/>
      <c r="M16" s="1082">
        <v>0.1</v>
      </c>
      <c r="N16" s="1545" t="s">
        <v>76</v>
      </c>
      <c r="O16" s="1545"/>
      <c r="P16" s="1546" t="s">
        <v>150</v>
      </c>
      <c r="Q16" s="1547"/>
      <c r="R16" s="32"/>
      <c r="S16" s="32"/>
    </row>
    <row r="17" spans="1:26" ht="15.75" customHeight="1">
      <c r="A17" s="229" t="s">
        <v>125</v>
      </c>
      <c r="B17" s="404"/>
      <c r="C17" s="233"/>
      <c r="D17" s="254" t="s">
        <v>66</v>
      </c>
      <c r="E17" s="1256"/>
      <c r="F17" s="1421"/>
      <c r="G17" s="1422"/>
      <c r="H17" s="1422"/>
      <c r="I17" s="1423"/>
      <c r="J17" s="1424"/>
      <c r="L17" s="28"/>
      <c r="M17" s="1082">
        <v>0.2</v>
      </c>
      <c r="N17" s="1540" t="s">
        <v>77</v>
      </c>
      <c r="O17" s="1540"/>
      <c r="P17" s="1547" t="s">
        <v>151</v>
      </c>
      <c r="Q17" s="1547"/>
      <c r="R17" s="32"/>
      <c r="S17" s="32"/>
    </row>
    <row r="18" spans="1:26" ht="15.75" customHeight="1">
      <c r="A18" s="8" t="s">
        <v>91</v>
      </c>
      <c r="D18" s="256" t="s">
        <v>57</v>
      </c>
      <c r="E18" s="1254"/>
      <c r="F18" s="1418"/>
      <c r="G18" s="1419"/>
      <c r="H18" s="1419"/>
      <c r="I18" s="1420"/>
      <c r="J18" s="649"/>
      <c r="L18" s="28"/>
      <c r="M18" s="1082">
        <v>0.5</v>
      </c>
      <c r="N18" s="1188" t="s">
        <v>147</v>
      </c>
      <c r="O18" s="1188"/>
      <c r="P18" s="1546" t="s">
        <v>152</v>
      </c>
      <c r="Q18" s="1547"/>
      <c r="R18" s="32"/>
      <c r="S18" s="32"/>
    </row>
    <row r="19" spans="1:26" ht="15.75" customHeight="1">
      <c r="C19" s="29"/>
      <c r="D19" s="257" t="s">
        <v>177</v>
      </c>
      <c r="E19" s="1254"/>
      <c r="F19" s="1418"/>
      <c r="G19" s="1419"/>
      <c r="H19" s="1419"/>
      <c r="I19" s="1420"/>
      <c r="J19" s="649"/>
      <c r="L19" s="28"/>
      <c r="M19" s="1082">
        <v>1</v>
      </c>
      <c r="N19" s="1540" t="s">
        <v>148</v>
      </c>
      <c r="O19" s="1540"/>
      <c r="P19" s="1547" t="s">
        <v>153</v>
      </c>
      <c r="Q19" s="1547"/>
      <c r="R19" s="32"/>
      <c r="S19" s="32"/>
    </row>
    <row r="20" spans="1:26" ht="15.75" customHeight="1">
      <c r="A20" s="261" t="s">
        <v>74</v>
      </c>
      <c r="B20" s="679">
        <f>LARGE(J17:J26,1)</f>
        <v>4.5</v>
      </c>
      <c r="C20" s="29"/>
      <c r="D20" s="1534" t="s">
        <v>92</v>
      </c>
      <c r="E20" s="1254" t="s">
        <v>350</v>
      </c>
      <c r="F20" s="672">
        <f ca="1">'Dosis overzicht'!N$35</f>
        <v>1.0425</v>
      </c>
      <c r="G20" s="993">
        <v>3</v>
      </c>
      <c r="H20" s="993">
        <v>0.1</v>
      </c>
      <c r="I20" s="1063">
        <f>VLOOKUP(F20,$M$29:$Q$36,5,TRUE)</f>
        <v>10</v>
      </c>
      <c r="J20" s="676">
        <f t="shared" ref="J20:J25" si="1">G20*H20*I20</f>
        <v>3.0000000000000004</v>
      </c>
      <c r="L20" s="28"/>
      <c r="M20" s="1082">
        <v>3</v>
      </c>
      <c r="N20" s="1540" t="s">
        <v>149</v>
      </c>
      <c r="O20" s="1540"/>
      <c r="P20" s="1547" t="s">
        <v>154</v>
      </c>
      <c r="Q20" s="1547"/>
      <c r="R20" s="32"/>
      <c r="S20" s="32"/>
    </row>
    <row r="21" spans="1:26" ht="15.75" customHeight="1">
      <c r="A21" s="261"/>
      <c r="B21" s="32"/>
      <c r="C21" s="29"/>
      <c r="D21" s="1535"/>
      <c r="E21" s="1254" t="s">
        <v>351</v>
      </c>
      <c r="F21" s="672">
        <f ca="1">'Dosis overzicht'!N$36</f>
        <v>21.27551020408163</v>
      </c>
      <c r="G21" s="993">
        <v>3</v>
      </c>
      <c r="H21" s="993">
        <v>0.1</v>
      </c>
      <c r="I21" s="1208">
        <f>VLOOKUP(F21,$O$29:$Q$36,3,TRUE)</f>
        <v>3</v>
      </c>
      <c r="J21" s="675">
        <f t="shared" si="1"/>
        <v>0.90000000000000013</v>
      </c>
      <c r="L21" s="28"/>
      <c r="M21" s="1082">
        <v>6</v>
      </c>
      <c r="N21" s="1540" t="s">
        <v>78</v>
      </c>
      <c r="O21" s="1540"/>
      <c r="P21" s="1547" t="s">
        <v>155</v>
      </c>
      <c r="Q21" s="1547"/>
      <c r="R21" s="32"/>
      <c r="S21" s="32"/>
    </row>
    <row r="22" spans="1:26" ht="15.75" customHeight="1" thickBot="1">
      <c r="A22" s="30"/>
      <c r="B22" s="406"/>
      <c r="C22" s="235"/>
      <c r="D22" s="1534" t="s">
        <v>175</v>
      </c>
      <c r="E22" s="1254" t="s">
        <v>350</v>
      </c>
      <c r="F22" s="672">
        <f ca="1">'Dosis overzicht'!N$38</f>
        <v>0.17143333333333335</v>
      </c>
      <c r="G22" s="993">
        <v>3</v>
      </c>
      <c r="H22" s="993">
        <v>0.1</v>
      </c>
      <c r="I22" s="1208">
        <f>VLOOKUP(F22,$M$29:$Q$36,5,TRUE)</f>
        <v>5</v>
      </c>
      <c r="J22" s="676">
        <f t="shared" si="1"/>
        <v>1.5000000000000002</v>
      </c>
      <c r="L22" s="28"/>
      <c r="M22" s="1083">
        <v>10</v>
      </c>
      <c r="N22" s="1539" t="s">
        <v>79</v>
      </c>
      <c r="O22" s="1539"/>
      <c r="P22" s="1548" t="s">
        <v>156</v>
      </c>
      <c r="Q22" s="1549"/>
      <c r="R22" s="32"/>
      <c r="S22" s="32"/>
    </row>
    <row r="23" spans="1:26" ht="15.75" customHeight="1" thickBot="1">
      <c r="A23" s="30"/>
      <c r="B23" s="406"/>
      <c r="C23" s="235"/>
      <c r="D23" s="1535"/>
      <c r="E23" s="1254" t="s">
        <v>351</v>
      </c>
      <c r="F23" s="672">
        <f ca="1">'Dosis overzicht'!N$39</f>
        <v>1.7143333333333335</v>
      </c>
      <c r="G23" s="993">
        <v>3</v>
      </c>
      <c r="H23" s="993">
        <v>0.1</v>
      </c>
      <c r="I23" s="1208">
        <f>VLOOKUP(F23,$O$29:$Q$36,3,TRUE)</f>
        <v>3</v>
      </c>
      <c r="J23" s="676">
        <f t="shared" si="1"/>
        <v>0.90000000000000013</v>
      </c>
      <c r="L23" s="28"/>
      <c r="M23" s="22"/>
      <c r="N23" s="22"/>
      <c r="O23" s="22"/>
      <c r="P23" s="22"/>
    </row>
    <row r="24" spans="1:26" ht="15.75" customHeight="1" thickBot="1">
      <c r="A24" s="30"/>
      <c r="B24" s="406"/>
      <c r="C24" s="235"/>
      <c r="D24" s="1534" t="s">
        <v>173</v>
      </c>
      <c r="E24" s="1254" t="s">
        <v>504</v>
      </c>
      <c r="F24" s="672">
        <f ca="1">'Dosis overzicht'!N$42</f>
        <v>1.4103200000000003E-4</v>
      </c>
      <c r="G24" s="993">
        <v>3</v>
      </c>
      <c r="H24" s="993">
        <v>0.2</v>
      </c>
      <c r="I24" s="1208">
        <f>VLOOKUP(F24,$M$29:$Q$36,5,TRUE)</f>
        <v>1</v>
      </c>
      <c r="J24" s="676">
        <f t="shared" si="1"/>
        <v>0.60000000000000009</v>
      </c>
      <c r="L24" s="28"/>
      <c r="M24" s="1556" t="s">
        <v>157</v>
      </c>
      <c r="N24" s="1557"/>
      <c r="O24" s="1557"/>
      <c r="P24" s="1557"/>
      <c r="Q24" s="1558"/>
      <c r="R24" s="1199"/>
      <c r="S24" s="28"/>
      <c r="T24" s="1550"/>
      <c r="U24" s="1550"/>
      <c r="V24" s="1200"/>
      <c r="W24" s="28"/>
      <c r="X24" s="28"/>
      <c r="Y24" s="28"/>
    </row>
    <row r="25" spans="1:26" ht="15.75" customHeight="1" thickBot="1">
      <c r="A25" s="30"/>
      <c r="B25" s="406"/>
      <c r="C25" s="235"/>
      <c r="D25" s="1535"/>
      <c r="E25" s="1216" t="s">
        <v>505</v>
      </c>
      <c r="F25" s="672">
        <f ca="1">'Dosis overzicht'!N$44</f>
        <v>3.6799999999999999E-2</v>
      </c>
      <c r="G25" s="993">
        <v>3</v>
      </c>
      <c r="H25" s="993">
        <v>0.5</v>
      </c>
      <c r="I25" s="1208">
        <f>VLOOKUP(F25,$M$29:$Q$36,5,TRUE)</f>
        <v>3</v>
      </c>
      <c r="J25" s="678">
        <f t="shared" si="1"/>
        <v>4.5</v>
      </c>
      <c r="L25" s="28"/>
      <c r="M25" s="1559" t="s">
        <v>73</v>
      </c>
      <c r="N25" s="1560"/>
      <c r="O25" s="1560"/>
      <c r="P25" s="1560"/>
      <c r="Q25" s="1561"/>
      <c r="R25" s="1201"/>
      <c r="S25" s="28"/>
      <c r="T25" s="1202"/>
      <c r="U25" s="1202"/>
      <c r="V25" s="1202"/>
      <c r="W25" s="28"/>
      <c r="X25" s="28"/>
      <c r="Y25" s="28"/>
    </row>
    <row r="26" spans="1:26" ht="15.75" customHeight="1" thickBot="1">
      <c r="A26" s="230"/>
      <c r="B26" s="407"/>
      <c r="C26" s="236"/>
      <c r="D26" s="258" t="s">
        <v>183</v>
      </c>
      <c r="E26" s="1258"/>
      <c r="F26" s="648"/>
      <c r="G26" s="995"/>
      <c r="H26" s="995"/>
      <c r="I26" s="1210"/>
      <c r="J26" s="651"/>
      <c r="M26" s="1529" t="s">
        <v>158</v>
      </c>
      <c r="N26" s="1530"/>
      <c r="O26" s="1555" t="s">
        <v>159</v>
      </c>
      <c r="P26" s="1530"/>
      <c r="Q26" s="1195" t="s">
        <v>90</v>
      </c>
      <c r="R26" s="1201"/>
      <c r="S26" s="1203"/>
      <c r="T26" s="33"/>
      <c r="U26" s="28"/>
      <c r="V26" s="573"/>
      <c r="W26" s="573"/>
      <c r="X26" s="573"/>
      <c r="Y26" s="28"/>
      <c r="Z26" s="28"/>
    </row>
    <row r="27" spans="1:26" ht="15.75" customHeight="1" thickBot="1">
      <c r="A27" s="28"/>
      <c r="B27" s="406"/>
      <c r="C27" s="235"/>
      <c r="D27" s="31"/>
      <c r="E27" s="1257"/>
      <c r="F27" s="473"/>
      <c r="G27" s="1061"/>
      <c r="H27" s="1061"/>
      <c r="I27" s="1062"/>
      <c r="J27" s="252"/>
      <c r="M27" s="1084"/>
      <c r="N27" s="1085"/>
      <c r="O27" s="1551" t="s">
        <v>163</v>
      </c>
      <c r="P27" s="1552"/>
      <c r="Q27" s="1214"/>
      <c r="R27" s="1525"/>
      <c r="S27" s="1526"/>
      <c r="T27" s="33"/>
      <c r="U27" s="1526"/>
      <c r="V27" s="1526"/>
      <c r="W27" s="28"/>
      <c r="X27" s="573"/>
      <c r="Y27" s="573"/>
      <c r="Z27" s="573"/>
    </row>
    <row r="28" spans="1:26" ht="15.75" customHeight="1" thickBot="1">
      <c r="A28" s="229" t="s">
        <v>93</v>
      </c>
      <c r="B28" s="404"/>
      <c r="C28" s="233"/>
      <c r="D28" s="254" t="s">
        <v>66</v>
      </c>
      <c r="E28" s="1256" t="s">
        <v>519</v>
      </c>
      <c r="F28" s="670">
        <f ca="1">MAX('Dosis overzicht'!E$31:E$43)</f>
        <v>3.4782642936666557E-4</v>
      </c>
      <c r="G28" s="991">
        <v>3</v>
      </c>
      <c r="H28" s="991">
        <v>0.2</v>
      </c>
      <c r="I28" s="1207">
        <f t="shared" ref="I28:I33" si="2">VLOOKUP(F28,$M$29:$Q$36,5,TRUE)</f>
        <v>1</v>
      </c>
      <c r="J28" s="674">
        <f t="shared" ref="J28:J38" si="3">G28*H28*I28</f>
        <v>0.60000000000000009</v>
      </c>
      <c r="M28" s="1086" t="s">
        <v>537</v>
      </c>
      <c r="N28" s="1087" t="s">
        <v>538</v>
      </c>
      <c r="O28" s="1189" t="s">
        <v>537</v>
      </c>
      <c r="P28" s="1087" t="s">
        <v>538</v>
      </c>
      <c r="Q28" s="1196"/>
      <c r="R28" s="1215"/>
      <c r="S28" s="406"/>
      <c r="T28" s="573"/>
      <c r="U28" s="34"/>
      <c r="V28" s="406"/>
      <c r="W28" s="28"/>
      <c r="X28" s="573"/>
      <c r="Y28" s="573"/>
      <c r="Z28" s="573"/>
    </row>
    <row r="29" spans="1:26" ht="15.75" customHeight="1">
      <c r="A29" s="8" t="s">
        <v>91</v>
      </c>
      <c r="B29" s="405"/>
      <c r="C29" s="234"/>
      <c r="D29" s="1260"/>
      <c r="E29" s="1255" t="s">
        <v>541</v>
      </c>
      <c r="F29" s="671">
        <f ca="1">'Dosis overzicht'!D$48</f>
        <v>1.6500000000000001</v>
      </c>
      <c r="G29" s="992">
        <v>1</v>
      </c>
      <c r="H29" s="992">
        <v>0.5</v>
      </c>
      <c r="I29" s="1208">
        <f t="shared" si="2"/>
        <v>10</v>
      </c>
      <c r="J29" s="675">
        <f t="shared" si="3"/>
        <v>5</v>
      </c>
      <c r="M29" s="1088">
        <v>0</v>
      </c>
      <c r="N29" s="1089">
        <v>0.02</v>
      </c>
      <c r="O29" s="1190">
        <v>0</v>
      </c>
      <c r="P29" s="1218">
        <v>1</v>
      </c>
      <c r="Q29" s="1219">
        <v>1</v>
      </c>
      <c r="R29" s="1204"/>
      <c r="S29" s="406"/>
      <c r="T29" s="573"/>
      <c r="U29" s="34"/>
      <c r="V29" s="406"/>
      <c r="W29" s="28"/>
      <c r="X29" s="573"/>
      <c r="Y29" s="573"/>
      <c r="Z29" s="573"/>
    </row>
    <row r="30" spans="1:26" ht="15.75" customHeight="1">
      <c r="A30" s="8"/>
      <c r="B30" s="405"/>
      <c r="C30" s="234"/>
      <c r="D30" s="255"/>
      <c r="E30" s="467" t="s">
        <v>561</v>
      </c>
      <c r="F30" s="1262">
        <f ca="1">'Dosis overzicht'!D$49</f>
        <v>0.05</v>
      </c>
      <c r="G30" s="1263">
        <v>0.5</v>
      </c>
      <c r="H30" s="1263">
        <v>0.1</v>
      </c>
      <c r="I30" s="1208">
        <f t="shared" si="2"/>
        <v>3</v>
      </c>
      <c r="J30" s="676">
        <f>G30*H30*I30</f>
        <v>0.15000000000000002</v>
      </c>
      <c r="M30" s="1090">
        <v>0.02</v>
      </c>
      <c r="N30" s="1091">
        <v>0.1</v>
      </c>
      <c r="O30" s="1191">
        <v>1</v>
      </c>
      <c r="P30" s="1220">
        <v>5</v>
      </c>
      <c r="Q30" s="1191">
        <v>3</v>
      </c>
      <c r="R30" s="1204"/>
      <c r="S30" s="406"/>
      <c r="T30" s="573"/>
      <c r="U30" s="1206"/>
      <c r="V30" s="406"/>
      <c r="W30" s="28"/>
      <c r="X30" s="573"/>
      <c r="Y30" s="573"/>
      <c r="Z30" s="573"/>
    </row>
    <row r="31" spans="1:26" ht="15.75" customHeight="1">
      <c r="A31" s="30"/>
      <c r="D31" s="256" t="s">
        <v>57</v>
      </c>
      <c r="E31" s="1254" t="s">
        <v>540</v>
      </c>
      <c r="F31" s="672">
        <f ca="1">'Dosis overzicht'!$N$31</f>
        <v>0.18899999999999997</v>
      </c>
      <c r="G31" s="993">
        <v>1</v>
      </c>
      <c r="H31" s="993">
        <v>0.1</v>
      </c>
      <c r="I31" s="1208">
        <f t="shared" si="2"/>
        <v>5</v>
      </c>
      <c r="J31" s="676">
        <f>G31*H31*I31</f>
        <v>0.5</v>
      </c>
      <c r="M31" s="1090">
        <v>0.1</v>
      </c>
      <c r="N31" s="1091">
        <v>0.5</v>
      </c>
      <c r="O31" s="1192" t="s">
        <v>539</v>
      </c>
      <c r="P31" s="1220">
        <v>25</v>
      </c>
      <c r="Q31" s="1191">
        <v>5</v>
      </c>
      <c r="R31" s="1205"/>
      <c r="S31" s="406"/>
      <c r="T31" s="573"/>
      <c r="U31" s="34"/>
      <c r="V31" s="406"/>
      <c r="W31" s="28"/>
      <c r="X31" s="573"/>
      <c r="Y31" s="573"/>
      <c r="Z31" s="573"/>
    </row>
    <row r="32" spans="1:26" ht="15.75" customHeight="1">
      <c r="A32" s="261" t="s">
        <v>74</v>
      </c>
      <c r="B32" s="679">
        <f>LARGE(J28:J39,1)</f>
        <v>5</v>
      </c>
      <c r="C32" s="29"/>
      <c r="D32" s="257" t="s">
        <v>177</v>
      </c>
      <c r="E32" s="1254" t="s">
        <v>543</v>
      </c>
      <c r="F32" s="672">
        <f ca="1">'Dosis overzicht'!N$33</f>
        <v>0.52749999999999997</v>
      </c>
      <c r="G32" s="993">
        <v>2</v>
      </c>
      <c r="H32" s="993">
        <v>0.2</v>
      </c>
      <c r="I32" s="1208">
        <f t="shared" si="2"/>
        <v>7</v>
      </c>
      <c r="J32" s="676">
        <f>G32*H32*I32</f>
        <v>2.8000000000000003</v>
      </c>
      <c r="M32" s="1090">
        <v>0.5</v>
      </c>
      <c r="N32" s="1091">
        <v>1</v>
      </c>
      <c r="O32" s="1191">
        <v>25</v>
      </c>
      <c r="P32" s="1220">
        <v>50</v>
      </c>
      <c r="Q32" s="1191">
        <v>7</v>
      </c>
      <c r="R32" s="1204"/>
      <c r="S32" s="406"/>
      <c r="T32" s="573"/>
      <c r="U32" s="34"/>
      <c r="V32" s="406"/>
      <c r="W32" s="28"/>
      <c r="X32" s="573"/>
      <c r="Y32" s="573"/>
      <c r="Z32" s="573"/>
    </row>
    <row r="33" spans="1:26" ht="15.75" customHeight="1">
      <c r="A33" s="30"/>
      <c r="B33" s="406"/>
      <c r="C33" s="235"/>
      <c r="D33" s="1534" t="s">
        <v>92</v>
      </c>
      <c r="E33" s="1254" t="s">
        <v>350</v>
      </c>
      <c r="F33" s="672">
        <f ca="1">'Dosis overzicht'!N$35</f>
        <v>1.0425</v>
      </c>
      <c r="G33" s="993">
        <v>3</v>
      </c>
      <c r="H33" s="993">
        <v>0.1</v>
      </c>
      <c r="I33" s="1063">
        <f t="shared" si="2"/>
        <v>10</v>
      </c>
      <c r="J33" s="676">
        <f t="shared" si="3"/>
        <v>3.0000000000000004</v>
      </c>
      <c r="M33" s="1090">
        <v>1</v>
      </c>
      <c r="N33" s="1091">
        <v>2</v>
      </c>
      <c r="O33" s="1191">
        <v>50</v>
      </c>
      <c r="P33" s="1220">
        <v>100</v>
      </c>
      <c r="Q33" s="1191">
        <v>10</v>
      </c>
      <c r="R33" s="1204"/>
      <c r="S33" s="406"/>
      <c r="T33" s="573"/>
      <c r="U33" s="34"/>
      <c r="V33" s="406"/>
      <c r="W33" s="28"/>
      <c r="X33" s="573"/>
      <c r="Y33" s="573"/>
      <c r="Z33" s="573"/>
    </row>
    <row r="34" spans="1:26" ht="15.75" customHeight="1">
      <c r="A34" s="30"/>
      <c r="B34" s="406"/>
      <c r="C34" s="235"/>
      <c r="D34" s="1535"/>
      <c r="E34" s="1254" t="s">
        <v>351</v>
      </c>
      <c r="F34" s="672">
        <f ca="1">'Dosis overzicht'!N$36</f>
        <v>21.27551020408163</v>
      </c>
      <c r="G34" s="993">
        <v>3</v>
      </c>
      <c r="H34" s="993">
        <v>0.1</v>
      </c>
      <c r="I34" s="1208">
        <f>VLOOKUP(F34,$O$29:$Q$36,3,TRUE)</f>
        <v>3</v>
      </c>
      <c r="J34" s="675">
        <f t="shared" si="3"/>
        <v>0.90000000000000013</v>
      </c>
      <c r="M34" s="1090">
        <v>2</v>
      </c>
      <c r="N34" s="1091">
        <v>6</v>
      </c>
      <c r="O34" s="1191">
        <v>100</v>
      </c>
      <c r="P34" s="1220">
        <v>150</v>
      </c>
      <c r="Q34" s="1191">
        <v>15</v>
      </c>
      <c r="R34" s="1204"/>
      <c r="S34" s="406"/>
      <c r="T34" s="573"/>
      <c r="U34" s="34"/>
      <c r="V34" s="406"/>
      <c r="W34" s="28"/>
      <c r="X34" s="28"/>
      <c r="Y34" s="28"/>
      <c r="Z34" s="28"/>
    </row>
    <row r="35" spans="1:26" ht="15.75" customHeight="1">
      <c r="A35" s="30"/>
      <c r="B35" s="406"/>
      <c r="C35" s="235"/>
      <c r="D35" s="1534" t="s">
        <v>175</v>
      </c>
      <c r="E35" s="1254" t="s">
        <v>350</v>
      </c>
      <c r="F35" s="672">
        <f ca="1">'Dosis overzicht'!N$38</f>
        <v>0.17143333333333335</v>
      </c>
      <c r="G35" s="993">
        <v>3</v>
      </c>
      <c r="H35" s="993">
        <v>0.1</v>
      </c>
      <c r="I35" s="1208">
        <f>VLOOKUP(F35,$M$29:$Q$36,5,TRUE)</f>
        <v>5</v>
      </c>
      <c r="J35" s="676">
        <f t="shared" si="3"/>
        <v>1.5000000000000002</v>
      </c>
      <c r="M35" s="1090">
        <v>6</v>
      </c>
      <c r="N35" s="1091">
        <v>20</v>
      </c>
      <c r="O35" s="1191">
        <v>150</v>
      </c>
      <c r="P35" s="1220">
        <v>500</v>
      </c>
      <c r="Q35" s="1191">
        <v>40</v>
      </c>
      <c r="R35" s="1204"/>
      <c r="S35" s="406"/>
      <c r="T35" s="573"/>
      <c r="U35" s="34"/>
      <c r="V35" s="406"/>
      <c r="W35" s="28"/>
      <c r="X35" s="28"/>
      <c r="Y35" s="28"/>
      <c r="Z35" s="28"/>
    </row>
    <row r="36" spans="1:26" ht="15.75" customHeight="1" thickBot="1">
      <c r="A36" s="30"/>
      <c r="B36" s="406"/>
      <c r="C36" s="235"/>
      <c r="D36" s="1535"/>
      <c r="E36" s="1254" t="s">
        <v>351</v>
      </c>
      <c r="F36" s="672">
        <f ca="1">'Dosis overzicht'!N$39</f>
        <v>1.7143333333333335</v>
      </c>
      <c r="G36" s="993">
        <v>3</v>
      </c>
      <c r="H36" s="993">
        <v>0.1</v>
      </c>
      <c r="I36" s="1208">
        <f>VLOOKUP(F36,$O$29:$Q$36,3,TRUE)</f>
        <v>3</v>
      </c>
      <c r="J36" s="676">
        <f t="shared" si="3"/>
        <v>0.90000000000000013</v>
      </c>
      <c r="M36" s="1092">
        <v>20</v>
      </c>
      <c r="N36" s="1093">
        <v>20000</v>
      </c>
      <c r="O36" s="1193">
        <v>500</v>
      </c>
      <c r="P36" s="1221">
        <v>50000</v>
      </c>
      <c r="Q36" s="1193">
        <v>100</v>
      </c>
      <c r="R36" s="1204"/>
    </row>
    <row r="37" spans="1:26" ht="15.75" customHeight="1" thickBot="1">
      <c r="A37" s="30"/>
      <c r="B37" s="406"/>
      <c r="C37" s="235"/>
      <c r="D37" s="1566" t="s">
        <v>173</v>
      </c>
      <c r="E37" s="1254" t="s">
        <v>504</v>
      </c>
      <c r="F37" s="672">
        <f ca="1">'Dosis overzicht'!N$42</f>
        <v>1.4103200000000003E-4</v>
      </c>
      <c r="G37" s="993">
        <v>3</v>
      </c>
      <c r="H37" s="993">
        <v>0.2</v>
      </c>
      <c r="I37" s="1208">
        <f>VLOOKUP(F37,$M$29:$Q$36,5,TRUE)</f>
        <v>1</v>
      </c>
      <c r="J37" s="676">
        <f t="shared" si="3"/>
        <v>0.60000000000000009</v>
      </c>
      <c r="M37" s="22"/>
      <c r="N37" s="22"/>
      <c r="O37" s="22"/>
      <c r="P37" s="22"/>
    </row>
    <row r="38" spans="1:26" ht="15.75" customHeight="1" thickBot="1">
      <c r="A38" s="30"/>
      <c r="B38" s="406"/>
      <c r="C38" s="235"/>
      <c r="D38" s="1567"/>
      <c r="E38" s="1216" t="s">
        <v>505</v>
      </c>
      <c r="F38" s="672">
        <f ca="1">'Dosis overzicht'!N$44</f>
        <v>3.6799999999999999E-2</v>
      </c>
      <c r="G38" s="993">
        <v>3</v>
      </c>
      <c r="H38" s="993">
        <v>0.5</v>
      </c>
      <c r="I38" s="1208">
        <f>VLOOKUP(F38,$M$29:$Q$36,5,TRUE)</f>
        <v>3</v>
      </c>
      <c r="J38" s="678">
        <f t="shared" si="3"/>
        <v>4.5</v>
      </c>
      <c r="M38" s="1094"/>
      <c r="N38" s="1095" t="s">
        <v>160</v>
      </c>
      <c r="O38" s="1095"/>
      <c r="P38" s="1212"/>
    </row>
    <row r="39" spans="1:26" ht="15.75" customHeight="1" thickBot="1">
      <c r="A39" s="230"/>
      <c r="B39" s="407"/>
      <c r="C39" s="236"/>
      <c r="D39" s="258" t="s">
        <v>183</v>
      </c>
      <c r="E39" s="1258"/>
      <c r="F39" s="648"/>
      <c r="G39" s="995"/>
      <c r="H39" s="995"/>
      <c r="I39" s="1210"/>
      <c r="J39" s="651"/>
      <c r="M39" s="1096" t="s">
        <v>80</v>
      </c>
      <c r="N39" s="1527" t="s">
        <v>162</v>
      </c>
      <c r="O39" s="1528"/>
      <c r="P39" s="1213"/>
    </row>
    <row r="40" spans="1:26" ht="15.75" customHeight="1" thickBot="1">
      <c r="A40" s="28"/>
      <c r="B40" s="406"/>
      <c r="C40" s="235"/>
      <c r="D40" s="31"/>
      <c r="E40" s="1257"/>
      <c r="F40" s="473"/>
      <c r="G40" s="1062"/>
      <c r="H40" s="1061"/>
      <c r="I40" s="1062"/>
      <c r="J40" s="252"/>
      <c r="M40" s="1097" t="s">
        <v>81</v>
      </c>
      <c r="N40" s="1562" t="s">
        <v>161</v>
      </c>
      <c r="O40" s="1563"/>
      <c r="P40" s="36"/>
    </row>
    <row r="41" spans="1:26" ht="15.75" customHeight="1">
      <c r="A41" s="229" t="s">
        <v>126</v>
      </c>
      <c r="B41" s="404"/>
      <c r="C41" s="233"/>
      <c r="D41" s="254" t="s">
        <v>66</v>
      </c>
      <c r="E41" s="1256" t="s">
        <v>519</v>
      </c>
      <c r="F41" s="670">
        <f ca="1">MAX('Dosis overzicht'!E$31:E$43)</f>
        <v>3.4782642936666557E-4</v>
      </c>
      <c r="G41" s="991">
        <v>3</v>
      </c>
      <c r="H41" s="991">
        <v>0.2</v>
      </c>
      <c r="I41" s="1207">
        <f t="shared" ref="I41:I46" si="4">VLOOKUP(F41,$M$29:$Q$36,5,TRUE)</f>
        <v>1</v>
      </c>
      <c r="J41" s="674">
        <f t="shared" ref="J41:J51" si="5">G41*H41*I41</f>
        <v>0.60000000000000009</v>
      </c>
      <c r="M41" s="1097" t="s">
        <v>82</v>
      </c>
      <c r="N41" s="1562" t="s">
        <v>83</v>
      </c>
      <c r="O41" s="1563"/>
      <c r="P41" s="36"/>
    </row>
    <row r="42" spans="1:26" ht="15.75" customHeight="1">
      <c r="A42" s="8" t="s">
        <v>91</v>
      </c>
      <c r="B42" s="405"/>
      <c r="C42" s="234"/>
      <c r="D42" s="1260"/>
      <c r="E42" s="1255" t="s">
        <v>541</v>
      </c>
      <c r="F42" s="671">
        <f ca="1">'Dosis overzicht'!D$48</f>
        <v>1.6500000000000001</v>
      </c>
      <c r="G42" s="992">
        <v>1</v>
      </c>
      <c r="H42" s="992">
        <v>0.5</v>
      </c>
      <c r="I42" s="1208">
        <f t="shared" si="4"/>
        <v>10</v>
      </c>
      <c r="J42" s="675">
        <f t="shared" si="5"/>
        <v>5</v>
      </c>
      <c r="M42" s="1097" t="s">
        <v>84</v>
      </c>
      <c r="N42" s="1563" t="s">
        <v>85</v>
      </c>
      <c r="O42" s="1563"/>
      <c r="P42" s="36"/>
    </row>
    <row r="43" spans="1:26" ht="15.75" customHeight="1">
      <c r="A43" s="8"/>
      <c r="B43" s="405"/>
      <c r="C43" s="234"/>
      <c r="D43" s="255"/>
      <c r="E43" s="467" t="s">
        <v>561</v>
      </c>
      <c r="F43" s="1262">
        <f ca="1">'Dosis overzicht'!D$49</f>
        <v>0.05</v>
      </c>
      <c r="G43" s="1263">
        <v>1</v>
      </c>
      <c r="H43" s="1263">
        <v>0.2</v>
      </c>
      <c r="I43" s="1208">
        <f t="shared" si="4"/>
        <v>3</v>
      </c>
      <c r="J43" s="676">
        <f>G43*H43*I43</f>
        <v>0.60000000000000009</v>
      </c>
      <c r="M43" s="1097" t="s">
        <v>86</v>
      </c>
      <c r="N43" s="1562" t="s">
        <v>87</v>
      </c>
      <c r="O43" s="1563"/>
      <c r="P43" s="36"/>
    </row>
    <row r="44" spans="1:26" ht="15.75" customHeight="1" thickBot="1">
      <c r="A44" s="30"/>
      <c r="D44" s="256" t="s">
        <v>57</v>
      </c>
      <c r="E44" s="1254" t="s">
        <v>540</v>
      </c>
      <c r="F44" s="672">
        <f ca="1">'Dosis overzicht'!$N$31</f>
        <v>0.18899999999999997</v>
      </c>
      <c r="G44" s="993">
        <v>1</v>
      </c>
      <c r="H44" s="993">
        <v>0.1</v>
      </c>
      <c r="I44" s="1208">
        <f t="shared" si="4"/>
        <v>5</v>
      </c>
      <c r="J44" s="676">
        <f>G44*H44*I44</f>
        <v>0.5</v>
      </c>
      <c r="M44" s="1098" t="s">
        <v>88</v>
      </c>
      <c r="N44" s="1553" t="s">
        <v>89</v>
      </c>
      <c r="O44" s="1554"/>
      <c r="P44" s="37"/>
    </row>
    <row r="45" spans="1:26" ht="15.75" customHeight="1">
      <c r="A45" s="261" t="s">
        <v>74</v>
      </c>
      <c r="B45" s="679">
        <f>LARGE(J41:J52,1)</f>
        <v>5</v>
      </c>
      <c r="C45" s="29"/>
      <c r="D45" s="259" t="s">
        <v>177</v>
      </c>
      <c r="E45" s="1254" t="s">
        <v>543</v>
      </c>
      <c r="F45" s="672">
        <f ca="1">'Dosis overzicht'!N$33</f>
        <v>0.52749999999999997</v>
      </c>
      <c r="G45" s="993">
        <v>2</v>
      </c>
      <c r="H45" s="993">
        <v>0.2</v>
      </c>
      <c r="I45" s="1208">
        <f t="shared" si="4"/>
        <v>7</v>
      </c>
      <c r="J45" s="676">
        <f>G45*H45*I45</f>
        <v>2.8000000000000003</v>
      </c>
      <c r="M45" s="28"/>
      <c r="N45" s="28"/>
      <c r="O45" s="28"/>
      <c r="P45" s="28"/>
    </row>
    <row r="46" spans="1:26" ht="15.75" customHeight="1">
      <c r="A46" s="261"/>
      <c r="B46" s="477"/>
      <c r="C46" s="29"/>
      <c r="D46" s="1534" t="s">
        <v>92</v>
      </c>
      <c r="E46" s="1254" t="s">
        <v>350</v>
      </c>
      <c r="F46" s="672">
        <f ca="1">'Dosis overzicht'!N$35</f>
        <v>1.0425</v>
      </c>
      <c r="G46" s="993">
        <v>3</v>
      </c>
      <c r="H46" s="993">
        <v>0.1</v>
      </c>
      <c r="I46" s="1208">
        <f t="shared" si="4"/>
        <v>10</v>
      </c>
      <c r="J46" s="676">
        <f t="shared" si="5"/>
        <v>3.0000000000000004</v>
      </c>
      <c r="M46" s="28"/>
      <c r="N46" s="28"/>
      <c r="O46" s="28"/>
      <c r="P46" s="28"/>
    </row>
    <row r="47" spans="1:26" ht="15.75" customHeight="1">
      <c r="A47" s="30"/>
      <c r="B47" s="406"/>
      <c r="C47" s="235"/>
      <c r="D47" s="1535"/>
      <c r="E47" s="1254" t="s">
        <v>351</v>
      </c>
      <c r="F47" s="672">
        <f ca="1">'Dosis overzicht'!N$36</f>
        <v>21.27551020408163</v>
      </c>
      <c r="G47" s="993">
        <v>3</v>
      </c>
      <c r="H47" s="993">
        <v>0.1</v>
      </c>
      <c r="I47" s="1208">
        <f>VLOOKUP(F47,$O$29:$Q$36,3,TRUE)</f>
        <v>3</v>
      </c>
      <c r="J47" s="675">
        <f t="shared" si="5"/>
        <v>0.90000000000000013</v>
      </c>
      <c r="M47" s="28"/>
      <c r="N47" s="28"/>
      <c r="O47" s="28"/>
      <c r="P47" s="28"/>
    </row>
    <row r="48" spans="1:26" ht="15.75" customHeight="1">
      <c r="A48" s="30"/>
      <c r="B48" s="406"/>
      <c r="C48" s="235"/>
      <c r="D48" s="1534" t="s">
        <v>175</v>
      </c>
      <c r="E48" s="1254" t="s">
        <v>350</v>
      </c>
      <c r="F48" s="672">
        <f ca="1">'Dosis overzicht'!N$38</f>
        <v>0.17143333333333335</v>
      </c>
      <c r="G48" s="993">
        <v>3</v>
      </c>
      <c r="H48" s="993">
        <v>0.1</v>
      </c>
      <c r="I48" s="1208">
        <f>VLOOKUP(F48,$M$29:$Q$36,5,TRUE)</f>
        <v>5</v>
      </c>
      <c r="J48" s="676">
        <f t="shared" si="5"/>
        <v>1.5000000000000002</v>
      </c>
      <c r="M48" s="28"/>
      <c r="N48" s="28"/>
      <c r="O48" s="28"/>
      <c r="P48" s="28"/>
    </row>
    <row r="49" spans="1:16" ht="15.75" customHeight="1">
      <c r="A49" s="30"/>
      <c r="B49" s="406"/>
      <c r="C49" s="235"/>
      <c r="D49" s="1535"/>
      <c r="E49" s="1254" t="s">
        <v>351</v>
      </c>
      <c r="F49" s="672">
        <f ca="1">'Dosis overzicht'!N$39</f>
        <v>1.7143333333333335</v>
      </c>
      <c r="G49" s="993">
        <v>3</v>
      </c>
      <c r="H49" s="993">
        <v>0.1</v>
      </c>
      <c r="I49" s="1208">
        <f>VLOOKUP(F49,$O$29:$Q$36,3,TRUE)</f>
        <v>3</v>
      </c>
      <c r="J49" s="676">
        <f t="shared" si="5"/>
        <v>0.90000000000000013</v>
      </c>
      <c r="M49" s="28"/>
      <c r="N49" s="28"/>
      <c r="O49" s="28"/>
      <c r="P49" s="28"/>
    </row>
    <row r="50" spans="1:16" ht="15.75" customHeight="1">
      <c r="A50" s="30"/>
      <c r="B50" s="406"/>
      <c r="C50" s="235"/>
      <c r="D50" s="1534" t="s">
        <v>173</v>
      </c>
      <c r="E50" s="1254" t="s">
        <v>504</v>
      </c>
      <c r="F50" s="672">
        <f ca="1">'Dosis overzicht'!N$42</f>
        <v>1.4103200000000003E-4</v>
      </c>
      <c r="G50" s="993">
        <v>3</v>
      </c>
      <c r="H50" s="993">
        <v>0.2</v>
      </c>
      <c r="I50" s="1208">
        <f>VLOOKUP(F50,$M$29:$Q$36,5,TRUE)</f>
        <v>1</v>
      </c>
      <c r="J50" s="678">
        <f t="shared" si="5"/>
        <v>0.60000000000000009</v>
      </c>
    </row>
    <row r="51" spans="1:16" ht="15.75" customHeight="1">
      <c r="A51" s="30"/>
      <c r="B51" s="406"/>
      <c r="C51" s="235"/>
      <c r="D51" s="1535"/>
      <c r="E51" s="1216" t="s">
        <v>505</v>
      </c>
      <c r="F51" s="672">
        <f ca="1">'Dosis overzicht'!N$44</f>
        <v>3.6799999999999999E-2</v>
      </c>
      <c r="G51" s="993">
        <v>3</v>
      </c>
      <c r="H51" s="993">
        <v>0.5</v>
      </c>
      <c r="I51" s="1208">
        <f>VLOOKUP(F51,$M$29:$Q$36,5,TRUE)</f>
        <v>3</v>
      </c>
      <c r="J51" s="678">
        <f t="shared" si="5"/>
        <v>4.5</v>
      </c>
    </row>
    <row r="52" spans="1:16" ht="15.75" customHeight="1" thickBot="1">
      <c r="A52" s="230"/>
      <c r="B52" s="407"/>
      <c r="C52" s="237"/>
      <c r="D52" s="260" t="s">
        <v>183</v>
      </c>
      <c r="E52" s="248"/>
      <c r="F52" s="648"/>
      <c r="G52" s="995"/>
      <c r="H52" s="995"/>
      <c r="I52" s="1210"/>
      <c r="J52" s="651"/>
    </row>
    <row r="53" spans="1:16" ht="15.75" customHeight="1" thickBot="1">
      <c r="D53" s="22"/>
      <c r="E53" s="246"/>
      <c r="F53" s="474"/>
      <c r="G53" s="1064"/>
      <c r="H53" s="1065"/>
      <c r="I53" s="1064"/>
      <c r="J53" s="253"/>
    </row>
    <row r="54" spans="1:16" ht="15.75" customHeight="1">
      <c r="A54" s="229" t="s">
        <v>202</v>
      </c>
      <c r="B54" s="404"/>
      <c r="C54" s="233"/>
      <c r="D54" s="254" t="s">
        <v>66</v>
      </c>
      <c r="E54" s="1256" t="s">
        <v>519</v>
      </c>
      <c r="F54" s="670">
        <f ca="1">MAX('Dosis overzicht'!E$31:E$43)</f>
        <v>3.4782642936666557E-4</v>
      </c>
      <c r="G54" s="991">
        <v>3</v>
      </c>
      <c r="H54" s="991">
        <v>0.2</v>
      </c>
      <c r="I54" s="1207">
        <f>VLOOKUP(F54,$M$29:$Q$36,5,TRUE)</f>
        <v>1</v>
      </c>
      <c r="J54" s="674">
        <f>G54*H54*I54</f>
        <v>0.60000000000000009</v>
      </c>
    </row>
    <row r="55" spans="1:16" ht="15.75" customHeight="1">
      <c r="A55" s="8" t="s">
        <v>91</v>
      </c>
      <c r="B55" s="405"/>
      <c r="C55" s="234"/>
      <c r="D55" s="1260"/>
      <c r="E55" s="1261" t="s">
        <v>541</v>
      </c>
      <c r="F55" s="1262">
        <f ca="1">'Dosis overzicht'!D$48</f>
        <v>1.6500000000000001</v>
      </c>
      <c r="G55" s="1263">
        <v>1</v>
      </c>
      <c r="H55" s="1263">
        <v>0.5</v>
      </c>
      <c r="I55" s="1275">
        <f>VLOOKUP(F55,$M$29:$Q$36,5,TRUE)</f>
        <v>10</v>
      </c>
      <c r="J55" s="675">
        <f>G55*H55*I55</f>
        <v>5</v>
      </c>
    </row>
    <row r="56" spans="1:16" ht="15.75" customHeight="1">
      <c r="A56" s="8"/>
      <c r="B56" s="405"/>
      <c r="C56" s="234"/>
      <c r="D56" s="1260"/>
      <c r="E56" s="913" t="s">
        <v>566</v>
      </c>
      <c r="F56" s="673">
        <f ca="1">'Dosis overzicht'!D$49</f>
        <v>0.05</v>
      </c>
      <c r="G56" s="1058">
        <v>1</v>
      </c>
      <c r="H56" s="1058">
        <v>6</v>
      </c>
      <c r="I56" s="1063">
        <f>VLOOKUP(F56,$M$29:$Q$36,5,TRUE)</f>
        <v>3</v>
      </c>
      <c r="J56" s="676">
        <f>G56*H56*I56</f>
        <v>18</v>
      </c>
    </row>
    <row r="57" spans="1:16" ht="15.75" customHeight="1">
      <c r="C57" s="29"/>
      <c r="D57" s="1260"/>
      <c r="E57" s="913" t="s">
        <v>565</v>
      </c>
      <c r="F57" s="673">
        <f ca="1">'Dosis overzicht'!D$50</f>
        <v>3.0000000000000001E-3</v>
      </c>
      <c r="G57" s="1058">
        <v>2</v>
      </c>
      <c r="H57" s="1058">
        <v>6</v>
      </c>
      <c r="I57" s="1063">
        <f>VLOOKUP(F57,$M$29:$Q$36,5,TRUE)</f>
        <v>1</v>
      </c>
      <c r="J57" s="676">
        <f>G57*H57*I57</f>
        <v>12</v>
      </c>
    </row>
    <row r="58" spans="1:16" ht="15.75" customHeight="1">
      <c r="A58" s="8"/>
      <c r="B58" s="405"/>
      <c r="C58" s="234"/>
      <c r="D58" s="255"/>
      <c r="E58" s="913" t="s">
        <v>561</v>
      </c>
      <c r="F58" s="673">
        <f ca="1">'Dosis overzicht'!D$51</f>
        <v>4.6186851134089458E-5</v>
      </c>
      <c r="G58" s="1058">
        <v>1</v>
      </c>
      <c r="H58" s="1058">
        <v>0.5</v>
      </c>
      <c r="I58" s="1063">
        <f>VLOOKUP(F58,$M$29:$Q$36,5,TRUE)</f>
        <v>1</v>
      </c>
      <c r="J58" s="676">
        <f>G58*H58*I58</f>
        <v>0.5</v>
      </c>
    </row>
    <row r="59" spans="1:16" ht="15.75" customHeight="1">
      <c r="A59" s="30"/>
      <c r="D59" s="256" t="s">
        <v>57</v>
      </c>
      <c r="E59" s="1254"/>
      <c r="F59" s="1418"/>
      <c r="G59" s="1419"/>
      <c r="H59" s="1419"/>
      <c r="I59" s="1420"/>
      <c r="J59" s="649"/>
    </row>
    <row r="60" spans="1:16" ht="15.75" customHeight="1">
      <c r="A60" s="261" t="s">
        <v>74</v>
      </c>
      <c r="B60" s="679">
        <f>LARGE(J54:J64,1)</f>
        <v>18</v>
      </c>
      <c r="D60" s="257" t="s">
        <v>177</v>
      </c>
      <c r="E60" s="1254"/>
      <c r="F60" s="1418"/>
      <c r="G60" s="1419"/>
      <c r="H60" s="1419"/>
      <c r="I60" s="1420"/>
      <c r="J60" s="649"/>
    </row>
    <row r="61" spans="1:16" ht="15.75" customHeight="1">
      <c r="A61" s="30"/>
      <c r="B61" s="406"/>
      <c r="C61" s="235"/>
      <c r="D61" s="256" t="s">
        <v>92</v>
      </c>
      <c r="E61" s="247"/>
      <c r="F61" s="646"/>
      <c r="G61" s="996"/>
      <c r="H61" s="996"/>
      <c r="I61" s="1211"/>
      <c r="J61" s="650"/>
    </row>
    <row r="62" spans="1:16" ht="15.75" customHeight="1">
      <c r="A62" s="30"/>
      <c r="B62" s="406"/>
      <c r="C62" s="235"/>
      <c r="D62" s="256" t="s">
        <v>175</v>
      </c>
      <c r="E62" s="247"/>
      <c r="F62" s="646"/>
      <c r="G62" s="996"/>
      <c r="H62" s="996"/>
      <c r="I62" s="1211"/>
      <c r="J62" s="650"/>
    </row>
    <row r="63" spans="1:16" ht="15.75" customHeight="1">
      <c r="A63" s="30"/>
      <c r="B63" s="406"/>
      <c r="C63" s="235"/>
      <c r="D63" s="257" t="s">
        <v>173</v>
      </c>
      <c r="E63" s="249"/>
      <c r="F63" s="647"/>
      <c r="G63" s="997"/>
      <c r="H63" s="997"/>
      <c r="I63" s="1063"/>
      <c r="J63" s="649"/>
    </row>
    <row r="64" spans="1:16" ht="15.75" customHeight="1" thickBot="1">
      <c r="A64" s="230"/>
      <c r="B64" s="407"/>
      <c r="C64" s="237"/>
      <c r="D64" s="258" t="s">
        <v>183</v>
      </c>
      <c r="E64" s="248"/>
      <c r="F64" s="648"/>
      <c r="G64" s="995"/>
      <c r="H64" s="995"/>
      <c r="I64" s="1210"/>
      <c r="J64" s="651"/>
    </row>
    <row r="65" spans="1:10" ht="15.75" customHeight="1" thickBot="1">
      <c r="D65" s="38"/>
      <c r="F65" s="1267"/>
      <c r="G65" s="1066"/>
      <c r="H65" s="1067"/>
      <c r="I65" s="1066"/>
      <c r="J65" s="39"/>
    </row>
    <row r="66" spans="1:10" ht="15.75" customHeight="1">
      <c r="A66" s="229" t="s">
        <v>352</v>
      </c>
      <c r="B66" s="404"/>
      <c r="C66" s="233"/>
      <c r="D66" s="1564" t="s">
        <v>173</v>
      </c>
      <c r="E66" s="982" t="s">
        <v>504</v>
      </c>
      <c r="F66" s="828">
        <f ca="1">'Dosis overzicht'!N$42</f>
        <v>1.4103200000000003E-4</v>
      </c>
      <c r="G66" s="998">
        <v>3</v>
      </c>
      <c r="H66" s="998">
        <v>0.2</v>
      </c>
      <c r="I66" s="1207">
        <f>VLOOKUP(F66,$M$29:$Q$36,5,TRUE)</f>
        <v>1</v>
      </c>
      <c r="J66" s="829">
        <f>G66*H66*I66</f>
        <v>0.60000000000000009</v>
      </c>
    </row>
    <row r="67" spans="1:10" ht="15.75" customHeight="1" thickBot="1">
      <c r="A67" s="475" t="s">
        <v>74</v>
      </c>
      <c r="B67" s="680">
        <f>LARGE(J66:J67,1)</f>
        <v>4.5</v>
      </c>
      <c r="C67" s="476"/>
      <c r="D67" s="1565"/>
      <c r="E67" s="1217" t="s">
        <v>505</v>
      </c>
      <c r="F67" s="999">
        <f ca="1">'Dosis overzicht'!N$44</f>
        <v>3.6799999999999999E-2</v>
      </c>
      <c r="G67" s="994">
        <v>3</v>
      </c>
      <c r="H67" s="994">
        <v>0.5</v>
      </c>
      <c r="I67" s="1210">
        <f>VLOOKUP(F67,$M$29:$Q$36,5,TRUE)</f>
        <v>3</v>
      </c>
      <c r="J67" s="677">
        <f>G67*H67*I67</f>
        <v>4.5</v>
      </c>
    </row>
    <row r="68" spans="1:10" ht="15.75" customHeight="1" thickBot="1">
      <c r="A68" s="28"/>
      <c r="B68" s="406"/>
      <c r="C68" s="235"/>
      <c r="G68" s="1068"/>
      <c r="H68" s="1068"/>
      <c r="I68" s="1068"/>
    </row>
    <row r="69" spans="1:10" ht="15.75" customHeight="1">
      <c r="A69" s="645" t="s">
        <v>424</v>
      </c>
      <c r="B69" s="404"/>
      <c r="C69" s="233"/>
      <c r="D69" s="522" t="s">
        <v>66</v>
      </c>
      <c r="E69" s="1264" t="s">
        <v>561</v>
      </c>
      <c r="F69" s="670">
        <f ca="1">'Dosis overzicht'!D$51</f>
        <v>4.6186851134089458E-5</v>
      </c>
      <c r="G69" s="991">
        <v>2</v>
      </c>
      <c r="H69" s="991">
        <v>0.5</v>
      </c>
      <c r="I69" s="1207">
        <f>VLOOKUP(F69,$M$29:$Q$36,5,TRUE)</f>
        <v>1</v>
      </c>
      <c r="J69" s="674">
        <f>G69*H69*I69</f>
        <v>1</v>
      </c>
    </row>
    <row r="70" spans="1:10" ht="15.75" customHeight="1" thickBot="1">
      <c r="A70" s="475" t="s">
        <v>74</v>
      </c>
      <c r="B70" s="680">
        <f>LARGE(J69:J70,1)</f>
        <v>1</v>
      </c>
      <c r="C70" s="476"/>
      <c r="D70" s="258"/>
      <c r="E70" s="248"/>
      <c r="F70" s="472"/>
      <c r="G70" s="1069"/>
      <c r="H70" s="1069"/>
      <c r="I70" s="1069"/>
      <c r="J70" s="251"/>
    </row>
    <row r="71" spans="1:10" ht="15.75" customHeight="1">
      <c r="A71" s="28"/>
      <c r="B71" s="406"/>
      <c r="C71" s="235"/>
    </row>
    <row r="72" spans="1:10" ht="15.75" customHeight="1">
      <c r="A72" s="28"/>
      <c r="B72" s="406"/>
      <c r="C72" s="235"/>
    </row>
    <row r="73" spans="1:10" ht="15.75" customHeight="1"/>
    <row r="74" spans="1:10" ht="15.75" customHeight="1"/>
    <row r="75" spans="1:10" ht="15.75" customHeight="1"/>
    <row r="76" spans="1:10" ht="15.75" customHeight="1"/>
    <row r="77" spans="1:10" ht="15.75" customHeight="1"/>
    <row r="78" spans="1:10" ht="15.75" customHeight="1"/>
    <row r="79" spans="1:10" ht="15.75" customHeight="1"/>
    <row r="80" spans="1:1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</sheetData>
  <protectedRanges>
    <protectedRange sqref="H69:H70 H66:H67 H41:H52 H54:H64 H5:H15 H17:H39" name="invul1"/>
  </protectedRanges>
  <mergeCells count="44">
    <mergeCell ref="D66:D67"/>
    <mergeCell ref="D37:D38"/>
    <mergeCell ref="D50:D51"/>
    <mergeCell ref="D24:D25"/>
    <mergeCell ref="N44:O44"/>
    <mergeCell ref="O26:P26"/>
    <mergeCell ref="M24:Q24"/>
    <mergeCell ref="M25:Q25"/>
    <mergeCell ref="N40:O40"/>
    <mergeCell ref="N41:O41"/>
    <mergeCell ref="N42:O42"/>
    <mergeCell ref="N43:O43"/>
    <mergeCell ref="U27:V27"/>
    <mergeCell ref="P16:Q16"/>
    <mergeCell ref="P17:Q17"/>
    <mergeCell ref="P18:Q18"/>
    <mergeCell ref="P19:Q19"/>
    <mergeCell ref="P20:Q20"/>
    <mergeCell ref="P21:Q21"/>
    <mergeCell ref="P22:Q22"/>
    <mergeCell ref="T24:U24"/>
    <mergeCell ref="O27:P27"/>
    <mergeCell ref="R12:S12"/>
    <mergeCell ref="P15:Q15"/>
    <mergeCell ref="N16:O16"/>
    <mergeCell ref="N15:O15"/>
    <mergeCell ref="N17:O17"/>
    <mergeCell ref="N19:O19"/>
    <mergeCell ref="D22:D23"/>
    <mergeCell ref="D35:D36"/>
    <mergeCell ref="M14:Q14"/>
    <mergeCell ref="N22:O22"/>
    <mergeCell ref="N21:O21"/>
    <mergeCell ref="N20:O20"/>
    <mergeCell ref="R27:S27"/>
    <mergeCell ref="N39:O39"/>
    <mergeCell ref="M26:N26"/>
    <mergeCell ref="M5:P5"/>
    <mergeCell ref="D48:D49"/>
    <mergeCell ref="D20:D21"/>
    <mergeCell ref="D33:D34"/>
    <mergeCell ref="D9:D10"/>
    <mergeCell ref="D46:D47"/>
    <mergeCell ref="D11:D12"/>
  </mergeCells>
  <phoneticPr fontId="0" type="noConversion"/>
  <pageMargins left="0.74803149606299213" right="0.74803149606299213" top="0.78740157480314965" bottom="0.78740157480314965" header="0.51181102362204722" footer="0.51181102362204722"/>
  <pageSetup paperSize="9" scale="38" orientation="landscape" r:id="rId1"/>
  <headerFooter alignWithMargins="0">
    <oddFooter>&amp;C&amp;A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Blad4">
    <tabColor theme="0"/>
    <pageSetUpPr fitToPage="1"/>
  </sheetPr>
  <dimension ref="A1:AB105"/>
  <sheetViews>
    <sheetView showGridLines="0" topLeftCell="A19" zoomScale="55" zoomScaleNormal="55" workbookViewId="0">
      <selection activeCell="E65" sqref="E65"/>
    </sheetView>
  </sheetViews>
  <sheetFormatPr defaultRowHeight="15"/>
  <cols>
    <col min="2" max="2" width="29.5703125" customWidth="1"/>
    <col min="3" max="3" width="12.140625" customWidth="1"/>
    <col min="4" max="7" width="13.7109375" style="322" customWidth="1"/>
    <col min="8" max="8" width="13.5703125" customWidth="1"/>
    <col min="9" max="9" width="12.140625" customWidth="1"/>
    <col min="10" max="10" width="27.5703125" customWidth="1"/>
    <col min="11" max="11" width="12.140625" customWidth="1"/>
    <col min="12" max="12" width="16.7109375" customWidth="1"/>
    <col min="13" max="13" width="13.7109375" style="322" customWidth="1"/>
    <col min="14" max="14" width="16.7109375" customWidth="1"/>
    <col min="15" max="15" width="13.7109375" style="322" customWidth="1"/>
  </cols>
  <sheetData>
    <row r="1" spans="1:28" s="381" customFormat="1" ht="26.25" customHeight="1" thickBot="1">
      <c r="A1" s="830" t="s">
        <v>507</v>
      </c>
      <c r="B1" s="831"/>
      <c r="C1" s="831"/>
      <c r="D1" s="832"/>
      <c r="E1" s="832"/>
      <c r="F1" s="832"/>
      <c r="G1" s="832"/>
      <c r="H1" s="831"/>
      <c r="I1" s="831"/>
      <c r="J1" s="831"/>
      <c r="K1" s="831"/>
      <c r="L1" s="831"/>
      <c r="M1" s="832"/>
      <c r="N1" s="831"/>
      <c r="O1" s="833"/>
      <c r="P1" s="389"/>
      <c r="Q1" s="389"/>
      <c r="R1" s="389"/>
      <c r="S1" s="389"/>
      <c r="T1" s="389"/>
      <c r="U1" s="389"/>
      <c r="V1" s="389"/>
      <c r="W1" s="336"/>
      <c r="X1" s="336"/>
      <c r="Y1" s="336"/>
      <c r="Z1" s="336"/>
      <c r="AA1" s="336"/>
      <c r="AB1" s="336"/>
    </row>
    <row r="2" spans="1:28" ht="15.75" thickBot="1"/>
    <row r="3" spans="1:28" s="980" customFormat="1" ht="43.5" customHeight="1" thickBot="1">
      <c r="A3" s="1578" t="s">
        <v>206</v>
      </c>
      <c r="B3" s="1579"/>
      <c r="C3" s="1579"/>
      <c r="D3" s="1579"/>
      <c r="E3" s="1579"/>
      <c r="F3" s="1579"/>
      <c r="G3" s="1579"/>
      <c r="H3" s="1579"/>
      <c r="I3" s="1579"/>
      <c r="J3" s="1579"/>
      <c r="K3" s="1579"/>
      <c r="L3" s="1579"/>
      <c r="M3" s="1579"/>
      <c r="N3" s="1579"/>
      <c r="O3" s="1580"/>
    </row>
    <row r="4" spans="1:28" s="321" customFormat="1" ht="21.75" customHeight="1" thickBot="1">
      <c r="A4" s="1570" t="s">
        <v>522</v>
      </c>
      <c r="B4" s="1571"/>
      <c r="C4" s="1571"/>
      <c r="D4" s="1571"/>
      <c r="E4" s="1571"/>
      <c r="F4" s="935"/>
      <c r="G4" s="847"/>
      <c r="I4" s="1570" t="s">
        <v>523</v>
      </c>
      <c r="J4" s="1571"/>
      <c r="K4" s="1571"/>
      <c r="L4" s="1571"/>
      <c r="M4" s="1571"/>
      <c r="N4" s="1571"/>
      <c r="O4" s="1572"/>
    </row>
    <row r="5" spans="1:28" s="321" customFormat="1" ht="15" customHeight="1" thickBot="1">
      <c r="A5" s="935"/>
      <c r="B5" s="847"/>
      <c r="C5" s="847"/>
      <c r="D5" s="848"/>
      <c r="E5" s="848"/>
      <c r="F5" s="935"/>
      <c r="G5" s="847"/>
      <c r="I5" s="979"/>
      <c r="J5" s="845"/>
      <c r="K5" s="845"/>
      <c r="L5" s="849"/>
      <c r="M5" s="848"/>
      <c r="N5" s="849"/>
      <c r="O5" s="973"/>
    </row>
    <row r="6" spans="1:28" ht="15" customHeight="1">
      <c r="A6" s="937"/>
      <c r="B6" s="938"/>
      <c r="C6" s="526"/>
      <c r="D6" s="1588" t="s">
        <v>345</v>
      </c>
      <c r="E6" s="1589"/>
      <c r="F6" s="974"/>
      <c r="G6" s="874"/>
      <c r="H6" s="489"/>
      <c r="I6" s="957"/>
      <c r="J6" s="854"/>
      <c r="K6" s="521"/>
      <c r="L6" s="1568" t="s">
        <v>169</v>
      </c>
      <c r="M6" s="1569"/>
      <c r="N6" s="1590" t="s">
        <v>388</v>
      </c>
      <c r="O6" s="1591"/>
    </row>
    <row r="7" spans="1:28" s="320" customFormat="1" ht="15" customHeight="1" thickBot="1">
      <c r="A7" s="939" t="s">
        <v>65</v>
      </c>
      <c r="B7" s="865" t="s">
        <v>19</v>
      </c>
      <c r="C7" s="525" t="s">
        <v>30</v>
      </c>
      <c r="D7" s="850" t="s">
        <v>280</v>
      </c>
      <c r="E7" s="969" t="s">
        <v>15</v>
      </c>
      <c r="F7" s="974"/>
      <c r="G7" s="874"/>
      <c r="H7" s="515"/>
      <c r="I7" s="955" t="s">
        <v>65</v>
      </c>
      <c r="J7" s="866" t="s">
        <v>19</v>
      </c>
      <c r="K7" s="488" t="s">
        <v>30</v>
      </c>
      <c r="L7" s="978" t="s">
        <v>521</v>
      </c>
      <c r="M7" s="844" t="s">
        <v>279</v>
      </c>
      <c r="N7" s="978" t="s">
        <v>521</v>
      </c>
      <c r="O7" s="855" t="s">
        <v>279</v>
      </c>
    </row>
    <row r="8" spans="1:28" ht="15" customHeight="1">
      <c r="A8" s="1584" t="str">
        <f ca="1">'Linac 1'!A$66</f>
        <v>B1</v>
      </c>
      <c r="B8" s="1026"/>
      <c r="C8" s="1029" t="str">
        <f ca="1">'Linac 1'!C$3</f>
        <v>Linac 1</v>
      </c>
      <c r="D8" s="851">
        <f ca="1">'Linac 1'!AA$66</f>
        <v>7.7674819827593751E-4</v>
      </c>
      <c r="E8" s="970">
        <f>SUM(D8:D11)</f>
        <v>3.10699279310375E-3</v>
      </c>
      <c r="F8" s="975"/>
      <c r="G8" s="934"/>
      <c r="H8" s="516"/>
      <c r="I8" s="1041" t="str">
        <f ca="1">CT!A$19</f>
        <v>C1</v>
      </c>
      <c r="J8" s="1042" t="str">
        <f ca="1">CT!B$19</f>
        <v>bedieningsruimte</v>
      </c>
      <c r="K8" s="1185" t="str">
        <f ca="1">CT!C$3</f>
        <v>CT 1</v>
      </c>
      <c r="L8" s="633">
        <f ca="1">CT!N19</f>
        <v>2.3610777428857135E-4</v>
      </c>
      <c r="M8" s="1274">
        <f ca="1">CT!M19</f>
        <v>0.98220834104045684</v>
      </c>
      <c r="N8" s="1309"/>
      <c r="O8" s="856"/>
    </row>
    <row r="9" spans="1:28" ht="15" customHeight="1">
      <c r="A9" s="1585"/>
      <c r="B9" s="1027" t="s">
        <v>26</v>
      </c>
      <c r="C9" s="1030" t="str">
        <f ca="1">'Linac 2'!C$3</f>
        <v>Linac 2</v>
      </c>
      <c r="D9" s="852">
        <f ca="1">'Linac 2'!AA$66</f>
        <v>7.7674819827593751E-4</v>
      </c>
      <c r="E9" s="971"/>
      <c r="F9" s="976"/>
      <c r="G9" s="930"/>
      <c r="H9" s="516"/>
      <c r="I9" s="958"/>
      <c r="J9" s="857"/>
      <c r="K9" s="1305"/>
      <c r="L9" s="1050"/>
      <c r="M9" s="1053"/>
      <c r="N9" s="1310"/>
      <c r="O9" s="1051"/>
    </row>
    <row r="10" spans="1:28" ht="15" customHeight="1">
      <c r="A10" s="1585"/>
      <c r="B10" s="1027" t="str">
        <f ca="1">'Linac 1'!C$3</f>
        <v>Linac 1</v>
      </c>
      <c r="C10" s="1030" t="str">
        <f ca="1">'Linac 3'!C$3</f>
        <v>Linac 3</v>
      </c>
      <c r="D10" s="852">
        <f ca="1">'Linac 3'!AA$66</f>
        <v>7.7674819827593751E-4</v>
      </c>
      <c r="E10" s="971"/>
      <c r="F10" s="976"/>
      <c r="G10" s="930"/>
      <c r="H10" s="516"/>
      <c r="I10" s="1041" t="str">
        <f ca="1">Orthovolt!A26</f>
        <v>O1</v>
      </c>
      <c r="J10" s="1042" t="str">
        <f ca="1">Orthovolt!B$26</f>
        <v>bedieningsruimte</v>
      </c>
      <c r="K10" s="1185" t="str">
        <f ca="1">Orthovolt!C3</f>
        <v>Orthovolt</v>
      </c>
      <c r="L10" s="634">
        <f ca="1">Orthovolt!AD26</f>
        <v>1.5429993760350895E-7</v>
      </c>
      <c r="M10" s="635">
        <f ca="1">Orthovolt!AE26</f>
        <v>7.2212370798442182E-4</v>
      </c>
      <c r="N10" s="1311"/>
      <c r="O10" s="858"/>
    </row>
    <row r="11" spans="1:28" ht="15" customHeight="1">
      <c r="A11" s="1586"/>
      <c r="B11" s="1028"/>
      <c r="C11" s="1031" t="str">
        <f ca="1">'Linac 4'!C$3</f>
        <v>Linac 4</v>
      </c>
      <c r="D11" s="852">
        <f ca="1">'Linac 4'!AA$66</f>
        <v>7.7674819827593751E-4</v>
      </c>
      <c r="E11" s="971"/>
      <c r="F11" s="976"/>
      <c r="G11" s="930"/>
      <c r="H11" s="516"/>
      <c r="I11" s="959"/>
      <c r="J11" s="857"/>
      <c r="K11" s="1305"/>
      <c r="L11" s="1052"/>
      <c r="M11" s="1053"/>
      <c r="N11" s="1312"/>
      <c r="O11" s="1053"/>
    </row>
    <row r="12" spans="1:28" ht="15" customHeight="1">
      <c r="A12" s="1584" t="str">
        <f ca="1">'Linac 2'!A$70</f>
        <v>B2</v>
      </c>
      <c r="B12" s="1026"/>
      <c r="C12" s="1029" t="str">
        <f ca="1">'Linac 1'!C$3</f>
        <v>Linac 1</v>
      </c>
      <c r="D12" s="853">
        <f ca="1">'Linac 1'!AA$70</f>
        <v>7.7674819827593751E-4</v>
      </c>
      <c r="E12" s="972">
        <f>SUM(D12:D15)</f>
        <v>3.10699279310375E-3</v>
      </c>
      <c r="F12" s="975"/>
      <c r="G12" s="934"/>
      <c r="H12" s="516"/>
      <c r="I12" s="1041" t="str">
        <f ca="1">'Brachy HDR'!A22</f>
        <v>H1</v>
      </c>
      <c r="J12" s="1042" t="str">
        <f ca="1">'Brachy HDR'!B$22</f>
        <v>bedieningsruimte</v>
      </c>
      <c r="K12" s="1185" t="str">
        <f ca="1">'Brachy HDR'!C3</f>
        <v>HDR</v>
      </c>
      <c r="L12" s="634">
        <f ca="1">'Brachy HDR'!K22</f>
        <v>2.6057791652880827E-5</v>
      </c>
      <c r="M12" s="635">
        <f ca="1">'Brachy HDR'!L22</f>
        <v>2.6057791652880826E-3</v>
      </c>
      <c r="N12" s="1313"/>
      <c r="O12" s="635"/>
    </row>
    <row r="13" spans="1:28" ht="15" customHeight="1">
      <c r="A13" s="1585"/>
      <c r="B13" s="1024" t="s">
        <v>26</v>
      </c>
      <c r="C13" s="1030" t="str">
        <f ca="1">'Linac 2'!C$3</f>
        <v>Linac 2</v>
      </c>
      <c r="D13" s="852">
        <f ca="1">'Linac 2'!AA$70</f>
        <v>7.7674819827593751E-4</v>
      </c>
      <c r="E13" s="971"/>
      <c r="F13" s="976"/>
      <c r="G13" s="930"/>
      <c r="H13" s="489"/>
      <c r="I13" s="958"/>
      <c r="J13" s="857"/>
      <c r="K13" s="1305"/>
      <c r="L13" s="1052"/>
      <c r="M13" s="1053"/>
      <c r="N13" s="1312"/>
      <c r="O13" s="1053"/>
    </row>
    <row r="14" spans="1:28" ht="15" customHeight="1">
      <c r="A14" s="1585"/>
      <c r="B14" s="1024" t="str">
        <f ca="1">'Linac 2'!C$3</f>
        <v>Linac 2</v>
      </c>
      <c r="C14" s="1030" t="str">
        <f ca="1">'Linac 3'!C$3</f>
        <v>Linac 3</v>
      </c>
      <c r="D14" s="852">
        <f ca="1">'Linac 3'!AA$70</f>
        <v>7.7674819827593751E-4</v>
      </c>
      <c r="E14" s="971"/>
      <c r="F14" s="976"/>
      <c r="G14" s="930"/>
      <c r="H14" s="489"/>
      <c r="I14" s="1041" t="str">
        <f ca="1">'Brachy PDR'!A22</f>
        <v>P1</v>
      </c>
      <c r="J14" s="1042" t="str">
        <f ca="1">'Brachy PDR'!B$22</f>
        <v>bedieningsruimte</v>
      </c>
      <c r="K14" s="1185" t="str">
        <f ca="1">'Brachy PDR'!C3</f>
        <v>PDR</v>
      </c>
      <c r="L14" s="634">
        <f ca="1">'Brachy PDR'!K22</f>
        <v>3.0521695642455497E-6</v>
      </c>
      <c r="M14" s="635">
        <f ca="1">'Brachy PDR'!L22</f>
        <v>5.1886882592174345E-4</v>
      </c>
      <c r="N14" s="1313"/>
      <c r="O14" s="635"/>
      <c r="Q14" s="401"/>
    </row>
    <row r="15" spans="1:28" ht="15" customHeight="1">
      <c r="A15" s="1586"/>
      <c r="B15" s="1025"/>
      <c r="C15" s="1031" t="str">
        <f ca="1">'Linac 4'!C$3</f>
        <v>Linac 4</v>
      </c>
      <c r="D15" s="1032">
        <f ca="1">'Linac 4'!AA$70</f>
        <v>7.7674819827593751E-4</v>
      </c>
      <c r="E15" s="971"/>
      <c r="F15" s="976"/>
      <c r="G15" s="930"/>
      <c r="H15" s="489"/>
      <c r="I15" s="958"/>
      <c r="J15" s="857"/>
      <c r="K15" s="1305"/>
      <c r="L15" s="1052"/>
      <c r="M15" s="1053"/>
      <c r="N15" s="1312"/>
      <c r="O15" s="1053"/>
      <c r="Q15" s="401"/>
    </row>
    <row r="16" spans="1:28" ht="15" customHeight="1">
      <c r="A16" s="1584" t="str">
        <f ca="1">'Linac 3'!A$74</f>
        <v>B3</v>
      </c>
      <c r="B16" s="1026"/>
      <c r="C16" s="1029" t="str">
        <f ca="1">'Linac 1'!C$3</f>
        <v>Linac 1</v>
      </c>
      <c r="D16" s="853">
        <f ca="1">'Linac 1'!AA$74</f>
        <v>7.7674819827593751E-4</v>
      </c>
      <c r="E16" s="972">
        <f>SUM(D16:D19)</f>
        <v>3.10699279310375E-3</v>
      </c>
      <c r="F16" s="975"/>
      <c r="G16" s="934"/>
      <c r="H16" s="489"/>
      <c r="I16" s="1041" t="str">
        <f ca="1">'I-125 implantatie'!A22</f>
        <v>I-125 1</v>
      </c>
      <c r="J16" s="1042" t="str">
        <f ca="1">'I-125 implantatie'!B$22</f>
        <v>zaadjes bereiden</v>
      </c>
      <c r="K16" s="1185" t="str">
        <f ca="1">'I-125 implantatie'!C3</f>
        <v>I-125</v>
      </c>
      <c r="L16" s="634">
        <f ca="1">'I-125 implantatie'!E22</f>
        <v>2.9381666666666661E-4</v>
      </c>
      <c r="M16" s="635">
        <f ca="1">'I-125 implantatie'!F22</f>
        <v>5.876333333333332E-2</v>
      </c>
      <c r="N16" s="1313">
        <f ca="1">'I-125 implantatie'!G23</f>
        <v>7.863945578231292E-2</v>
      </c>
      <c r="O16" s="635">
        <f ca="1">'I-125 implantatie'!H23</f>
        <v>15.727891156462585</v>
      </c>
    </row>
    <row r="17" spans="1:19" ht="15" customHeight="1">
      <c r="A17" s="1585"/>
      <c r="B17" s="1024" t="s">
        <v>26</v>
      </c>
      <c r="C17" s="1030" t="str">
        <f ca="1">'Linac 2'!C$3</f>
        <v>Linac 2</v>
      </c>
      <c r="D17" s="852">
        <f ca="1">'Linac 2'!AA$74</f>
        <v>7.7674819827593751E-4</v>
      </c>
      <c r="E17" s="971"/>
      <c r="F17" s="976"/>
      <c r="G17" s="930"/>
      <c r="H17" s="489"/>
      <c r="I17" s="1055" t="str">
        <f ca="1">'I-125 implantatie'!A24</f>
        <v>I-125 2</v>
      </c>
      <c r="J17" s="1054" t="str">
        <f ca="1">'I-125 implantatie'!B$24</f>
        <v>zaadjes implanteren</v>
      </c>
      <c r="K17" s="1306" t="str">
        <f ca="1">'I-125 implantatie'!C3</f>
        <v>I-125</v>
      </c>
      <c r="L17" s="1045">
        <f ca="1">'I-125 implantatie'!E24</f>
        <v>2.4887999999999999E-4</v>
      </c>
      <c r="M17" s="1046">
        <f ca="1">'I-125 implantatie'!F24</f>
        <v>4.9776000000000001E-2</v>
      </c>
      <c r="N17" s="1314"/>
      <c r="O17" s="1046"/>
    </row>
    <row r="18" spans="1:19" ht="15" customHeight="1">
      <c r="A18" s="1585"/>
      <c r="B18" s="1024" t="str">
        <f ca="1">'Linac 3'!C$3</f>
        <v>Linac 3</v>
      </c>
      <c r="C18" s="1030" t="str">
        <f ca="1">'Linac 3'!C$3</f>
        <v>Linac 3</v>
      </c>
      <c r="D18" s="852">
        <f ca="1">'Linac 3'!AA$74</f>
        <v>7.7674819827593751E-4</v>
      </c>
      <c r="E18" s="971"/>
      <c r="F18" s="976"/>
      <c r="G18" s="930"/>
      <c r="H18" s="489"/>
      <c r="I18" s="1047"/>
      <c r="J18" s="1048"/>
      <c r="K18" s="1307"/>
      <c r="L18" s="1047"/>
      <c r="M18" s="1049"/>
      <c r="N18" s="1315"/>
      <c r="O18" s="1049"/>
    </row>
    <row r="19" spans="1:19" ht="15" customHeight="1" thickBot="1">
      <c r="A19" s="1586"/>
      <c r="B19" s="1025"/>
      <c r="C19" s="1031" t="str">
        <f ca="1">'Linac 4'!C$3</f>
        <v>Linac 4</v>
      </c>
      <c r="D19" s="1032">
        <f ca="1">'Linac 4'!AA$74</f>
        <v>7.7674819827593751E-4</v>
      </c>
      <c r="E19" s="971"/>
      <c r="F19" s="976"/>
      <c r="G19" s="930"/>
      <c r="H19" s="489"/>
      <c r="I19" s="1057"/>
      <c r="J19" s="1056" t="str">
        <f ca="1">'PET-CT '!B20</f>
        <v>positionering patient</v>
      </c>
      <c r="K19" s="1308" t="str">
        <f ca="1">'PET-CT '!C3</f>
        <v>PET-CT</v>
      </c>
      <c r="L19" s="636">
        <f ca="1">'PET-CT '!H20</f>
        <v>3.0666666666666668E-3</v>
      </c>
      <c r="M19" s="637">
        <f ca="1">'PET-CT '!I20</f>
        <v>0.3066666666666667</v>
      </c>
      <c r="N19" s="1316"/>
      <c r="O19" s="637"/>
    </row>
    <row r="20" spans="1:19" ht="15" customHeight="1">
      <c r="A20" s="1584" t="str">
        <f ca="1">'Linac 4'!A$78</f>
        <v>B4</v>
      </c>
      <c r="B20" s="1026"/>
      <c r="C20" s="1029" t="str">
        <f ca="1">'Linac 1'!C$3</f>
        <v>Linac 1</v>
      </c>
      <c r="D20" s="853">
        <f ca="1">'Linac 1'!AA$78</f>
        <v>7.7674819827593751E-4</v>
      </c>
      <c r="E20" s="1403">
        <f>SUM(D20:D23)</f>
        <v>3.10699279310375E-3</v>
      </c>
      <c r="F20" s="975"/>
      <c r="G20" s="934"/>
      <c r="H20" s="489"/>
      <c r="I20" s="489"/>
    </row>
    <row r="21" spans="1:19" ht="15" customHeight="1">
      <c r="A21" s="1585"/>
      <c r="B21" s="1024" t="s">
        <v>26</v>
      </c>
      <c r="C21" s="1030" t="str">
        <f ca="1">'Linac 2'!C$3</f>
        <v>Linac 2</v>
      </c>
      <c r="D21" s="852">
        <f ca="1">'Linac 2'!AA$78</f>
        <v>7.7674819827593751E-4</v>
      </c>
      <c r="E21" s="1404"/>
      <c r="F21" s="976"/>
      <c r="G21" s="930"/>
      <c r="H21" s="489"/>
      <c r="I21" s="517"/>
      <c r="J21" s="462"/>
      <c r="K21" s="462"/>
      <c r="L21" s="322" t="s">
        <v>389</v>
      </c>
    </row>
    <row r="22" spans="1:19" ht="15" customHeight="1">
      <c r="A22" s="1585"/>
      <c r="B22" s="1024" t="str">
        <f ca="1">'Linac 4'!C$3</f>
        <v>Linac 4</v>
      </c>
      <c r="C22" s="1030" t="str">
        <f ca="1">'Linac 3'!C$3</f>
        <v>Linac 3</v>
      </c>
      <c r="D22" s="852">
        <f ca="1">'Linac 3'!AA$78</f>
        <v>7.7674819827593751E-4</v>
      </c>
      <c r="E22" s="1404"/>
      <c r="F22" s="976"/>
      <c r="G22" s="930"/>
      <c r="H22" s="489"/>
    </row>
    <row r="23" spans="1:19" ht="15" customHeight="1" thickBot="1">
      <c r="A23" s="1587"/>
      <c r="B23" s="1405"/>
      <c r="C23" s="1474" t="str">
        <f ca="1">'Linac 4'!C$3</f>
        <v>Linac 4</v>
      </c>
      <c r="D23" s="1406">
        <f ca="1">'Linac 4'!AA$78</f>
        <v>7.7674819827593751E-4</v>
      </c>
      <c r="E23" s="1407"/>
      <c r="F23" s="976"/>
      <c r="G23" s="930"/>
      <c r="H23" s="489"/>
      <c r="I23" s="489"/>
    </row>
    <row r="24" spans="1:19" ht="15" customHeight="1">
      <c r="A24" s="526"/>
      <c r="B24" s="526"/>
      <c r="C24" s="517"/>
      <c r="D24" s="934"/>
      <c r="E24" s="930"/>
      <c r="F24" s="930"/>
      <c r="G24" s="930"/>
      <c r="H24" s="489"/>
      <c r="I24" s="489"/>
    </row>
    <row r="25" spans="1:19" ht="15" customHeight="1" thickBot="1">
      <c r="A25" s="526"/>
      <c r="B25" s="520"/>
      <c r="C25" s="520"/>
      <c r="D25" s="841"/>
      <c r="E25" s="436"/>
      <c r="F25" s="436"/>
      <c r="G25" s="436"/>
      <c r="H25" s="489"/>
      <c r="I25" s="489"/>
    </row>
    <row r="26" spans="1:19" ht="43.5" customHeight="1" thickBot="1">
      <c r="A26" s="1608" t="s">
        <v>524</v>
      </c>
      <c r="B26" s="1609"/>
      <c r="C26" s="1609"/>
      <c r="D26" s="1609"/>
      <c r="E26" s="1609"/>
      <c r="F26" s="1609"/>
      <c r="G26" s="1609"/>
      <c r="H26" s="1609"/>
      <c r="I26" s="1609"/>
      <c r="J26" s="1609"/>
      <c r="K26" s="1609"/>
      <c r="L26" s="1609"/>
      <c r="M26" s="1609"/>
      <c r="N26" s="1609"/>
      <c r="O26" s="1610"/>
    </row>
    <row r="27" spans="1:19" ht="21" thickBot="1">
      <c r="A27" s="1573" t="s">
        <v>522</v>
      </c>
      <c r="B27" s="1574"/>
      <c r="C27" s="1574"/>
      <c r="D27" s="1574"/>
      <c r="E27" s="1574"/>
      <c r="F27" s="1574"/>
      <c r="G27" s="1575"/>
      <c r="H27" s="981"/>
      <c r="I27" s="1581" t="s">
        <v>523</v>
      </c>
      <c r="J27" s="1582"/>
      <c r="K27" s="1582"/>
      <c r="L27" s="1582"/>
      <c r="M27" s="1582"/>
      <c r="N27" s="1582"/>
      <c r="O27" s="1583"/>
    </row>
    <row r="28" spans="1:19" ht="15" customHeight="1" thickBot="1">
      <c r="A28" s="935"/>
      <c r="B28" s="847"/>
      <c r="C28" s="847"/>
      <c r="D28" s="847"/>
      <c r="E28" s="940"/>
      <c r="F28" s="847"/>
      <c r="G28" s="947"/>
      <c r="I28" s="956"/>
      <c r="J28" s="845"/>
      <c r="K28" s="845"/>
      <c r="L28" s="845"/>
      <c r="M28" s="847"/>
      <c r="N28" s="849"/>
      <c r="O28" s="936"/>
    </row>
    <row r="29" spans="1:19" ht="15" customHeight="1">
      <c r="A29" s="1356" t="s">
        <v>534</v>
      </c>
      <c r="B29" s="1355"/>
      <c r="C29" s="1281"/>
      <c r="D29" s="1588" t="s">
        <v>580</v>
      </c>
      <c r="E29" s="1607"/>
      <c r="F29" s="1590" t="s">
        <v>345</v>
      </c>
      <c r="G29" s="1591"/>
      <c r="I29" s="960"/>
      <c r="J29" s="845"/>
      <c r="K29" s="845"/>
      <c r="L29" s="845"/>
      <c r="M29" s="847"/>
      <c r="N29" s="1345" t="s">
        <v>508</v>
      </c>
      <c r="O29" s="1395" t="s">
        <v>508</v>
      </c>
      <c r="P29" s="976"/>
      <c r="R29" s="321"/>
      <c r="S29" s="321"/>
    </row>
    <row r="30" spans="1:19" ht="15" customHeight="1" thickBot="1">
      <c r="A30" s="939" t="s">
        <v>65</v>
      </c>
      <c r="B30" s="865" t="s">
        <v>19</v>
      </c>
      <c r="C30" s="1475" t="s">
        <v>30</v>
      </c>
      <c r="D30" s="867" t="s">
        <v>280</v>
      </c>
      <c r="E30" s="837" t="s">
        <v>15</v>
      </c>
      <c r="F30" s="850" t="s">
        <v>280</v>
      </c>
      <c r="G30" s="837" t="s">
        <v>15</v>
      </c>
      <c r="H30" s="489"/>
      <c r="I30" s="939" t="s">
        <v>30</v>
      </c>
      <c r="J30" s="1228" t="s">
        <v>19</v>
      </c>
      <c r="K30" s="1229"/>
      <c r="L30" s="1230"/>
      <c r="M30" s="1231"/>
      <c r="N30" s="867" t="s">
        <v>574</v>
      </c>
      <c r="O30" s="1396" t="s">
        <v>279</v>
      </c>
      <c r="P30" s="976"/>
      <c r="R30" s="321"/>
      <c r="S30" s="321"/>
    </row>
    <row r="31" spans="1:19" ht="15" customHeight="1">
      <c r="A31" s="1584" t="str">
        <f ca="1">'Linac 1'!A91</f>
        <v>L1</v>
      </c>
      <c r="B31" s="1026"/>
      <c r="C31" s="1029" t="str">
        <f ca="1">'Linac 1'!C$3</f>
        <v>Linac 1</v>
      </c>
      <c r="D31" s="931">
        <f ca="1">'Linac 1'!AC91</f>
        <v>3.4549245040549982E-4</v>
      </c>
      <c r="E31" s="950">
        <f ca="1">SUM(D31:D34)</f>
        <v>3.4782642936666557E-4</v>
      </c>
      <c r="F31" s="859">
        <f ca="1">'Linac 1'!AD91</f>
        <v>1.7274622520274991E-3</v>
      </c>
      <c r="G31" s="950">
        <f>SUM(F31:F34)</f>
        <v>1.7391321468333276E-3</v>
      </c>
      <c r="H31" s="489"/>
      <c r="I31" s="1284" t="str">
        <f ca="1">CT!C3</f>
        <v>CT 1</v>
      </c>
      <c r="J31" s="1285" t="str">
        <f ca="1">CT!B24</f>
        <v>achterblijven in CT ruimte gedurende een (fractie van) patient scan</v>
      </c>
      <c r="K31" s="1289"/>
      <c r="L31" s="1289"/>
      <c r="M31" s="1290"/>
      <c r="N31" s="1346">
        <f ca="1">CT!M29</f>
        <v>0.18899999999999997</v>
      </c>
      <c r="O31" s="1476">
        <f ca="1">CT!N29</f>
        <v>0.18899999999999997</v>
      </c>
      <c r="P31" s="1393"/>
      <c r="Q31" s="321"/>
      <c r="R31" s="321"/>
    </row>
    <row r="32" spans="1:19" ht="15" customHeight="1">
      <c r="A32" s="1585"/>
      <c r="B32" s="1027" t="s">
        <v>168</v>
      </c>
      <c r="C32" s="1030" t="str">
        <f ca="1">'Linac 2'!C$3</f>
        <v>Linac 2</v>
      </c>
      <c r="D32" s="932">
        <f ca="1">'Linac 2'!AC91</f>
        <v>7.7799298705522589E-7</v>
      </c>
      <c r="E32" s="862"/>
      <c r="F32" s="861">
        <f ca="1">'Linac 2'!AD91</f>
        <v>3.8899649352761298E-6</v>
      </c>
      <c r="G32" s="862"/>
      <c r="H32" s="489"/>
      <c r="I32" s="1239"/>
      <c r="J32" s="1240"/>
      <c r="K32" s="1241"/>
      <c r="L32" s="1241"/>
      <c r="M32" s="1242"/>
      <c r="N32" s="1366"/>
      <c r="O32" s="1397"/>
      <c r="P32" s="642"/>
      <c r="Q32" s="321"/>
      <c r="R32" s="321"/>
    </row>
    <row r="33" spans="1:18" ht="15" customHeight="1">
      <c r="A33" s="1585"/>
      <c r="B33" s="1027" t="str">
        <f ca="1">'Linac 1'!C$3</f>
        <v>Linac 1</v>
      </c>
      <c r="C33" s="1030" t="str">
        <f ca="1">'Linac 3'!C$3</f>
        <v>Linac 3</v>
      </c>
      <c r="D33" s="932">
        <f ca="1">'Linac 3'!AC91</f>
        <v>7.7799298705522589E-7</v>
      </c>
      <c r="E33" s="862"/>
      <c r="F33" s="861">
        <f ca="1">'Linac 3'!AD91</f>
        <v>3.8899649352761298E-6</v>
      </c>
      <c r="G33" s="862"/>
      <c r="H33" s="489"/>
      <c r="I33" s="1286" t="str">
        <f ca="1">Orthovolt!C3</f>
        <v>Orthovolt</v>
      </c>
      <c r="J33" s="1287" t="str">
        <f ca="1">Orthovolt!B33</f>
        <v xml:space="preserve">achterblijven in Orthovolt ruimte gedurende (deel van) fractie </v>
      </c>
      <c r="K33" s="1288"/>
      <c r="L33" s="1288"/>
      <c r="M33" s="1300"/>
      <c r="N33" s="1347">
        <f ca="1">Orthovolt!O37</f>
        <v>0.52749999999999997</v>
      </c>
      <c r="O33" s="1402">
        <f ca="1">Orthovolt!P37</f>
        <v>0.52749999999999997</v>
      </c>
      <c r="P33" s="1393"/>
      <c r="Q33" s="321"/>
      <c r="R33" s="321"/>
    </row>
    <row r="34" spans="1:18" ht="15" customHeight="1">
      <c r="A34" s="1586"/>
      <c r="B34" s="1028"/>
      <c r="C34" s="1031" t="str">
        <f ca="1">'Linac 4'!C$3</f>
        <v>Linac 4</v>
      </c>
      <c r="D34" s="932">
        <f ca="1">'Linac 4'!AC91</f>
        <v>7.7799298705522589E-7</v>
      </c>
      <c r="E34" s="862"/>
      <c r="F34" s="861">
        <f ca="1">'Linac 4'!AD91</f>
        <v>3.8899649352761298E-6</v>
      </c>
      <c r="G34" s="862"/>
      <c r="H34" s="489"/>
      <c r="I34" s="1297"/>
      <c r="J34" s="1299"/>
      <c r="K34" s="324"/>
      <c r="L34" s="324"/>
      <c r="M34" s="953"/>
      <c r="N34" s="721"/>
      <c r="O34" s="1398"/>
      <c r="P34" s="642"/>
      <c r="Q34" s="321"/>
      <c r="R34" s="321"/>
    </row>
    <row r="35" spans="1:18" ht="15" customHeight="1">
      <c r="A35" s="1584" t="str">
        <f ca="1">'Linac 2'!A95</f>
        <v>L2</v>
      </c>
      <c r="B35" s="1026"/>
      <c r="C35" s="1029" t="str">
        <f ca="1">'Linac 1'!C$3</f>
        <v>Linac 1</v>
      </c>
      <c r="D35" s="946">
        <f ca="1">'Linac 1'!AC111</f>
        <v>7.7799298705522589E-7</v>
      </c>
      <c r="E35" s="860">
        <f ca="1">SUM(D35:D38)</f>
        <v>3.4782642936666557E-4</v>
      </c>
      <c r="F35" s="863">
        <f ca="1">'Linac 1'!AD111</f>
        <v>3.8899649352761298E-6</v>
      </c>
      <c r="G35" s="860">
        <f>SUM(F35:F38)</f>
        <v>1.7391321468333276E-3</v>
      </c>
      <c r="H35" s="489"/>
      <c r="I35" s="1615" t="str">
        <f ca="1">'Brachy HDR'!C3</f>
        <v>HDR</v>
      </c>
      <c r="J35" s="1611" t="str">
        <f ca="1">'Brachy HDR'!B26</f>
        <v>bron blijft vastzitten (noodprocedure)</v>
      </c>
      <c r="K35" s="1612"/>
      <c r="L35" s="1612"/>
      <c r="M35" s="1612"/>
      <c r="N35" s="1344">
        <f ca="1">'Brachy HDR'!I$29</f>
        <v>1.0425</v>
      </c>
      <c r="O35" s="1399">
        <f ca="1">'Brachy HDR'!J$29</f>
        <v>1.0425</v>
      </c>
      <c r="P35" s="1394"/>
      <c r="Q35" s="321"/>
      <c r="R35" s="321"/>
    </row>
    <row r="36" spans="1:18" ht="15" customHeight="1">
      <c r="A36" s="1585"/>
      <c r="B36" s="1027" t="s">
        <v>168</v>
      </c>
      <c r="C36" s="1030" t="str">
        <f ca="1">'Linac 2'!C$3</f>
        <v>Linac 2</v>
      </c>
      <c r="D36" s="932">
        <f ca="1">'Linac 2'!AC95</f>
        <v>3.4549245040549982E-4</v>
      </c>
      <c r="E36" s="862"/>
      <c r="F36" s="861">
        <f ca="1">'Linac 2'!AD95</f>
        <v>1.7274622520274991E-3</v>
      </c>
      <c r="G36" s="862"/>
      <c r="H36" s="489"/>
      <c r="I36" s="1616"/>
      <c r="J36" s="1613"/>
      <c r="K36" s="1614"/>
      <c r="L36" s="1614"/>
      <c r="M36" s="1614"/>
      <c r="N36" s="1344">
        <f ca="1">'Brachy HDR'!I$30</f>
        <v>21.27551020408163</v>
      </c>
      <c r="O36" s="1399">
        <f ca="1">'Brachy HDR'!J$30</f>
        <v>21.27551020408163</v>
      </c>
      <c r="P36" s="846" t="s">
        <v>361</v>
      </c>
      <c r="R36" s="321"/>
    </row>
    <row r="37" spans="1:18" ht="15" customHeight="1">
      <c r="A37" s="1585"/>
      <c r="B37" s="1027" t="str">
        <f ca="1">'Linac 2'!C$3</f>
        <v>Linac 2</v>
      </c>
      <c r="C37" s="1030" t="str">
        <f ca="1">'Linac 3'!C$3</f>
        <v>Linac 3</v>
      </c>
      <c r="D37" s="932">
        <f ca="1">'Linac 3'!AC95</f>
        <v>7.7799298705522589E-7</v>
      </c>
      <c r="E37" s="862"/>
      <c r="F37" s="861">
        <f ca="1">'Linac 3'!AD95</f>
        <v>3.8899649352761298E-6</v>
      </c>
      <c r="G37" s="862"/>
      <c r="H37" s="489"/>
      <c r="I37" s="1298"/>
      <c r="J37" s="1299"/>
      <c r="K37" s="324"/>
      <c r="L37" s="324"/>
      <c r="M37" s="953"/>
      <c r="N37" s="1392"/>
      <c r="O37" s="1398"/>
    </row>
    <row r="38" spans="1:18" ht="15" customHeight="1">
      <c r="A38" s="1586"/>
      <c r="B38" s="1028"/>
      <c r="C38" s="1031" t="str">
        <f ca="1">'Linac 4'!C$3</f>
        <v>Linac 4</v>
      </c>
      <c r="D38" s="1033">
        <f ca="1">'Linac 4'!AC95</f>
        <v>7.7799298705522589E-7</v>
      </c>
      <c r="E38" s="862"/>
      <c r="F38" s="861">
        <f ca="1">'Linac 4'!AD95</f>
        <v>3.8899649352761298E-6</v>
      </c>
      <c r="G38" s="862"/>
      <c r="H38" s="489"/>
      <c r="I38" s="1615" t="str">
        <f ca="1">'Brachy PDR'!C3</f>
        <v>PDR</v>
      </c>
      <c r="J38" s="1611" t="str">
        <f ca="1">'Brachy PDR'!B26</f>
        <v>bron blijft vastzitten (noodprocedure)</v>
      </c>
      <c r="K38" s="1612"/>
      <c r="L38" s="1612"/>
      <c r="M38" s="1612"/>
      <c r="N38" s="1344">
        <f ca="1">'Brachy PDR'!I$29</f>
        <v>0.17143333333333335</v>
      </c>
      <c r="O38" s="1399">
        <f ca="1">'Brachy PDR'!J$29</f>
        <v>0.17143333333333335</v>
      </c>
    </row>
    <row r="39" spans="1:18" ht="15" customHeight="1">
      <c r="A39" s="1584" t="str">
        <f ca="1">'Linac 3'!A99</f>
        <v>L3</v>
      </c>
      <c r="B39" s="1026"/>
      <c r="C39" s="1029" t="str">
        <f ca="1">'Linac 1'!C$3</f>
        <v>Linac 1</v>
      </c>
      <c r="D39" s="932">
        <f ca="1">'Linac 1'!AC115</f>
        <v>7.7799298705522589E-7</v>
      </c>
      <c r="E39" s="860">
        <f ca="1">SUM(D39:D42)</f>
        <v>3.4782642936666551E-4</v>
      </c>
      <c r="F39" s="863">
        <f ca="1">'Linac 1'!AD115</f>
        <v>3.8899649352761298E-6</v>
      </c>
      <c r="G39" s="860">
        <f>SUM(F39:F42)</f>
        <v>1.7391321468333274E-3</v>
      </c>
      <c r="H39" s="489"/>
      <c r="I39" s="1616"/>
      <c r="J39" s="1613"/>
      <c r="K39" s="1614"/>
      <c r="L39" s="1614"/>
      <c r="M39" s="1614"/>
      <c r="N39" s="1344">
        <f ca="1">'Brachy PDR'!I$30</f>
        <v>1.7143333333333335</v>
      </c>
      <c r="O39" s="1399">
        <f ca="1">'Brachy PDR'!J$30</f>
        <v>1.7143333333333335</v>
      </c>
      <c r="P39" s="846" t="s">
        <v>361</v>
      </c>
    </row>
    <row r="40" spans="1:18" ht="15" customHeight="1">
      <c r="A40" s="1585"/>
      <c r="B40" s="1027" t="s">
        <v>168</v>
      </c>
      <c r="C40" s="1030" t="str">
        <f ca="1">'Linac 2'!C$3</f>
        <v>Linac 2</v>
      </c>
      <c r="D40" s="932">
        <f ca="1">'Linac 2'!AC115</f>
        <v>7.7799298705522589E-7</v>
      </c>
      <c r="E40" s="862"/>
      <c r="F40" s="861">
        <f ca="1">'Linac 2'!AD115</f>
        <v>3.8899649352761298E-6</v>
      </c>
      <c r="G40" s="862"/>
      <c r="H40" s="489"/>
      <c r="I40" s="1298"/>
      <c r="J40" s="1299"/>
      <c r="K40" s="324"/>
      <c r="L40" s="324"/>
      <c r="M40" s="953"/>
      <c r="N40" s="1392"/>
      <c r="O40" s="1398"/>
      <c r="P40" s="642"/>
    </row>
    <row r="41" spans="1:18" ht="15" customHeight="1">
      <c r="A41" s="1585"/>
      <c r="B41" s="1027" t="str">
        <f ca="1">'Linac 3'!C$3</f>
        <v>Linac 3</v>
      </c>
      <c r="C41" s="1030" t="str">
        <f ca="1">'Linac 3'!C$3</f>
        <v>Linac 3</v>
      </c>
      <c r="D41" s="932">
        <f ca="1">'Linac 3'!AC99</f>
        <v>3.4549245040549982E-4</v>
      </c>
      <c r="E41" s="862"/>
      <c r="F41" s="861">
        <f ca="1">'Linac 3'!AD99</f>
        <v>1.7274622520274991E-3</v>
      </c>
      <c r="G41" s="862"/>
      <c r="H41" s="516"/>
      <c r="I41" s="1617" t="str">
        <f ca="1">'I-125 implantatie'!C3</f>
        <v>I-125</v>
      </c>
      <c r="J41" s="1301" t="str">
        <f ca="1">'I-125 implantatie'!B28</f>
        <v>1 of meerdere bronnen blijven achter in de behandelruimte (volledig verval)</v>
      </c>
      <c r="K41" s="1302"/>
      <c r="L41" s="1302"/>
      <c r="M41" s="1303"/>
      <c r="N41" s="1344">
        <f ca="1">'I-125 implantatie'!G31</f>
        <v>8.0572602134634311E-3</v>
      </c>
      <c r="O41" s="1399">
        <f ca="1">'I-125 implantatie'!H31</f>
        <v>8.0572602134634311E-3</v>
      </c>
      <c r="P41" s="1394"/>
    </row>
    <row r="42" spans="1:18" ht="15" customHeight="1">
      <c r="A42" s="1586"/>
      <c r="B42" s="1028"/>
      <c r="C42" s="1031" t="str">
        <f ca="1">'Linac 4'!C$3</f>
        <v>Linac 4</v>
      </c>
      <c r="D42" s="932">
        <f ca="1">'Linac 4'!AC99</f>
        <v>7.7799298705522589E-7</v>
      </c>
      <c r="E42" s="951"/>
      <c r="F42" s="861">
        <f ca="1">'Linac 4'!AD$99</f>
        <v>3.8899649352761298E-6</v>
      </c>
      <c r="G42" s="862"/>
      <c r="H42" s="516"/>
      <c r="I42" s="1618"/>
      <c r="J42" s="1301" t="str">
        <f ca="1">'I-125 implantatie'!B34</f>
        <v>1 of meerdere bronnen liggen een beperkte tijd onafgeschermd in de behandelruimte.</v>
      </c>
      <c r="K42" s="1302"/>
      <c r="L42" s="1302"/>
      <c r="M42" s="1303"/>
      <c r="N42" s="1344">
        <f ca="1">'I-125 implantatie'!G$37</f>
        <v>1.4103200000000003E-4</v>
      </c>
      <c r="O42" s="1399">
        <f ca="1">'I-125 implantatie'!H$37</f>
        <v>1.4103200000000003E-4</v>
      </c>
      <c r="P42" s="1394"/>
    </row>
    <row r="43" spans="1:18" ht="15" customHeight="1">
      <c r="A43" s="1584" t="str">
        <f ca="1">'Linac 4'!A103</f>
        <v>L4</v>
      </c>
      <c r="B43" s="1026"/>
      <c r="C43" s="1029" t="str">
        <f ca="1">'Linac 1'!C$3</f>
        <v>Linac 1</v>
      </c>
      <c r="D43" s="946">
        <f ca="1">'Linac 1'!AC119</f>
        <v>7.7799298705522589E-7</v>
      </c>
      <c r="E43" s="952">
        <f ca="1">SUM(D43:D46)</f>
        <v>3.4782642936666551E-4</v>
      </c>
      <c r="F43" s="863">
        <f ca="1">'Linac 1'!AD119</f>
        <v>3.8899649352761298E-6</v>
      </c>
      <c r="G43" s="860">
        <f>SUM(F43:F46)</f>
        <v>1.7391321468333274E-3</v>
      </c>
      <c r="H43" s="518"/>
      <c r="I43" s="1295"/>
      <c r="J43" s="174"/>
      <c r="K43" s="77"/>
      <c r="L43" s="77"/>
      <c r="M43" s="78"/>
      <c r="N43" s="1296"/>
      <c r="O43" s="1400"/>
      <c r="P43" s="642"/>
    </row>
    <row r="44" spans="1:18" ht="15" customHeight="1" thickBot="1">
      <c r="A44" s="1585"/>
      <c r="B44" s="1027" t="s">
        <v>168</v>
      </c>
      <c r="C44" s="1030" t="str">
        <f ca="1">'Linac 2'!C$3</f>
        <v>Linac 2</v>
      </c>
      <c r="D44" s="932">
        <f ca="1">'Linac 2'!AC119</f>
        <v>7.7799298705522589E-7</v>
      </c>
      <c r="E44" s="862"/>
      <c r="F44" s="861">
        <f ca="1">'Linac 2'!AD119</f>
        <v>3.8899649352761298E-6</v>
      </c>
      <c r="G44" s="862"/>
      <c r="H44" s="491"/>
      <c r="I44" s="1291" t="str">
        <f ca="1">'PET-CT '!C3</f>
        <v>PET-CT</v>
      </c>
      <c r="J44" s="1292" t="str">
        <f ca="1">'PET-CT '!B24</f>
        <v>landurig ingespoten patient begeleiden (bijv.: evacuatie, hulpbehoevende patient)</v>
      </c>
      <c r="K44" s="1293"/>
      <c r="L44" s="1293"/>
      <c r="M44" s="1294"/>
      <c r="N44" s="1343">
        <f ca="1">'PET-CT '!F$27</f>
        <v>3.6799999999999999E-2</v>
      </c>
      <c r="O44" s="1401">
        <f ca="1">'PET-CT '!G$27</f>
        <v>3.6799999999999999E-2</v>
      </c>
      <c r="P44" s="1393"/>
    </row>
    <row r="45" spans="1:18" ht="15" customHeight="1">
      <c r="A45" s="1585"/>
      <c r="B45" s="1027" t="str">
        <f ca="1">'Linac 4'!C$3</f>
        <v>Linac 4</v>
      </c>
      <c r="C45" s="1030" t="str">
        <f ca="1">'Linac 3'!C$3</f>
        <v>Linac 3</v>
      </c>
      <c r="D45" s="932">
        <f ca="1">'Linac 3'!AC119</f>
        <v>7.7799298705522589E-7</v>
      </c>
      <c r="E45" s="862"/>
      <c r="F45" s="861">
        <f ca="1">'Linac 3'!AD119</f>
        <v>3.8899649352761298E-6</v>
      </c>
      <c r="G45" s="862"/>
      <c r="H45" s="491"/>
      <c r="I45" s="489"/>
    </row>
    <row r="46" spans="1:18" ht="15" customHeight="1" thickBot="1">
      <c r="A46" s="1587"/>
      <c r="B46" s="1282"/>
      <c r="C46" s="1283" t="str">
        <f ca="1">'Linac 4'!C$3</f>
        <v>Linac 4</v>
      </c>
      <c r="D46" s="932">
        <f ca="1">'Linac 4'!AC103</f>
        <v>3.4549245040549982E-4</v>
      </c>
      <c r="E46" s="862"/>
      <c r="F46" s="861">
        <f ca="1">'Linac 4'!AD103</f>
        <v>1.7274622520274991E-3</v>
      </c>
      <c r="G46" s="862"/>
      <c r="H46" s="491"/>
      <c r="I46" s="489"/>
    </row>
    <row r="47" spans="1:18" ht="15" customHeight="1">
      <c r="A47" s="948"/>
      <c r="B47" s="389"/>
      <c r="C47" s="521"/>
      <c r="D47" s="1594"/>
      <c r="E47" s="1595"/>
      <c r="F47" s="1594"/>
      <c r="G47" s="1595"/>
      <c r="H47" s="491"/>
      <c r="I47" s="489"/>
    </row>
    <row r="48" spans="1:18" ht="15" customHeight="1">
      <c r="A48" s="949" t="s">
        <v>592</v>
      </c>
      <c r="B48" s="838"/>
      <c r="C48" s="839"/>
      <c r="D48" s="1592">
        <f ca="1">'Linac 1'!J132</f>
        <v>1.6500000000000001</v>
      </c>
      <c r="E48" s="1593"/>
      <c r="F48" s="1619">
        <f ca="1">'Linac 1'!K132</f>
        <v>1.6500000000000001</v>
      </c>
      <c r="G48" s="1620"/>
      <c r="H48" s="491"/>
      <c r="I48" s="516"/>
    </row>
    <row r="49" spans="1:10" ht="15" customHeight="1">
      <c r="A49" s="1269" t="s">
        <v>566</v>
      </c>
      <c r="B49" s="1270"/>
      <c r="C49" s="1271"/>
      <c r="D49" s="1592">
        <f ca="1">'Linac 1'!F141</f>
        <v>0.05</v>
      </c>
      <c r="E49" s="1593"/>
      <c r="F49" s="1621">
        <f ca="1">'Linac 1'!G141</f>
        <v>0.2</v>
      </c>
      <c r="G49" s="1622"/>
      <c r="H49" s="491"/>
      <c r="I49" s="518"/>
      <c r="J49" s="324"/>
    </row>
    <row r="50" spans="1:10" ht="15" customHeight="1">
      <c r="A50" s="1357" t="s">
        <v>565</v>
      </c>
      <c r="B50" s="1270"/>
      <c r="C50" s="1271"/>
      <c r="D50" s="1592">
        <f ca="1">'Linac 1'!F149</f>
        <v>3.0000000000000001E-3</v>
      </c>
      <c r="E50" s="1593"/>
      <c r="F50" s="1592">
        <f ca="1">'Linac 1'!G149</f>
        <v>7.2000000000000008E-2</v>
      </c>
      <c r="G50" s="1593"/>
      <c r="H50" s="491"/>
      <c r="I50" s="518"/>
    </row>
    <row r="51" spans="1:10" ht="15" customHeight="1" thickBot="1">
      <c r="A51" s="1358" t="s">
        <v>560</v>
      </c>
      <c r="B51" s="1272"/>
      <c r="C51" s="1273"/>
      <c r="D51" s="1576">
        <f ca="1">MAX('Linac 1'!AA157:AA160,'Linac 2'!AA130:AA133,'Linac 3'!AA130:AA133,'Linac 4'!AA130:AA133)</f>
        <v>4.6186851134089458E-5</v>
      </c>
      <c r="E51" s="1577"/>
      <c r="F51" s="1576">
        <f ca="1">MAX('Linac 1'!AB157:AB160,'Linac 2'!AB130:AB133,'Linac 3'!AB130:AB133,'Linac 4'!AB130:AB133)</f>
        <v>4.6186851134089458E-5</v>
      </c>
      <c r="G51" s="1577"/>
      <c r="H51" s="491"/>
      <c r="I51" s="518"/>
    </row>
    <row r="52" spans="1:10" ht="15" customHeight="1">
      <c r="A52" s="526"/>
      <c r="B52" s="389"/>
      <c r="C52" s="521"/>
      <c r="D52" s="841"/>
      <c r="E52" s="436"/>
      <c r="F52" s="436"/>
      <c r="G52" s="436"/>
      <c r="H52" s="491"/>
      <c r="I52" s="518"/>
    </row>
    <row r="53" spans="1:10" ht="15" customHeight="1" thickBot="1">
      <c r="A53" s="834"/>
      <c r="B53" s="537"/>
      <c r="C53" s="835"/>
      <c r="D53" s="842"/>
      <c r="E53" s="843"/>
      <c r="F53" s="436"/>
      <c r="G53" s="436"/>
      <c r="H53" s="491"/>
      <c r="I53" s="518"/>
    </row>
    <row r="54" spans="1:10" ht="43.5" customHeight="1" thickBot="1">
      <c r="A54" s="1600" t="s">
        <v>525</v>
      </c>
      <c r="B54" s="1601"/>
      <c r="C54" s="1601"/>
      <c r="D54" s="1601"/>
      <c r="E54" s="1602"/>
      <c r="F54" s="847"/>
      <c r="G54" s="847"/>
      <c r="H54" s="491"/>
      <c r="I54" s="518"/>
    </row>
    <row r="55" spans="1:10" ht="21.75" customHeight="1" thickBot="1">
      <c r="A55" s="1603" t="s">
        <v>522</v>
      </c>
      <c r="B55" s="1604"/>
      <c r="C55" s="1604"/>
      <c r="D55" s="1604"/>
      <c r="E55" s="1605"/>
      <c r="F55" s="847"/>
      <c r="G55" s="847"/>
      <c r="H55" s="491"/>
      <c r="I55" s="518"/>
    </row>
    <row r="56" spans="1:10" ht="15" customHeight="1" thickBot="1">
      <c r="A56" s="935"/>
      <c r="B56" s="847"/>
      <c r="C56" s="847"/>
      <c r="D56" s="864"/>
      <c r="E56" s="954"/>
      <c r="F56" s="847"/>
      <c r="G56" s="847"/>
      <c r="H56" s="491"/>
      <c r="I56" s="518"/>
    </row>
    <row r="57" spans="1:10" ht="15" customHeight="1">
      <c r="A57" s="642"/>
      <c r="B57" s="389"/>
      <c r="C57" s="389"/>
      <c r="D57" s="1590" t="s">
        <v>345</v>
      </c>
      <c r="E57" s="1591"/>
      <c r="F57" s="436"/>
      <c r="G57" s="436"/>
      <c r="H57" s="491"/>
      <c r="I57" s="518"/>
    </row>
    <row r="58" spans="1:10" ht="15.75" customHeight="1" thickBot="1">
      <c r="A58" s="955" t="s">
        <v>65</v>
      </c>
      <c r="B58" s="487" t="s">
        <v>19</v>
      </c>
      <c r="C58" s="488" t="s">
        <v>30</v>
      </c>
      <c r="D58" s="836" t="s">
        <v>280</v>
      </c>
      <c r="E58" s="837" t="s">
        <v>15</v>
      </c>
      <c r="F58" s="930"/>
      <c r="G58" s="930"/>
      <c r="H58" s="491"/>
      <c r="I58" s="489"/>
    </row>
    <row r="59" spans="1:10" ht="15.75" customHeight="1">
      <c r="A59" s="1584" t="str">
        <f ca="1">'Linac 1'!A$167</f>
        <v>T1</v>
      </c>
      <c r="B59" s="1599" t="str">
        <f ca="1">'Linac 1'!B$167</f>
        <v>terreingrens 1</v>
      </c>
      <c r="C59" s="1029" t="str">
        <f ca="1">'Linac 1'!C$3</f>
        <v>Linac 1</v>
      </c>
      <c r="D59" s="1036">
        <f ca="1">'Linac 1'!AA$167</f>
        <v>1.0616064362287919E-3</v>
      </c>
      <c r="E59" s="875">
        <f>SUM(D59:D62)</f>
        <v>4.2464257449151676E-3</v>
      </c>
      <c r="F59" s="841"/>
      <c r="G59" s="841"/>
      <c r="H59" s="491"/>
      <c r="I59" s="489"/>
    </row>
    <row r="60" spans="1:10" ht="15.75" customHeight="1">
      <c r="A60" s="1585"/>
      <c r="B60" s="1597"/>
      <c r="C60" s="1030" t="str">
        <f ca="1">'Linac 2'!C$3</f>
        <v>Linac 2</v>
      </c>
      <c r="D60" s="876">
        <f ca="1">'Linac 2'!AA$140</f>
        <v>1.0616064362287919E-3</v>
      </c>
      <c r="E60" s="877"/>
      <c r="F60" s="436"/>
      <c r="G60" s="436"/>
      <c r="H60" s="491"/>
      <c r="I60" s="489"/>
    </row>
    <row r="61" spans="1:10" ht="15.75" customHeight="1">
      <c r="A61" s="1585"/>
      <c r="B61" s="1597"/>
      <c r="C61" s="1030" t="str">
        <f ca="1">'Linac 3'!C$3</f>
        <v>Linac 3</v>
      </c>
      <c r="D61" s="876">
        <f ca="1">'Linac 3'!AA$140</f>
        <v>1.0616064362287919E-3</v>
      </c>
      <c r="E61" s="877"/>
      <c r="F61" s="436"/>
      <c r="G61" s="436"/>
      <c r="H61" s="491"/>
      <c r="I61" s="489"/>
    </row>
    <row r="62" spans="1:10" ht="15.75" customHeight="1" thickBot="1">
      <c r="A62" s="1587"/>
      <c r="B62" s="1598"/>
      <c r="C62" s="1031" t="str">
        <f ca="1">'Linac 4'!C$3</f>
        <v>Linac 4</v>
      </c>
      <c r="D62" s="1037">
        <f ca="1">'Linac 4'!AA$140</f>
        <v>1.0616064362287919E-3</v>
      </c>
      <c r="E62" s="877"/>
      <c r="F62" s="436"/>
      <c r="G62" s="436"/>
      <c r="H62" s="491"/>
      <c r="I62" s="489"/>
    </row>
    <row r="63" spans="1:10" ht="15.75" customHeight="1">
      <c r="A63" s="1606" t="str">
        <f ca="1">'Linac 1'!A$175</f>
        <v>T2</v>
      </c>
      <c r="B63" s="1596" t="str">
        <f ca="1">'Linac 1'!B$175</f>
        <v>terreingrens 2</v>
      </c>
      <c r="C63" s="1029" t="str">
        <f ca="1">'Linac 1'!C$3</f>
        <v>Linac 1</v>
      </c>
      <c r="D63" s="1038">
        <f ca="1">'Linac 1'!AA$175</f>
        <v>1.0616064362287919E-3</v>
      </c>
      <c r="E63" s="878">
        <f>SUM(D63:D66)</f>
        <v>4.2464257449151676E-3</v>
      </c>
      <c r="F63" s="841"/>
      <c r="G63" s="841"/>
      <c r="H63" s="491"/>
      <c r="I63" s="489"/>
    </row>
    <row r="64" spans="1:10" ht="15.75" customHeight="1">
      <c r="A64" s="1585"/>
      <c r="B64" s="1597"/>
      <c r="C64" s="1030" t="str">
        <f ca="1">'Linac 2'!C$3</f>
        <v>Linac 2</v>
      </c>
      <c r="D64" s="876">
        <f ca="1">'Linac 2'!AA$148</f>
        <v>1.0616064362287919E-3</v>
      </c>
      <c r="E64" s="877"/>
      <c r="F64" s="436"/>
      <c r="G64" s="436"/>
      <c r="H64" s="491"/>
      <c r="I64" s="489"/>
    </row>
    <row r="65" spans="1:21" ht="15.75" customHeight="1">
      <c r="A65" s="1585"/>
      <c r="B65" s="1597"/>
      <c r="C65" s="1030" t="str">
        <f ca="1">'Linac 3'!C$3</f>
        <v>Linac 3</v>
      </c>
      <c r="D65" s="876">
        <f ca="1">'Linac 3'!AA$148</f>
        <v>1.0616064362287919E-3</v>
      </c>
      <c r="E65" s="877"/>
      <c r="F65" s="436"/>
      <c r="G65" s="436"/>
      <c r="H65" s="491"/>
      <c r="I65" s="489"/>
    </row>
    <row r="66" spans="1:21" ht="15.75" customHeight="1" thickBot="1">
      <c r="A66" s="1587"/>
      <c r="B66" s="1598"/>
      <c r="C66" s="1031" t="str">
        <f ca="1">'Linac 4'!C$3</f>
        <v>Linac 4</v>
      </c>
      <c r="D66" s="1037">
        <f ca="1">'Linac 4'!AA$148</f>
        <v>1.0616064362287919E-3</v>
      </c>
      <c r="E66" s="877"/>
      <c r="F66" s="436"/>
      <c r="G66" s="436"/>
      <c r="H66" s="491"/>
      <c r="I66" s="489"/>
    </row>
    <row r="67" spans="1:21" ht="15.75" customHeight="1">
      <c r="A67" s="1606" t="str">
        <f ca="1">'Linac 1'!A$183</f>
        <v>T3</v>
      </c>
      <c r="B67" s="1596" t="str">
        <f ca="1">'Linac 1'!B$183</f>
        <v>terreingrens 3</v>
      </c>
      <c r="C67" s="1029" t="str">
        <f ca="1">'Linac 1'!C$3</f>
        <v>Linac 1</v>
      </c>
      <c r="D67" s="1038">
        <f ca="1">'Linac 1'!AA$183</f>
        <v>1.0616064362287919E-3</v>
      </c>
      <c r="E67" s="878">
        <f>SUM(D67:D70)</f>
        <v>4.2464257449151676E-3</v>
      </c>
      <c r="F67" s="841"/>
      <c r="G67" s="841"/>
      <c r="H67" s="491"/>
      <c r="I67" s="489"/>
    </row>
    <row r="68" spans="1:21" ht="15.75" customHeight="1">
      <c r="A68" s="1585"/>
      <c r="B68" s="1597"/>
      <c r="C68" s="1030" t="str">
        <f ca="1">'Linac 2'!C$3</f>
        <v>Linac 2</v>
      </c>
      <c r="D68" s="876">
        <f ca="1">'Linac 2'!AA$156</f>
        <v>1.0616064362287919E-3</v>
      </c>
      <c r="E68" s="877"/>
      <c r="F68" s="436"/>
      <c r="G68" s="436"/>
      <c r="H68" s="491"/>
      <c r="I68" s="489"/>
    </row>
    <row r="69" spans="1:21" ht="15.75" customHeight="1">
      <c r="A69" s="1585"/>
      <c r="B69" s="1597"/>
      <c r="C69" s="1030" t="str">
        <f ca="1">'Linac 3'!C$3</f>
        <v>Linac 3</v>
      </c>
      <c r="D69" s="876">
        <f ca="1">'Linac 3'!AA$156</f>
        <v>1.0616064362287919E-3</v>
      </c>
      <c r="E69" s="877"/>
      <c r="F69" s="436"/>
      <c r="G69" s="436"/>
      <c r="H69" s="491"/>
      <c r="I69" s="489"/>
    </row>
    <row r="70" spans="1:21" ht="15.75" customHeight="1" thickBot="1">
      <c r="A70" s="1587"/>
      <c r="B70" s="1598"/>
      <c r="C70" s="1031" t="str">
        <f ca="1">'Linac 4'!C$3</f>
        <v>Linac 4</v>
      </c>
      <c r="D70" s="1037">
        <f ca="1">'Linac 4'!AA$156</f>
        <v>1.0616064362287919E-3</v>
      </c>
      <c r="E70" s="877"/>
      <c r="F70" s="436"/>
      <c r="G70" s="436"/>
      <c r="H70" s="489"/>
      <c r="I70" s="489"/>
    </row>
    <row r="71" spans="1:21" ht="15.75" customHeight="1">
      <c r="A71" s="1606" t="str">
        <f ca="1">'Linac 1'!A$191</f>
        <v>T4</v>
      </c>
      <c r="B71" s="1596" t="str">
        <f ca="1">'Linac 1'!B$191</f>
        <v>terreingrens 4</v>
      </c>
      <c r="C71" s="1029" t="str">
        <f ca="1">'Linac 1'!C$3</f>
        <v>Linac 1</v>
      </c>
      <c r="D71" s="1038">
        <f ca="1">'Linac 1'!AA$191</f>
        <v>1.0616064362287919E-3</v>
      </c>
      <c r="E71" s="878">
        <f>SUM(D71:D74)</f>
        <v>4.2464257449151676E-3</v>
      </c>
      <c r="F71" s="841"/>
      <c r="G71" s="841"/>
      <c r="I71" s="489"/>
      <c r="T71" s="484"/>
      <c r="U71" s="484"/>
    </row>
    <row r="72" spans="1:21" s="484" customFormat="1" ht="15.75" customHeight="1">
      <c r="A72" s="1585"/>
      <c r="B72" s="1597"/>
      <c r="C72" s="1030" t="str">
        <f ca="1">'Linac 2'!C$3</f>
        <v>Linac 2</v>
      </c>
      <c r="D72" s="876">
        <f ca="1">'Linac 2'!AA$164</f>
        <v>1.0616064362287919E-3</v>
      </c>
      <c r="E72" s="877"/>
      <c r="F72" s="436"/>
      <c r="G72" s="436"/>
      <c r="I72" s="489"/>
      <c r="J72"/>
      <c r="K72"/>
      <c r="L72"/>
      <c r="M72" s="322"/>
      <c r="N72"/>
      <c r="O72" s="322"/>
      <c r="P72"/>
      <c r="Q72"/>
      <c r="T72"/>
      <c r="U72"/>
    </row>
    <row r="73" spans="1:21" ht="15.75">
      <c r="A73" s="1585"/>
      <c r="B73" s="1597"/>
      <c r="C73" s="1030" t="str">
        <f ca="1">'Linac 3'!C$3</f>
        <v>Linac 3</v>
      </c>
      <c r="D73" s="876">
        <f ca="1">'Linac 3'!AA$164</f>
        <v>1.0616064362287919E-3</v>
      </c>
      <c r="E73" s="877"/>
      <c r="F73" s="436"/>
      <c r="G73" s="436"/>
      <c r="I73" s="489"/>
    </row>
    <row r="74" spans="1:21" ht="15" customHeight="1" thickBot="1">
      <c r="A74" s="1587"/>
      <c r="B74" s="1598"/>
      <c r="C74" s="1283" t="str">
        <f ca="1">'Linac 4'!C$3</f>
        <v>Linac 4</v>
      </c>
      <c r="D74" s="879">
        <f ca="1">'Linac 4'!AA$164</f>
        <v>1.0616064362287919E-3</v>
      </c>
      <c r="E74" s="880"/>
      <c r="F74" s="436"/>
      <c r="G74" s="436"/>
      <c r="I74" s="489"/>
    </row>
    <row r="75" spans="1:21" ht="15" customHeight="1">
      <c r="A75" s="526"/>
      <c r="B75" s="389"/>
      <c r="C75" s="520"/>
      <c r="D75" s="519"/>
      <c r="E75" s="521"/>
      <c r="F75" s="521"/>
      <c r="G75" s="521"/>
      <c r="I75" s="489"/>
      <c r="P75" s="322"/>
    </row>
    <row r="76" spans="1:21" ht="7.5" customHeight="1">
      <c r="A76" s="517"/>
      <c r="B76" s="520"/>
      <c r="C76" s="521"/>
      <c r="D76" s="519"/>
      <c r="E76" s="519"/>
      <c r="F76" s="519"/>
      <c r="G76" s="519"/>
      <c r="I76" s="489"/>
      <c r="M76"/>
      <c r="N76" s="322"/>
      <c r="O76"/>
    </row>
    <row r="77" spans="1:21" ht="15.75">
      <c r="P77" s="484"/>
      <c r="Q77" s="484"/>
    </row>
    <row r="78" spans="1:21" ht="7.5" customHeight="1">
      <c r="A78" s="484"/>
      <c r="B78" s="484"/>
      <c r="C78" s="484"/>
      <c r="D78" s="484"/>
      <c r="E78" s="484"/>
      <c r="F78" s="484"/>
      <c r="G78" s="484"/>
      <c r="I78" s="484"/>
      <c r="J78" s="484"/>
      <c r="K78" s="484"/>
      <c r="L78" s="484"/>
      <c r="M78" s="485"/>
      <c r="N78" s="484"/>
      <c r="O78" s="485"/>
      <c r="P78" s="322"/>
    </row>
    <row r="79" spans="1:21">
      <c r="M79"/>
      <c r="N79" s="322"/>
      <c r="O79"/>
      <c r="P79" s="322"/>
    </row>
    <row r="80" spans="1:21" ht="7.5" customHeight="1">
      <c r="M80"/>
      <c r="N80" s="322"/>
      <c r="O80"/>
    </row>
    <row r="82" spans="1:15" ht="7.5" customHeight="1"/>
    <row r="84" spans="1:15" ht="15" customHeight="1"/>
    <row r="85" spans="1:15" ht="15.75" customHeight="1">
      <c r="H85" s="491"/>
    </row>
    <row r="86" spans="1:15" ht="15.75" customHeight="1">
      <c r="H86" s="401"/>
    </row>
    <row r="87" spans="1:15" ht="15.75" customHeight="1">
      <c r="H87" s="401"/>
    </row>
    <row r="88" spans="1:15" ht="15" customHeight="1"/>
    <row r="90" spans="1:15" ht="7.5" customHeight="1"/>
    <row r="91" spans="1:15" ht="15.75">
      <c r="A91" s="489"/>
      <c r="B91" s="489"/>
      <c r="C91" s="489"/>
      <c r="D91" s="490"/>
      <c r="E91" s="490"/>
      <c r="F91" s="490"/>
      <c r="G91" s="490"/>
      <c r="I91" s="489"/>
      <c r="L91" s="322"/>
      <c r="M91"/>
      <c r="N91" s="322"/>
      <c r="O91"/>
    </row>
    <row r="92" spans="1:15">
      <c r="L92" s="322"/>
      <c r="M92"/>
      <c r="N92" s="322"/>
      <c r="O92"/>
    </row>
    <row r="93" spans="1:15">
      <c r="L93" s="322"/>
      <c r="M93"/>
      <c r="N93" s="322"/>
      <c r="O93"/>
    </row>
    <row r="94" spans="1:15" ht="7.5" customHeight="1"/>
    <row r="96" spans="1:15" ht="7.5" customHeight="1">
      <c r="H96" s="321"/>
    </row>
    <row r="97" spans="8:9">
      <c r="H97" s="321"/>
    </row>
    <row r="98" spans="8:9">
      <c r="H98" s="329"/>
    </row>
    <row r="99" spans="8:9">
      <c r="H99" s="324"/>
    </row>
    <row r="100" spans="8:9">
      <c r="H100" s="324"/>
    </row>
    <row r="103" spans="8:9">
      <c r="I103" s="321"/>
    </row>
    <row r="104" spans="8:9">
      <c r="I104" s="329"/>
    </row>
    <row r="105" spans="8:9">
      <c r="I105" s="329"/>
    </row>
  </sheetData>
  <mergeCells count="45">
    <mergeCell ref="I35:I36"/>
    <mergeCell ref="I38:I39"/>
    <mergeCell ref="I41:I42"/>
    <mergeCell ref="F48:G48"/>
    <mergeCell ref="F49:G49"/>
    <mergeCell ref="A55:E55"/>
    <mergeCell ref="A35:A38"/>
    <mergeCell ref="A63:A66"/>
    <mergeCell ref="A67:A70"/>
    <mergeCell ref="A71:A74"/>
    <mergeCell ref="F29:G29"/>
    <mergeCell ref="D29:E29"/>
    <mergeCell ref="A31:A34"/>
    <mergeCell ref="F50:G50"/>
    <mergeCell ref="F51:G51"/>
    <mergeCell ref="D50:E50"/>
    <mergeCell ref="B67:B70"/>
    <mergeCell ref="B71:B74"/>
    <mergeCell ref="B63:B66"/>
    <mergeCell ref="A39:A42"/>
    <mergeCell ref="A43:A46"/>
    <mergeCell ref="B59:B62"/>
    <mergeCell ref="A59:A62"/>
    <mergeCell ref="A54:E54"/>
    <mergeCell ref="D57:E57"/>
    <mergeCell ref="A4:E4"/>
    <mergeCell ref="D6:E6"/>
    <mergeCell ref="N6:O6"/>
    <mergeCell ref="D48:E48"/>
    <mergeCell ref="D49:E49"/>
    <mergeCell ref="D47:E47"/>
    <mergeCell ref="A26:O26"/>
    <mergeCell ref="F47:G47"/>
    <mergeCell ref="J35:M36"/>
    <mergeCell ref="J38:M39"/>
    <mergeCell ref="L6:M6"/>
    <mergeCell ref="I4:O4"/>
    <mergeCell ref="A27:G27"/>
    <mergeCell ref="D51:E51"/>
    <mergeCell ref="A3:O3"/>
    <mergeCell ref="I27:O27"/>
    <mergeCell ref="A8:A11"/>
    <mergeCell ref="A12:A15"/>
    <mergeCell ref="A16:A19"/>
    <mergeCell ref="A20:A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0" orientation="landscape" r:id="rId1"/>
  <headerFooter>
    <oddFooter>&amp;C&amp;F 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Blad5">
    <tabColor theme="0" tint="-0.249977111117893"/>
  </sheetPr>
  <dimension ref="A1:CI201"/>
  <sheetViews>
    <sheetView showGridLines="0" topLeftCell="A154" zoomScale="55" zoomScaleNormal="55" workbookViewId="0">
      <selection activeCell="L157" sqref="L157:L158"/>
    </sheetView>
  </sheetViews>
  <sheetFormatPr defaultRowHeight="15.75"/>
  <cols>
    <col min="1" max="1" width="6.7109375" style="331" customWidth="1"/>
    <col min="2" max="2" width="20.7109375" style="331" customWidth="1"/>
    <col min="3" max="21" width="12.7109375" style="331" customWidth="1"/>
    <col min="22" max="27" width="12.7109375" style="311" customWidth="1"/>
    <col min="28" max="36" width="12.7109375" style="321" customWidth="1"/>
    <col min="37" max="39" width="10" style="321" bestFit="1" customWidth="1"/>
    <col min="40" max="43" width="10.140625" style="321" bestFit="1" customWidth="1"/>
    <col min="44" max="45" width="10" style="321" bestFit="1" customWidth="1"/>
    <col min="46" max="48" width="10.140625" style="321" bestFit="1" customWidth="1"/>
    <col min="49" max="55" width="12.140625" style="321" customWidth="1"/>
    <col min="56" max="60" width="10.140625" style="321" bestFit="1" customWidth="1"/>
    <col min="61" max="16384" width="9.140625" style="321"/>
  </cols>
  <sheetData>
    <row r="1" spans="1:31" s="381" customFormat="1" ht="26.25" customHeight="1" thickBot="1">
      <c r="A1" s="18" t="s">
        <v>66</v>
      </c>
      <c r="B1" s="19"/>
      <c r="C1" s="1014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20"/>
      <c r="W1" s="20"/>
      <c r="X1" s="20"/>
      <c r="Y1" s="20"/>
      <c r="Z1" s="20">
        <v>8</v>
      </c>
      <c r="AA1" s="20"/>
      <c r="AB1" s="21"/>
      <c r="AC1" s="21"/>
      <c r="AD1" s="21"/>
      <c r="AE1" s="642"/>
    </row>
    <row r="2" spans="1:31" s="311" customFormat="1" ht="18.75" customHeight="1" thickBot="1">
      <c r="A2" s="330"/>
      <c r="F2" s="440"/>
      <c r="G2" s="440"/>
      <c r="H2" s="440"/>
    </row>
    <row r="3" spans="1:31" s="311" customFormat="1" ht="26.25" customHeight="1" thickBot="1">
      <c r="A3" s="1015" t="s">
        <v>529</v>
      </c>
      <c r="B3" s="1016"/>
      <c r="C3" s="1099" t="s">
        <v>526</v>
      </c>
      <c r="D3" s="1017"/>
      <c r="E3" s="1017"/>
      <c r="F3" s="1018"/>
      <c r="G3" s="1019"/>
      <c r="H3" s="440"/>
    </row>
    <row r="4" spans="1:31" ht="22.5" customHeight="1">
      <c r="A4" s="330"/>
      <c r="S4" s="311"/>
      <c r="T4" s="311"/>
      <c r="U4" s="311"/>
      <c r="Z4" s="321"/>
      <c r="AA4" s="321"/>
    </row>
    <row r="5" spans="1:31" ht="19.5" customHeight="1" thickBot="1">
      <c r="A5" s="332" t="s">
        <v>189</v>
      </c>
      <c r="B5" s="333"/>
      <c r="C5" s="333"/>
      <c r="F5" s="399"/>
      <c r="G5" s="399"/>
      <c r="H5" s="399"/>
      <c r="I5" s="399"/>
      <c r="J5" s="334" t="s">
        <v>393</v>
      </c>
      <c r="K5" s="335"/>
      <c r="L5" s="336"/>
      <c r="M5" s="336"/>
      <c r="N5" s="336"/>
      <c r="O5" s="336"/>
      <c r="P5" s="336"/>
      <c r="Q5" s="442"/>
      <c r="R5" s="336"/>
      <c r="S5" s="334" t="s">
        <v>391</v>
      </c>
      <c r="T5" s="336"/>
      <c r="U5" s="336"/>
      <c r="V5" s="336"/>
      <c r="W5" s="321"/>
      <c r="X5" s="321"/>
      <c r="Y5" s="325"/>
      <c r="Z5" s="325"/>
      <c r="AD5" s="762"/>
    </row>
    <row r="6" spans="1:31" s="325" customFormat="1" ht="19.5" customHeight="1" thickBot="1">
      <c r="A6" s="1425" t="s">
        <v>70</v>
      </c>
      <c r="B6" s="1426"/>
      <c r="C6" s="1427">
        <v>6</v>
      </c>
      <c r="D6" s="1427">
        <v>10</v>
      </c>
      <c r="E6" s="1428">
        <v>15</v>
      </c>
      <c r="F6" s="1427" t="s">
        <v>309</v>
      </c>
      <c r="G6" s="1429" t="s">
        <v>310</v>
      </c>
      <c r="H6" s="399"/>
      <c r="I6" s="399"/>
      <c r="J6" s="356" t="s">
        <v>402</v>
      </c>
      <c r="K6" s="340"/>
      <c r="L6" s="340"/>
      <c r="M6" s="340"/>
      <c r="N6" s="340"/>
      <c r="O6" s="340"/>
      <c r="P6" s="1108" t="s">
        <v>456</v>
      </c>
      <c r="S6" s="493" t="s">
        <v>31</v>
      </c>
      <c r="T6" s="1383"/>
      <c r="U6" s="96"/>
      <c r="V6" s="49" t="s">
        <v>36</v>
      </c>
      <c r="W6" s="67" t="s">
        <v>32</v>
      </c>
      <c r="X6" s="1669" t="s">
        <v>287</v>
      </c>
      <c r="Y6" s="1670"/>
      <c r="Z6" s="1671"/>
      <c r="AD6" s="311"/>
    </row>
    <row r="7" spans="1:31" s="325" customFormat="1" ht="19.5" customHeight="1" thickBot="1">
      <c r="A7" s="339" t="s">
        <v>392</v>
      </c>
      <c r="B7" s="532"/>
      <c r="C7" s="1369">
        <v>1000</v>
      </c>
      <c r="D7" s="1370"/>
      <c r="E7" s="1370"/>
      <c r="F7" s="1370"/>
      <c r="G7" s="1371"/>
      <c r="H7" s="311"/>
      <c r="I7" s="311"/>
      <c r="J7" s="373" t="s">
        <v>401</v>
      </c>
      <c r="K7" s="447"/>
      <c r="L7" s="447"/>
      <c r="M7" s="447"/>
      <c r="N7" s="447"/>
      <c r="O7" s="447"/>
      <c r="P7" s="1109">
        <v>1</v>
      </c>
      <c r="S7" s="586"/>
      <c r="T7" s="1384"/>
      <c r="U7" s="68" t="s">
        <v>286</v>
      </c>
      <c r="V7" s="51" t="s">
        <v>37</v>
      </c>
      <c r="W7" s="68" t="s">
        <v>28</v>
      </c>
      <c r="X7" s="79" t="s">
        <v>3</v>
      </c>
      <c r="Y7" s="68" t="s">
        <v>96</v>
      </c>
      <c r="Z7" s="309" t="s">
        <v>4</v>
      </c>
    </row>
    <row r="8" spans="1:31" s="325" customFormat="1" ht="19.5" customHeight="1" thickBot="1">
      <c r="A8" s="448" t="s">
        <v>227</v>
      </c>
      <c r="B8" s="534"/>
      <c r="C8" s="1372">
        <v>1E-3</v>
      </c>
      <c r="D8" s="1373"/>
      <c r="E8" s="1373"/>
      <c r="F8" s="1373"/>
      <c r="G8" s="1374"/>
      <c r="H8" s="311"/>
      <c r="I8" s="311"/>
      <c r="J8" s="529" t="s">
        <v>271</v>
      </c>
      <c r="K8" s="340"/>
      <c r="L8" s="340"/>
      <c r="M8" s="340"/>
      <c r="N8" s="340"/>
      <c r="O8" s="340"/>
      <c r="P8" s="341"/>
      <c r="S8" s="586"/>
      <c r="T8" s="1384"/>
      <c r="U8" s="69"/>
      <c r="V8" s="51" t="s">
        <v>117</v>
      </c>
      <c r="W8" s="68" t="s">
        <v>115</v>
      </c>
      <c r="X8" s="79"/>
      <c r="Y8" s="68"/>
      <c r="Z8" s="309"/>
      <c r="AD8" s="451"/>
    </row>
    <row r="9" spans="1:31" s="325" customFormat="1" ht="19.5" customHeight="1" thickBot="1">
      <c r="A9" s="356" t="s">
        <v>335</v>
      </c>
      <c r="B9" s="361"/>
      <c r="C9" s="1101">
        <v>0</v>
      </c>
      <c r="D9" s="983">
        <v>0</v>
      </c>
      <c r="E9" s="1102">
        <v>0.76</v>
      </c>
      <c r="F9" s="1101">
        <v>0</v>
      </c>
      <c r="G9" s="1103">
        <v>0</v>
      </c>
      <c r="J9" s="343" t="s">
        <v>464</v>
      </c>
      <c r="K9" s="344"/>
      <c r="L9" s="336"/>
      <c r="M9" s="336"/>
      <c r="N9" s="336"/>
      <c r="O9" s="336"/>
      <c r="P9" s="1110">
        <v>1</v>
      </c>
      <c r="Q9" s="336"/>
      <c r="S9" s="586"/>
      <c r="T9" s="1384"/>
      <c r="U9" s="69"/>
      <c r="V9" s="51" t="s">
        <v>38</v>
      </c>
      <c r="W9" s="1431" t="s">
        <v>39</v>
      </c>
      <c r="X9" s="79" t="s">
        <v>33</v>
      </c>
      <c r="Y9" s="1431" t="s">
        <v>33</v>
      </c>
      <c r="Z9" s="309" t="s">
        <v>33</v>
      </c>
    </row>
    <row r="10" spans="1:31" s="325" customFormat="1" ht="19.5" customHeight="1" thickBot="1">
      <c r="A10" s="448" t="s">
        <v>337</v>
      </c>
      <c r="B10" s="447"/>
      <c r="C10" s="449">
        <f>$C$9*10^12/(4*PI()*$P$19^2)+5.4*$C$9*10^12/(2*PI()*$P$28)+1.26*$C$9*10^12/(2*PI()*$P$28)</f>
        <v>0</v>
      </c>
      <c r="D10" s="449">
        <f>$D$9*10^12/(4*PI()*$P$19^2)+5.4*$D$9*10^12/(2*PI()*$P$28)+1.26*$D$9*10^12/(2*PI()*$P$28)</f>
        <v>0</v>
      </c>
      <c r="E10" s="449">
        <f>$E$9*10^12/(4*PI()*$P$19^2)+5.4*$E$9*10^12/(2*PI()*$P$28)+1.26*$E$9*10^12/(2*PI()*$P$28)</f>
        <v>5999504734.7920866</v>
      </c>
      <c r="F10" s="449">
        <f>$F$9*10^12/(4*PI()*$P$19^2)+5.4*$F$9*10^12/(2*PI()*$P$28)+1.26*$F$9*10^12/(2*PI()*$P$28)</f>
        <v>0</v>
      </c>
      <c r="G10" s="450">
        <f>$G$9*10^12/(4*PI()*$P$19^2)+5.4*$G$9*10^12/(2*PI()*$P$28)+1.26*$G$9*10^12/(2*PI()*$P$28)</f>
        <v>0</v>
      </c>
      <c r="J10" s="343" t="s">
        <v>465</v>
      </c>
      <c r="K10" s="344"/>
      <c r="L10" s="336"/>
      <c r="M10" s="336"/>
      <c r="N10" s="336"/>
      <c r="O10" s="336"/>
      <c r="P10" s="1111">
        <v>5</v>
      </c>
      <c r="Q10" s="336"/>
      <c r="R10" s="336"/>
      <c r="S10" s="1375" t="s">
        <v>288</v>
      </c>
      <c r="T10" s="1376"/>
      <c r="U10" s="1116">
        <v>1</v>
      </c>
      <c r="V10" s="1117">
        <v>15</v>
      </c>
      <c r="W10" s="452">
        <f>2*PI()*(1-COS(V10/180*PI()))</f>
        <v>0.21409434761481089</v>
      </c>
      <c r="X10" s="1116">
        <v>250</v>
      </c>
      <c r="Y10" s="1116">
        <v>0</v>
      </c>
      <c r="Z10" s="1118">
        <v>0</v>
      </c>
    </row>
    <row r="11" spans="1:31" s="325" customFormat="1" ht="19.5" customHeight="1" thickBot="1">
      <c r="A11" s="339" t="s">
        <v>228</v>
      </c>
      <c r="B11" s="532"/>
      <c r="C11" s="1101">
        <v>0.2</v>
      </c>
      <c r="D11" s="1101">
        <v>0.2</v>
      </c>
      <c r="E11" s="983">
        <v>0.2</v>
      </c>
      <c r="F11" s="1101">
        <v>0.2</v>
      </c>
      <c r="G11" s="1103">
        <v>0.2</v>
      </c>
      <c r="H11" s="311"/>
      <c r="I11" s="311"/>
      <c r="J11" s="343" t="s">
        <v>488</v>
      </c>
      <c r="K11" s="344"/>
      <c r="L11" s="336"/>
      <c r="M11" s="336"/>
      <c r="N11" s="336"/>
      <c r="O11" s="336"/>
      <c r="P11" s="1112">
        <v>1</v>
      </c>
      <c r="Q11" s="336"/>
      <c r="R11" s="336"/>
      <c r="S11" s="1377" t="s">
        <v>289</v>
      </c>
      <c r="T11" s="1378"/>
      <c r="U11" s="1100">
        <v>1</v>
      </c>
      <c r="V11" s="1372">
        <v>60</v>
      </c>
      <c r="W11" s="453">
        <f>2*PI()*(1-COS(V11/180*PI()))</f>
        <v>3.1415926535897922</v>
      </c>
      <c r="X11" s="1100">
        <v>200</v>
      </c>
      <c r="Y11" s="1100">
        <v>0</v>
      </c>
      <c r="Z11" s="1119">
        <v>0</v>
      </c>
    </row>
    <row r="12" spans="1:31" s="325" customFormat="1" ht="19.5" customHeight="1">
      <c r="A12" s="533" t="s">
        <v>229</v>
      </c>
      <c r="B12" s="467"/>
      <c r="C12" s="1104">
        <v>0.5</v>
      </c>
      <c r="D12" s="1104">
        <v>0.5</v>
      </c>
      <c r="E12" s="1105">
        <v>0.5</v>
      </c>
      <c r="F12" s="1104">
        <v>0.5</v>
      </c>
      <c r="G12" s="1106">
        <v>0.5</v>
      </c>
      <c r="H12" s="311"/>
      <c r="I12" s="311"/>
      <c r="J12" s="343" t="s">
        <v>466</v>
      </c>
      <c r="K12" s="344"/>
      <c r="L12" s="442"/>
      <c r="M12" s="336"/>
      <c r="N12" s="336"/>
      <c r="O12" s="336"/>
      <c r="P12" s="1111">
        <v>5</v>
      </c>
      <c r="Q12" s="336"/>
      <c r="R12" s="336"/>
      <c r="S12" s="336"/>
      <c r="T12" s="336"/>
      <c r="U12" s="336"/>
      <c r="V12" s="345"/>
      <c r="W12" s="345"/>
      <c r="X12" s="345"/>
      <c r="Y12" s="345"/>
      <c r="Z12" s="345"/>
      <c r="AA12" s="345"/>
      <c r="AB12" s="345"/>
      <c r="AC12" s="345"/>
    </row>
    <row r="13" spans="1:31" s="325" customFormat="1" ht="19.5" customHeight="1">
      <c r="A13" s="533" t="s">
        <v>230</v>
      </c>
      <c r="B13" s="467"/>
      <c r="C13" s="347">
        <f>1-C12</f>
        <v>0.5</v>
      </c>
      <c r="D13" s="347">
        <f>1-D12</f>
        <v>0.5</v>
      </c>
      <c r="E13" s="372">
        <f>1-E12</f>
        <v>0.5</v>
      </c>
      <c r="F13" s="347">
        <f>1-F12</f>
        <v>0.5</v>
      </c>
      <c r="G13" s="445">
        <f>1-G12</f>
        <v>0.5</v>
      </c>
      <c r="H13" s="311"/>
      <c r="I13" s="311"/>
      <c r="J13" s="343" t="s">
        <v>489</v>
      </c>
      <c r="K13" s="344"/>
      <c r="L13" s="336"/>
      <c r="M13" s="336"/>
      <c r="N13" s="336"/>
      <c r="O13" s="336"/>
      <c r="P13" s="1111">
        <v>5</v>
      </c>
      <c r="Q13" s="336"/>
      <c r="R13" s="336"/>
      <c r="S13" s="336"/>
      <c r="T13" s="338"/>
      <c r="U13" s="336"/>
      <c r="V13" s="345"/>
      <c r="W13" s="345"/>
      <c r="X13" s="345"/>
      <c r="Y13" s="345"/>
      <c r="Z13" s="345"/>
      <c r="AA13" s="345"/>
      <c r="AB13" s="345"/>
      <c r="AC13" s="345"/>
    </row>
    <row r="14" spans="1:31" s="325" customFormat="1" ht="19.5" customHeight="1" thickBot="1">
      <c r="A14" s="533" t="s">
        <v>231</v>
      </c>
      <c r="B14" s="467"/>
      <c r="C14" s="1104">
        <v>5</v>
      </c>
      <c r="D14" s="1104">
        <v>5</v>
      </c>
      <c r="E14" s="1107">
        <v>5</v>
      </c>
      <c r="F14" s="1104">
        <v>2.4</v>
      </c>
      <c r="G14" s="1106">
        <v>1.3</v>
      </c>
      <c r="H14" s="311"/>
      <c r="I14" s="311"/>
      <c r="J14" s="343" t="s">
        <v>467</v>
      </c>
      <c r="K14" s="344"/>
      <c r="L14" s="336"/>
      <c r="M14" s="336"/>
      <c r="N14" s="336"/>
      <c r="O14" s="336"/>
      <c r="P14" s="1111">
        <v>10</v>
      </c>
      <c r="Q14" s="336"/>
      <c r="R14" s="336"/>
      <c r="S14" s="336"/>
      <c r="T14" s="338"/>
      <c r="U14" s="336"/>
      <c r="V14" s="345"/>
      <c r="W14" s="345"/>
      <c r="X14" s="345"/>
      <c r="Y14" s="345"/>
      <c r="Z14" s="345"/>
      <c r="AA14" s="345"/>
      <c r="AB14" s="345"/>
      <c r="AC14" s="345"/>
    </row>
    <row r="15" spans="1:31" s="325" customFormat="1" ht="19.5" customHeight="1">
      <c r="A15" s="356" t="s">
        <v>268</v>
      </c>
      <c r="B15" s="366"/>
      <c r="C15" s="871" t="s">
        <v>18</v>
      </c>
      <c r="D15" s="872"/>
      <c r="E15" s="872"/>
      <c r="F15" s="872"/>
      <c r="G15" s="873"/>
      <c r="H15" s="533"/>
      <c r="I15" s="467"/>
      <c r="J15" s="343" t="s">
        <v>480</v>
      </c>
      <c r="K15" s="344"/>
      <c r="L15" s="336"/>
      <c r="M15" s="336"/>
      <c r="N15" s="336"/>
      <c r="O15" s="336"/>
      <c r="P15" s="1110">
        <v>5</v>
      </c>
      <c r="Q15" s="336"/>
      <c r="R15" s="336"/>
      <c r="S15" s="336"/>
      <c r="T15" s="338"/>
      <c r="U15" s="336"/>
      <c r="V15" s="345"/>
      <c r="W15" s="345"/>
      <c r="X15" s="345"/>
      <c r="Y15" s="345"/>
      <c r="Z15" s="345"/>
      <c r="AA15" s="345"/>
      <c r="AB15" s="345"/>
      <c r="AC15" s="345"/>
    </row>
    <row r="16" spans="1:31" s="325" customFormat="1" ht="19.5" customHeight="1">
      <c r="A16" s="446"/>
      <c r="B16" s="442" t="s">
        <v>70</v>
      </c>
      <c r="C16" s="752">
        <f>C6</f>
        <v>6</v>
      </c>
      <c r="D16" s="752">
        <f>D6</f>
        <v>10</v>
      </c>
      <c r="E16" s="752">
        <f>E6</f>
        <v>15</v>
      </c>
      <c r="F16" s="752" t="str">
        <f>F6</f>
        <v>6 FFF</v>
      </c>
      <c r="G16" s="752" t="str">
        <f>G6</f>
        <v>10 FFF</v>
      </c>
      <c r="H16" s="444"/>
      <c r="I16" s="345"/>
      <c r="J16" s="343" t="s">
        <v>479</v>
      </c>
      <c r="K16" s="344"/>
      <c r="L16" s="336"/>
      <c r="M16" s="336"/>
      <c r="N16" s="336"/>
      <c r="O16" s="336"/>
      <c r="P16" s="1111">
        <v>10</v>
      </c>
      <c r="Q16" s="336"/>
      <c r="R16" s="336"/>
      <c r="S16" s="336"/>
      <c r="T16" s="338"/>
      <c r="U16" s="336"/>
      <c r="V16" s="345"/>
      <c r="W16" s="345"/>
      <c r="X16" s="345"/>
      <c r="Y16" s="345"/>
      <c r="Z16" s="345"/>
      <c r="AA16" s="345"/>
      <c r="AB16" s="345"/>
      <c r="AC16" s="345"/>
    </row>
    <row r="17" spans="1:29" s="350" customFormat="1" ht="19.5" customHeight="1">
      <c r="A17" s="348"/>
      <c r="B17" s="962" t="s">
        <v>437</v>
      </c>
      <c r="C17" s="723">
        <f ca="1">VLOOKUP($C$16,'TVT''s afscherming'!$A$10:$J$23,2)</f>
        <v>37</v>
      </c>
      <c r="D17" s="724">
        <f ca="1">VLOOKUP($D$16,'TVT''s afscherming'!$A$10:$J$23,2)</f>
        <v>41</v>
      </c>
      <c r="E17" s="724">
        <f ca="1">VLOOKUP($E$16,'TVT''s afscherming'!$A$10:$J$23,2)</f>
        <v>44</v>
      </c>
      <c r="F17" s="724">
        <f ca="1">VLOOKUP($F$16,'TVT''s afscherming'!$A$10:$J$23,2)</f>
        <v>30</v>
      </c>
      <c r="G17" s="723">
        <f ca="1">VLOOKUP($G$16,'TVT''s afscherming'!$A$10:$J$23,2)</f>
        <v>36</v>
      </c>
      <c r="H17" s="721"/>
      <c r="I17" s="538"/>
      <c r="J17" s="343" t="s">
        <v>491</v>
      </c>
      <c r="K17" s="344"/>
      <c r="L17" s="336"/>
      <c r="M17" s="336"/>
      <c r="N17" s="336"/>
      <c r="O17" s="336"/>
      <c r="P17" s="1111">
        <v>10</v>
      </c>
      <c r="Q17" s="336"/>
      <c r="R17" s="336"/>
      <c r="S17" s="336"/>
      <c r="U17" s="336"/>
      <c r="V17" s="336"/>
      <c r="W17" s="336"/>
      <c r="X17" s="538"/>
      <c r="Y17" s="538"/>
      <c r="Z17" s="345"/>
      <c r="AA17" s="345"/>
      <c r="AB17" s="345"/>
      <c r="AC17" s="345"/>
    </row>
    <row r="18" spans="1:29" s="350" customFormat="1" ht="19.5" customHeight="1">
      <c r="A18" s="441"/>
      <c r="B18" s="311" t="s">
        <v>438</v>
      </c>
      <c r="C18" s="725">
        <f ca="1">VLOOKUP($C$16,'TVT''s afscherming'!$A$10:$J$23,3)</f>
        <v>33</v>
      </c>
      <c r="D18" s="725">
        <f ca="1">VLOOKUP($D$16,'TVT''s afscherming'!$A$10:$J$23,3)</f>
        <v>37</v>
      </c>
      <c r="E18" s="725">
        <f ca="1">VLOOKUP($E$16,'TVT''s afscherming'!$A$10:$J$23,3)</f>
        <v>41</v>
      </c>
      <c r="F18" s="725">
        <f ca="1">VLOOKUP($F$16,'TVT''s afscherming'!$A$10:$J$23,3)</f>
        <v>27</v>
      </c>
      <c r="G18" s="726">
        <f ca="1">VLOOKUP($G$16,'TVT''s afscherming'!$A$10:$J$23,3)</f>
        <v>36</v>
      </c>
      <c r="H18" s="719"/>
      <c r="I18" s="538"/>
      <c r="J18" s="343" t="s">
        <v>468</v>
      </c>
      <c r="K18" s="344"/>
      <c r="L18" s="336"/>
      <c r="M18" s="336"/>
      <c r="N18" s="336"/>
      <c r="O18" s="336"/>
      <c r="P18" s="1110">
        <v>1</v>
      </c>
      <c r="Q18" s="336"/>
      <c r="R18" s="336"/>
      <c r="S18" s="336"/>
      <c r="U18" s="336"/>
      <c r="V18" s="539"/>
      <c r="W18" s="336"/>
      <c r="X18" s="538"/>
      <c r="Y18" s="538"/>
      <c r="Z18" s="538"/>
      <c r="AA18" s="345"/>
      <c r="AB18" s="345"/>
      <c r="AC18" s="345"/>
    </row>
    <row r="19" spans="1:29" s="325" customFormat="1" ht="19.5" customHeight="1">
      <c r="A19" s="348"/>
      <c r="B19" s="442" t="s">
        <v>96</v>
      </c>
      <c r="C19" s="727">
        <f ca="1">VLOOKUP($C$16,'TVT''s afscherming'!$A$10:$J$23,4)</f>
        <v>24.2</v>
      </c>
      <c r="D19" s="725">
        <f ca="1">VLOOKUP($D$16,'TVT''s afscherming'!$A$10:$J$23,4)</f>
        <v>27</v>
      </c>
      <c r="E19" s="725">
        <f ca="1">VLOOKUP($E$16,'TVT''s afscherming'!$A$10:$J$23,4)</f>
        <v>29.5</v>
      </c>
      <c r="F19" s="725">
        <f ca="1">VLOOKUP($F$16,'TVT''s afscherming'!$A$10:$J$23,4)</f>
        <v>19.7</v>
      </c>
      <c r="G19" s="727">
        <f ca="1">VLOOKUP($G$16,'TVT''s afscherming'!$A$10:$J$23,4)</f>
        <v>23.6</v>
      </c>
      <c r="H19" s="441"/>
      <c r="I19" s="345"/>
      <c r="J19" s="343" t="s">
        <v>469</v>
      </c>
      <c r="K19" s="344"/>
      <c r="L19" s="336"/>
      <c r="M19" s="336"/>
      <c r="N19" s="336"/>
      <c r="O19" s="350"/>
      <c r="P19" s="1111">
        <v>5</v>
      </c>
      <c r="Q19" s="350"/>
      <c r="R19" s="350"/>
      <c r="S19" s="350"/>
      <c r="T19" s="338"/>
      <c r="U19" s="336"/>
      <c r="V19" s="397"/>
      <c r="W19" s="346"/>
      <c r="X19" s="345"/>
      <c r="Y19" s="345"/>
      <c r="Z19" s="538"/>
      <c r="AA19" s="345"/>
      <c r="AB19" s="345"/>
      <c r="AC19" s="345"/>
    </row>
    <row r="20" spans="1:29" s="325" customFormat="1" ht="19.5" customHeight="1" thickBot="1">
      <c r="A20" s="348"/>
      <c r="B20" s="442" t="s">
        <v>4</v>
      </c>
      <c r="C20" s="727">
        <f ca="1">VLOOKUP($C$16,'TVT''s afscherming'!$A$10:$J$23,5)</f>
        <v>9.9</v>
      </c>
      <c r="D20" s="725">
        <f ca="1">VLOOKUP($D$16,'TVT''s afscherming'!$A$10:$J$23,5)</f>
        <v>10</v>
      </c>
      <c r="E20" s="725">
        <f ca="1">VLOOKUP($E$16,'TVT''s afscherming'!$A$10:$J$23,5)</f>
        <v>11</v>
      </c>
      <c r="F20" s="725">
        <f ca="1">VLOOKUP($F$16,'TVT''s afscherming'!$A$10:$J$23,5)</f>
        <v>10.199999999999999</v>
      </c>
      <c r="G20" s="727">
        <f ca="1">VLOOKUP($G$16,'TVT''s afscherming'!$A$10:$J$23,5)</f>
        <v>10.199999999999999</v>
      </c>
      <c r="H20" s="441"/>
      <c r="I20" s="345"/>
      <c r="J20" s="409" t="s">
        <v>470</v>
      </c>
      <c r="K20" s="374"/>
      <c r="L20" s="336"/>
      <c r="M20" s="336"/>
      <c r="N20" s="336"/>
      <c r="O20" s="350"/>
      <c r="P20" s="1111">
        <v>10</v>
      </c>
      <c r="Q20" s="350"/>
      <c r="R20" s="350"/>
      <c r="S20" s="350"/>
      <c r="U20" s="336"/>
      <c r="V20" s="336"/>
      <c r="W20" s="336"/>
      <c r="X20" s="345"/>
      <c r="Y20" s="345"/>
      <c r="Z20" s="345"/>
      <c r="AA20" s="345"/>
      <c r="AB20" s="345"/>
      <c r="AC20" s="345"/>
    </row>
    <row r="21" spans="1:29" s="325" customFormat="1" ht="19.5" customHeight="1">
      <c r="A21" s="348"/>
      <c r="B21" s="442" t="s">
        <v>27</v>
      </c>
      <c r="C21" s="727">
        <f ca="1">VLOOKUP($C$16,'TVT''s afscherming'!$A$10:$J$23,6)</f>
        <v>5.7</v>
      </c>
      <c r="D21" s="725">
        <f ca="1">VLOOKUP($D$16,'TVT''s afscherming'!$A$10:$J$23,6)</f>
        <v>5.7</v>
      </c>
      <c r="E21" s="725">
        <f ca="1">VLOOKUP($E$16,'TVT''s afscherming'!$A$10:$J$23,6)</f>
        <v>5.7</v>
      </c>
      <c r="F21" s="725">
        <f ca="1">VLOOKUP($F$16,'TVT''s afscherming'!$A$10:$J$23,6)</f>
        <v>5.7</v>
      </c>
      <c r="G21" s="727">
        <f ca="1">VLOOKUP($G$16,'TVT''s afscherming'!$A$10:$J$23,6)</f>
        <v>5.7</v>
      </c>
      <c r="H21" s="441"/>
      <c r="I21" s="345"/>
      <c r="J21" s="530" t="s">
        <v>395</v>
      </c>
      <c r="K21" s="340"/>
      <c r="L21" s="340"/>
      <c r="M21" s="340"/>
      <c r="N21" s="340"/>
      <c r="O21" s="340"/>
      <c r="P21" s="341"/>
      <c r="S21" s="336"/>
      <c r="U21" s="336"/>
      <c r="V21" s="336"/>
      <c r="W21" s="336"/>
      <c r="X21" s="345"/>
      <c r="Y21" s="345"/>
      <c r="Z21" s="345"/>
      <c r="AA21" s="345"/>
      <c r="AB21" s="345"/>
      <c r="AC21" s="345"/>
    </row>
    <row r="22" spans="1:29" s="325" customFormat="1" ht="19.5" customHeight="1">
      <c r="A22" s="441"/>
      <c r="B22" s="720"/>
      <c r="C22" s="868" t="s">
        <v>1</v>
      </c>
      <c r="D22" s="869"/>
      <c r="E22" s="869"/>
      <c r="F22" s="869"/>
      <c r="G22" s="870"/>
      <c r="H22" s="441"/>
      <c r="I22" s="345"/>
      <c r="J22" s="357" t="s">
        <v>403</v>
      </c>
      <c r="K22" s="358"/>
      <c r="L22" s="336"/>
      <c r="M22" s="336"/>
      <c r="N22" s="336"/>
      <c r="O22" s="336"/>
      <c r="P22" s="1111">
        <v>4</v>
      </c>
      <c r="Q22" s="336"/>
      <c r="U22" s="336"/>
      <c r="V22" s="336"/>
      <c r="W22" s="336"/>
      <c r="X22" s="345"/>
      <c r="Y22" s="345"/>
      <c r="Z22" s="345"/>
      <c r="AA22" s="345"/>
      <c r="AB22" s="345"/>
      <c r="AC22" s="345"/>
    </row>
    <row r="23" spans="1:29" s="325" customFormat="1" ht="19.5" customHeight="1">
      <c r="A23" s="441"/>
      <c r="B23" s="442" t="s">
        <v>70</v>
      </c>
      <c r="C23" s="752">
        <f ca="1">C6</f>
        <v>6</v>
      </c>
      <c r="D23" s="752">
        <f ca="1">D6</f>
        <v>10</v>
      </c>
      <c r="E23" s="753">
        <f ca="1">E6</f>
        <v>15</v>
      </c>
      <c r="F23" s="752" t="str">
        <f ca="1">F6</f>
        <v>6 FFF</v>
      </c>
      <c r="G23" s="754" t="str">
        <f ca="1">G6</f>
        <v>10 FFF</v>
      </c>
      <c r="H23" s="441"/>
      <c r="I23" s="345"/>
      <c r="J23" s="357" t="s">
        <v>482</v>
      </c>
      <c r="K23" s="358"/>
      <c r="L23" s="336"/>
      <c r="M23" s="336"/>
      <c r="N23" s="336"/>
      <c r="O23" s="336"/>
      <c r="P23" s="1110">
        <v>5</v>
      </c>
      <c r="Q23" s="336"/>
      <c r="U23" s="336"/>
      <c r="V23" s="345"/>
      <c r="W23" s="345"/>
      <c r="X23" s="345"/>
      <c r="Y23" s="345"/>
      <c r="Z23" s="345"/>
      <c r="AA23" s="538"/>
      <c r="AB23" s="538"/>
      <c r="AC23" s="538"/>
    </row>
    <row r="24" spans="1:29" s="325" customFormat="1" ht="19.5" customHeight="1">
      <c r="A24" s="441"/>
      <c r="B24" s="962" t="s">
        <v>3</v>
      </c>
      <c r="C24" s="723">
        <f ca="1">VLOOKUP($C$23,'TVT''s afscherming'!$A$10:$J$23,7)</f>
        <v>34</v>
      </c>
      <c r="D24" s="723">
        <f ca="1">VLOOKUP($D$23,'TVT''s afscherming'!$A$10:$J$23,7)</f>
        <v>38</v>
      </c>
      <c r="E24" s="724">
        <f ca="1">VLOOKUP($E$23,'TVT''s afscherming'!$A$10:$J$23,7)</f>
        <v>38.1</v>
      </c>
      <c r="F24" s="723">
        <f ca="1">VLOOKUP($F$23,'TVT''s afscherming'!$A$10:$J$23,7)</f>
        <v>30.5</v>
      </c>
      <c r="G24" s="728">
        <f ca="1">VLOOKUP($G$23,'TVT''s afscherming'!$A$10:$J$23,7)</f>
        <v>35.6</v>
      </c>
      <c r="J24" s="357" t="s">
        <v>307</v>
      </c>
      <c r="K24" s="358"/>
      <c r="L24" s="336"/>
      <c r="M24" s="336"/>
      <c r="N24" s="336"/>
      <c r="O24" s="336"/>
      <c r="P24" s="1111">
        <v>5</v>
      </c>
      <c r="Q24" s="336"/>
      <c r="U24" s="336"/>
      <c r="V24" s="336"/>
      <c r="W24" s="336"/>
      <c r="X24" s="336"/>
    </row>
    <row r="25" spans="1:29" s="325" customFormat="1" ht="19.5" customHeight="1">
      <c r="A25" s="441"/>
      <c r="B25" s="442" t="s">
        <v>96</v>
      </c>
      <c r="C25" s="727">
        <f ca="1">VLOOKUP($C$23,'TVT''s afscherming'!$A$10:$J$23,8)</f>
        <v>20</v>
      </c>
      <c r="D25" s="727">
        <f ca="1">VLOOKUP($D$23,'TVT''s afscherming'!$A$10:$J$23,8)</f>
        <v>24</v>
      </c>
      <c r="E25" s="725">
        <f ca="1">VLOOKUP($E$23,'TVT''s afscherming'!$A$10:$J$23,8)</f>
        <v>25.3</v>
      </c>
      <c r="F25" s="727">
        <f ca="1">VLOOKUP($F$23,'TVT''s afscherming'!$A$10:$J$23,8)</f>
        <v>20.3</v>
      </c>
      <c r="G25" s="726">
        <f ca="1">VLOOKUP($G$23,'TVT''s afscherming'!$A$10:$J$23,8)</f>
        <v>23.7</v>
      </c>
      <c r="I25" s="442"/>
      <c r="J25" s="357" t="s">
        <v>490</v>
      </c>
      <c r="K25" s="358"/>
      <c r="L25" s="336"/>
      <c r="M25" s="336"/>
      <c r="N25" s="336"/>
      <c r="O25" s="336"/>
      <c r="P25" s="1111">
        <v>5</v>
      </c>
      <c r="Q25" s="336"/>
      <c r="U25" s="336"/>
      <c r="V25" s="336"/>
      <c r="W25" s="336"/>
      <c r="X25" s="336"/>
    </row>
    <row r="26" spans="1:29" s="325" customFormat="1" ht="19.5" customHeight="1">
      <c r="A26" s="441"/>
      <c r="B26" s="442" t="s">
        <v>4</v>
      </c>
      <c r="C26" s="727">
        <f ca="1">VLOOKUP($C$23,'TVT''s afscherming'!$A$10:$J$23,9)</f>
        <v>9.9</v>
      </c>
      <c r="D26" s="727">
        <f ca="1">VLOOKUP($D$23,'TVT''s afscherming'!$A$10:$J$23,9)</f>
        <v>10</v>
      </c>
      <c r="E26" s="725">
        <f ca="1">VLOOKUP($E$23,'TVT''s afscherming'!$A$10:$J$23,9)</f>
        <v>10.7</v>
      </c>
      <c r="F26" s="727">
        <f ca="1">VLOOKUP($F$23,'TVT''s afscherming'!$A$10:$J$23,9)</f>
        <v>10.199999999999999</v>
      </c>
      <c r="G26" s="726">
        <f ca="1">VLOOKUP($G$23,'TVT''s afscherming'!$A$10:$J$23,9)</f>
        <v>10.7</v>
      </c>
      <c r="J26" s="357" t="s">
        <v>308</v>
      </c>
      <c r="K26" s="358"/>
      <c r="L26" s="336"/>
      <c r="M26" s="336"/>
      <c r="N26" s="336"/>
      <c r="O26" s="336"/>
      <c r="P26" s="1110">
        <v>1</v>
      </c>
      <c r="Q26" s="336"/>
      <c r="T26" s="336"/>
      <c r="U26" s="337"/>
      <c r="V26" s="336"/>
      <c r="W26" s="336"/>
      <c r="X26" s="336"/>
      <c r="Y26" s="336"/>
    </row>
    <row r="27" spans="1:29" s="325" customFormat="1" ht="19.5" customHeight="1" thickBot="1">
      <c r="A27" s="777"/>
      <c r="B27" s="455" t="s">
        <v>27</v>
      </c>
      <c r="C27" s="729">
        <f ca="1">VLOOKUP($C$23,'TVT''s afscherming'!$A$10:$J$23,10)</f>
        <v>5.7</v>
      </c>
      <c r="D27" s="729">
        <f ca="1">VLOOKUP($D$23,'TVT''s afscherming'!$A$10:$J$23,10)</f>
        <v>5.7</v>
      </c>
      <c r="E27" s="730">
        <f ca="1">VLOOKUP($E$23,'TVT''s afscherming'!$A$10:$J$23,10)</f>
        <v>5.7</v>
      </c>
      <c r="F27" s="729">
        <f ca="1">VLOOKUP($F$23,'TVT''s afscherming'!$A$10:$J$23,10)</f>
        <v>5</v>
      </c>
      <c r="G27" s="731">
        <f ca="1">VLOOKUP($G$23,'TVT''s afscherming'!$A$10:$J$23,10)</f>
        <v>5.7</v>
      </c>
      <c r="J27" s="357" t="s">
        <v>481</v>
      </c>
      <c r="K27" s="358"/>
      <c r="L27" s="336"/>
      <c r="M27" s="336"/>
      <c r="N27" s="336"/>
      <c r="O27" s="336"/>
      <c r="P27" s="1111">
        <f>20*20</f>
        <v>400</v>
      </c>
      <c r="Q27" s="336"/>
      <c r="T27" s="336"/>
      <c r="U27" s="337"/>
      <c r="V27" s="336"/>
      <c r="W27" s="336"/>
      <c r="X27" s="336"/>
      <c r="Y27" s="336"/>
    </row>
    <row r="28" spans="1:29" s="325" customFormat="1" ht="19.5" customHeight="1">
      <c r="A28" s="441"/>
      <c r="B28" s="720"/>
      <c r="C28" s="1430" t="s">
        <v>453</v>
      </c>
      <c r="D28" s="869"/>
      <c r="E28" s="869"/>
      <c r="F28" s="869"/>
      <c r="G28" s="870"/>
      <c r="J28" s="357" t="s">
        <v>394</v>
      </c>
      <c r="K28" s="345"/>
      <c r="L28" s="345"/>
      <c r="M28" s="345"/>
      <c r="N28" s="345"/>
      <c r="O28" s="345"/>
      <c r="P28" s="1111">
        <v>225</v>
      </c>
      <c r="T28" s="336"/>
      <c r="U28" s="337"/>
      <c r="V28" s="336"/>
      <c r="W28" s="336"/>
      <c r="X28" s="336"/>
      <c r="Y28" s="336"/>
    </row>
    <row r="29" spans="1:29" s="325" customFormat="1" ht="19.5" customHeight="1">
      <c r="A29" s="441"/>
      <c r="B29" s="442" t="s">
        <v>70</v>
      </c>
      <c r="C29" s="783">
        <v>0.5</v>
      </c>
      <c r="D29" s="765"/>
      <c r="E29" s="962"/>
      <c r="F29" s="962"/>
      <c r="G29" s="786"/>
      <c r="J29" s="343" t="s">
        <v>471</v>
      </c>
      <c r="K29" s="374"/>
      <c r="L29" s="336"/>
      <c r="M29" s="336"/>
      <c r="N29" s="336"/>
      <c r="O29" s="336"/>
      <c r="P29" s="1111">
        <v>1</v>
      </c>
      <c r="T29" s="336"/>
      <c r="U29" s="337"/>
      <c r="V29" s="336"/>
      <c r="W29" s="336"/>
      <c r="X29" s="336"/>
      <c r="Y29" s="336"/>
    </row>
    <row r="30" spans="1:29" s="325" customFormat="1" ht="19.5" customHeight="1" thickBot="1">
      <c r="A30" s="441"/>
      <c r="B30" s="962" t="s">
        <v>3</v>
      </c>
      <c r="C30" s="723">
        <f ca="1">VLOOKUP($C$29,'TVT''s afscherming'!$A$10:$J$23,2)</f>
        <v>11.9</v>
      </c>
      <c r="D30" s="784"/>
      <c r="E30" s="359"/>
      <c r="F30" s="359"/>
      <c r="G30" s="787"/>
      <c r="J30" s="373" t="s">
        <v>472</v>
      </c>
      <c r="K30" s="352"/>
      <c r="L30" s="353"/>
      <c r="M30" s="353"/>
      <c r="N30" s="353"/>
      <c r="O30" s="353"/>
      <c r="P30" s="1113">
        <v>1</v>
      </c>
      <c r="T30" s="336"/>
      <c r="U30" s="337"/>
      <c r="V30" s="336"/>
      <c r="X30" s="336"/>
      <c r="Y30" s="336"/>
    </row>
    <row r="31" spans="1:29" s="325" customFormat="1" ht="19.5" customHeight="1">
      <c r="A31" s="441"/>
      <c r="B31" s="442" t="s">
        <v>96</v>
      </c>
      <c r="C31" s="727">
        <f ca="1">VLOOKUP($C$29,'TVT''s afscherming'!$A$10:$J$23,4)</f>
        <v>9.4</v>
      </c>
      <c r="D31" s="784"/>
      <c r="E31" s="359"/>
      <c r="F31" s="359"/>
      <c r="G31" s="787"/>
      <c r="J31" s="531" t="s">
        <v>398</v>
      </c>
      <c r="K31" s="360"/>
      <c r="L31" s="361"/>
      <c r="M31" s="361"/>
      <c r="N31" s="1681" t="s">
        <v>295</v>
      </c>
      <c r="O31" s="323"/>
      <c r="P31" s="396"/>
      <c r="Q31" s="361"/>
      <c r="R31" s="427"/>
      <c r="S31" s="426"/>
      <c r="T31" s="336"/>
      <c r="U31" s="337"/>
      <c r="V31" s="336"/>
      <c r="W31" s="336"/>
      <c r="X31" s="336"/>
      <c r="Y31" s="336"/>
    </row>
    <row r="32" spans="1:29" s="325" customFormat="1" ht="19.5" customHeight="1">
      <c r="A32" s="441"/>
      <c r="B32" s="442" t="s">
        <v>4</v>
      </c>
      <c r="C32" s="727">
        <f ca="1">VLOOKUP($C$29,'TVT''s afscherming'!$A$10:$J$23,5)</f>
        <v>3.2</v>
      </c>
      <c r="D32" s="784"/>
      <c r="E32" s="359"/>
      <c r="F32" s="359"/>
      <c r="G32" s="787"/>
      <c r="J32" s="546"/>
      <c r="K32" s="467"/>
      <c r="L32" s="345"/>
      <c r="M32" s="349"/>
      <c r="N32" s="1682"/>
      <c r="O32" s="326"/>
      <c r="P32" s="454"/>
      <c r="Q32" s="336"/>
      <c r="R32" s="513"/>
      <c r="S32" s="383"/>
      <c r="T32" s="337"/>
      <c r="U32" s="338"/>
      <c r="V32" s="336"/>
      <c r="W32" s="336"/>
      <c r="X32" s="336"/>
      <c r="Y32" s="336"/>
    </row>
    <row r="33" spans="1:34" s="325" customFormat="1" ht="19.5" customHeight="1" thickBot="1">
      <c r="A33" s="777"/>
      <c r="B33" s="455" t="s">
        <v>27</v>
      </c>
      <c r="C33" s="729">
        <f ca="1">VLOOKUP($C$29,'TVT''s afscherming'!$A$10:$J$23,6)</f>
        <v>1.03</v>
      </c>
      <c r="D33" s="785"/>
      <c r="E33" s="788"/>
      <c r="F33" s="788"/>
      <c r="G33" s="789"/>
      <c r="J33" s="348"/>
      <c r="K33" s="814" t="s">
        <v>103</v>
      </c>
      <c r="L33" s="813" t="s">
        <v>129</v>
      </c>
      <c r="M33" s="563" t="s">
        <v>70</v>
      </c>
      <c r="N33" s="564">
        <v>0.5</v>
      </c>
      <c r="O33" s="755">
        <f>$C$6</f>
        <v>6</v>
      </c>
      <c r="P33" s="756">
        <f>$D$6</f>
        <v>10</v>
      </c>
      <c r="Q33" s="756">
        <f>$E$6</f>
        <v>15</v>
      </c>
      <c r="R33" s="755" t="str">
        <f>$F$6</f>
        <v>6 FFF</v>
      </c>
      <c r="S33" s="757" t="str">
        <f>$G$6</f>
        <v>10 FFF</v>
      </c>
      <c r="T33" s="397"/>
      <c r="U33" s="338"/>
      <c r="V33" s="336"/>
      <c r="W33" s="336"/>
      <c r="X33" s="336"/>
      <c r="Y33" s="336"/>
    </row>
    <row r="34" spans="1:34" s="325" customFormat="1" ht="19.5" customHeight="1">
      <c r="A34" s="336" t="s">
        <v>439</v>
      </c>
      <c r="H34" s="345"/>
      <c r="J34" s="362" t="s">
        <v>483</v>
      </c>
      <c r="K34" s="809" t="s">
        <v>456</v>
      </c>
      <c r="L34" s="767">
        <f>IF($P$6="parallel",75,30)</f>
        <v>30</v>
      </c>
      <c r="M34" s="364"/>
      <c r="N34" s="732"/>
      <c r="O34" s="733">
        <f ca="1">IF($P$6="parallel",VLOOKUP($O$33,reflectiecoeff!$A$10:$F$18,2),VLOOKUP($O$33,reflectiecoeff!$A$26:$F$34,2))</f>
        <v>1.7500000000000002E-2</v>
      </c>
      <c r="P34" s="733">
        <f ca="1">IF($P$6="parallel",VLOOKUP($P$33,reflectiecoeff!$A$10:$F$18,2),VLOOKUP($P$33,reflectiecoeff!$A$26:$F$34,2))</f>
        <v>2.2499999999999999E-2</v>
      </c>
      <c r="Q34" s="733">
        <f ca="1">IF($P$6="parallel",VLOOKUP($Q$33,reflectiecoeff!$A$10:$F$18,2),VLOOKUP($Q$33,reflectiecoeff!$A$26:$F$34,2))</f>
        <v>3.2500000000000001E-2</v>
      </c>
      <c r="R34" s="734">
        <f ca="1">IF($P$6="parallel",VLOOKUP($R$33,reflectiecoeff!$A$10:$F$18,2),VLOOKUP($R$33,reflectiecoeff!$A$26:$F$34,2))</f>
        <v>1.4999999999999999E-2</v>
      </c>
      <c r="S34" s="735">
        <f ca="1">IF($P$6="parallel",VLOOKUP($S$33,reflectiecoeff!$A$10:$F$18,2),VLOOKUP($S$33,reflectiecoeff!$A$26:$F$34,2))</f>
        <v>1.49E-2</v>
      </c>
      <c r="T34" s="562"/>
      <c r="U34" s="338"/>
      <c r="V34" s="336"/>
      <c r="W34" s="336"/>
      <c r="X34" s="336"/>
      <c r="Y34" s="336"/>
    </row>
    <row r="35" spans="1:34" s="325" customFormat="1" ht="19.5" customHeight="1">
      <c r="J35" s="365" t="s">
        <v>484</v>
      </c>
      <c r="K35" s="810" t="s">
        <v>456</v>
      </c>
      <c r="L35" s="768">
        <v>75</v>
      </c>
      <c r="M35" s="545"/>
      <c r="N35" s="736"/>
      <c r="O35" s="737">
        <f ca="1">IF($P$6="parallel",VLOOKUP($O$33,reflectiecoeff!$A$10:$F$18,3),VLOOKUP($O$33,reflectiecoeff!$A$26:$F$34,3))</f>
        <v>1.7500000000000002E-2</v>
      </c>
      <c r="P35" s="737">
        <f ca="1">IF($P$6="parallel",VLOOKUP($P$33,reflectiecoeff!$A$10:$F$18,3),VLOOKUP($P$33,reflectiecoeff!$A$26:$F$34,3))</f>
        <v>2.2499999999999999E-2</v>
      </c>
      <c r="Q35" s="737">
        <f ca="1">IF($P$6="parallel",VLOOKUP($Q$33,reflectiecoeff!$A$10:$F$18,3),VLOOKUP($Q$33,reflectiecoeff!$A$26:$F$34,3))</f>
        <v>3.2500000000000001E-2</v>
      </c>
      <c r="R35" s="738">
        <f ca="1">IF($P$6="parallel",VLOOKUP($R$33,reflectiecoeff!$A$10:$F$18,3),VLOOKUP($R$33,reflectiecoeff!$A$26:$F$34,3))</f>
        <v>1.4999999999999999E-2</v>
      </c>
      <c r="S35" s="739">
        <f ca="1">IF($P$6="parallel",VLOOKUP($S$33,reflectiecoeff!$A$10:$F$18,3),VLOOKUP($S$33,reflectiecoeff!$A$26:$F$34,3))</f>
        <v>1.49E-2</v>
      </c>
      <c r="T35" s="336"/>
      <c r="U35" s="338"/>
      <c r="V35" s="338"/>
      <c r="W35" s="336"/>
      <c r="X35" s="336"/>
      <c r="Y35" s="336"/>
    </row>
    <row r="36" spans="1:34" s="325" customFormat="1" ht="19.5" customHeight="1">
      <c r="J36" s="365" t="s">
        <v>485</v>
      </c>
      <c r="K36" s="768">
        <f>IF($P$6="parallel",0,45)</f>
        <v>45</v>
      </c>
      <c r="L36" s="768">
        <f>IF($P$6="parallel",75,0)</f>
        <v>0</v>
      </c>
      <c r="M36" s="545"/>
      <c r="N36" s="740">
        <f ca="1">IF($P$6="parallel",VLOOKUP($N$33,reflectiecoeff!$A$10:$F$18,4),VLOOKUP($N$33,reflectiecoeff!$A$26:$F$34,4))</f>
        <v>2.375E-2</v>
      </c>
      <c r="O36" s="741"/>
      <c r="P36" s="737"/>
      <c r="Q36" s="737"/>
      <c r="R36" s="738"/>
      <c r="S36" s="739"/>
      <c r="T36" s="336"/>
      <c r="U36" s="338"/>
      <c r="V36" s="338"/>
      <c r="W36" s="336"/>
      <c r="X36" s="336"/>
      <c r="Y36" s="336"/>
    </row>
    <row r="37" spans="1:34" s="325" customFormat="1" ht="19.5" customHeight="1">
      <c r="I37" s="311"/>
      <c r="J37" s="365" t="s">
        <v>486</v>
      </c>
      <c r="K37" s="810">
        <v>45</v>
      </c>
      <c r="L37" s="768">
        <v>0</v>
      </c>
      <c r="M37" s="545"/>
      <c r="N37" s="736"/>
      <c r="O37" s="737">
        <f ca="1">IF($P$6="parallel",VLOOKUP($O$33,reflectiecoeff!$A$10:$F$18,5),VLOOKUP($O$33,reflectiecoeff!$A$26:$F$34,5))</f>
        <v>1.7500000000000002E-2</v>
      </c>
      <c r="P37" s="737">
        <f ca="1">IF($P$6="parallel",VLOOKUP($P$33,reflectiecoeff!$A$10:$F$18,5),VLOOKUP($P$33,reflectiecoeff!$A$26:$F$34,5))</f>
        <v>2.2499999999999999E-2</v>
      </c>
      <c r="Q37" s="737">
        <f ca="1">IF($P$6="parallel",VLOOKUP($Q$33,reflectiecoeff!$A$10:$F$18,5),VLOOKUP($Q$33,reflectiecoeff!$A$26:$F$34,5))</f>
        <v>3.2500000000000001E-2</v>
      </c>
      <c r="R37" s="738">
        <f ca="1">IF($P$6="parallel",VLOOKUP($R$33,reflectiecoeff!$A$10:$F$18,5),VLOOKUP($R$33,reflectiecoeff!$A$26:$F$34,5))</f>
        <v>1.4999999999999999E-2</v>
      </c>
      <c r="S37" s="739">
        <f ca="1">IF($P$6="parallel",VLOOKUP($S$33,reflectiecoeff!$A$10:$F$18,5),VLOOKUP($S$33,reflectiecoeff!$A$26:$F$34,5))</f>
        <v>1.49E-2</v>
      </c>
      <c r="T37" s="336"/>
      <c r="U37" s="338"/>
      <c r="V37" s="338"/>
      <c r="W37" s="336"/>
      <c r="X37" s="336"/>
      <c r="Y37" s="336"/>
    </row>
    <row r="38" spans="1:34" s="325" customFormat="1" ht="19.5" customHeight="1" thickBot="1">
      <c r="I38" s="311"/>
      <c r="J38" s="365" t="s">
        <v>487</v>
      </c>
      <c r="K38" s="812" t="s">
        <v>456</v>
      </c>
      <c r="L38" s="811">
        <v>75</v>
      </c>
      <c r="M38" s="534"/>
      <c r="N38" s="1176">
        <f ca="1">IF(P7=1,1,(IF($P$6="parallel",VLOOKUP($N$33,reflectiecoeff!$A$10:$F$18,6),VLOOKUP($N$33,reflectiecoeff!$A$26:$F$34,6))))</f>
        <v>1</v>
      </c>
      <c r="O38" s="736"/>
      <c r="P38" s="737"/>
      <c r="Q38" s="742"/>
      <c r="R38" s="742"/>
      <c r="S38" s="743"/>
      <c r="U38" s="338"/>
      <c r="V38" s="338"/>
      <c r="W38" s="336"/>
      <c r="X38" s="336"/>
      <c r="Y38" s="336"/>
    </row>
    <row r="39" spans="1:34" s="325" customFormat="1" ht="19.5" customHeight="1">
      <c r="I39" s="311"/>
      <c r="J39" s="531" t="s">
        <v>454</v>
      </c>
      <c r="K39" s="360"/>
      <c r="L39" s="361"/>
      <c r="M39" s="361"/>
      <c r="N39" s="815"/>
      <c r="O39" s="323"/>
      <c r="P39" s="396"/>
      <c r="Q39" s="361"/>
      <c r="R39" s="427"/>
      <c r="S39" s="426"/>
      <c r="T39" s="336"/>
      <c r="U39" s="338"/>
      <c r="V39" s="338"/>
      <c r="W39" s="336"/>
      <c r="X39" s="336"/>
      <c r="Y39" s="336"/>
    </row>
    <row r="40" spans="1:34" ht="19.5" customHeight="1">
      <c r="B40" s="375"/>
      <c r="C40" s="375"/>
      <c r="D40" s="376"/>
      <c r="J40" s="348" t="s">
        <v>474</v>
      </c>
      <c r="K40" s="344"/>
      <c r="L40" s="805" t="s">
        <v>463</v>
      </c>
      <c r="M40" s="346"/>
      <c r="N40" s="804"/>
      <c r="O40" s="768"/>
      <c r="P40" s="769"/>
      <c r="Q40" s="769"/>
      <c r="R40" s="768"/>
      <c r="S40" s="778"/>
      <c r="T40" s="311"/>
      <c r="U40" s="311"/>
      <c r="X40" s="321"/>
      <c r="Y40" s="321"/>
      <c r="Z40" s="321"/>
      <c r="AA40" s="321"/>
      <c r="AC40" s="378"/>
      <c r="AD40" s="378"/>
      <c r="AE40" s="378"/>
      <c r="AF40" s="378"/>
    </row>
    <row r="41" spans="1:34" ht="19.5" customHeight="1">
      <c r="A41" s="321"/>
      <c r="B41" s="375"/>
      <c r="C41" s="375"/>
      <c r="D41" s="376"/>
      <c r="J41" s="790" t="s">
        <v>455</v>
      </c>
      <c r="K41" s="793"/>
      <c r="L41" s="806" t="s">
        <v>461</v>
      </c>
      <c r="M41" s="794"/>
      <c r="N41" s="795"/>
      <c r="O41" s="733">
        <f ca="1">VLOOKUP($O$33,scatterfactoren!$A$17:$I$27,5)</f>
        <v>1.39E-3</v>
      </c>
      <c r="P41" s="733">
        <f ca="1">VLOOKUP($P$33,scatterfactoren!$A$17:$I$27,5)</f>
        <v>1.3500000000000001E-3</v>
      </c>
      <c r="Q41" s="733">
        <f ca="1">VLOOKUP($Q$33,scatterfactoren!$A$17:$I$27,5)</f>
        <v>1.0499999999999999E-3</v>
      </c>
      <c r="R41" s="733">
        <f ca="1">VLOOKUP($R$33,scatterfactoren!$A$17:$I$27,5)</f>
        <v>1.2999999999999999E-3</v>
      </c>
      <c r="S41" s="735">
        <f ca="1">VLOOKUP($S$33,scatterfactoren!$A$17:$I$27,5)</f>
        <v>1.1999999999999999E-3</v>
      </c>
      <c r="T41" s="311"/>
      <c r="U41" s="311"/>
      <c r="X41" s="321"/>
      <c r="Y41" s="321"/>
      <c r="Z41" s="321"/>
      <c r="AA41" s="378"/>
      <c r="AB41" s="378"/>
      <c r="AC41" s="379"/>
      <c r="AD41" s="379"/>
      <c r="AE41" s="379"/>
      <c r="AF41" s="378"/>
      <c r="AG41" s="378"/>
      <c r="AH41" s="378"/>
    </row>
    <row r="42" spans="1:34" ht="19.5" customHeight="1">
      <c r="A42" s="321"/>
      <c r="B42" s="375"/>
      <c r="C42" s="375"/>
      <c r="D42" s="376"/>
      <c r="J42" s="796" t="s">
        <v>458</v>
      </c>
      <c r="K42" s="797"/>
      <c r="L42" s="807" t="s">
        <v>459</v>
      </c>
      <c r="M42" s="467"/>
      <c r="N42" s="798"/>
      <c r="O42" s="737">
        <f ca="1">VLOOKUP($O$33,scatterfactoren!$A$17:$I$27,7)</f>
        <v>4.26E-4</v>
      </c>
      <c r="P42" s="737">
        <f ca="1">VLOOKUP($P$33,scatterfactoren!$A$17:$I$27,7)</f>
        <v>3.8099999999999999E-4</v>
      </c>
      <c r="Q42" s="737">
        <f ca="1">VLOOKUP($Q$33,scatterfactoren!$A$17:$I$27,7)</f>
        <v>2.61E-4</v>
      </c>
      <c r="R42" s="737">
        <f ca="1">VLOOKUP($R$33,scatterfactoren!$A$17:$I$27,7)</f>
        <v>4.46E-4</v>
      </c>
      <c r="S42" s="739">
        <f ca="1">VLOOKUP($S$33,scatterfactoren!$A$17:$I$27,7)</f>
        <v>4.0299999999999998E-4</v>
      </c>
      <c r="T42" s="311"/>
      <c r="U42" s="311"/>
      <c r="X42" s="321"/>
      <c r="Y42" s="321"/>
      <c r="Z42" s="321"/>
      <c r="AA42" s="378"/>
      <c r="AB42" s="378"/>
      <c r="AC42" s="379"/>
      <c r="AD42" s="379"/>
      <c r="AE42" s="379"/>
      <c r="AF42" s="378"/>
      <c r="AG42" s="378"/>
      <c r="AH42" s="378"/>
    </row>
    <row r="43" spans="1:34" ht="19.5" customHeight="1" thickBot="1">
      <c r="A43" s="321"/>
      <c r="B43" s="375"/>
      <c r="C43" s="375"/>
      <c r="D43" s="376"/>
      <c r="J43" s="799" t="s">
        <v>460</v>
      </c>
      <c r="K43" s="800"/>
      <c r="L43" s="808" t="s">
        <v>462</v>
      </c>
      <c r="M43" s="534"/>
      <c r="N43" s="801"/>
      <c r="O43" s="737">
        <f ca="1">VLOOKUP($O$33,scatterfactoren!$A$17:$I$27,8)</f>
        <v>2.9999999999999997E-4</v>
      </c>
      <c r="P43" s="737">
        <f ca="1">VLOOKUP($P$33,scatterfactoren!$A$17:$I$27,8)</f>
        <v>3.0200000000000002E-4</v>
      </c>
      <c r="Q43" s="803">
        <f ca="1">VLOOKUP($Q$33,scatterfactoren!$A$17:$I$27,8)</f>
        <v>1.9100000000000001E-4</v>
      </c>
      <c r="R43" s="803">
        <f ca="1">VLOOKUP($R$33,scatterfactoren!$A$17:$I$27,8)</f>
        <v>3.4200000000000002E-4</v>
      </c>
      <c r="S43" s="743">
        <f ca="1">VLOOKUP($S$33,scatterfactoren!$A$17:$I$27,8)</f>
        <v>3.8200000000000002E-4</v>
      </c>
      <c r="T43" s="311"/>
      <c r="U43" s="311"/>
      <c r="X43" s="321"/>
      <c r="Y43" s="321"/>
      <c r="Z43" s="321"/>
      <c r="AA43" s="378"/>
      <c r="AB43" s="378"/>
      <c r="AC43" s="379"/>
      <c r="AD43" s="379"/>
      <c r="AE43" s="379"/>
      <c r="AF43" s="378"/>
      <c r="AG43" s="378"/>
      <c r="AH43" s="378"/>
    </row>
    <row r="44" spans="1:34" ht="19.5" customHeight="1">
      <c r="A44" s="321"/>
      <c r="B44" s="375"/>
      <c r="C44" s="375"/>
      <c r="D44" s="376"/>
      <c r="J44" s="365" t="s">
        <v>399</v>
      </c>
      <c r="K44" s="345"/>
      <c r="L44" s="345"/>
      <c r="M44" s="442"/>
      <c r="N44" s="762"/>
      <c r="O44" s="340"/>
      <c r="P44" s="341"/>
      <c r="Q44" s="325"/>
      <c r="R44" s="325"/>
      <c r="S44" s="336"/>
      <c r="T44" s="311"/>
      <c r="U44" s="311"/>
      <c r="X44" s="321"/>
      <c r="Y44" s="321"/>
      <c r="Z44" s="321"/>
      <c r="AA44" s="378"/>
      <c r="AB44" s="378"/>
      <c r="AC44" s="379"/>
      <c r="AD44" s="379"/>
      <c r="AE44" s="379"/>
      <c r="AF44" s="378"/>
      <c r="AG44" s="378"/>
      <c r="AH44" s="378"/>
    </row>
    <row r="45" spans="1:34" ht="19.5" customHeight="1">
      <c r="A45" s="321"/>
      <c r="B45" s="375"/>
      <c r="C45" s="375"/>
      <c r="D45" s="376"/>
      <c r="J45" s="409" t="s">
        <v>396</v>
      </c>
      <c r="K45" s="374"/>
      <c r="L45" s="336"/>
      <c r="M45" s="336"/>
      <c r="N45" s="336"/>
      <c r="O45" s="336"/>
      <c r="P45" s="1114">
        <v>0.5</v>
      </c>
      <c r="Q45" s="325"/>
      <c r="R45" s="325"/>
      <c r="S45" s="336"/>
      <c r="T45" s="311"/>
      <c r="U45" s="311"/>
      <c r="X45" s="321"/>
      <c r="Y45" s="321"/>
      <c r="Z45" s="321"/>
      <c r="AA45" s="378"/>
      <c r="AB45" s="378"/>
      <c r="AC45" s="379"/>
      <c r="AD45" s="379"/>
      <c r="AE45" s="379"/>
      <c r="AF45" s="378"/>
      <c r="AG45" s="378"/>
      <c r="AH45" s="378"/>
    </row>
    <row r="46" spans="1:34" ht="19.5" customHeight="1" thickBot="1">
      <c r="A46" s="321"/>
      <c r="B46" s="375"/>
      <c r="C46" s="375"/>
      <c r="D46" s="376"/>
      <c r="J46" s="536" t="s">
        <v>397</v>
      </c>
      <c r="K46" s="537"/>
      <c r="L46" s="537"/>
      <c r="M46" s="537"/>
      <c r="N46" s="537"/>
      <c r="O46" s="537"/>
      <c r="P46" s="1115">
        <v>0.32</v>
      </c>
      <c r="Q46" s="325"/>
      <c r="R46" s="325"/>
      <c r="S46" s="336"/>
      <c r="T46" s="311"/>
      <c r="U46" s="311"/>
      <c r="X46" s="321"/>
      <c r="Y46" s="321"/>
      <c r="Z46" s="321"/>
      <c r="AA46" s="378"/>
      <c r="AB46" s="378"/>
      <c r="AC46" s="379"/>
      <c r="AD46" s="379"/>
      <c r="AE46" s="379"/>
      <c r="AF46" s="378"/>
      <c r="AG46" s="378"/>
      <c r="AH46" s="378"/>
    </row>
    <row r="47" spans="1:34" ht="19.5" customHeight="1">
      <c r="A47" s="321"/>
      <c r="B47" s="375"/>
      <c r="C47" s="375"/>
      <c r="D47" s="376"/>
      <c r="J47" s="535" t="s">
        <v>268</v>
      </c>
      <c r="K47" s="327"/>
      <c r="L47" s="1681" t="s">
        <v>295</v>
      </c>
      <c r="M47" s="367" t="s">
        <v>49</v>
      </c>
      <c r="N47" s="368" t="s">
        <v>267</v>
      </c>
      <c r="O47" s="325"/>
      <c r="P47" s="325"/>
      <c r="Q47" s="325"/>
      <c r="R47" s="325"/>
      <c r="S47" s="336"/>
      <c r="T47" s="311"/>
      <c r="U47" s="311"/>
      <c r="X47" s="321"/>
      <c r="Y47" s="321"/>
      <c r="Z47" s="321"/>
      <c r="AA47" s="378"/>
      <c r="AB47" s="378"/>
      <c r="AC47" s="379"/>
      <c r="AD47" s="379"/>
      <c r="AE47" s="379"/>
      <c r="AF47" s="378"/>
      <c r="AG47" s="378"/>
      <c r="AH47" s="378"/>
    </row>
    <row r="48" spans="1:34" ht="19.5" customHeight="1">
      <c r="A48" s="321"/>
      <c r="B48" s="375"/>
      <c r="C48" s="375"/>
      <c r="D48" s="376"/>
      <c r="J48" s="444" t="s">
        <v>336</v>
      </c>
      <c r="K48" s="336"/>
      <c r="L48" s="1693"/>
      <c r="M48" s="454" t="s">
        <v>44</v>
      </c>
      <c r="N48" s="778" t="s">
        <v>400</v>
      </c>
      <c r="O48" s="325"/>
      <c r="P48" s="325"/>
      <c r="Q48" s="325"/>
      <c r="R48" s="325"/>
      <c r="S48" s="336"/>
      <c r="T48" s="311"/>
      <c r="U48" s="311"/>
      <c r="X48" s="321"/>
      <c r="Y48" s="321"/>
      <c r="Z48" s="321"/>
      <c r="AA48" s="378"/>
      <c r="AB48" s="378"/>
      <c r="AC48" s="379"/>
      <c r="AD48" s="379"/>
      <c r="AE48" s="379"/>
      <c r="AF48" s="378"/>
      <c r="AG48" s="378"/>
      <c r="AH48" s="378"/>
    </row>
    <row r="49" spans="1:52" ht="19.5" customHeight="1">
      <c r="A49" s="321"/>
      <c r="B49" s="375"/>
      <c r="C49" s="375"/>
      <c r="D49" s="376"/>
      <c r="J49" s="369"/>
      <c r="K49" s="370" t="s">
        <v>70</v>
      </c>
      <c r="L49" s="363">
        <f>N33</f>
        <v>0.5</v>
      </c>
      <c r="M49" s="767">
        <v>0.1</v>
      </c>
      <c r="N49" s="371">
        <v>3.6</v>
      </c>
      <c r="O49" s="325"/>
      <c r="P49" s="325"/>
      <c r="Q49" s="325"/>
      <c r="R49" s="325"/>
      <c r="S49" s="336"/>
      <c r="T49" s="311"/>
      <c r="U49" s="311"/>
      <c r="X49" s="321"/>
      <c r="Y49" s="321"/>
      <c r="Z49" s="321"/>
      <c r="AA49" s="378"/>
      <c r="AB49" s="378"/>
      <c r="AC49" s="379"/>
      <c r="AD49" s="379"/>
      <c r="AE49" s="379"/>
      <c r="AF49" s="378"/>
      <c r="AG49" s="378"/>
      <c r="AH49" s="378"/>
    </row>
    <row r="50" spans="1:52" ht="19.5" customHeight="1">
      <c r="A50" s="321"/>
      <c r="B50" s="375"/>
      <c r="C50" s="375"/>
      <c r="D50" s="376"/>
      <c r="J50" s="369"/>
      <c r="K50" s="342" t="s">
        <v>3</v>
      </c>
      <c r="L50" s="724">
        <f ca="1">VLOOKUP($L$49,'TVT''s afscherming'!$A$11:$J$23,2)</f>
        <v>11.9</v>
      </c>
      <c r="M50" s="767"/>
      <c r="N50" s="371"/>
      <c r="O50" s="325"/>
      <c r="P50" s="325"/>
      <c r="Q50" s="325"/>
      <c r="R50" s="325"/>
      <c r="S50" s="336"/>
      <c r="T50" s="311"/>
      <c r="U50" s="311"/>
      <c r="X50" s="321"/>
      <c r="Y50" s="321"/>
      <c r="Z50" s="321"/>
      <c r="AA50" s="378"/>
      <c r="AB50" s="378"/>
      <c r="AC50" s="379"/>
      <c r="AD50" s="379"/>
      <c r="AE50" s="379"/>
      <c r="AF50" s="378"/>
      <c r="AG50" s="378"/>
      <c r="AH50" s="378"/>
    </row>
    <row r="51" spans="1:52" ht="19.5" customHeight="1">
      <c r="A51" s="321"/>
      <c r="B51" s="375"/>
      <c r="C51" s="375"/>
      <c r="D51" s="376"/>
      <c r="J51" s="446"/>
      <c r="K51" s="336" t="s">
        <v>96</v>
      </c>
      <c r="L51" s="727">
        <f ca="1">VLOOKUP($L$49,'TVT''s afscherming'!$A$11:$J$23,4)</f>
        <v>9.4</v>
      </c>
      <c r="M51" s="768"/>
      <c r="N51" s="778"/>
      <c r="O51" s="325"/>
      <c r="P51" s="325"/>
      <c r="Q51" s="325"/>
      <c r="R51" s="325"/>
      <c r="S51" s="336"/>
      <c r="T51" s="311"/>
      <c r="U51" s="311"/>
      <c r="X51" s="321"/>
      <c r="Y51" s="321"/>
      <c r="Z51" s="321"/>
      <c r="AA51" s="378"/>
      <c r="AB51" s="378"/>
      <c r="AC51" s="379"/>
      <c r="AD51" s="379"/>
      <c r="AE51" s="379"/>
      <c r="AF51" s="378"/>
      <c r="AG51" s="378"/>
      <c r="AH51" s="378"/>
    </row>
    <row r="52" spans="1:52" ht="19.5" customHeight="1">
      <c r="A52" s="321"/>
      <c r="B52" s="375"/>
      <c r="C52" s="375"/>
      <c r="D52" s="376"/>
      <c r="J52" s="348"/>
      <c r="K52" s="336" t="s">
        <v>4</v>
      </c>
      <c r="L52" s="727">
        <f ca="1">VLOOKUP($L$49,'TVT''s afscherming'!$A$11:$J$23,5)</f>
        <v>3.2</v>
      </c>
      <c r="M52" s="744">
        <f ca="1">'TVT''s afscherming'!C28</f>
        <v>37</v>
      </c>
      <c r="N52" s="745">
        <f ca="1">'TVT''s afscherming'!C30</f>
        <v>13.5</v>
      </c>
      <c r="O52" s="325"/>
      <c r="P52" s="325"/>
      <c r="Q52" s="325"/>
      <c r="R52" s="325"/>
      <c r="S52" s="336"/>
      <c r="T52" s="311"/>
      <c r="U52" s="311"/>
      <c r="X52" s="321"/>
      <c r="Y52" s="321"/>
      <c r="Z52" s="321"/>
      <c r="AA52" s="378"/>
      <c r="AB52" s="378"/>
      <c r="AC52" s="379"/>
      <c r="AD52" s="379"/>
      <c r="AE52" s="379"/>
      <c r="AF52" s="378"/>
      <c r="AG52" s="378"/>
      <c r="AH52" s="378"/>
    </row>
    <row r="53" spans="1:52" ht="19.5" customHeight="1">
      <c r="A53" s="321"/>
      <c r="B53" s="375"/>
      <c r="C53" s="375"/>
      <c r="D53" s="376"/>
      <c r="J53" s="348"/>
      <c r="K53" s="336" t="s">
        <v>27</v>
      </c>
      <c r="L53" s="727">
        <f ca="1">VLOOKUP($L$49,'TVT''s afscherming'!$A$11:$J$23,6)</f>
        <v>1.03</v>
      </c>
      <c r="M53" s="744">
        <f ca="1">'TVT''s afscherming'!C28</f>
        <v>37</v>
      </c>
      <c r="N53" s="745">
        <f ca="1">IF(P20&gt;5,'TVT''s afscherming'!D31,'TVT''s afscherming'!D30)</f>
        <v>0.6</v>
      </c>
      <c r="O53" s="325"/>
      <c r="P53" s="325"/>
      <c r="Q53" s="325"/>
      <c r="R53" s="325"/>
      <c r="S53" s="336"/>
      <c r="T53" s="311"/>
      <c r="U53" s="311"/>
      <c r="X53" s="321"/>
      <c r="Y53" s="321"/>
      <c r="Z53" s="321"/>
      <c r="AA53" s="378"/>
      <c r="AB53" s="378"/>
      <c r="AC53" s="379"/>
      <c r="AD53" s="379"/>
      <c r="AE53" s="379"/>
      <c r="AF53" s="378"/>
      <c r="AG53" s="378"/>
      <c r="AH53" s="378"/>
    </row>
    <row r="54" spans="1:52" ht="19.5" customHeight="1" thickBot="1">
      <c r="A54" s="321"/>
      <c r="B54" s="375"/>
      <c r="C54" s="375"/>
      <c r="D54" s="376"/>
      <c r="J54" s="373"/>
      <c r="K54" s="353" t="s">
        <v>52</v>
      </c>
      <c r="L54" s="816"/>
      <c r="M54" s="746">
        <f ca="1">'TVT''s afscherming'!E28</f>
        <v>4.5</v>
      </c>
      <c r="N54" s="817"/>
      <c r="O54" s="325"/>
      <c r="P54" s="325"/>
      <c r="Q54" s="325"/>
      <c r="R54" s="325"/>
      <c r="S54" s="336"/>
      <c r="T54" s="311"/>
      <c r="U54" s="311"/>
      <c r="X54" s="321"/>
      <c r="Y54" s="321"/>
      <c r="Z54" s="321"/>
      <c r="AA54" s="378"/>
      <c r="AB54" s="378"/>
      <c r="AC54" s="379"/>
      <c r="AD54" s="379"/>
      <c r="AE54" s="379"/>
      <c r="AF54" s="378"/>
      <c r="AG54" s="378"/>
      <c r="AH54" s="378"/>
    </row>
    <row r="55" spans="1:52" ht="19.5" customHeight="1">
      <c r="A55" s="321"/>
      <c r="B55" s="375"/>
      <c r="C55" s="375"/>
      <c r="D55" s="376"/>
      <c r="Q55" s="311"/>
      <c r="R55" s="311"/>
      <c r="S55" s="311"/>
      <c r="T55" s="311"/>
      <c r="U55" s="311"/>
      <c r="X55" s="321"/>
      <c r="Y55" s="321"/>
      <c r="Z55" s="321"/>
      <c r="AA55" s="378"/>
      <c r="AB55" s="378"/>
      <c r="AC55" s="379"/>
      <c r="AD55" s="379"/>
      <c r="AE55" s="379"/>
      <c r="AF55" s="378"/>
      <c r="AG55" s="378"/>
      <c r="AH55" s="378"/>
    </row>
    <row r="56" spans="1:52" ht="19.5" customHeight="1">
      <c r="A56" s="321"/>
      <c r="B56" s="375"/>
      <c r="C56" s="375"/>
      <c r="D56" s="376"/>
      <c r="Q56" s="311"/>
      <c r="R56" s="311"/>
      <c r="S56" s="311"/>
      <c r="T56" s="311"/>
      <c r="U56" s="311"/>
      <c r="X56" s="321"/>
      <c r="Y56" s="321"/>
      <c r="Z56" s="321"/>
      <c r="AA56" s="378"/>
      <c r="AB56" s="378"/>
      <c r="AC56" s="379"/>
      <c r="AD56" s="379"/>
      <c r="AE56" s="379"/>
      <c r="AF56" s="378"/>
      <c r="AG56" s="378"/>
      <c r="AH56" s="378"/>
    </row>
    <row r="57" spans="1:52" ht="19.5" customHeight="1">
      <c r="A57" s="321"/>
      <c r="B57" s="375"/>
      <c r="C57" s="375"/>
      <c r="D57" s="376"/>
      <c r="Q57" s="311"/>
      <c r="R57" s="311"/>
      <c r="S57" s="311"/>
      <c r="T57" s="311"/>
      <c r="U57" s="311"/>
      <c r="X57" s="321"/>
      <c r="Y57" s="321"/>
      <c r="Z57" s="321"/>
      <c r="AA57" s="378"/>
      <c r="AB57" s="378"/>
      <c r="AC57" s="379"/>
      <c r="AD57" s="379"/>
      <c r="AE57" s="379"/>
      <c r="AF57" s="378"/>
      <c r="AG57" s="378"/>
      <c r="AH57" s="378"/>
    </row>
    <row r="58" spans="1:52" ht="19.5" customHeight="1">
      <c r="A58" s="321"/>
      <c r="B58" s="375"/>
      <c r="C58" s="375"/>
      <c r="D58" s="376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11"/>
      <c r="U58" s="311"/>
      <c r="X58" s="321"/>
      <c r="Y58" s="321"/>
      <c r="Z58" s="321"/>
      <c r="AA58" s="378"/>
      <c r="AB58" s="378"/>
      <c r="AC58" s="379"/>
      <c r="AD58" s="379"/>
      <c r="AE58" s="379"/>
      <c r="AF58" s="378"/>
      <c r="AG58" s="378"/>
      <c r="AH58" s="378"/>
    </row>
    <row r="59" spans="1:52" ht="19.5" customHeight="1">
      <c r="A59" s="332" t="s">
        <v>421</v>
      </c>
      <c r="B59" s="638"/>
      <c r="C59" s="375"/>
      <c r="D59" s="376"/>
      <c r="J59" s="321"/>
      <c r="K59" s="321"/>
      <c r="L59" s="321"/>
      <c r="M59" s="321"/>
      <c r="N59" s="321"/>
      <c r="O59" s="321"/>
      <c r="P59" s="321"/>
      <c r="Q59" s="325"/>
      <c r="R59" s="325"/>
      <c r="S59" s="336"/>
      <c r="T59" s="311"/>
      <c r="U59" s="311"/>
      <c r="X59" s="321"/>
      <c r="Y59" s="321"/>
      <c r="Z59" s="321"/>
      <c r="AA59" s="378"/>
      <c r="AB59" s="378"/>
      <c r="AC59" s="379"/>
      <c r="AD59" s="379"/>
      <c r="AE59" s="379"/>
      <c r="AF59" s="378"/>
      <c r="AG59" s="378"/>
      <c r="AH59" s="378"/>
    </row>
    <row r="60" spans="1:52" ht="19.5" customHeight="1">
      <c r="A60" s="332"/>
      <c r="B60" s="375"/>
      <c r="C60" s="375"/>
      <c r="D60" s="376"/>
      <c r="J60" s="336"/>
      <c r="K60" s="336"/>
      <c r="L60" s="359"/>
      <c r="M60" s="325"/>
      <c r="N60" s="325"/>
      <c r="Q60" s="311"/>
      <c r="R60" s="311"/>
      <c r="S60" s="311"/>
      <c r="T60" s="311"/>
      <c r="U60" s="311"/>
      <c r="X60" s="321"/>
      <c r="Y60" s="321"/>
      <c r="Z60" s="321"/>
      <c r="AA60" s="378"/>
      <c r="AB60" s="378"/>
      <c r="AC60" s="379"/>
      <c r="AD60" s="379"/>
      <c r="AE60" s="379"/>
      <c r="AF60" s="378"/>
      <c r="AG60" s="378"/>
      <c r="AH60" s="378"/>
    </row>
    <row r="61" spans="1:52" ht="19.5" customHeight="1">
      <c r="A61" s="906" t="s">
        <v>511</v>
      </c>
      <c r="B61" s="639"/>
      <c r="C61" s="375"/>
      <c r="D61" s="376"/>
      <c r="M61" s="518"/>
      <c r="N61" s="1672"/>
      <c r="O61" s="1672"/>
      <c r="P61" s="1672"/>
      <c r="Q61" s="1672"/>
      <c r="R61" s="1672"/>
      <c r="S61" s="1672"/>
      <c r="T61" s="840"/>
      <c r="U61" s="840"/>
      <c r="V61" s="840"/>
      <c r="W61" s="1672"/>
      <c r="X61" s="1672"/>
      <c r="Y61" s="1672"/>
      <c r="AB61" s="311"/>
      <c r="AC61" s="311"/>
      <c r="AG61" s="378"/>
      <c r="AH61" s="378"/>
      <c r="AI61" s="379"/>
      <c r="AJ61" s="379"/>
    </row>
    <row r="62" spans="1:52" ht="19.5" customHeight="1" thickBot="1">
      <c r="A62" s="332"/>
      <c r="B62" s="391" t="s">
        <v>26</v>
      </c>
      <c r="C62" s="375"/>
      <c r="D62" s="376"/>
      <c r="M62" s="437"/>
      <c r="N62" s="929"/>
      <c r="O62" s="929"/>
      <c r="P62" s="929"/>
      <c r="Q62" s="929"/>
      <c r="R62" s="929"/>
      <c r="S62" s="929"/>
      <c r="T62" s="840"/>
      <c r="U62" s="840"/>
      <c r="V62" s="840"/>
      <c r="W62" s="840"/>
      <c r="X62" s="840"/>
      <c r="Y62" s="840"/>
      <c r="AB62" s="311"/>
      <c r="AC62" s="311"/>
      <c r="AG62" s="378"/>
      <c r="AH62" s="378"/>
      <c r="AI62" s="379"/>
      <c r="AJ62" s="379"/>
    </row>
    <row r="63" spans="1:52" s="325" customFormat="1" ht="19.5" customHeight="1">
      <c r="A63" s="1633" t="s">
        <v>65</v>
      </c>
      <c r="B63" s="1633" t="s">
        <v>19</v>
      </c>
      <c r="C63" s="1692" t="s">
        <v>31</v>
      </c>
      <c r="D63" s="1692" t="s">
        <v>270</v>
      </c>
      <c r="E63" s="1633" t="s">
        <v>0</v>
      </c>
      <c r="F63" s="1692" t="s">
        <v>103</v>
      </c>
      <c r="G63" s="1694" t="s">
        <v>113</v>
      </c>
      <c r="H63" s="1695"/>
      <c r="I63" s="1653"/>
      <c r="J63" s="1673">
        <f>$C$6</f>
        <v>6</v>
      </c>
      <c r="K63" s="1674"/>
      <c r="L63" s="1675"/>
      <c r="M63" s="1673">
        <f>$D$6</f>
        <v>10</v>
      </c>
      <c r="N63" s="1674"/>
      <c r="O63" s="1675"/>
      <c r="P63" s="1673">
        <f>$E$6</f>
        <v>15</v>
      </c>
      <c r="Q63" s="1674"/>
      <c r="R63" s="1675"/>
      <c r="S63" s="1673" t="str">
        <f>$F$6</f>
        <v>6 FFF</v>
      </c>
      <c r="T63" s="1674"/>
      <c r="U63" s="1675"/>
      <c r="V63" s="1673" t="str">
        <f>$G$6</f>
        <v>10 FFF</v>
      </c>
      <c r="W63" s="1674"/>
      <c r="X63" s="1676"/>
      <c r="Y63" s="1683" t="s">
        <v>20</v>
      </c>
      <c r="Z63" s="1684"/>
      <c r="AA63" s="1685"/>
      <c r="AB63" s="441"/>
      <c r="AC63" s="345"/>
      <c r="AG63" s="436"/>
      <c r="AH63" s="436"/>
      <c r="AI63" s="436"/>
      <c r="AJ63" s="436"/>
      <c r="AK63" s="436"/>
      <c r="AL63" s="436"/>
      <c r="AP63" s="336"/>
      <c r="AQ63" s="442"/>
      <c r="AR63" s="346"/>
      <c r="AS63" s="336"/>
      <c r="AT63" s="381"/>
      <c r="AU63" s="381"/>
      <c r="AV63" s="381"/>
      <c r="AW63" s="381"/>
      <c r="AX63" s="381"/>
      <c r="AY63" s="355"/>
      <c r="AZ63" s="355"/>
    </row>
    <row r="64" spans="1:52" s="325" customFormat="1" ht="19.5" customHeight="1">
      <c r="A64" s="1634"/>
      <c r="B64" s="1634"/>
      <c r="C64" s="1682"/>
      <c r="D64" s="1682"/>
      <c r="E64" s="1634"/>
      <c r="F64" s="1682"/>
      <c r="G64" s="1696"/>
      <c r="H64" s="1697"/>
      <c r="I64" s="1654"/>
      <c r="J64" s="328" t="s">
        <v>170</v>
      </c>
      <c r="K64" s="328" t="s">
        <v>329</v>
      </c>
      <c r="L64" s="328" t="s">
        <v>20</v>
      </c>
      <c r="M64" s="328" t="s">
        <v>170</v>
      </c>
      <c r="N64" s="328" t="s">
        <v>329</v>
      </c>
      <c r="O64" s="328" t="s">
        <v>20</v>
      </c>
      <c r="P64" s="328" t="s">
        <v>170</v>
      </c>
      <c r="Q64" s="328" t="s">
        <v>329</v>
      </c>
      <c r="R64" s="328" t="s">
        <v>20</v>
      </c>
      <c r="S64" s="328" t="s">
        <v>170</v>
      </c>
      <c r="T64" s="328" t="s">
        <v>329</v>
      </c>
      <c r="U64" s="328" t="s">
        <v>20</v>
      </c>
      <c r="V64" s="328" t="s">
        <v>170</v>
      </c>
      <c r="W64" s="328" t="s">
        <v>329</v>
      </c>
      <c r="X64" s="328" t="s">
        <v>20</v>
      </c>
      <c r="Y64" s="547" t="s">
        <v>29</v>
      </c>
      <c r="Z64" s="548" t="s">
        <v>15</v>
      </c>
      <c r="AA64" s="549" t="s">
        <v>15</v>
      </c>
      <c r="AG64" s="766"/>
      <c r="AH64" s="766"/>
      <c r="AI64" s="766"/>
      <c r="AJ64" s="766"/>
      <c r="AK64" s="766"/>
      <c r="AL64" s="766"/>
      <c r="AP64" s="336"/>
      <c r="AQ64" s="442"/>
      <c r="AR64" s="337"/>
      <c r="AS64" s="336"/>
      <c r="AT64" s="345"/>
      <c r="AU64" s="345"/>
      <c r="AV64" s="351"/>
      <c r="AW64" s="345"/>
      <c r="AX64" s="345"/>
      <c r="AY64" s="355"/>
      <c r="AZ64" s="355"/>
    </row>
    <row r="65" spans="1:52" s="325" customFormat="1" ht="19.5" customHeight="1" thickBot="1">
      <c r="A65" s="1652"/>
      <c r="B65" s="1652"/>
      <c r="C65" s="1693"/>
      <c r="D65" s="1693"/>
      <c r="E65" s="1652"/>
      <c r="F65" s="1693"/>
      <c r="G65" s="354" t="s">
        <v>2</v>
      </c>
      <c r="H65" s="354" t="s">
        <v>96</v>
      </c>
      <c r="I65" s="354" t="s">
        <v>4</v>
      </c>
      <c r="J65" s="763" t="s">
        <v>331</v>
      </c>
      <c r="K65" s="763" t="s">
        <v>330</v>
      </c>
      <c r="L65" s="439" t="s">
        <v>291</v>
      </c>
      <c r="M65" s="763" t="s">
        <v>331</v>
      </c>
      <c r="N65" s="763" t="s">
        <v>330</v>
      </c>
      <c r="O65" s="439" t="s">
        <v>291</v>
      </c>
      <c r="P65" s="764" t="s">
        <v>331</v>
      </c>
      <c r="Q65" s="764" t="s">
        <v>330</v>
      </c>
      <c r="R65" s="372" t="s">
        <v>291</v>
      </c>
      <c r="S65" s="764" t="s">
        <v>331</v>
      </c>
      <c r="T65" s="764" t="s">
        <v>330</v>
      </c>
      <c r="U65" s="372" t="s">
        <v>291</v>
      </c>
      <c r="V65" s="764" t="s">
        <v>331</v>
      </c>
      <c r="W65" s="764" t="s">
        <v>330</v>
      </c>
      <c r="X65" s="372" t="s">
        <v>291</v>
      </c>
      <c r="Y65" s="550" t="s">
        <v>290</v>
      </c>
      <c r="Z65" s="551" t="s">
        <v>290</v>
      </c>
      <c r="AA65" s="549" t="s">
        <v>279</v>
      </c>
      <c r="AG65" s="766"/>
      <c r="AH65" s="766"/>
      <c r="AI65" s="766"/>
      <c r="AJ65" s="766"/>
      <c r="AK65" s="766"/>
      <c r="AL65" s="766"/>
      <c r="AP65" s="336"/>
      <c r="AQ65" s="442"/>
      <c r="AR65" s="336"/>
      <c r="AS65" s="336"/>
      <c r="AT65" s="345"/>
      <c r="AU65" s="345"/>
      <c r="AV65" s="345"/>
      <c r="AW65" s="345"/>
      <c r="AX65" s="345"/>
      <c r="AY65" s="355"/>
      <c r="AZ65" s="355"/>
    </row>
    <row r="66" spans="1:52" s="325" customFormat="1" ht="19.5" customHeight="1">
      <c r="A66" s="1635" t="s">
        <v>298</v>
      </c>
      <c r="B66" s="1178"/>
      <c r="C66" s="1623" t="s">
        <v>333</v>
      </c>
      <c r="D66" s="1625">
        <v>6</v>
      </c>
      <c r="E66" s="1625">
        <v>0</v>
      </c>
      <c r="F66" s="1627" t="s">
        <v>12</v>
      </c>
      <c r="G66" s="1627">
        <v>250</v>
      </c>
      <c r="H66" s="1627">
        <v>0</v>
      </c>
      <c r="I66" s="1627">
        <v>0</v>
      </c>
      <c r="J66" s="1656">
        <f>IF($G66=0,0,IF($F66="recht",1+($G66-$C$17)/$C$18,1+($G66-$C$17-0.301*$C$18)/$C$18))+IF($H66=0,0,IF($F66="recht",$H66/$C$19,($H66-0.301*$C$19)/$C$19))+$I66/$C$20</f>
        <v>7.4545454545454541</v>
      </c>
      <c r="K66" s="1663">
        <f>10^(-J66)</f>
        <v>3.5111917342151263E-8</v>
      </c>
      <c r="L66" s="1656">
        <f>($C$7*$C$11*$E66/$D66/$D66*K66*1000000)</f>
        <v>0</v>
      </c>
      <c r="M66" s="1656">
        <f>IF($G66=0,0,IF($F$66="recht",1+($G66-$D$17)/$D$18,1+($G66-$D$17-0.301*$D$18)/$D$18))+IF($H66=0,0,IF($F66="recht",$H66/$D$19,($H66-0.301*$D$19)/$D$19))+$I66/$D$20</f>
        <v>6.6486486486486482</v>
      </c>
      <c r="N66" s="1663">
        <f>10^(-M66)</f>
        <v>2.2456979955397711E-7</v>
      </c>
      <c r="O66" s="1656">
        <f>($C$7*$D$11*$E66/$D66/$D66*N66*1000000)</f>
        <v>0</v>
      </c>
      <c r="P66" s="1656">
        <f>IF($G$66=0,0,IF($F66="recht",1+($G66-$E$17)/$E$18,1+($G66-$E$17-0.301*$E$18)/$E$18))+IF($H66=0,0,IF($F66="recht",$H66/$E$19,($H66-0.301*$E$19)/$E$19))+$I66/$E$20</f>
        <v>6.024390243902439</v>
      </c>
      <c r="Q66" s="1663">
        <f>10^(-P66)</f>
        <v>9.4538728313079291E-7</v>
      </c>
      <c r="R66" s="1656">
        <f>($C$7*$E$11*$E66/$D66/$D66*Q66*1000000)</f>
        <v>0</v>
      </c>
      <c r="S66" s="1656">
        <f>IF($G66=0,0,IF($F66="recht",1+($G66-$F$17)/$F$18,1+($G66-$F$17-0.301*$F$18)/$F$18))+IF($H66=0,0,IF($F66="recht",$H66/$F$19,($H66-0.301*$F$19)/$F$19))+$I66/$F$20</f>
        <v>9.1481481481481488</v>
      </c>
      <c r="T66" s="1663">
        <f>10^(-S66)</f>
        <v>7.1097094323124171E-10</v>
      </c>
      <c r="U66" s="1656">
        <f>($C$7*$F$11*$E66/$D66/$D66*T66*1000000)</f>
        <v>0</v>
      </c>
      <c r="V66" s="1656">
        <f>IF($G66=0,0,IF($F66="recht",1+($G66-$G$17)/$G$18,1+($G66-$G$17-0.301*$G$18)/$G$18))+IF($H66=0,0,IF($F66="recht",$H66/$G$19,($H66-0.301*$G$19)/$G$19))+$I66/$G$20</f>
        <v>6.9444444444444446</v>
      </c>
      <c r="W66" s="1663">
        <f>10^(-V66)</f>
        <v>1.136463666385722E-7</v>
      </c>
      <c r="X66" s="1677">
        <f>($C$7*$G$11*$E66/$D66/$D66*W66*1000000)</f>
        <v>0</v>
      </c>
      <c r="Y66" s="1679">
        <f>SUM(L66,O66,R66,U66,X66)</f>
        <v>0</v>
      </c>
      <c r="Z66" s="758">
        <f>SUM(Y66:Y68)</f>
        <v>1.4937465351460337E-2</v>
      </c>
      <c r="AA66" s="552">
        <f>Z66*52/1000</f>
        <v>7.7674819827593751E-4</v>
      </c>
      <c r="AG66" s="428"/>
      <c r="AI66" s="428"/>
      <c r="AJ66" s="428"/>
      <c r="AK66" s="428"/>
      <c r="AL66" s="428"/>
      <c r="AP66" s="336"/>
      <c r="AQ66" s="442"/>
      <c r="AR66" s="336"/>
      <c r="AS66" s="336"/>
      <c r="AT66" s="345"/>
      <c r="AU66" s="345"/>
      <c r="AV66" s="345"/>
      <c r="AW66" s="345"/>
      <c r="AX66" s="345"/>
      <c r="AY66" s="355"/>
      <c r="AZ66" s="355"/>
    </row>
    <row r="67" spans="1:52" s="325" customFormat="1" ht="19.5" customHeight="1">
      <c r="A67" s="1636"/>
      <c r="B67" s="1177" t="s">
        <v>26</v>
      </c>
      <c r="C67" s="1624"/>
      <c r="D67" s="1626"/>
      <c r="E67" s="1626"/>
      <c r="F67" s="1628"/>
      <c r="G67" s="1628"/>
      <c r="H67" s="1628"/>
      <c r="I67" s="1628"/>
      <c r="J67" s="1659"/>
      <c r="K67" s="1662"/>
      <c r="L67" s="1657"/>
      <c r="M67" s="1657"/>
      <c r="N67" s="1662"/>
      <c r="O67" s="1657"/>
      <c r="P67" s="1657"/>
      <c r="Q67" s="1662"/>
      <c r="R67" s="1657"/>
      <c r="S67" s="1657"/>
      <c r="T67" s="1662"/>
      <c r="U67" s="1657"/>
      <c r="V67" s="1657"/>
      <c r="W67" s="1662"/>
      <c r="X67" s="1678"/>
      <c r="Y67" s="1680"/>
      <c r="Z67" s="759"/>
      <c r="AA67" s="554"/>
      <c r="AG67" s="428"/>
      <c r="AI67" s="428"/>
      <c r="AJ67" s="428"/>
      <c r="AK67" s="428"/>
      <c r="AL67" s="428"/>
      <c r="AP67" s="336"/>
      <c r="AQ67" s="442"/>
      <c r="AR67" s="336"/>
      <c r="AS67" s="336"/>
      <c r="AT67" s="345"/>
      <c r="AU67" s="345"/>
      <c r="AV67" s="345"/>
      <c r="AW67" s="345"/>
      <c r="AX67" s="345"/>
      <c r="AY67" s="355"/>
      <c r="AZ67" s="355"/>
    </row>
    <row r="68" spans="1:52" s="325" customFormat="1" ht="19.5" customHeight="1">
      <c r="A68" s="1636"/>
      <c r="B68" s="1007" t="str">
        <f>C3</f>
        <v>Linac 1</v>
      </c>
      <c r="C68" s="1687" t="s">
        <v>334</v>
      </c>
      <c r="D68" s="1626">
        <v>5</v>
      </c>
      <c r="E68" s="1690">
        <v>1</v>
      </c>
      <c r="F68" s="1628"/>
      <c r="G68" s="1628"/>
      <c r="H68" s="1628"/>
      <c r="I68" s="1628"/>
      <c r="J68" s="1658">
        <f>IF($G66=0,0,IF($F66="recht",$G66/$C$24,($G66-0.301*$C$24)/$C$24))+IF($H66=0,0,IF($F66="recht",$H66/$C$25,($H66-0.301*$C$25)/$C$25))+$I66/$C$26</f>
        <v>7.3529411764705879</v>
      </c>
      <c r="K68" s="1661">
        <f>10^(-J68)</f>
        <v>4.4366873309786093E-8</v>
      </c>
      <c r="L68" s="1658">
        <f>($C$7*$C$8*$C$11*($C$12+$C$13*$C$14)*$E68/$D68/$D68*K68*1000000)</f>
        <v>1.0648049594348663E-3</v>
      </c>
      <c r="M68" s="1658">
        <f>IF($G66=0,0,IF($F66="recht",$G66/$D$24,($G66-0.301*$D$24)/$D$24))+IF($H66=0,0,IF($F66="recht",$H66/$D$25,($H66-0.301*$D$25)/$D$25))+$I66/$D$26</f>
        <v>6.5789473684210522</v>
      </c>
      <c r="N68" s="1661">
        <f>10^(-M68)</f>
        <v>2.636650898730358E-7</v>
      </c>
      <c r="O68" s="1658">
        <f>($C$7*$C$8*$D$11*($D$12+$D$13*$D$14)*$E68/$D68/$D68*N68*1000000)</f>
        <v>6.3279621569528599E-3</v>
      </c>
      <c r="P68" s="1658">
        <f>IF($G$66=0,0,IF($F66="recht",$G66/$E$24,($G66-0.301*$E$24)/$E$24))+IF($H66=0,0,IF($F66="recht",$H66/$E$25,($H66-0.301*$E$25)/$E$25))+$I66/$E$26*1</f>
        <v>6.5616797900262469</v>
      </c>
      <c r="Q68" s="1661">
        <f>10^(-P68)</f>
        <v>2.7435963093132793E-7</v>
      </c>
      <c r="R68" s="1658">
        <f>($C$7*$C$8*$E$11*($E$12+$E$13*$E$14)*$E68/$D68/$D68*Q68*1000000)</f>
        <v>6.5846311423518713E-3</v>
      </c>
      <c r="S68" s="1658">
        <f>IF($G66=0,0,IF($F66="recht",$G66/$F$24,($G66-0.301*$F$24)/$F$24))+IF($H66=0,0,IF($F66="recht",$H66/$F$25,($H66-0.301*$F$25)/$F$25))+$I66/$F$26</f>
        <v>8.1967213114754092</v>
      </c>
      <c r="T68" s="1661">
        <f>10^(-S68)</f>
        <v>6.3573875711648393E-9</v>
      </c>
      <c r="U68" s="1658">
        <f>($C$7*$C$8*$F$11*($F$12+$F$13*$F$14)*$E68/$D68/$D68*T68*1000000)</f>
        <v>8.6460470967841829E-5</v>
      </c>
      <c r="V68" s="1658">
        <f>IF($G66=0,0,IF($F66="recht",$G66/$G$24,($G66-0.301*$G$24)/$G$24))+IF($H66=0,0,IF($F66="recht",$H66/$G$25,($H66-0.301*$G$25)/$G$25))+$I66/$G$26</f>
        <v>7.0224719101123592</v>
      </c>
      <c r="W68" s="1661">
        <f>10^(-V68)</f>
        <v>9.4957241494880226E-8</v>
      </c>
      <c r="X68" s="1664">
        <f>($C$7*$C$8*$G$11*($G$12+$G$13*$G$14)*$E68/$D68/$D68*W68*1000000)</f>
        <v>8.7360662175289805E-4</v>
      </c>
      <c r="Y68" s="1666">
        <f>SUM(L68,O68,R68,U68,X68)</f>
        <v>1.4937465351460337E-2</v>
      </c>
      <c r="Z68" s="760"/>
      <c r="AA68" s="556"/>
      <c r="AG68" s="428"/>
      <c r="AH68" s="428"/>
      <c r="AI68" s="428"/>
      <c r="AJ68" s="428"/>
      <c r="AK68" s="428"/>
      <c r="AL68" s="428"/>
      <c r="AP68" s="336"/>
      <c r="AQ68" s="442"/>
      <c r="AR68" s="336"/>
      <c r="AS68" s="336"/>
      <c r="AT68" s="345"/>
      <c r="AU68" s="345"/>
      <c r="AV68" s="345"/>
      <c r="AW68" s="345"/>
      <c r="AX68" s="345"/>
      <c r="AY68" s="355"/>
      <c r="AZ68" s="355"/>
    </row>
    <row r="69" spans="1:52" s="325" customFormat="1" ht="19.5" customHeight="1" thickBot="1">
      <c r="A69" s="1637"/>
      <c r="B69" s="1010"/>
      <c r="C69" s="1688"/>
      <c r="D69" s="1689"/>
      <c r="E69" s="1691"/>
      <c r="F69" s="1629"/>
      <c r="G69" s="1629"/>
      <c r="H69" s="1629"/>
      <c r="I69" s="1629"/>
      <c r="J69" s="1660"/>
      <c r="K69" s="1662"/>
      <c r="L69" s="1657"/>
      <c r="M69" s="1659"/>
      <c r="N69" s="1662"/>
      <c r="O69" s="1657"/>
      <c r="P69" s="1660"/>
      <c r="Q69" s="1668"/>
      <c r="R69" s="1660"/>
      <c r="S69" s="1660"/>
      <c r="T69" s="1668"/>
      <c r="U69" s="1660"/>
      <c r="V69" s="1660"/>
      <c r="W69" s="1668"/>
      <c r="X69" s="1665"/>
      <c r="Y69" s="1667"/>
      <c r="Z69" s="761"/>
      <c r="AA69" s="558"/>
      <c r="AG69" s="428"/>
      <c r="AH69" s="428"/>
      <c r="AI69" s="428"/>
      <c r="AJ69" s="428"/>
      <c r="AK69" s="428"/>
      <c r="AL69" s="428"/>
      <c r="AP69" s="336"/>
      <c r="AQ69" s="442"/>
      <c r="AR69" s="336"/>
      <c r="AS69" s="336"/>
      <c r="AT69" s="345"/>
      <c r="AU69" s="345"/>
      <c r="AV69" s="345"/>
      <c r="AW69" s="345"/>
      <c r="AX69" s="345"/>
      <c r="AY69" s="355"/>
      <c r="AZ69" s="355"/>
    </row>
    <row r="70" spans="1:52" s="325" customFormat="1" ht="19.5" customHeight="1">
      <c r="A70" s="1638" t="str">
        <f ca="1">'Linac 2'!A$70</f>
        <v>B2</v>
      </c>
      <c r="B70" s="1004"/>
      <c r="C70" s="1623" t="s">
        <v>333</v>
      </c>
      <c r="D70" s="1625">
        <v>1</v>
      </c>
      <c r="E70" s="1625">
        <v>0</v>
      </c>
      <c r="F70" s="1627" t="s">
        <v>12</v>
      </c>
      <c r="G70" s="1627">
        <v>250</v>
      </c>
      <c r="H70" s="1627">
        <v>0</v>
      </c>
      <c r="I70" s="1627">
        <v>0</v>
      </c>
      <c r="J70" s="1656">
        <f>IF($G70=0,0,IF($F70="recht",1+($G70-$C$17)/$C$18,1+($G70-$C$17-0.301*$C$18)/$C$18))+IF($H70=0,0,IF($F70="recht",$H70/$C$19,($H70-0.301*$C$19)/$C$19))+$I70/$C$20</f>
        <v>7.4545454545454541</v>
      </c>
      <c r="K70" s="1663">
        <f>10^(-J70)</f>
        <v>3.5111917342151263E-8</v>
      </c>
      <c r="L70" s="1656">
        <f>($C$7*$C$11*$E70/$D70/$D70*K70*1000000)</f>
        <v>0</v>
      </c>
      <c r="M70" s="1656">
        <f>IF($G70=0,0,IF($F$70="recht",1+($G70-$D$17)/$D$18,1+($G70-$D$17-0.301*$D$18)/$D$18))+IF($H70=0,0,IF($F70="recht",$H70/$D$19,($H70-0.301*$D$19)/$D$19))+$I70/$D$20</f>
        <v>6.6486486486486482</v>
      </c>
      <c r="N70" s="1663">
        <f>10^(-M70)</f>
        <v>2.2456979955397711E-7</v>
      </c>
      <c r="O70" s="1656">
        <f>($C$7*$D$11*$E70/$D70/$D70*N70*1000000)</f>
        <v>0</v>
      </c>
      <c r="P70" s="1656">
        <f>IF($G$70=0,0,IF($F70="recht",1+($G70-$E$17)/$E$18,1+($G70-$E$17-0.301*$E$18)/$E$18))+IF($H70=0,0,IF($F70="recht",$H70/$E$19,($H70-0.301*$E$19)/$E$19))+$I70/$E$20</f>
        <v>6.024390243902439</v>
      </c>
      <c r="Q70" s="1663">
        <f>10^(-P70)</f>
        <v>9.4538728313079291E-7</v>
      </c>
      <c r="R70" s="1656">
        <f>($C$7*$E$11*$E70/$D70/$D70*Q70*1000000)</f>
        <v>0</v>
      </c>
      <c r="S70" s="1656">
        <f>IF($G70=0,0,IF($F70="recht",1+($G70-$F$17)/$F$18,1+($G70-$F$17-0.301*$F$18)/$F$18))+IF($H70=0,0,IF($F70="recht",$H70/$F$19,($H70-0.301*$F$19)/$F$19))+$I70/$F$20</f>
        <v>9.1481481481481488</v>
      </c>
      <c r="T70" s="1663">
        <f>10^(-S70)</f>
        <v>7.1097094323124171E-10</v>
      </c>
      <c r="U70" s="1656">
        <f>($C$7*$F$11*$E70/$D70/$D70*T70*1000000)</f>
        <v>0</v>
      </c>
      <c r="V70" s="1656">
        <f>IF($G70=0,0,IF($F70="recht",1+($G70-$G$17)/$G$18,1+($G70-$G$17-0.301*$G$18)/$G$18))+IF($H70=0,0,IF($F70="recht",$H70/$G$19,($H70-0.301*$G$19)/$G$19))+$I70/$G$20</f>
        <v>6.9444444444444446</v>
      </c>
      <c r="W70" s="1663">
        <f>10^(-V70)</f>
        <v>1.136463666385722E-7</v>
      </c>
      <c r="X70" s="1677">
        <f>($C$7*$G$11*$E70/$D70/$D70*W70*1000000)</f>
        <v>0</v>
      </c>
      <c r="Y70" s="1679">
        <f>SUM(L70,O70,R70,U70,X70)</f>
        <v>0</v>
      </c>
      <c r="Z70" s="758">
        <f>SUM(Y70:Y72)</f>
        <v>1.4937465351460337E-2</v>
      </c>
      <c r="AA70" s="552">
        <f>Z70*52/1000</f>
        <v>7.7674819827593751E-4</v>
      </c>
      <c r="AG70" s="428"/>
      <c r="AI70" s="428"/>
      <c r="AJ70" s="428"/>
      <c r="AK70" s="428"/>
      <c r="AL70" s="428"/>
      <c r="AP70" s="336"/>
      <c r="AQ70" s="442"/>
      <c r="AR70" s="336"/>
      <c r="AS70" s="336"/>
      <c r="AT70" s="345"/>
      <c r="AU70" s="345"/>
      <c r="AV70" s="345"/>
      <c r="AW70" s="345"/>
      <c r="AX70" s="345"/>
      <c r="AY70" s="355"/>
      <c r="AZ70" s="355"/>
    </row>
    <row r="71" spans="1:52" s="325" customFormat="1" ht="19.5" customHeight="1">
      <c r="A71" s="1639"/>
      <c r="B71" s="1008" t="s">
        <v>26</v>
      </c>
      <c r="C71" s="1624"/>
      <c r="D71" s="1626"/>
      <c r="E71" s="1626"/>
      <c r="F71" s="1628"/>
      <c r="G71" s="1628"/>
      <c r="H71" s="1628"/>
      <c r="I71" s="1628"/>
      <c r="J71" s="1659"/>
      <c r="K71" s="1662"/>
      <c r="L71" s="1657"/>
      <c r="M71" s="1657"/>
      <c r="N71" s="1662"/>
      <c r="O71" s="1657"/>
      <c r="P71" s="1657"/>
      <c r="Q71" s="1662"/>
      <c r="R71" s="1657"/>
      <c r="S71" s="1657"/>
      <c r="T71" s="1662"/>
      <c r="U71" s="1657"/>
      <c r="V71" s="1657"/>
      <c r="W71" s="1662"/>
      <c r="X71" s="1678"/>
      <c r="Y71" s="1686"/>
      <c r="Z71" s="759"/>
      <c r="AA71" s="554"/>
      <c r="AG71" s="428"/>
      <c r="AI71" s="428"/>
      <c r="AJ71" s="428"/>
      <c r="AK71" s="428"/>
      <c r="AL71" s="428"/>
      <c r="AP71" s="336"/>
      <c r="AQ71" s="442"/>
      <c r="AR71" s="336"/>
      <c r="AS71" s="336"/>
      <c r="AT71" s="345"/>
      <c r="AU71" s="345"/>
      <c r="AV71" s="345"/>
      <c r="AW71" s="345"/>
      <c r="AX71" s="345"/>
      <c r="AY71" s="355"/>
      <c r="AZ71" s="355"/>
    </row>
    <row r="72" spans="1:52" s="325" customFormat="1" ht="19.5" customHeight="1">
      <c r="A72" s="1639"/>
      <c r="B72" s="1008" t="str">
        <f ca="1">'Linac 2'!C$3</f>
        <v>Linac 2</v>
      </c>
      <c r="C72" s="1687" t="s">
        <v>334</v>
      </c>
      <c r="D72" s="1626">
        <v>5</v>
      </c>
      <c r="E72" s="1690">
        <v>1</v>
      </c>
      <c r="F72" s="1628"/>
      <c r="G72" s="1628"/>
      <c r="H72" s="1628"/>
      <c r="I72" s="1628"/>
      <c r="J72" s="1658">
        <f>IF($G70=0,0,IF($F70="recht",$G70/$C$24,($G70-0.301*$C$24)/$C$24))+IF($H70=0,0,IF($F70="recht",$H70/$C$25,($H70-0.301*$C$25)/$C$25))+$I70/$C$26</f>
        <v>7.3529411764705879</v>
      </c>
      <c r="K72" s="1661">
        <f>10^(-J72)</f>
        <v>4.4366873309786093E-8</v>
      </c>
      <c r="L72" s="1658">
        <f>($C$7*$C$8*$C$11*($C$12+$C$13*$C$14)*$E72/$D72/$D72*K72*1000000)</f>
        <v>1.0648049594348663E-3</v>
      </c>
      <c r="M72" s="1658">
        <f>IF($G70=0,0,IF($F70="recht",$G70/$D$24,($G70-0.301*$D$24)/$D$24))+IF($H70=0,0,IF($F70="recht",$H70/$D$25,($H70-0.301*$D$25)/$D$25))+$I70/$D$26</f>
        <v>6.5789473684210522</v>
      </c>
      <c r="N72" s="1661">
        <f>10^(-M72)</f>
        <v>2.636650898730358E-7</v>
      </c>
      <c r="O72" s="1658">
        <f>($C$7*$C$8*$D$11*($D$12+$D$13*$D$14)*$E72/$D72/$D72*N72*1000000)</f>
        <v>6.3279621569528599E-3</v>
      </c>
      <c r="P72" s="1658">
        <f>IF($G$70=0,0,IF($F70="recht",$G70/$E$24,($G70-0.301*$E$24)/$E$24))+IF($H70=0,0,IF($F70="recht",$H70/$E$25,($H70-0.301*$E$25)/$E$25))+$I70/$E$26*1</f>
        <v>6.5616797900262469</v>
      </c>
      <c r="Q72" s="1661">
        <f>10^(-P72)</f>
        <v>2.7435963093132793E-7</v>
      </c>
      <c r="R72" s="1658">
        <f>($C$7*$C$8*$E$11*($E$12+$E$13*$E$14)*$E72/$D72/$D72*Q72*1000000)</f>
        <v>6.5846311423518713E-3</v>
      </c>
      <c r="S72" s="1658">
        <f>IF($G70=0,0,IF($F70="recht",$G70/$F$24,($G70-0.301*$F$24)/$F$24))+IF($H70=0,0,IF($F70="recht",$H70/$F$25,($H70-0.301*$F$25)/$F$25))+$I70/$F$26</f>
        <v>8.1967213114754092</v>
      </c>
      <c r="T72" s="1661">
        <f>10^(-S72)</f>
        <v>6.3573875711648393E-9</v>
      </c>
      <c r="U72" s="1658">
        <f>($C$7*$C$8*$F$11*($F$12+$F$13*$F$14)*$E72/$D72/$D72*T72*1000000)</f>
        <v>8.6460470967841829E-5</v>
      </c>
      <c r="V72" s="1658">
        <f>IF($G70=0,0,IF($F70="recht",$G70/$G$24,($G70-0.301*$G$24)/$G$24))+IF($H70=0,0,IF($F70="recht",$H70/$G$25,($H70-0.301*$G$25)/$G$25))+$I70/$G$26</f>
        <v>7.0224719101123592</v>
      </c>
      <c r="W72" s="1661">
        <f>10^(-V72)</f>
        <v>9.4957241494880226E-8</v>
      </c>
      <c r="X72" s="1664">
        <f>($C$7*$C$8*$G$11*($G$12+$G$13*$G$14)*$E72/$D72/$D72*W72*1000000)</f>
        <v>8.7360662175289805E-4</v>
      </c>
      <c r="Y72" s="1680">
        <f>SUM(L72,O72,R72,U72,X72)</f>
        <v>1.4937465351460337E-2</v>
      </c>
      <c r="Z72" s="760"/>
      <c r="AA72" s="556"/>
      <c r="AG72" s="428"/>
      <c r="AH72" s="428"/>
      <c r="AI72" s="428"/>
      <c r="AJ72" s="428"/>
      <c r="AK72" s="428"/>
      <c r="AL72" s="428"/>
      <c r="AP72" s="336"/>
      <c r="AQ72" s="442"/>
      <c r="AR72" s="336"/>
      <c r="AS72" s="336"/>
      <c r="AT72" s="345"/>
      <c r="AU72" s="345"/>
      <c r="AV72" s="345"/>
      <c r="AW72" s="345"/>
      <c r="AX72" s="345"/>
      <c r="AY72" s="355"/>
      <c r="AZ72" s="355"/>
    </row>
    <row r="73" spans="1:52" s="325" customFormat="1" ht="19.5" customHeight="1" thickBot="1">
      <c r="A73" s="1640"/>
      <c r="B73" s="1008"/>
      <c r="C73" s="1688"/>
      <c r="D73" s="1689"/>
      <c r="E73" s="1691"/>
      <c r="F73" s="1629"/>
      <c r="G73" s="1629"/>
      <c r="H73" s="1629"/>
      <c r="I73" s="1629"/>
      <c r="J73" s="1660"/>
      <c r="K73" s="1662"/>
      <c r="L73" s="1657"/>
      <c r="M73" s="1659"/>
      <c r="N73" s="1662"/>
      <c r="O73" s="1657"/>
      <c r="P73" s="1660"/>
      <c r="Q73" s="1668"/>
      <c r="R73" s="1660"/>
      <c r="S73" s="1660"/>
      <c r="T73" s="1668"/>
      <c r="U73" s="1660"/>
      <c r="V73" s="1660"/>
      <c r="W73" s="1668"/>
      <c r="X73" s="1665"/>
      <c r="Y73" s="1667"/>
      <c r="Z73" s="761"/>
      <c r="AA73" s="558"/>
      <c r="AG73" s="428"/>
      <c r="AH73" s="428"/>
      <c r="AI73" s="428"/>
      <c r="AJ73" s="428"/>
      <c r="AK73" s="428"/>
      <c r="AL73" s="428"/>
      <c r="AP73" s="336"/>
      <c r="AQ73" s="442"/>
      <c r="AR73" s="336"/>
      <c r="AS73" s="336"/>
      <c r="AT73" s="345"/>
      <c r="AU73" s="345"/>
      <c r="AV73" s="345"/>
      <c r="AW73" s="345"/>
      <c r="AX73" s="345"/>
      <c r="AY73" s="355"/>
      <c r="AZ73" s="355"/>
    </row>
    <row r="74" spans="1:52" s="325" customFormat="1" ht="19.5" customHeight="1">
      <c r="A74" s="1638" t="str">
        <f ca="1">'Linac 3'!A$74</f>
        <v>B3</v>
      </c>
      <c r="B74" s="1004"/>
      <c r="C74" s="1623" t="s">
        <v>333</v>
      </c>
      <c r="D74" s="1625">
        <v>1</v>
      </c>
      <c r="E74" s="1625">
        <v>0</v>
      </c>
      <c r="F74" s="1627" t="s">
        <v>12</v>
      </c>
      <c r="G74" s="1627">
        <v>250</v>
      </c>
      <c r="H74" s="1627">
        <v>0</v>
      </c>
      <c r="I74" s="1627">
        <v>0</v>
      </c>
      <c r="J74" s="1656">
        <f>IF($G74=0,0,IF($F74="recht",1+($G74-$C$17)/$C$18,1+($G74-$C$17-0.301*$C$18)/$C$18))+IF($H74=0,0,IF($F74="recht",$H74/$C$19,($H74-0.301*$C$19)/$C$19))+$I74/$C$20</f>
        <v>7.4545454545454541</v>
      </c>
      <c r="K74" s="1663">
        <f>10^(-J74)</f>
        <v>3.5111917342151263E-8</v>
      </c>
      <c r="L74" s="1656">
        <f>($C$7*$C$11*$E74/$D74/$D74*K74*1000000)</f>
        <v>0</v>
      </c>
      <c r="M74" s="1656">
        <f>IF($G74=0,0,IF($F$74="recht",1+($G74-$D$17)/$D$18,1+($G74-$D$17-0.301*$D$18)/$D$18))+IF($H74=0,0,IF($F74="recht",$H74/$D$19,($H74-0.301*$D$19)/$D$19))+$I74/$D$20</f>
        <v>6.6486486486486482</v>
      </c>
      <c r="N74" s="1663">
        <f>10^(-M74)</f>
        <v>2.2456979955397711E-7</v>
      </c>
      <c r="O74" s="1656">
        <f>($C$7*$D$11*$E74/$D74/$D74*N74*1000000)</f>
        <v>0</v>
      </c>
      <c r="P74" s="1656">
        <f>IF($G$74=0,0,IF($F74="recht",1+($G74-$E$17)/$E$18,1+($G74-$E$17-0.301*$E$18)/$E$18))+IF($H74=0,0,IF($F74="recht",$H74/$E$19,($H74-0.301*$E$19)/$E$19))+$I74/$E$20</f>
        <v>6.024390243902439</v>
      </c>
      <c r="Q74" s="1663">
        <f>10^(-P74)</f>
        <v>9.4538728313079291E-7</v>
      </c>
      <c r="R74" s="1656">
        <f>($C$7*$E$11*$E74/$D74/$D74*Q74*1000000)</f>
        <v>0</v>
      </c>
      <c r="S74" s="1656">
        <f>IF($G74=0,0,IF($F74="recht",1+($G74-$F$17)/$F$18,1+($G74-$F$17-0.301*$F$18)/$F$18))+IF($H74=0,0,IF($F74="recht",$H74/$F$19,($H74-0.301*$F$19)/$F$19))+$I74/$F$20</f>
        <v>9.1481481481481488</v>
      </c>
      <c r="T74" s="1699">
        <f>10^(-S74)</f>
        <v>7.1097094323124171E-10</v>
      </c>
      <c r="U74" s="1659">
        <f>($C$7*$F$11*$E74/$D74/$D74*T74*1000000)</f>
        <v>0</v>
      </c>
      <c r="V74" s="1656">
        <f>IF($G74=0,0,IF($F74="recht",1+($G74-$G$17)/$G$18,1+($G74-$G$17-0.301*$G$18)/$G$18))+IF($H74=0,0,IF($F74="recht",$H74/$G$19,($H74-0.301*$G$19)/$G$19))+$I74/$G$20</f>
        <v>6.9444444444444446</v>
      </c>
      <c r="W74" s="1699">
        <f>10^(-V74)</f>
        <v>1.136463666385722E-7</v>
      </c>
      <c r="X74" s="1698">
        <f>($C$7*$G$11*$E74/$D74/$D74*W74*1000000)</f>
        <v>0</v>
      </c>
      <c r="Y74" s="1679">
        <f>SUM(L74,O74,R74,U74,X74)</f>
        <v>0</v>
      </c>
      <c r="Z74" s="758">
        <f>SUM(Y74:Y76)</f>
        <v>1.4937465351460337E-2</v>
      </c>
      <c r="AA74" s="552">
        <f>Z74*52/1000</f>
        <v>7.7674819827593751E-4</v>
      </c>
      <c r="AG74" s="428"/>
      <c r="AI74" s="428"/>
      <c r="AJ74" s="428"/>
      <c r="AK74" s="428"/>
      <c r="AL74" s="428"/>
      <c r="AP74" s="336"/>
      <c r="AQ74" s="442"/>
      <c r="AR74" s="336"/>
      <c r="AS74" s="336"/>
      <c r="AT74" s="345"/>
      <c r="AU74" s="345"/>
      <c r="AV74" s="345"/>
      <c r="AW74" s="345"/>
      <c r="AX74" s="345"/>
      <c r="AY74" s="355"/>
      <c r="AZ74" s="355"/>
    </row>
    <row r="75" spans="1:52" s="325" customFormat="1" ht="19.5" customHeight="1">
      <c r="A75" s="1639"/>
      <c r="B75" s="1008" t="s">
        <v>26</v>
      </c>
      <c r="C75" s="1624"/>
      <c r="D75" s="1626"/>
      <c r="E75" s="1626"/>
      <c r="F75" s="1628"/>
      <c r="G75" s="1628"/>
      <c r="H75" s="1628"/>
      <c r="I75" s="1628"/>
      <c r="J75" s="1659"/>
      <c r="K75" s="1662"/>
      <c r="L75" s="1657"/>
      <c r="M75" s="1657"/>
      <c r="N75" s="1662"/>
      <c r="O75" s="1657"/>
      <c r="P75" s="1657"/>
      <c r="Q75" s="1662"/>
      <c r="R75" s="1657"/>
      <c r="S75" s="1657"/>
      <c r="T75" s="1662"/>
      <c r="U75" s="1657"/>
      <c r="V75" s="1657"/>
      <c r="W75" s="1662"/>
      <c r="X75" s="1678"/>
      <c r="Y75" s="1680"/>
      <c r="Z75" s="759"/>
      <c r="AA75" s="554"/>
      <c r="AG75" s="428"/>
      <c r="AI75" s="428"/>
      <c r="AJ75" s="428"/>
      <c r="AK75" s="428"/>
      <c r="AL75" s="428"/>
      <c r="AP75" s="336"/>
      <c r="AQ75" s="442"/>
      <c r="AR75" s="336"/>
      <c r="AS75" s="336"/>
      <c r="AT75" s="345"/>
      <c r="AU75" s="345"/>
      <c r="AV75" s="345"/>
      <c r="AW75" s="345"/>
      <c r="AX75" s="345"/>
      <c r="AY75" s="355"/>
      <c r="AZ75" s="355"/>
    </row>
    <row r="76" spans="1:52" s="325" customFormat="1" ht="19.5" customHeight="1">
      <c r="A76" s="1639"/>
      <c r="B76" s="1008" t="str">
        <f ca="1">'Linac 3'!C$3</f>
        <v>Linac 3</v>
      </c>
      <c r="C76" s="1687" t="s">
        <v>334</v>
      </c>
      <c r="D76" s="1626">
        <v>5</v>
      </c>
      <c r="E76" s="1690">
        <v>1</v>
      </c>
      <c r="F76" s="1628"/>
      <c r="G76" s="1628"/>
      <c r="H76" s="1628"/>
      <c r="I76" s="1628"/>
      <c r="J76" s="1658">
        <f>IF($G74=0,0,IF($F74="recht",$G74/$C$24,($G74-0.301*$C$24)/$C$24))+IF($H74=0,0,IF($F74="recht",$H74/$C$25,($H74-0.301*$C$25)/$C$25))+$I74/$C$26</f>
        <v>7.3529411764705879</v>
      </c>
      <c r="K76" s="1661">
        <f>10^(-J76)</f>
        <v>4.4366873309786093E-8</v>
      </c>
      <c r="L76" s="1658">
        <f>($C$7*$C$8*$C$11*($C$12+$C$13*$C$14)*$E76/$D76/$D76*K76*1000000)</f>
        <v>1.0648049594348663E-3</v>
      </c>
      <c r="M76" s="1658">
        <f>IF($G74=0,0,IF($F74="recht",$G74/$D$24,($G74-0.301*$D$24)/$D$24))+IF($H74=0,0,IF($F74="recht",$H74/$D$25,($H74-0.301*$D$25)/$D$25))+$I74/$D$26</f>
        <v>6.5789473684210522</v>
      </c>
      <c r="N76" s="1661">
        <f>10^(-M76)</f>
        <v>2.636650898730358E-7</v>
      </c>
      <c r="O76" s="1658">
        <f>($C$7*$C$8*$D$11*($D$12+$D$13*$D$14)*$E76/$D76/$D76*N76*1000000)</f>
        <v>6.3279621569528599E-3</v>
      </c>
      <c r="P76" s="1658">
        <f>IF($G$74=0,0,IF($F74="recht",$G74/$E$24,($G74-0.301*$E$24)/$E$24))+IF($H74=0,0,IF($F74="recht",$H74/$E$25,($H74-0.301*$E$25)/$E$25))+$I74/$E$26*1</f>
        <v>6.5616797900262469</v>
      </c>
      <c r="Q76" s="1661">
        <f>10^(-P76)</f>
        <v>2.7435963093132793E-7</v>
      </c>
      <c r="R76" s="1658">
        <f>($C$7*$C$8*$E$11*($E$12+$E$13*$E$14)*$E76/$D76/$D76*Q76*1000000)</f>
        <v>6.5846311423518713E-3</v>
      </c>
      <c r="S76" s="1658">
        <f>IF($G74=0,0,IF($F74="recht",$G74/$F$24,($G74-0.301*$F$24)/$F$24))+IF($H74=0,0,IF($F74="recht",$H74/$F$25,($H74-0.301*$F$25)/$F$25))+$I74/$F$26</f>
        <v>8.1967213114754092</v>
      </c>
      <c r="T76" s="1661">
        <f>10^(-S76)</f>
        <v>6.3573875711648393E-9</v>
      </c>
      <c r="U76" s="1658">
        <f>($C$7*$C$8*$F$11*($F$12+$F$13*$F$14)*$E76/$D76/$D76*T76*1000000)</f>
        <v>8.6460470967841829E-5</v>
      </c>
      <c r="V76" s="1658">
        <f>IF($G74=0,0,IF($F74="recht",$G74/$G$24,($G74-0.301*$G$24)/$G$24))+IF($H74=0,0,IF($F74="recht",$H74/$G$25,($H74-0.301*$G$25)/$G$25))+$I74/$G$26</f>
        <v>7.0224719101123592</v>
      </c>
      <c r="W76" s="1661">
        <f>10^(-V76)</f>
        <v>9.4957241494880226E-8</v>
      </c>
      <c r="X76" s="1664">
        <f>($C$7*$C$8*$G$11*($G$12+$G$13*$G$14)*$E76/$D76/$D76*W76*1000000)</f>
        <v>8.7360662175289805E-4</v>
      </c>
      <c r="Y76" s="1666">
        <f>SUM(L76,O76,R76,U76,X76)</f>
        <v>1.4937465351460337E-2</v>
      </c>
      <c r="Z76" s="760"/>
      <c r="AA76" s="556"/>
      <c r="AG76" s="428"/>
      <c r="AH76" s="428"/>
      <c r="AI76" s="428"/>
      <c r="AJ76" s="428"/>
      <c r="AK76" s="428"/>
      <c r="AL76" s="428"/>
      <c r="AP76" s="336"/>
      <c r="AQ76" s="442"/>
      <c r="AR76" s="336"/>
      <c r="AS76" s="336"/>
      <c r="AT76" s="345"/>
      <c r="AU76" s="345"/>
      <c r="AV76" s="345"/>
      <c r="AW76" s="345"/>
      <c r="AX76" s="345"/>
      <c r="AY76" s="355"/>
      <c r="AZ76" s="355"/>
    </row>
    <row r="77" spans="1:52" s="325" customFormat="1" ht="19.5" customHeight="1" thickBot="1">
      <c r="A77" s="1640"/>
      <c r="B77" s="1009"/>
      <c r="C77" s="1688"/>
      <c r="D77" s="1689"/>
      <c r="E77" s="1691"/>
      <c r="F77" s="1629"/>
      <c r="G77" s="1629"/>
      <c r="H77" s="1629"/>
      <c r="I77" s="1629"/>
      <c r="J77" s="1660"/>
      <c r="K77" s="1662"/>
      <c r="L77" s="1657"/>
      <c r="M77" s="1659"/>
      <c r="N77" s="1662"/>
      <c r="O77" s="1657"/>
      <c r="P77" s="1660"/>
      <c r="Q77" s="1668"/>
      <c r="R77" s="1660"/>
      <c r="S77" s="1660"/>
      <c r="T77" s="1699"/>
      <c r="U77" s="1659"/>
      <c r="V77" s="1660"/>
      <c r="W77" s="1699"/>
      <c r="X77" s="1698"/>
      <c r="Y77" s="1667"/>
      <c r="Z77" s="761"/>
      <c r="AA77" s="558"/>
      <c r="AG77" s="428"/>
      <c r="AH77" s="428"/>
      <c r="AI77" s="428"/>
      <c r="AJ77" s="428"/>
      <c r="AK77" s="428"/>
      <c r="AL77" s="428"/>
      <c r="AP77" s="336"/>
      <c r="AQ77" s="442"/>
      <c r="AR77" s="336"/>
      <c r="AS77" s="336"/>
      <c r="AT77" s="345"/>
      <c r="AU77" s="345"/>
      <c r="AV77" s="345"/>
      <c r="AW77" s="345"/>
      <c r="AX77" s="345"/>
      <c r="AY77" s="355"/>
      <c r="AZ77" s="355"/>
    </row>
    <row r="78" spans="1:52" s="325" customFormat="1" ht="19.5" customHeight="1">
      <c r="A78" s="1638" t="str">
        <f ca="1">'Linac 4'!A$78</f>
        <v>B4</v>
      </c>
      <c r="B78" s="1008"/>
      <c r="C78" s="1623" t="s">
        <v>333</v>
      </c>
      <c r="D78" s="1625">
        <v>1</v>
      </c>
      <c r="E78" s="1625">
        <v>0</v>
      </c>
      <c r="F78" s="1627" t="s">
        <v>12</v>
      </c>
      <c r="G78" s="1627">
        <v>250</v>
      </c>
      <c r="H78" s="1627">
        <v>0</v>
      </c>
      <c r="I78" s="1627">
        <v>0</v>
      </c>
      <c r="J78" s="1656">
        <f>IF($G78=0,0,IF($F78="recht",1+($G78-$C$17)/$C$18,1+($G78-$C$17-0.301*$C$18)/$C$18))+IF($H78=0,0,IF($F78="recht",$H78/$C$19,($H78-0.301*$C$19)/$C$19))+$I78/$C$20</f>
        <v>7.4545454545454541</v>
      </c>
      <c r="K78" s="1663">
        <f>10^(-J78)</f>
        <v>3.5111917342151263E-8</v>
      </c>
      <c r="L78" s="1656">
        <f>($C$7*$C$11*$E78/$D78/$D78*K78*1000000)</f>
        <v>0</v>
      </c>
      <c r="M78" s="1656">
        <f>IF($G78=0,0,IF($F$78="recht",1+($G78-$D$17)/$D$18,1+($G78-$D$17-0.301*$D$18)/$D$18))+IF($H78=0,0,IF($F78="recht",$H78/$D$19,($H78-0.301*$D$19)/$D$19))+$I78/$D$20</f>
        <v>6.6486486486486482</v>
      </c>
      <c r="N78" s="1663">
        <f>10^(-M78)</f>
        <v>2.2456979955397711E-7</v>
      </c>
      <c r="O78" s="1656">
        <f>($C$7*$D$11*$E78/$D78/$D78*N78*1000000)</f>
        <v>0</v>
      </c>
      <c r="P78" s="1656">
        <f>IF($G$78=0,0,IF($F78="recht",1+($G78-$E$17)/$E$18,1+($G78-$E$17-0.301*$E$18)/$E$18))+IF($H78=0,0,IF($F78="recht",$H78/$E$19,($H78-0.301*$E$19)/$E$19))+$I78/$E$20</f>
        <v>6.024390243902439</v>
      </c>
      <c r="Q78" s="1663">
        <f>10^(-P78)</f>
        <v>9.4538728313079291E-7</v>
      </c>
      <c r="R78" s="1656">
        <f>($C$7*$E$11*$E78/$D78/$D78*Q78*1000000)</f>
        <v>0</v>
      </c>
      <c r="S78" s="1656">
        <f>IF($G78=0,0,IF($F78="recht",1+($G78-$F$17)/$F$18,1+($G78-$F$17-0.301*$F$18)/$F$18))+IF($H78=0,0,IF($F78="recht",$H78/$F$19,($H78-0.301*$F$19)/$F$19))+$I78/$F$20</f>
        <v>9.1481481481481488</v>
      </c>
      <c r="T78" s="1663">
        <f>10^(-S78)</f>
        <v>7.1097094323124171E-10</v>
      </c>
      <c r="U78" s="1656">
        <f>($C$7*$F$11*$E78/$D78/$D78*T78*1000000)</f>
        <v>0</v>
      </c>
      <c r="V78" s="1656">
        <f>IF($G78=0,0,IF($F78="recht",1+($G78-$G$17)/$G$18,1+($G78-$G$17-0.301*$G$18)/$G$18))+IF($H78=0,0,IF($F78="recht",$H78/$G$19,($H78-0.301*$G$19)/$G$19))+$I78/$G$20</f>
        <v>6.9444444444444446</v>
      </c>
      <c r="W78" s="1663">
        <f>10^(-V78)</f>
        <v>1.136463666385722E-7</v>
      </c>
      <c r="X78" s="1677">
        <f>($C$7*$G$11*$E78/$D78/$D78*W78*1000000)</f>
        <v>0</v>
      </c>
      <c r="Y78" s="1679">
        <f>SUM(L78,O78,R78,U78,X78)</f>
        <v>0</v>
      </c>
      <c r="Z78" s="758">
        <f>SUM(Y78:Y80)</f>
        <v>1.4937465351460337E-2</v>
      </c>
      <c r="AA78" s="552">
        <f>Z78*52/1000</f>
        <v>7.7674819827593751E-4</v>
      </c>
      <c r="AG78" s="428"/>
      <c r="AI78" s="428"/>
      <c r="AJ78" s="428"/>
      <c r="AK78" s="428"/>
      <c r="AL78" s="428"/>
      <c r="AP78" s="336"/>
      <c r="AQ78" s="442"/>
      <c r="AR78" s="336"/>
      <c r="AS78" s="336"/>
      <c r="AT78" s="345"/>
      <c r="AU78" s="345"/>
      <c r="AV78" s="345"/>
      <c r="AW78" s="345"/>
      <c r="AX78" s="345"/>
      <c r="AY78" s="355"/>
      <c r="AZ78" s="355"/>
    </row>
    <row r="79" spans="1:52" s="325" customFormat="1" ht="19.5" customHeight="1">
      <c r="A79" s="1639"/>
      <c r="B79" s="1008" t="s">
        <v>26</v>
      </c>
      <c r="C79" s="1624"/>
      <c r="D79" s="1626"/>
      <c r="E79" s="1626"/>
      <c r="F79" s="1628"/>
      <c r="G79" s="1628"/>
      <c r="H79" s="1628"/>
      <c r="I79" s="1628"/>
      <c r="J79" s="1659"/>
      <c r="K79" s="1662"/>
      <c r="L79" s="1657"/>
      <c r="M79" s="1657"/>
      <c r="N79" s="1662"/>
      <c r="O79" s="1657"/>
      <c r="P79" s="1657"/>
      <c r="Q79" s="1662"/>
      <c r="R79" s="1657"/>
      <c r="S79" s="1657"/>
      <c r="T79" s="1662"/>
      <c r="U79" s="1657"/>
      <c r="V79" s="1657"/>
      <c r="W79" s="1662"/>
      <c r="X79" s="1678"/>
      <c r="Y79" s="1686"/>
      <c r="Z79" s="553"/>
      <c r="AA79" s="554"/>
      <c r="AG79" s="428"/>
      <c r="AI79" s="428"/>
      <c r="AJ79" s="428"/>
      <c r="AK79" s="428"/>
      <c r="AL79" s="428"/>
      <c r="AP79" s="336"/>
      <c r="AQ79" s="442"/>
      <c r="AR79" s="336"/>
      <c r="AS79" s="336"/>
      <c r="AT79" s="345"/>
      <c r="AU79" s="345"/>
      <c r="AV79" s="345"/>
      <c r="AW79" s="345"/>
      <c r="AX79" s="345"/>
      <c r="AY79" s="355"/>
      <c r="AZ79" s="355"/>
    </row>
    <row r="80" spans="1:52" s="325" customFormat="1" ht="19.5" customHeight="1">
      <c r="A80" s="1639"/>
      <c r="B80" s="1008" t="str">
        <f ca="1">'Linac 4'!C$3</f>
        <v>Linac 4</v>
      </c>
      <c r="C80" s="1687" t="s">
        <v>334</v>
      </c>
      <c r="D80" s="1626">
        <v>5</v>
      </c>
      <c r="E80" s="1690">
        <v>1</v>
      </c>
      <c r="F80" s="1628"/>
      <c r="G80" s="1628"/>
      <c r="H80" s="1628"/>
      <c r="I80" s="1628"/>
      <c r="J80" s="1658">
        <f>IF($G78=0,0,IF($F78="recht",$G78/$C$24,($G78-0.301*$C$24)/$C$24))+IF($H78=0,0,IF($F78="recht",$H78/$C$25,($H78-0.301*$C$25)/$C$25))+$I78/$C$26</f>
        <v>7.3529411764705879</v>
      </c>
      <c r="K80" s="1661">
        <f>10^(-J80)</f>
        <v>4.4366873309786093E-8</v>
      </c>
      <c r="L80" s="1658">
        <f>($C$7*$C$8*$C$11*($C$12+$C$13*$C$14)*$E80/$D80/$D80*K80*1000000)</f>
        <v>1.0648049594348663E-3</v>
      </c>
      <c r="M80" s="1658">
        <f>IF($G78=0,0,IF($F78="recht",$G78/$D$24,($G78-0.301*$D$24)/$D$24))+IF($H78=0,0,IF($F78="recht",$H78/$D$25,($H78-0.301*$D$25)/$D$25))+$I78/$D$26</f>
        <v>6.5789473684210522</v>
      </c>
      <c r="N80" s="1661">
        <f>10^(-M80)</f>
        <v>2.636650898730358E-7</v>
      </c>
      <c r="O80" s="1658">
        <f>($C$7*$C$8*$D$11*($D$12+$D$13*$D$14)*$E80/$D80/$D80*N80*1000000)</f>
        <v>6.3279621569528599E-3</v>
      </c>
      <c r="P80" s="1658">
        <f>IF($G$78=0,0,IF($F78="recht",$G78/$E$24,($G78-0.301*$E$24)/$E$24))+IF($H78=0,0,IF($F78="recht",$H78/$E$25,($H78-0.301*$E$25)/$E$25))+$I78/$E$26*1</f>
        <v>6.5616797900262469</v>
      </c>
      <c r="Q80" s="1661">
        <f>10^(-P80)</f>
        <v>2.7435963093132793E-7</v>
      </c>
      <c r="R80" s="1658">
        <f>($C$7*$C$8*$E$11*($E$12+$E$13*$E$14)*$E80/$D80/$D80*Q80*1000000)</f>
        <v>6.5846311423518713E-3</v>
      </c>
      <c r="S80" s="1658">
        <f>IF($G78=0,0,IF($F78="recht",$G78/$F$24,($G78-0.301*$F$24)/$F$24))+IF($H78=0,0,IF($F78="recht",$H78/$F$25,($H78-0.301*$F$25)/$F$25))+$I78/$F$26</f>
        <v>8.1967213114754092</v>
      </c>
      <c r="T80" s="1661">
        <f>10^(-S80)</f>
        <v>6.3573875711648393E-9</v>
      </c>
      <c r="U80" s="1658">
        <f>($C$7*$C$8*$F$11*($F$12+$F$13*$F$14)*$E80/$D80/$D80*T80*1000000)</f>
        <v>8.6460470967841829E-5</v>
      </c>
      <c r="V80" s="1658">
        <f>IF($G78=0,0,IF($F78="recht",$G78/$G$24,($G78-0.301*$G$24)/$G$24))+IF($H78=0,0,IF($F78="recht",$H78/$G$25,($H78-0.301*$G$25)/$G$25))+$I78/$G$26</f>
        <v>7.0224719101123592</v>
      </c>
      <c r="W80" s="1661">
        <f>10^(-V80)</f>
        <v>9.4957241494880226E-8</v>
      </c>
      <c r="X80" s="1664">
        <f>($C$7*$C$8*$G$11*($G$12+$G$13*$G$14)*$E80/$D80/$D80*W80*1000000)</f>
        <v>8.7360662175289805E-4</v>
      </c>
      <c r="Y80" s="1680">
        <f>SUM(L80,O80,R80,U80,X80)</f>
        <v>1.4937465351460337E-2</v>
      </c>
      <c r="Z80" s="555"/>
      <c r="AA80" s="556"/>
      <c r="AG80" s="428"/>
      <c r="AH80" s="428"/>
      <c r="AI80" s="428"/>
      <c r="AJ80" s="428"/>
      <c r="AK80" s="428"/>
      <c r="AL80" s="428"/>
      <c r="AP80" s="336"/>
      <c r="AQ80" s="442"/>
      <c r="AR80" s="336"/>
      <c r="AS80" s="336"/>
      <c r="AT80" s="345"/>
      <c r="AU80" s="345"/>
      <c r="AV80" s="345"/>
      <c r="AW80" s="345"/>
      <c r="AX80" s="345"/>
      <c r="AY80" s="355"/>
      <c r="AZ80" s="355"/>
    </row>
    <row r="81" spans="1:52" s="325" customFormat="1" ht="19.5" customHeight="1" thickBot="1">
      <c r="A81" s="1640"/>
      <c r="B81" s="1013"/>
      <c r="C81" s="1688"/>
      <c r="D81" s="1689"/>
      <c r="E81" s="1691"/>
      <c r="F81" s="1629"/>
      <c r="G81" s="1629"/>
      <c r="H81" s="1629"/>
      <c r="I81" s="1629"/>
      <c r="J81" s="1660"/>
      <c r="K81" s="1668"/>
      <c r="L81" s="1660"/>
      <c r="M81" s="1660"/>
      <c r="N81" s="1668"/>
      <c r="O81" s="1660"/>
      <c r="P81" s="1660"/>
      <c r="Q81" s="1668"/>
      <c r="R81" s="1660"/>
      <c r="S81" s="1660"/>
      <c r="T81" s="1668"/>
      <c r="U81" s="1660"/>
      <c r="V81" s="1660"/>
      <c r="W81" s="1668"/>
      <c r="X81" s="1665"/>
      <c r="Y81" s="1667"/>
      <c r="Z81" s="557"/>
      <c r="AA81" s="558"/>
      <c r="AG81" s="428"/>
      <c r="AH81" s="428"/>
      <c r="AI81" s="428"/>
      <c r="AJ81" s="428"/>
      <c r="AK81" s="428"/>
      <c r="AL81" s="428"/>
      <c r="AP81" s="336"/>
      <c r="AQ81" s="442"/>
      <c r="AR81" s="336"/>
      <c r="AS81" s="336"/>
      <c r="AT81" s="345"/>
      <c r="AU81" s="345"/>
      <c r="AV81" s="345"/>
      <c r="AW81" s="345"/>
      <c r="AX81" s="345"/>
      <c r="AY81" s="355"/>
      <c r="AZ81" s="355"/>
    </row>
    <row r="82" spans="1:52" s="345" customFormat="1" ht="19.5" customHeight="1">
      <c r="A82" s="336"/>
      <c r="B82" s="336"/>
      <c r="C82" s="499"/>
      <c r="D82" s="895"/>
      <c r="E82" s="895"/>
      <c r="F82" s="895"/>
      <c r="G82" s="895"/>
      <c r="H82" s="895"/>
      <c r="I82" s="895"/>
      <c r="J82" s="896"/>
      <c r="K82" s="897"/>
      <c r="L82" s="896"/>
      <c r="M82" s="896"/>
      <c r="N82" s="897"/>
      <c r="O82" s="896"/>
      <c r="P82" s="896"/>
      <c r="Q82" s="897"/>
      <c r="R82" s="896"/>
      <c r="S82" s="896"/>
      <c r="T82" s="897"/>
      <c r="U82" s="896"/>
      <c r="V82" s="896"/>
      <c r="W82" s="897"/>
      <c r="X82" s="896"/>
      <c r="Y82" s="896"/>
      <c r="Z82" s="338"/>
      <c r="AA82" s="338"/>
      <c r="AG82" s="428"/>
      <c r="AH82" s="428"/>
      <c r="AI82" s="428"/>
      <c r="AJ82" s="428"/>
      <c r="AK82" s="428"/>
      <c r="AL82" s="428"/>
      <c r="AP82" s="336"/>
      <c r="AQ82" s="442"/>
      <c r="AR82" s="336"/>
      <c r="AS82" s="336"/>
      <c r="AY82" s="355"/>
      <c r="AZ82" s="355"/>
    </row>
    <row r="83" spans="1:52" s="325" customFormat="1" ht="19.5" customHeight="1">
      <c r="A83" s="336"/>
      <c r="B83" s="336"/>
      <c r="C83" s="442"/>
      <c r="D83" s="442"/>
      <c r="E83" s="762"/>
      <c r="F83" s="966"/>
      <c r="G83" s="967"/>
      <c r="H83" s="967"/>
      <c r="I83" s="966"/>
      <c r="J83" s="966"/>
      <c r="K83" s="966"/>
      <c r="L83" s="968"/>
      <c r="M83" s="968"/>
      <c r="N83" s="908"/>
      <c r="O83" s="908"/>
      <c r="P83" s="908"/>
      <c r="Q83" s="908"/>
      <c r="R83" s="428"/>
      <c r="S83" s="384"/>
      <c r="T83" s="336"/>
      <c r="U83" s="336"/>
      <c r="V83" s="311"/>
      <c r="W83" s="311"/>
      <c r="X83" s="336"/>
      <c r="Y83" s="442"/>
      <c r="Z83" s="336"/>
      <c r="AA83" s="336"/>
      <c r="AB83" s="345"/>
      <c r="AC83" s="345"/>
      <c r="AD83" s="345"/>
      <c r="AE83" s="345"/>
      <c r="AF83" s="345"/>
    </row>
    <row r="84" spans="1:52" ht="19.5" customHeight="1">
      <c r="A84" s="903" t="s">
        <v>512</v>
      </c>
      <c r="B84" s="894"/>
      <c r="C84" s="375"/>
      <c r="D84" s="376"/>
      <c r="L84" s="377"/>
      <c r="M84" s="377"/>
      <c r="S84" s="380"/>
      <c r="V84" s="331"/>
      <c r="W84" s="331"/>
      <c r="X84" s="331"/>
      <c r="Y84" s="331"/>
      <c r="Z84" s="331"/>
      <c r="AB84" s="440"/>
      <c r="AC84" s="436"/>
      <c r="AD84" s="436"/>
      <c r="AE84" s="436"/>
      <c r="AF84" s="311"/>
      <c r="AJ84" s="378"/>
      <c r="AK84" s="378"/>
      <c r="AL84" s="379"/>
      <c r="AM84" s="379"/>
      <c r="AN84" s="379"/>
      <c r="AO84" s="378"/>
      <c r="AP84" s="378"/>
      <c r="AQ84" s="378"/>
    </row>
    <row r="85" spans="1:52" ht="19.5" customHeight="1">
      <c r="A85" s="907"/>
      <c r="B85" s="391" t="s">
        <v>533</v>
      </c>
      <c r="C85" s="375"/>
      <c r="D85" s="376"/>
      <c r="L85" s="377"/>
      <c r="M85" s="377"/>
      <c r="S85" s="380"/>
      <c r="V85" s="331"/>
      <c r="W85" s="331"/>
      <c r="X85" s="331"/>
      <c r="Y85" s="331"/>
      <c r="Z85" s="331"/>
      <c r="AB85" s="440"/>
      <c r="AC85" s="436"/>
      <c r="AD85" s="436"/>
      <c r="AE85" s="436"/>
      <c r="AF85" s="311"/>
      <c r="AJ85" s="378"/>
      <c r="AK85" s="378"/>
      <c r="AL85" s="379"/>
      <c r="AM85" s="379"/>
      <c r="AN85" s="379"/>
      <c r="AO85" s="378"/>
      <c r="AP85" s="378"/>
      <c r="AQ85" s="378"/>
    </row>
    <row r="86" spans="1:52" ht="19.5" customHeight="1">
      <c r="A86" s="907"/>
      <c r="B86" s="1340" t="s">
        <v>577</v>
      </c>
      <c r="C86" s="1341"/>
      <c r="D86" s="1342">
        <v>5</v>
      </c>
      <c r="L86" s="377"/>
      <c r="M86" s="377"/>
      <c r="S86" s="380"/>
      <c r="V86" s="331"/>
      <c r="W86" s="331"/>
      <c r="X86" s="331"/>
      <c r="Y86" s="331"/>
      <c r="Z86" s="331"/>
      <c r="AB86" s="440"/>
      <c r="AC86" s="436"/>
      <c r="AD86" s="436"/>
      <c r="AE86" s="436"/>
      <c r="AF86" s="311"/>
      <c r="AJ86" s="378"/>
      <c r="AK86" s="378"/>
      <c r="AL86" s="379"/>
      <c r="AM86" s="379"/>
      <c r="AN86" s="379"/>
      <c r="AO86" s="378"/>
      <c r="AP86" s="378"/>
      <c r="AQ86" s="378"/>
    </row>
    <row r="87" spans="1:52" ht="19.5" customHeight="1" thickBot="1">
      <c r="A87" s="907"/>
      <c r="B87" s="1340" t="s">
        <v>578</v>
      </c>
      <c r="C87" s="1341"/>
      <c r="D87" s="1342">
        <v>5</v>
      </c>
      <c r="L87" s="377"/>
      <c r="M87" s="377"/>
      <c r="S87" s="380"/>
      <c r="V87" s="331"/>
      <c r="W87" s="331"/>
      <c r="X87" s="331"/>
      <c r="Y87" s="331"/>
      <c r="Z87" s="331"/>
      <c r="AB87" s="440"/>
      <c r="AC87" s="311"/>
      <c r="AD87" s="311"/>
      <c r="AE87" s="311"/>
      <c r="AF87" s="311"/>
      <c r="AJ87" s="378"/>
      <c r="AK87" s="378"/>
      <c r="AL87" s="379"/>
      <c r="AM87" s="379"/>
      <c r="AN87" s="379"/>
      <c r="AO87" s="378"/>
      <c r="AP87" s="378"/>
      <c r="AQ87" s="378"/>
    </row>
    <row r="88" spans="1:52" s="325" customFormat="1" ht="19.5" customHeight="1">
      <c r="A88" s="1633" t="s">
        <v>65</v>
      </c>
      <c r="B88" s="1700" t="s">
        <v>19</v>
      </c>
      <c r="C88" s="1692" t="s">
        <v>31</v>
      </c>
      <c r="D88" s="1692" t="s">
        <v>270</v>
      </c>
      <c r="E88" s="1633" t="s">
        <v>0</v>
      </c>
      <c r="F88" s="1692" t="s">
        <v>103</v>
      </c>
      <c r="G88" s="1721" t="s">
        <v>113</v>
      </c>
      <c r="H88" s="1722"/>
      <c r="I88" s="1723"/>
      <c r="J88" s="1721" t="s">
        <v>570</v>
      </c>
      <c r="K88" s="1722"/>
      <c r="L88" s="1723"/>
      <c r="M88" s="1673">
        <f>$C$6</f>
        <v>6</v>
      </c>
      <c r="N88" s="1674"/>
      <c r="O88" s="1675"/>
      <c r="P88" s="1673">
        <f>$D$6</f>
        <v>10</v>
      </c>
      <c r="Q88" s="1674"/>
      <c r="R88" s="1675"/>
      <c r="S88" s="1673">
        <f>$E$6</f>
        <v>15</v>
      </c>
      <c r="T88" s="1674"/>
      <c r="U88" s="1675"/>
      <c r="V88" s="1673" t="str">
        <f>$F$6</f>
        <v>6 FFF</v>
      </c>
      <c r="W88" s="1674"/>
      <c r="X88" s="1675"/>
      <c r="Y88" s="1673" t="str">
        <f>$G$6</f>
        <v>10 FFF</v>
      </c>
      <c r="Z88" s="1674"/>
      <c r="AA88" s="1675"/>
      <c r="AB88" s="1643" t="s">
        <v>20</v>
      </c>
      <c r="AC88" s="1644"/>
      <c r="AD88" s="1645"/>
      <c r="AE88" s="533"/>
      <c r="AF88" s="336"/>
      <c r="AG88" s="345"/>
      <c r="AH88" s="345"/>
      <c r="AI88" s="345"/>
      <c r="AJ88" s="345"/>
      <c r="AK88" s="345"/>
    </row>
    <row r="89" spans="1:52" s="325" customFormat="1" ht="19.5" customHeight="1">
      <c r="A89" s="1634"/>
      <c r="B89" s="1701"/>
      <c r="C89" s="1682"/>
      <c r="D89" s="1682"/>
      <c r="E89" s="1634"/>
      <c r="F89" s="1682"/>
      <c r="G89" s="311"/>
      <c r="H89" s="336"/>
      <c r="I89" s="327"/>
      <c r="M89" s="328" t="s">
        <v>170</v>
      </c>
      <c r="N89" s="328" t="s">
        <v>329</v>
      </c>
      <c r="O89" s="328" t="s">
        <v>20</v>
      </c>
      <c r="P89" s="328" t="s">
        <v>170</v>
      </c>
      <c r="Q89" s="328" t="s">
        <v>329</v>
      </c>
      <c r="R89" s="328" t="s">
        <v>20</v>
      </c>
      <c r="S89" s="328" t="s">
        <v>170</v>
      </c>
      <c r="T89" s="328" t="s">
        <v>329</v>
      </c>
      <c r="U89" s="328" t="s">
        <v>20</v>
      </c>
      <c r="V89" s="328" t="s">
        <v>170</v>
      </c>
      <c r="W89" s="328" t="s">
        <v>329</v>
      </c>
      <c r="X89" s="328" t="s">
        <v>20</v>
      </c>
      <c r="Y89" s="328" t="s">
        <v>170</v>
      </c>
      <c r="Z89" s="328" t="s">
        <v>329</v>
      </c>
      <c r="AA89" s="328" t="s">
        <v>20</v>
      </c>
      <c r="AB89" s="444"/>
      <c r="AC89" s="1641" t="s">
        <v>579</v>
      </c>
      <c r="AD89" s="1642"/>
      <c r="AE89" s="444"/>
      <c r="AF89" s="336"/>
      <c r="AG89" s="345"/>
      <c r="AH89" s="345"/>
      <c r="AI89" s="345"/>
      <c r="AJ89" s="345"/>
      <c r="AK89" s="345"/>
    </row>
    <row r="90" spans="1:52" s="325" customFormat="1" ht="19.5" customHeight="1" thickBot="1">
      <c r="A90" s="1634"/>
      <c r="B90" s="386"/>
      <c r="C90" s="1682"/>
      <c r="D90" s="1682"/>
      <c r="E90" s="1634"/>
      <c r="F90" s="1682"/>
      <c r="G90" s="513" t="s">
        <v>2</v>
      </c>
      <c r="H90" s="454" t="s">
        <v>96</v>
      </c>
      <c r="I90" s="424" t="s">
        <v>4</v>
      </c>
      <c r="J90" s="454" t="s">
        <v>4</v>
      </c>
      <c r="K90" s="764" t="s">
        <v>27</v>
      </c>
      <c r="L90" s="428" t="s">
        <v>52</v>
      </c>
      <c r="M90" s="763" t="s">
        <v>331</v>
      </c>
      <c r="N90" s="763" t="s">
        <v>330</v>
      </c>
      <c r="O90" s="439" t="s">
        <v>291</v>
      </c>
      <c r="P90" s="763" t="s">
        <v>331</v>
      </c>
      <c r="Q90" s="763" t="s">
        <v>330</v>
      </c>
      <c r="R90" s="439" t="s">
        <v>291</v>
      </c>
      <c r="S90" s="764" t="s">
        <v>331</v>
      </c>
      <c r="T90" s="764" t="s">
        <v>330</v>
      </c>
      <c r="U90" s="372" t="s">
        <v>291</v>
      </c>
      <c r="V90" s="764" t="s">
        <v>331</v>
      </c>
      <c r="W90" s="764" t="s">
        <v>330</v>
      </c>
      <c r="X90" s="372" t="s">
        <v>291</v>
      </c>
      <c r="Y90" s="764" t="s">
        <v>331</v>
      </c>
      <c r="Z90" s="764" t="s">
        <v>330</v>
      </c>
      <c r="AA90" s="372" t="s">
        <v>291</v>
      </c>
      <c r="AB90" s="1348" t="s">
        <v>291</v>
      </c>
      <c r="AC90" s="1349" t="s">
        <v>574</v>
      </c>
      <c r="AD90" s="941" t="s">
        <v>279</v>
      </c>
      <c r="AE90" s="1043"/>
      <c r="AF90" s="336"/>
      <c r="AG90" s="345"/>
      <c r="AH90" s="345"/>
      <c r="AI90" s="345"/>
      <c r="AJ90" s="345"/>
      <c r="AK90" s="345"/>
    </row>
    <row r="91" spans="1:52" s="325" customFormat="1" ht="19.5" customHeight="1">
      <c r="A91" s="1120" t="s">
        <v>302</v>
      </c>
      <c r="B91" s="1011" t="s">
        <v>168</v>
      </c>
      <c r="C91" s="1623" t="s">
        <v>333</v>
      </c>
      <c r="D91" s="1718">
        <f>P9</f>
        <v>1</v>
      </c>
      <c r="E91" s="1627">
        <v>0</v>
      </c>
      <c r="F91" s="1627" t="s">
        <v>12</v>
      </c>
      <c r="G91" s="1627">
        <v>250</v>
      </c>
      <c r="H91" s="1627">
        <v>0</v>
      </c>
      <c r="I91" s="1627">
        <v>0</v>
      </c>
      <c r="J91" s="1702">
        <v>0</v>
      </c>
      <c r="K91" s="1702">
        <v>0</v>
      </c>
      <c r="L91" s="1705"/>
      <c r="M91" s="1656">
        <f>IF($G91=0,0,IF($F91="recht",1+($G91-$C$17)/$C$18,1+($G91-$C$17-0.301*$C$18)/$C$18))+IF($H91=0,0,IF($F91="recht",$H91/$C$19,($H91-0.301*$C$19)/$C$19))+$I91/$C$20</f>
        <v>7.4545454545454541</v>
      </c>
      <c r="N91" s="1663">
        <f>10^(-M91)</f>
        <v>3.5111917342151263E-8</v>
      </c>
      <c r="O91" s="1656">
        <f>($C$7*$C$11*$E91/$D91/$D91*N91*1000000)</f>
        <v>0</v>
      </c>
      <c r="P91" s="1656">
        <f>IF($G$91=0,0,IF($F91="recht",1+($G91-$D$17)/$D$18,1+($G91-$D$17-0.301*$D$18)/$D$18))+IF($H91=0,0,IF($F91="recht",$H91/$D$19,($H91-0.301*$D$19)/$D$19))+$I91/$D$20</f>
        <v>6.6486486486486482</v>
      </c>
      <c r="Q91" s="1663">
        <f>10^(-P91)</f>
        <v>2.2456979955397711E-7</v>
      </c>
      <c r="R91" s="1656">
        <f>($C$7*$D$11*$E91/$D91/$D91*Q91*1000000)</f>
        <v>0</v>
      </c>
      <c r="S91" s="1656">
        <f>IF($G91=0,0,IF($F91="recht",1+($G91-$E$17)/$E$18,1+($G91-$E$17-0.301*$E$18)/$E$18))+IF($H91=0,0,IF($F91="recht",$H91/$E$19,($H91-0.301*$E$19)/$E$19))+$I91/$E$20</f>
        <v>6.024390243902439</v>
      </c>
      <c r="T91" s="1663">
        <f>10^(-S91)</f>
        <v>9.4538728313079291E-7</v>
      </c>
      <c r="U91" s="1656">
        <f>($C$7*$E$11*$E91/$D91/$D91*T91*1000000)</f>
        <v>0</v>
      </c>
      <c r="V91" s="1656">
        <f>IF($G91=0,0,IF($F91="recht",1+($G91-$F$17)/$F$18,1+($G91-$F$17-0.301*$F$18)/$F$18))+IF($H91=0,0,IF($F91="recht",$H91/$F$19,($H91-0.301*$F$19)/$F$19))+$I91/$F$20</f>
        <v>9.1481481481481488</v>
      </c>
      <c r="W91" s="1661">
        <f>10^(-V91)</f>
        <v>7.1097094323124171E-10</v>
      </c>
      <c r="X91" s="1658">
        <f>($C$7*$F$11*$E91/$D91/$D91*W91*1000000)</f>
        <v>0</v>
      </c>
      <c r="Y91" s="1656">
        <f>IF($G91=0,0,IF($F91="recht",1+($G91-$G$17)/$G$18,1+($G91-$G$17-0.301*$G$18)/$G$18))+IF($H91=0,0,IF($F91="recht",$H91/$G$19,($H91-0.301*$G$19)/$G$19))+$I91/$G$20</f>
        <v>6.9444444444444446</v>
      </c>
      <c r="Z91" s="1661">
        <f>10^(-Y91)</f>
        <v>1.136463666385722E-7</v>
      </c>
      <c r="AA91" s="1658">
        <f>($C$7*$G$11*$E91/$D91/$D91*Z91*1000000)</f>
        <v>0</v>
      </c>
      <c r="AB91" s="1708">
        <f>SUM(O91,R91,U91,X91,AA91)</f>
        <v>0</v>
      </c>
      <c r="AC91" s="1180">
        <f>SUM(AB91:AB110)*$D$86/2400/1000</f>
        <v>3.4549245040549982E-4</v>
      </c>
      <c r="AD91" s="942">
        <f>AC91*$D$87</f>
        <v>1.7274622520274991E-3</v>
      </c>
      <c r="AE91" s="1233"/>
      <c r="AF91" s="336"/>
      <c r="AG91" s="345"/>
      <c r="AH91" s="345"/>
      <c r="AI91" s="345"/>
      <c r="AJ91" s="345"/>
      <c r="AK91" s="345"/>
    </row>
    <row r="92" spans="1:52" s="325" customFormat="1" ht="19.5" customHeight="1">
      <c r="A92" s="1104"/>
      <c r="B92" s="1012" t="str">
        <f>C$3</f>
        <v>Linac 1</v>
      </c>
      <c r="C92" s="1624"/>
      <c r="D92" s="1719"/>
      <c r="E92" s="1720"/>
      <c r="F92" s="1628"/>
      <c r="G92" s="1628"/>
      <c r="H92" s="1628"/>
      <c r="I92" s="1628"/>
      <c r="J92" s="1703"/>
      <c r="K92" s="1703"/>
      <c r="L92" s="1706"/>
      <c r="M92" s="1659"/>
      <c r="N92" s="1662"/>
      <c r="O92" s="1657"/>
      <c r="P92" s="1657"/>
      <c r="Q92" s="1662"/>
      <c r="R92" s="1657"/>
      <c r="S92" s="1657"/>
      <c r="T92" s="1662"/>
      <c r="U92" s="1657"/>
      <c r="V92" s="1657"/>
      <c r="W92" s="1662"/>
      <c r="X92" s="1657"/>
      <c r="Y92" s="1657"/>
      <c r="Z92" s="1662"/>
      <c r="AA92" s="1657"/>
      <c r="AB92" s="1709"/>
      <c r="AC92" s="1181"/>
      <c r="AD92" s="943"/>
      <c r="AE92" s="348"/>
      <c r="AF92" s="336"/>
      <c r="AG92" s="345"/>
      <c r="AH92" s="345"/>
      <c r="AI92" s="345"/>
      <c r="AJ92" s="345"/>
      <c r="AK92" s="345"/>
    </row>
    <row r="93" spans="1:52" s="325" customFormat="1" ht="19.5" customHeight="1">
      <c r="A93" s="1121"/>
      <c r="B93" s="1005"/>
      <c r="C93" s="1687" t="s">
        <v>334</v>
      </c>
      <c r="D93" s="1710">
        <f>P12</f>
        <v>5</v>
      </c>
      <c r="E93" s="1712">
        <v>1</v>
      </c>
      <c r="F93" s="1628"/>
      <c r="G93" s="1628"/>
      <c r="H93" s="1628"/>
      <c r="I93" s="1628"/>
      <c r="J93" s="1703"/>
      <c r="K93" s="1703"/>
      <c r="L93" s="1706"/>
      <c r="M93" s="1714">
        <f>IF($G91=0,0,IF($F91="recht",$G91/$C$24,($G91-0.301*$C$24)/$C$24))+IF($H91=0,0,IF($F91="recht",$H91/$C$25,($H91-0.301*$C$25)/$C$25))+$I91/$C$26+$J91/$C$26+$K91/$C$27</f>
        <v>7.3529411764705879</v>
      </c>
      <c r="N93" s="1661">
        <f>10^(-M93)</f>
        <v>4.4366873309786093E-8</v>
      </c>
      <c r="O93" s="1658">
        <f>($C$7*$C$8*$C$11*($C$12+$C$13*$C$14)*$E93/$D93/$D93*N93*1000000)</f>
        <v>1.0648049594348663E-3</v>
      </c>
      <c r="P93" s="1658">
        <f>IF($G91=0,0,IF($F91="recht",$G91/$D$24,($G91-0.301*$D$24)/$D$24))+IF($H91=0,0,IF($F91="recht",$H91/$D$25,($H91-0.301*$D$25)/$D$25))+$I91/$D$26+$J91/$D$26+$K91/$D$27</f>
        <v>6.5789473684210522</v>
      </c>
      <c r="Q93" s="1661">
        <f>10^(-P93)</f>
        <v>2.636650898730358E-7</v>
      </c>
      <c r="R93" s="1658">
        <f>($C$7*$C$8*$D$11*($D$12+$D$13*$D$14)*$E93/$D93/$D93*Q93*1000000)</f>
        <v>6.3279621569528599E-3</v>
      </c>
      <c r="S93" s="1658">
        <f>IF($G91=0,0,IF($F91="recht",$G91/$E$24,($G91-0.301*$E$24)/$E$24))+IF($H91=0,0,IF($F91="recht",$H91/$E$25,($H91-0.301*$E$25)/$E$25))+$I91/$E$26*1+$J91/$E$26+$K91/$E$27</f>
        <v>6.5616797900262469</v>
      </c>
      <c r="T93" s="1661">
        <f>10^(-S93)</f>
        <v>2.7435963093132793E-7</v>
      </c>
      <c r="U93" s="1658">
        <f>($C$7*$C$8*$E$11*($E$12+$E$13*$E$14)*$E93/$D93/$D93*T93*1000000)</f>
        <v>6.5846311423518713E-3</v>
      </c>
      <c r="V93" s="1658">
        <f>IF($G91=0,0,IF($F91="recht",$G91/$F$24,($G91-0.301*$F$24)/$F$24))+IF($H91=0,0,IF($F91="recht",$H91/$F$25,($H91-0.301*$F$25)/$F$25))+$I91/$F$26+$J91/$F$26+$K91/$F$27</f>
        <v>8.1967213114754092</v>
      </c>
      <c r="W93" s="1661">
        <f>10^(-V93)</f>
        <v>6.3573875711648393E-9</v>
      </c>
      <c r="X93" s="1658">
        <f>($C$7*$C$8*$F$11*($F$12+$F$13*$F$14)*$E93/$D93/$D93*W93*1000000)</f>
        <v>8.6460470967841829E-5</v>
      </c>
      <c r="Y93" s="1658">
        <f>IF($G91=0,0,IF($F91="recht",$G91/$G$24,($G91-0.301*$G$24)/$G$24))+IF($H91=0,0,IF($F91="recht",$H91/$G$25,($H91-0.301*$G$25)/$G$25))+$I91/$G$26+$J91/$G$26+$K91/$G$27</f>
        <v>7.0224719101123592</v>
      </c>
      <c r="Z93" s="1661">
        <f>10^(-Y93)</f>
        <v>9.4957241494880226E-8</v>
      </c>
      <c r="AA93" s="1658">
        <f>($C$7*$C$8*$G$11*($G$12+$G$13*$G$14)*$E93/$D93/$D93*Z93*1000000)</f>
        <v>8.7360662175289805E-4</v>
      </c>
      <c r="AB93" s="1716">
        <f>SUM(O93,R93,U93,X93,AA93)</f>
        <v>1.4937465351460337E-2</v>
      </c>
      <c r="AC93" s="1181"/>
      <c r="AD93" s="944"/>
      <c r="AE93" s="348"/>
      <c r="AF93" s="336"/>
      <c r="AG93" s="345"/>
      <c r="AH93" s="345"/>
      <c r="AI93" s="345"/>
      <c r="AJ93" s="345"/>
      <c r="AK93" s="345"/>
    </row>
    <row r="94" spans="1:52" s="325" customFormat="1" ht="19.5" customHeight="1">
      <c r="A94" s="1121"/>
      <c r="B94" s="1005"/>
      <c r="C94" s="1688"/>
      <c r="D94" s="1711"/>
      <c r="E94" s="1713"/>
      <c r="F94" s="1629"/>
      <c r="G94" s="1629"/>
      <c r="H94" s="1629"/>
      <c r="I94" s="1629"/>
      <c r="J94" s="1704"/>
      <c r="K94" s="1704"/>
      <c r="L94" s="1707"/>
      <c r="M94" s="1715"/>
      <c r="N94" s="1668"/>
      <c r="O94" s="1660"/>
      <c r="P94" s="1660"/>
      <c r="Q94" s="1668"/>
      <c r="R94" s="1660"/>
      <c r="S94" s="1660"/>
      <c r="T94" s="1668"/>
      <c r="U94" s="1660"/>
      <c r="V94" s="1660"/>
      <c r="W94" s="1668"/>
      <c r="X94" s="1660"/>
      <c r="Y94" s="1660"/>
      <c r="Z94" s="1668"/>
      <c r="AA94" s="1660"/>
      <c r="AB94" s="1717"/>
      <c r="AC94" s="1181"/>
      <c r="AD94" s="944"/>
      <c r="AE94" s="348"/>
      <c r="AF94" s="336"/>
      <c r="AG94" s="345"/>
      <c r="AH94" s="345"/>
      <c r="AI94" s="345"/>
      <c r="AJ94" s="345"/>
      <c r="AK94" s="345"/>
    </row>
    <row r="95" spans="1:52" s="325" customFormat="1" ht="19.5" customHeight="1">
      <c r="A95" s="1122"/>
      <c r="B95" s="1008"/>
      <c r="C95" s="1692" t="s">
        <v>322</v>
      </c>
      <c r="D95" s="1694"/>
      <c r="E95" s="1737">
        <v>0</v>
      </c>
      <c r="F95" s="1739" t="s">
        <v>12</v>
      </c>
      <c r="G95" s="1724">
        <v>0</v>
      </c>
      <c r="H95" s="1724">
        <v>0</v>
      </c>
      <c r="I95" s="1702">
        <v>0</v>
      </c>
      <c r="J95" s="1751">
        <v>0</v>
      </c>
      <c r="K95" s="1627">
        <v>0</v>
      </c>
      <c r="L95" s="1731">
        <v>0</v>
      </c>
      <c r="M95" s="1735">
        <f>IF($G95=0,0,IF($F95="recht",1+($G95-$C$17)/$C$18,1+($G95-$C$17-0.301*$C$18)/$C$18))+IF($H95=0,0,IF($F95="recht",$H95/$C$19,($H95-0.301*$C$19)/$C$19))+$I95/$C$20+$J95/$L$52+$K95/$L$53</f>
        <v>0</v>
      </c>
      <c r="N95" s="1663">
        <f>10^(-M95)</f>
        <v>1</v>
      </c>
      <c r="O95" s="1656">
        <f>$C$7*$C$11*$E$95/$P$11/$P$11*$P$23*$O$35/$P$15/$P$15*$P$26*$N$38/$P$18/$P$18*N95*1000000</f>
        <v>0</v>
      </c>
      <c r="P95" s="1656">
        <f>IF($G95=0,0,IF($F95="recht",1+($G95-$D$17)/$D$18,1+($G95-$D$17-0.301*$D$18)/$D$18))+IF($H95=0,0,IF($F95="recht",$H95/$D$19,($H95-0.301*$D$19)/$D$19))+$I95/$D$20+$J95/$L$52+$K95/$L$53</f>
        <v>0</v>
      </c>
      <c r="Q95" s="1663">
        <f>10^(-P95)</f>
        <v>1</v>
      </c>
      <c r="R95" s="1656">
        <f>$C$7*$D$11*$E$95/$P$11/$P$11*$P$23*$P$35/$P$15/$P$15*$P$26*$N$38/$P$18/$P$18*Q95*1000000</f>
        <v>0</v>
      </c>
      <c r="S95" s="1656">
        <f>IF($G95=0,0,IF($F95="recht",1+($G95-$E$17)/$E$18,1+($G95-$E$17-0.301*$E$18)/$E$18))+IF($H95=0,0,IF($F95="recht",$H95/$E$19,($H95-0.301*$E$19)/$E$19))+$I95/$E$20+$J95/$L$52+$K95/$L$53</f>
        <v>0</v>
      </c>
      <c r="T95" s="1663">
        <f>10^(-S95)</f>
        <v>1</v>
      </c>
      <c r="U95" s="1656">
        <f>$C$7*$E$11*$E$95/$P$11/$P$11*$P$23*$Q$35/$P$15/$P$15*$P$26*$N$38/$P$18/$P$18*T95*1000000</f>
        <v>0</v>
      </c>
      <c r="V95" s="1656">
        <f>IF($G95=0,0,IF($F95="recht",1+($G95-$F$17)/$F$18,1+($G95-$F$17-0.301*$F$18)/$F$18))+IF($H95=0,0,IF($F95="recht",$H95/$F$19,($H95-0.301*$F$19)/$F$19))+$I95/$E$20+$J95/$L$52+$K95/$L$53</f>
        <v>0</v>
      </c>
      <c r="W95" s="1663">
        <f>10^(-V95)</f>
        <v>1</v>
      </c>
      <c r="X95" s="1656">
        <f>$C$7*$F$11*$E$95/$P$11/$P$11*$P$23*$R$35/$P$15/$P$15*$P$26*$N$38/$P$18/$P$18*W95*1000000</f>
        <v>0</v>
      </c>
      <c r="Y95" s="1656">
        <f>IF($G95=0,0,IF($F95="recht",1+($G95-$G$17)/$G$18,1+($G95-$G$17-0.301*$G$18)/$G$18))+IF($H95=0,0,IF($F95="recht",$H95/$G$19,($H95-0.301*$G$19)/$G$19))+$I95/$G$20+$J95/$L$52+$K95/$L$53</f>
        <v>0</v>
      </c>
      <c r="Z95" s="1663">
        <f>10^(-Y95)</f>
        <v>1</v>
      </c>
      <c r="AA95" s="1656">
        <f>$C$7*$G$11*$E$95/$P$11/$P$11*$P$23*$S$35/$P$15/$P$15*$P$26*$N$38/$P$18/$P$18*Z95*1000000</f>
        <v>0</v>
      </c>
      <c r="AB95" s="1745">
        <f>SUM(O95,R95,U95,X95,AA95)</f>
        <v>0</v>
      </c>
      <c r="AC95" s="1182"/>
      <c r="AD95" s="944"/>
      <c r="AE95" s="348"/>
      <c r="AF95" s="410"/>
      <c r="AG95" s="336"/>
      <c r="AH95" s="442"/>
      <c r="AI95" s="336"/>
      <c r="AJ95" s="336"/>
      <c r="AK95" s="345"/>
    </row>
    <row r="96" spans="1:52" s="325" customFormat="1" ht="19.5" customHeight="1">
      <c r="A96" s="1122"/>
      <c r="B96" s="1008"/>
      <c r="C96" s="1693"/>
      <c r="D96" s="1734"/>
      <c r="E96" s="1738"/>
      <c r="F96" s="1740"/>
      <c r="G96" s="1725"/>
      <c r="H96" s="1725"/>
      <c r="I96" s="1703"/>
      <c r="J96" s="1752"/>
      <c r="K96" s="1628"/>
      <c r="L96" s="1732"/>
      <c r="M96" s="1736"/>
      <c r="N96" s="1668"/>
      <c r="O96" s="1660"/>
      <c r="P96" s="1660"/>
      <c r="Q96" s="1668"/>
      <c r="R96" s="1660"/>
      <c r="S96" s="1660"/>
      <c r="T96" s="1668"/>
      <c r="U96" s="1660"/>
      <c r="V96" s="1660"/>
      <c r="W96" s="1668"/>
      <c r="X96" s="1660"/>
      <c r="Y96" s="1660"/>
      <c r="Z96" s="1668"/>
      <c r="AA96" s="1660"/>
      <c r="AB96" s="1717"/>
      <c r="AC96" s="1182"/>
      <c r="AD96" s="944"/>
      <c r="AE96" s="348"/>
      <c r="AF96" s="410"/>
      <c r="AG96" s="336"/>
      <c r="AH96" s="442"/>
      <c r="AI96" s="336"/>
      <c r="AJ96" s="336"/>
      <c r="AK96" s="345"/>
    </row>
    <row r="97" spans="1:62" s="325" customFormat="1" ht="19.5" customHeight="1">
      <c r="A97" s="1122"/>
      <c r="B97" s="1008"/>
      <c r="C97" s="1692" t="s">
        <v>323</v>
      </c>
      <c r="D97" s="1694"/>
      <c r="E97" s="1727">
        <v>0</v>
      </c>
      <c r="F97" s="1737" t="s">
        <v>12</v>
      </c>
      <c r="G97" s="1746">
        <v>0</v>
      </c>
      <c r="H97" s="1746">
        <v>0</v>
      </c>
      <c r="I97" s="1748">
        <v>0</v>
      </c>
      <c r="J97" s="1753"/>
      <c r="K97" s="1628"/>
      <c r="L97" s="1732"/>
      <c r="M97" s="1735">
        <f>IF($G97=0,0,IF($F97="recht",$G97/$C$30,($G97-0.301*$C$30)/$C$30))+IF($H97=0,0,IF($F97="recht",$H97/$C$31,($H97-0.301*$C$31)/$C$31))+$I97/$C$32+$J95/$L$52+$K95/$L$53</f>
        <v>0</v>
      </c>
      <c r="N97" s="1663">
        <f>10^(-M97)</f>
        <v>1</v>
      </c>
      <c r="O97" s="1656">
        <f>$C$7*$C$11*$E$97/$P$10/$P$10*$P$22*$O$34/$P$14/$P$14*$P$24*$N$36/$P$16/$P$16*$P$26*$N$38/$P$18/$P$18*N97*1000000</f>
        <v>0</v>
      </c>
      <c r="P97" s="1656">
        <f>IF($G97=0,0,IF($F97="recht",$G97/$C$30,($G97-0.301*$C$30)/$C$30))+IF($H97=0,0,IF(F97="recht",$H97/$C$31,($H97-0.301*$C$31)/$C$31))+$I97/$C$32+$J95/$L$52+$K95/$L$53</f>
        <v>0</v>
      </c>
      <c r="Q97" s="1663">
        <f>10^(-P97)</f>
        <v>1</v>
      </c>
      <c r="R97" s="1656">
        <f>$C$7*$D$11*$E$97/$P$10/$P$10*$P$22*$P$34/$P$14/$P$14*$P$24*$N$36/$P$16/$P$16*$P$26*$N$38/$P$18/$P$18*Q97*1000000</f>
        <v>0</v>
      </c>
      <c r="S97" s="1656">
        <f>IF($G97=0,0,IF($F97="recht",$G97/$C$30,($G97-0.301*$C$30)/$C$30))+IF($H97=0,0,IF($F97="recht",$H97/$C$31,($H97-0.301*$C$31)/$C$31))+$I97/$C$32+$J95/$L$52+$K95/$L$53</f>
        <v>0</v>
      </c>
      <c r="T97" s="1663">
        <f>10^(-S97)</f>
        <v>1</v>
      </c>
      <c r="U97" s="1656">
        <f>$C$7*$E$11*$E$97/$P$10/$P$10*$P$22*$Q$34/$P$14/$P$14*$P$24*$N$36/$P$16/$P$16*$P$26*$N$38/$P$18/$P$18*T97*1000000</f>
        <v>0</v>
      </c>
      <c r="V97" s="1656">
        <f>IF($G97=0,0,IF($F97="recht",$G97/$C$30,($G97-0.301*$C$30)/$C$30))+IF($H97=0,0,IF($F97="recht",$H97/$C$31,($H97-0.301*$C$31)/$C$31))+$I97/$C$32+$J95/$L$52+$K95/$L$53</f>
        <v>0</v>
      </c>
      <c r="W97" s="1663">
        <f>10^(-V97)</f>
        <v>1</v>
      </c>
      <c r="X97" s="1656">
        <f>$C$7*$F$11*$E$97/$P$10/$P$10*$P$22*$R$34/$P$14/$P$14*$P$24*$N$36/$P$16/$P$16*$P$26*$N$38/$P$18/$P$18*W97*1000000</f>
        <v>0</v>
      </c>
      <c r="Y97" s="1656">
        <f>IF($G97=0,0,IF($F97="recht",$G97/$C$30,($G97-0.301*$C$30)/$C$30))+IF($H97=0,0,IF($F97="recht",$H97/$C$31,($H97-0.301*$C$31)/$C$31))+$I97/$C$32+$J95/$L$52+$K95/$L$53</f>
        <v>0</v>
      </c>
      <c r="Z97" s="1663">
        <f>10^(-Y97)</f>
        <v>1</v>
      </c>
      <c r="AA97" s="1656">
        <f>$C$7*$G$11*$E$97/$P$10/$P$10*$P$22*$S$34/$P$14/$P$14*$P$24*$N$36/$P$16/$P$16*$P$26*$N$38/$P$18/$P$18*Z97*1000000</f>
        <v>0</v>
      </c>
      <c r="AB97" s="1745">
        <f>SUM(O97,R97,U97,X97,AA97)</f>
        <v>0</v>
      </c>
      <c r="AC97" s="1182"/>
      <c r="AD97" s="944"/>
      <c r="AE97" s="348"/>
      <c r="AF97" s="410"/>
      <c r="AG97" s="336"/>
      <c r="AH97" s="442"/>
      <c r="AI97" s="336"/>
      <c r="AJ97" s="336"/>
      <c r="AK97" s="345"/>
      <c r="AL97" s="345"/>
      <c r="AM97" s="345"/>
      <c r="AN97" s="345"/>
      <c r="AO97" s="345"/>
      <c r="AP97" s="355"/>
      <c r="AQ97" s="355"/>
      <c r="AR97" s="355"/>
      <c r="AS97" s="382"/>
      <c r="AT97" s="382"/>
      <c r="AU97" s="382"/>
    </row>
    <row r="98" spans="1:62" s="325" customFormat="1" ht="19.5" customHeight="1">
      <c r="A98" s="1122"/>
      <c r="B98" s="1008"/>
      <c r="C98" s="1682"/>
      <c r="D98" s="1734"/>
      <c r="E98" s="1728"/>
      <c r="F98" s="1738"/>
      <c r="G98" s="1747"/>
      <c r="H98" s="1747"/>
      <c r="I98" s="1749"/>
      <c r="J98" s="1753"/>
      <c r="K98" s="1628"/>
      <c r="L98" s="1732"/>
      <c r="M98" s="1736"/>
      <c r="N98" s="1668"/>
      <c r="O98" s="1660"/>
      <c r="P98" s="1660"/>
      <c r="Q98" s="1668"/>
      <c r="R98" s="1660"/>
      <c r="S98" s="1660"/>
      <c r="T98" s="1668"/>
      <c r="U98" s="1660"/>
      <c r="V98" s="1660"/>
      <c r="W98" s="1668"/>
      <c r="X98" s="1660"/>
      <c r="Y98" s="1660"/>
      <c r="Z98" s="1668"/>
      <c r="AA98" s="1660"/>
      <c r="AB98" s="1717"/>
      <c r="AC98" s="1182"/>
      <c r="AD98" s="944"/>
      <c r="AE98" s="348"/>
      <c r="AF98" s="311"/>
      <c r="AG98" s="336"/>
      <c r="AH98" s="442"/>
      <c r="AI98" s="336"/>
      <c r="AJ98" s="336"/>
      <c r="AK98" s="345"/>
      <c r="AL98" s="345"/>
      <c r="AM98" s="345"/>
      <c r="AN98" s="345"/>
      <c r="AO98" s="345"/>
      <c r="AP98" s="355"/>
      <c r="AQ98" s="355"/>
      <c r="AR98" s="355"/>
      <c r="AS98" s="382"/>
      <c r="AT98" s="382"/>
      <c r="AU98" s="382"/>
    </row>
    <row r="99" spans="1:62" s="325" customFormat="1" ht="19.5" customHeight="1">
      <c r="A99" s="1123"/>
      <c r="B99" s="1022"/>
      <c r="C99" s="1692" t="s">
        <v>321</v>
      </c>
      <c r="D99" s="1633"/>
      <c r="E99" s="1729">
        <v>1</v>
      </c>
      <c r="F99" s="1737" t="s">
        <v>12</v>
      </c>
      <c r="G99" s="1746">
        <v>0</v>
      </c>
      <c r="H99" s="1746">
        <v>0</v>
      </c>
      <c r="I99" s="1748">
        <v>0</v>
      </c>
      <c r="J99" s="1753"/>
      <c r="K99" s="1628"/>
      <c r="L99" s="1732"/>
      <c r="M99" s="1656">
        <f>IF($G99=0,0,IF($F99="recht",$G99/$C$24,($G99-0.301*$C$24)/$C$24))+IF($H99=0,0,IF($F99="recht",$H99/$C$25,($H99-0.301*$C$25)/$C$25))+$I99/$C$26+$J95/$L$52+$K95/$L$53</f>
        <v>0</v>
      </c>
      <c r="N99" s="1663">
        <f>10^(-M99)</f>
        <v>1</v>
      </c>
      <c r="O99" s="1656">
        <f>$C$7*$C$8*$C$11*($C$12+$C$13*$C$14)*$E$99/$P$13/$P$13*$P$25*$O$37/$P$17/$P$17*$P$26*$N$38/$P$18/$P$18*N99*1000000</f>
        <v>21.000000000000007</v>
      </c>
      <c r="P99" s="1656">
        <f>IF($G99=0,0,IF($F99="recht",$G99/$D$24,($G99-0.301*$D$24)/$D$24))+IF($H99=0,0,IF($F99="recht",$H99/$D$25,($H99-0.301*$D$25)/$D$25))+$I99/$D$26+$J95/$L$52+$K95/$L$53</f>
        <v>0</v>
      </c>
      <c r="Q99" s="1663">
        <f>10^(-P99)</f>
        <v>1</v>
      </c>
      <c r="R99" s="1656">
        <f>$C$7*$C$8*$D$11*($D$12+$D$13*$D$14)*$E$99/$P$13/$P$13*$P$25*$P$37/$P$17/$P$17*$P$26*$N$38/$P$18/$P$18*Q99*1000000</f>
        <v>27.000000000000007</v>
      </c>
      <c r="S99" s="1656">
        <f>IF($G99=0,0,IF($F99="recht",$G99/$E$24,($G99-0.301*$E$24)/$E$24))+IF($H99=0,0,IF($F99="recht",$H99/$E$25,($H99-0.301*$E$25)/$E$25))+$I99/$E$26+$J95/$L$52+$K95/$L$53</f>
        <v>0</v>
      </c>
      <c r="T99" s="1663">
        <f>10^(-S99)</f>
        <v>1</v>
      </c>
      <c r="U99" s="1656">
        <f>$C$7*$C$8*$E$11*($E$12+$E$13*$E$14)*$E$99/$P$13/$P$13*$P$25*$Q$37/$P$17/$P$17*$P$26*$N$38/$P$18/$P$18*T99*1000000</f>
        <v>39.000000000000007</v>
      </c>
      <c r="V99" s="1656">
        <f>IF($G99=0,0,IF($F99="recht",$G99/$F$24,($G99-0.301*$F$24)/$F$24))+IF($H99=0,0,IF($F99="recht",$H99/$F$25,($H99-0.301*$F$25)/$F$25))+$I99/$F$26+$J95/$L$52+$K95/$L$53</f>
        <v>0</v>
      </c>
      <c r="W99" s="1663">
        <f>10^(-V99)</f>
        <v>1</v>
      </c>
      <c r="X99" s="1656">
        <f>$C$7*$C$8*$F$11*($F$12+$F$13*$F$14)*$E$99/$P$13/$P$13*$P$25*$R$37/$P$17/$P$17*$P$26*$N$38/$P$18/$P$18*W99*1000000</f>
        <v>10.200000000000001</v>
      </c>
      <c r="Y99" s="1656">
        <f>IF($G99=0,0,IF($F99="recht",$G99/$G$24,($G99-0.301*$G$24)/$G$24))+IF($H99=0,0,IF($F99="recht",$H99/$G$25,($H99-0.301*$G$25)/$G$25))+$I99/$G$26+$J95/$L$52+$K95/$L$53</f>
        <v>0</v>
      </c>
      <c r="Z99" s="1663">
        <f>10^(-Y99)</f>
        <v>1</v>
      </c>
      <c r="AA99" s="1656">
        <f>$C$7*$C$8*$G$11*($G$12+$G$13*$G$14)*$E$99/$P$13/$P$13*$P$25*$S$37/$P$17/$P$17*$P$26*$N$38/$P$18/$P$18*Z99*1000000</f>
        <v>6.8539999999999992</v>
      </c>
      <c r="AB99" s="1750">
        <f>SUM(O99,R99,U99,X99,AA99)</f>
        <v>104.05400000000003</v>
      </c>
      <c r="AC99" s="1182"/>
      <c r="AD99" s="944"/>
      <c r="AE99" s="348"/>
      <c r="AF99" s="410"/>
      <c r="AG99" s="336"/>
      <c r="AH99" s="442"/>
      <c r="AI99" s="345"/>
      <c r="AJ99" s="345"/>
      <c r="AK99" s="345"/>
    </row>
    <row r="100" spans="1:62" s="325" customFormat="1" ht="19.5" customHeight="1">
      <c r="A100" s="1123"/>
      <c r="B100" s="1022"/>
      <c r="C100" s="1693"/>
      <c r="D100" s="1634"/>
      <c r="E100" s="1730"/>
      <c r="F100" s="1835"/>
      <c r="G100" s="1836"/>
      <c r="H100" s="1836"/>
      <c r="I100" s="1837"/>
      <c r="J100" s="1753"/>
      <c r="K100" s="1628"/>
      <c r="L100" s="1732"/>
      <c r="M100" s="1659"/>
      <c r="N100" s="1699"/>
      <c r="O100" s="1659"/>
      <c r="P100" s="1659"/>
      <c r="Q100" s="1699"/>
      <c r="R100" s="1659"/>
      <c r="S100" s="1659"/>
      <c r="T100" s="1699"/>
      <c r="U100" s="1659"/>
      <c r="V100" s="1659"/>
      <c r="W100" s="1699"/>
      <c r="X100" s="1659"/>
      <c r="Y100" s="1659"/>
      <c r="Z100" s="1699"/>
      <c r="AA100" s="1659"/>
      <c r="AB100" s="1750"/>
      <c r="AC100" s="1182"/>
      <c r="AD100" s="944"/>
      <c r="AE100" s="348"/>
      <c r="AF100" s="410"/>
      <c r="AG100" s="336"/>
      <c r="AH100" s="442"/>
      <c r="AI100" s="345"/>
      <c r="AJ100" s="345"/>
      <c r="AK100" s="345"/>
    </row>
    <row r="101" spans="1:62" s="325" customFormat="1" ht="19.5" customHeight="1">
      <c r="A101" s="1122"/>
      <c r="B101" s="1008"/>
      <c r="C101" s="1623" t="s">
        <v>475</v>
      </c>
      <c r="D101" s="586"/>
      <c r="E101" s="1727">
        <v>0.25</v>
      </c>
      <c r="F101" s="1835"/>
      <c r="G101" s="1836"/>
      <c r="H101" s="1836"/>
      <c r="I101" s="1837"/>
      <c r="J101" s="1753"/>
      <c r="K101" s="1628"/>
      <c r="L101" s="1732"/>
      <c r="M101" s="1714">
        <f>IF($G99=0,0,IF($F99="recht",$G99/$C$30,($G99-0.301*$C$30)/$C$30))+IF($H99=0,0,IF($F99="recht",$H99/$C$31,($H99-0.301*$C$31)/$C$31))+$I99/$C$32+$J95/$L$52+$K95/$L$53</f>
        <v>0</v>
      </c>
      <c r="N101" s="1663">
        <f>10^(-M101)</f>
        <v>1</v>
      </c>
      <c r="O101" s="1656">
        <f>$C$7*$C$11*$E$101*$O$41*$P$27/400*$N$36*$N$38*$P$25*$P$26/1/1/$P$13/$P$13/$P$17/$P$17/$P$18/$P$18*N101*1000000</f>
        <v>3.3012499999999996</v>
      </c>
      <c r="P101" s="1714">
        <f>IF($G99=0,0,IF($F99="recht",$G99/$C$30,($G99-0.301*$C$30)/$C30))+IF($H99=0,0,IF($F99="recht",$H99/$C$31,($H99-0.301*$C$31)/$C$31))+$I99/$C$32+$J95/$L$52+$K95/$L$53</f>
        <v>0</v>
      </c>
      <c r="Q101" s="1663">
        <f>10^(-P101)</f>
        <v>1</v>
      </c>
      <c r="R101" s="1656">
        <f>$C$7*$D$11*$E$101*$P$41*$P$27/400*$N$36*$N$38*$P$25*$P$26/1/1/$P$13/$P$13/$P$17/$P$17/$P$18/$P$18*Q101*1000000</f>
        <v>3.2062499999999998</v>
      </c>
      <c r="S101" s="1714">
        <f>IF($G99=0,0,IF($F99="recht",$G99/$C$30,($G99-0.301*$C$30)/$C$30))+IF($H99=0,0,IF($F99="recht",$H99/$C$31,($H99-0.301*$C$31)/$C$31))+$I99/$C$32+$J95/$L$52+$K95/$L$53</f>
        <v>0</v>
      </c>
      <c r="T101" s="1663">
        <f>10^(-S101)</f>
        <v>1</v>
      </c>
      <c r="U101" s="1656">
        <f>$C$7*$E$11*$E$101*$Q$41*$P$27/400*$N$36*$N$38*$P$25*$P$26/1/1/$P$13/$P$13/$P$17/$P$17/$P$18/$P$18*T101*1000000</f>
        <v>2.4937499999999995</v>
      </c>
      <c r="V101" s="1714">
        <f>IF($G99=0,0,IF($F99="recht",$G99/$C$30,($G99-0.301*$C$30)/$C$30))+IF($H99=0,0,IF($F99="recht",$H99/$C$31,($H99-0.301*$C$31)/$C$31))+$I99/$C$32+$J95/$L$52+$K95/$L$53</f>
        <v>0</v>
      </c>
      <c r="W101" s="1663">
        <f>10^(-V101)</f>
        <v>1</v>
      </c>
      <c r="X101" s="1656">
        <f>$C$7*$F$11*$E$101*$R$41*$P$27/400*$N$36*$N$38*$P$26*$P$25/1/1/$P$13/$P$13/$P$17/$P$17/$P$18/$P$18*W101*1000000</f>
        <v>3.0874999999999995</v>
      </c>
      <c r="Y101" s="1714">
        <f>IF($G99=0,0,IF($F99="recht",$G99/$C$30,($G99-0.301*$C$30)/$C$30))+IF($H99=0,0,IF($F99="recht",$H99/$C$31,($H99-0.301*$C$31)/$C$31))+$I99/$C$32+$J95/$L$52+$K95/$L$53</f>
        <v>0</v>
      </c>
      <c r="Z101" s="1663">
        <f>10^(-Y101)</f>
        <v>1</v>
      </c>
      <c r="AA101" s="1656">
        <f>$C$7*$G$11*$E$101*$S$41*$P$27/400*$N$36*$N$38*$P$25*$P$26/1/1/$P$13/$P$13/$P$17/$P$17/$P$18/$P$18*Z101*1000000</f>
        <v>2.8499999999999996</v>
      </c>
      <c r="AB101" s="1745">
        <f>SUM(O101,R101,U101,X101,AA101)</f>
        <v>14.938749999999997</v>
      </c>
      <c r="AC101" s="1182"/>
      <c r="AD101" s="944"/>
      <c r="AE101" s="348"/>
      <c r="AF101" s="311"/>
      <c r="AG101" s="336"/>
      <c r="AH101" s="442"/>
      <c r="AI101" s="336"/>
      <c r="AJ101" s="336"/>
      <c r="AK101" s="345"/>
      <c r="AL101" s="345"/>
      <c r="AM101" s="345"/>
      <c r="AN101" s="345"/>
      <c r="AO101" s="345"/>
      <c r="AP101" s="355"/>
      <c r="AQ101" s="355"/>
      <c r="AR101" s="355"/>
      <c r="AS101" s="382"/>
      <c r="AT101" s="382"/>
      <c r="AU101" s="382"/>
    </row>
    <row r="102" spans="1:62" s="325" customFormat="1" ht="19.5" customHeight="1">
      <c r="A102" s="1122"/>
      <c r="B102" s="1008"/>
      <c r="C102" s="1726"/>
      <c r="D102" s="586"/>
      <c r="E102" s="1728"/>
      <c r="F102" s="1835"/>
      <c r="G102" s="1836"/>
      <c r="H102" s="1836"/>
      <c r="I102" s="1837"/>
      <c r="J102" s="1753"/>
      <c r="K102" s="1628"/>
      <c r="L102" s="1732"/>
      <c r="M102" s="1715"/>
      <c r="N102" s="1668"/>
      <c r="O102" s="1660"/>
      <c r="P102" s="1715"/>
      <c r="Q102" s="1668"/>
      <c r="R102" s="1660"/>
      <c r="S102" s="1715"/>
      <c r="T102" s="1668"/>
      <c r="U102" s="1660"/>
      <c r="V102" s="1715"/>
      <c r="W102" s="1668"/>
      <c r="X102" s="1660"/>
      <c r="Y102" s="1715"/>
      <c r="Z102" s="1668"/>
      <c r="AA102" s="1660"/>
      <c r="AB102" s="1717"/>
      <c r="AC102" s="1182"/>
      <c r="AD102" s="944"/>
      <c r="AE102" s="348"/>
      <c r="AF102" s="311"/>
      <c r="AG102" s="336"/>
      <c r="AH102" s="442"/>
      <c r="AI102" s="336"/>
      <c r="AJ102" s="336"/>
      <c r="AK102" s="345"/>
      <c r="AL102" s="345"/>
      <c r="AM102" s="345"/>
      <c r="AN102" s="345"/>
      <c r="AO102" s="345"/>
      <c r="AP102" s="355"/>
      <c r="AQ102" s="355"/>
      <c r="AR102" s="355"/>
      <c r="AS102" s="382"/>
      <c r="AT102" s="382"/>
      <c r="AU102" s="382"/>
    </row>
    <row r="103" spans="1:62" s="325" customFormat="1" ht="19.5" customHeight="1">
      <c r="A103" s="1122"/>
      <c r="B103" s="1008"/>
      <c r="C103" s="1623" t="s">
        <v>476</v>
      </c>
      <c r="D103" s="586"/>
      <c r="E103" s="1727">
        <v>0.5</v>
      </c>
      <c r="F103" s="1835"/>
      <c r="G103" s="1836"/>
      <c r="H103" s="1836"/>
      <c r="I103" s="1837"/>
      <c r="J103" s="1753"/>
      <c r="K103" s="1628"/>
      <c r="L103" s="1732"/>
      <c r="M103" s="1714">
        <f>IF($G99=0,0,IF($F99="recht",$G99/$C$30,($G99-0.301*$C$30)/$C30))+IF($H99=0,0,IF($F99="recht",$H99/$C$31,($H99-0.301*$C$31)/$C$31))+$I99/$C$32+$J95/$L$52+$K95/$L$53</f>
        <v>0</v>
      </c>
      <c r="N103" s="1663">
        <f>10^(-M103)</f>
        <v>1</v>
      </c>
      <c r="O103" s="1656">
        <f>$C$7*$C$11*$E$103*$O$42*$P$27/400*$N$36*$N$38*$P$25*$P$26/1/1/$P$13/$P$13/$P$17/$P$17/$P$18/$P$18*N103*1000000</f>
        <v>2.0235000000000003</v>
      </c>
      <c r="P103" s="1714">
        <f>IF($G99=0,0,IF($F99="recht",$G99/$C$30,($G99-0.301*$C$30)/$C$30))+IF($H99=0,0,IF($F99="recht",$H99/$C$31,($H99-0.301*$C$31)/$C$31))+$I99/$C$32+$J95/$L$52+$K95/$L$53</f>
        <v>0</v>
      </c>
      <c r="Q103" s="1663">
        <f>10^(-P103)</f>
        <v>1</v>
      </c>
      <c r="R103" s="1656">
        <f>$C$7*$D$11*$E$103*$P$42*$P$27/400*$N$36*$N$38*$P$25*$P$26/1/1/$P$13/$P$13/$P$17/$P$17/$P$18/$P$18*Q103*1000000</f>
        <v>1.8097500000000002</v>
      </c>
      <c r="S103" s="1714">
        <f>IF($G99=0,0,IF($F99="recht",$G99/$C$30,($G99-0.301*$C$30)/$C$30))+IF($H99=0,0,IF($F99="recht",$H99/$C$31,($H99-0.301*$C$31)/$C$31))+$I99/$C$32+$J95/$L$52+$K95/$L$53</f>
        <v>0</v>
      </c>
      <c r="T103" s="1663">
        <f>10^(-S103)</f>
        <v>1</v>
      </c>
      <c r="U103" s="1656">
        <f>$C$7*$E$11*$E$103*$Q$42*$P$27/400*$N$36*$N$38*$P$25*$P$26/1/1/$P$13/$P$13/$P$17/$P$17/$P$18/$P$18*T103*1000000</f>
        <v>1.2397500000000001</v>
      </c>
      <c r="V103" s="1714">
        <f>IF($G99=0,0,IF($F99="recht",$G99/$C$30,($G99-0.301*$C$30)/$C$30))+IF($F99="recht",$H99,IF($H99=0,"0",$H99-0.301*$C$31))/$C$31+$I99/$C$32+$J95/$L$52+$K95/$L$53</f>
        <v>0</v>
      </c>
      <c r="W103" s="1663">
        <f>10^(-V103)</f>
        <v>1</v>
      </c>
      <c r="X103" s="1656">
        <f>$C$7*$F$11*$E$103*$R$42*$P$27/400*$N$36*$N$38*$P$25*$P$26/1/1/$P$13/$P$13/$P$17/$P$17/$P$18/$P$18*W103*1000000</f>
        <v>2.1185</v>
      </c>
      <c r="Y103" s="1714">
        <f>IF($G99=0,0,IF($F99="recht",$G99/$C$30,($G99-0.301*$C$30)/$C$30))+IF($F99="recht",$H99,IF($H99=0,"0",$H99-0.301*$C$31))/$C$31+$I99/$C$32+$J95/$L$52+$K95/$L$53</f>
        <v>0</v>
      </c>
      <c r="Z103" s="1663">
        <f>10^(-Y103)</f>
        <v>1</v>
      </c>
      <c r="AA103" s="1656">
        <f>$C$7*$G$11*$E$103*$S$42*$P$27/400*$N$36*$N$38*$P$25*$P$26/1/1/$P$13/$P$13/$P$17/$P$17/$P$18/$P$18*Z103*1000000</f>
        <v>1.91425</v>
      </c>
      <c r="AB103" s="1745">
        <f>SUM(O103,R103,U103,X103,AA103)</f>
        <v>9.1057500000000005</v>
      </c>
      <c r="AC103" s="1182"/>
      <c r="AD103" s="944"/>
      <c r="AE103" s="348"/>
      <c r="AF103" s="311"/>
      <c r="AG103" s="336"/>
      <c r="AH103" s="442"/>
      <c r="AI103" s="336"/>
      <c r="AJ103" s="336"/>
      <c r="AK103" s="345"/>
      <c r="AL103" s="345"/>
      <c r="AM103" s="345"/>
      <c r="AN103" s="345"/>
      <c r="AO103" s="345"/>
      <c r="AP103" s="355"/>
      <c r="AQ103" s="355"/>
      <c r="AR103" s="355"/>
      <c r="AS103" s="382"/>
      <c r="AT103" s="382"/>
      <c r="AU103" s="382"/>
    </row>
    <row r="104" spans="1:62" s="325" customFormat="1" ht="19.5" customHeight="1">
      <c r="A104" s="1122"/>
      <c r="B104" s="1008"/>
      <c r="C104" s="1726"/>
      <c r="D104" s="586"/>
      <c r="E104" s="1728"/>
      <c r="F104" s="1835"/>
      <c r="G104" s="1836"/>
      <c r="H104" s="1836"/>
      <c r="I104" s="1837"/>
      <c r="J104" s="1753"/>
      <c r="K104" s="1628"/>
      <c r="L104" s="1732"/>
      <c r="M104" s="1715"/>
      <c r="N104" s="1668"/>
      <c r="O104" s="1660"/>
      <c r="P104" s="1715"/>
      <c r="Q104" s="1668"/>
      <c r="R104" s="1660"/>
      <c r="S104" s="1715"/>
      <c r="T104" s="1668"/>
      <c r="U104" s="1660"/>
      <c r="V104" s="1715"/>
      <c r="W104" s="1668"/>
      <c r="X104" s="1660"/>
      <c r="Y104" s="1715"/>
      <c r="Z104" s="1668"/>
      <c r="AA104" s="1660"/>
      <c r="AB104" s="1717"/>
      <c r="AC104" s="1182"/>
      <c r="AD104" s="944"/>
      <c r="AE104" s="348"/>
      <c r="AF104" s="311"/>
      <c r="AG104" s="336"/>
      <c r="AH104" s="442"/>
      <c r="AI104" s="336"/>
      <c r="AJ104" s="336"/>
      <c r="AK104" s="345"/>
      <c r="AL104" s="345"/>
      <c r="AM104" s="345"/>
      <c r="AN104" s="345"/>
      <c r="AO104" s="345"/>
      <c r="AP104" s="355"/>
      <c r="AQ104" s="355"/>
      <c r="AR104" s="355"/>
      <c r="AS104" s="382"/>
      <c r="AT104" s="382"/>
      <c r="AU104" s="382"/>
    </row>
    <row r="105" spans="1:62" s="325" customFormat="1" ht="19.5" customHeight="1">
      <c r="A105" s="1122"/>
      <c r="B105" s="1008"/>
      <c r="C105" s="1623" t="s">
        <v>477</v>
      </c>
      <c r="D105" s="586"/>
      <c r="E105" s="1727">
        <v>0.25</v>
      </c>
      <c r="F105" s="1835"/>
      <c r="G105" s="1836"/>
      <c r="H105" s="1836"/>
      <c r="I105" s="1837"/>
      <c r="J105" s="1753"/>
      <c r="K105" s="1628"/>
      <c r="L105" s="1732"/>
      <c r="M105" s="1714">
        <f>IF($G99=0,0,IF($F99="recht",$G99/$C$30,($G99-0.301*$C$30)/$C$30))+IF($H99=0,0,IF($F99="recht",$H99/$C$31,($H99-0.301*$C$31)/$C$31))+$I99/$C$32+$J95/$L$52+$K95/$L$53</f>
        <v>0</v>
      </c>
      <c r="N105" s="1663">
        <f>10^(-M105)</f>
        <v>1</v>
      </c>
      <c r="O105" s="1656">
        <f>$C$7*$C$11*$E$105*$O$43*$P$27/400*$N$36*$N$38*$P$25*$P$26/1/1/$P$13/$P$13/$P$17/$P$17/$P$18/$P$18*N105*1000000</f>
        <v>0.71249999999999991</v>
      </c>
      <c r="P105" s="1714">
        <f>IF($G99=0,0,IF($F99="recht",$G99/$C$30,($G99-0.301*$C$30)/$C$30))+IF($H99=0,0,IF($F99="recht",$H99/$C$31,($H99-0.301*$C$31)/$C$31))+$I99/$C$32+$J95/$L$52+$K95/$L$53</f>
        <v>0</v>
      </c>
      <c r="Q105" s="1663">
        <f>10^(-P105)</f>
        <v>1</v>
      </c>
      <c r="R105" s="1656">
        <f>$C$7*$D$11*$E$105*$P$43*$P$27/400*$N$36*$N$38*$P$25*$P$26/1/1/$P$13/$P$13/$P$17/$P$17/$P$18/$P$18*Q105*1000000</f>
        <v>0.71724999999999994</v>
      </c>
      <c r="S105" s="1714">
        <f>IF($G99=0,0,IF($F99="recht",$G99/$C$30,($G99-0.301*$C$30)/$C$30))+IF($H99=0,0,IF($F99="recht",$H99/$C$31,($H99-0.301*$C$31)/$C$31))+$I99/$C$32+$J95/$L$52+$K95/$L$53</f>
        <v>0</v>
      </c>
      <c r="T105" s="1663">
        <f>10^(-S105)</f>
        <v>1</v>
      </c>
      <c r="U105" s="1656">
        <f>$C$7*$E$11*$E$105*$Q$43*$P$27/400*$N$36*$N$38*$P$25*$P$26/1/1/$P$13/$P$13/$P$17/$P$17/$P$18/$P$18*T105*1000000</f>
        <v>0.45362500000000011</v>
      </c>
      <c r="V105" s="1714">
        <f>IF($G99=0,0,IF($F99="recht",$G99/$C$30,($G99-0.301*$C$30)/$C$30))+IF($F99="recht",$H99,IF($H99=0,"0",$H99-0.301*$C$31))/$C$31+$I99/$C$32+$J95/$L$52+$K95/$L$53</f>
        <v>0</v>
      </c>
      <c r="W105" s="1663">
        <f>10^(-V105)</f>
        <v>1</v>
      </c>
      <c r="X105" s="1656">
        <f>$C$7*$F$11*$E$105*$R$43*$P$27/400*$N$36*$N$38*$P$25*$P$26/1/1/$P$13/$P$13/$P$17/$P$17/$P$18/$P$18*W105*1000000</f>
        <v>0.81225000000000003</v>
      </c>
      <c r="Y105" s="1714">
        <f>IF($G99=0,0,IF($F99="recht",$G99/$C$30,($G99-0.301*$C$30)/$C$30))+IF($F99="recht",$H99,IF($H99=0,"0",$H99-0.301*$C$31))/$C$31+$I99/$C$32+$J95/$L$52+$K95/$L$53</f>
        <v>0</v>
      </c>
      <c r="Z105" s="1663">
        <f>10^(-Y105)</f>
        <v>1</v>
      </c>
      <c r="AA105" s="1656">
        <f>$C$7*$G$11*$E$105*$S$43*$P$27/400*$N$36*$N$38*$P$25*$P$26/1/1/$P$13/$P$13/$P$17/$P$17/$P$18/$P$18*Z105*1000000</f>
        <v>0.90725000000000022</v>
      </c>
      <c r="AB105" s="1745">
        <f>SUM(O105,R105,U105,X105,AA105)</f>
        <v>3.6028750000000005</v>
      </c>
      <c r="AC105" s="1182"/>
      <c r="AD105" s="944"/>
      <c r="AE105" s="348"/>
      <c r="AF105" s="311"/>
      <c r="AG105" s="336"/>
      <c r="AH105" s="442"/>
      <c r="AI105" s="336"/>
      <c r="AJ105" s="336"/>
      <c r="AK105" s="345"/>
      <c r="AL105" s="345"/>
      <c r="AM105" s="345"/>
      <c r="AN105" s="345"/>
      <c r="AO105" s="345"/>
      <c r="AP105" s="355"/>
      <c r="AQ105" s="355"/>
      <c r="AR105" s="355"/>
      <c r="AS105" s="382"/>
      <c r="AT105" s="382"/>
      <c r="AU105" s="382"/>
    </row>
    <row r="106" spans="1:62" s="325" customFormat="1" ht="19.5" customHeight="1">
      <c r="A106" s="1122"/>
      <c r="B106" s="1008"/>
      <c r="C106" s="1726"/>
      <c r="D106" s="586"/>
      <c r="E106" s="1728"/>
      <c r="F106" s="1738"/>
      <c r="G106" s="1747"/>
      <c r="H106" s="1747"/>
      <c r="I106" s="1749"/>
      <c r="J106" s="1753"/>
      <c r="K106" s="1628"/>
      <c r="L106" s="1732"/>
      <c r="M106" s="1715"/>
      <c r="N106" s="1668"/>
      <c r="O106" s="1660"/>
      <c r="P106" s="1715"/>
      <c r="Q106" s="1668"/>
      <c r="R106" s="1660"/>
      <c r="S106" s="1715"/>
      <c r="T106" s="1668"/>
      <c r="U106" s="1660"/>
      <c r="V106" s="1715"/>
      <c r="W106" s="1668"/>
      <c r="X106" s="1660"/>
      <c r="Y106" s="1715"/>
      <c r="Z106" s="1668"/>
      <c r="AA106" s="1660"/>
      <c r="AB106" s="1717"/>
      <c r="AC106" s="1182"/>
      <c r="AD106" s="944"/>
      <c r="AE106" s="348"/>
      <c r="AF106" s="311"/>
      <c r="AG106" s="336"/>
      <c r="AH106" s="442"/>
      <c r="AI106" s="336"/>
      <c r="AJ106" s="336"/>
      <c r="AK106" s="345"/>
      <c r="AL106" s="345"/>
      <c r="AM106" s="345"/>
      <c r="AN106" s="345"/>
      <c r="AO106" s="345"/>
      <c r="AP106" s="355"/>
      <c r="AQ106" s="355"/>
      <c r="AR106" s="355"/>
      <c r="AS106" s="382"/>
      <c r="AT106" s="382"/>
      <c r="AU106" s="382"/>
    </row>
    <row r="107" spans="1:62" s="325" customFormat="1" ht="19.5" customHeight="1">
      <c r="A107" s="1122"/>
      <c r="B107" s="1008"/>
      <c r="C107" s="1744" t="s">
        <v>44</v>
      </c>
      <c r="D107" s="1633"/>
      <c r="E107" s="1634"/>
      <c r="F107" s="1713"/>
      <c r="G107" s="1706"/>
      <c r="H107" s="1741"/>
      <c r="I107" s="1713"/>
      <c r="J107" s="1752"/>
      <c r="K107" s="1628"/>
      <c r="L107" s="1732"/>
      <c r="M107" s="1656">
        <f>$J95/$M$52+$K95/$M$53+$L95/$M$54</f>
        <v>0</v>
      </c>
      <c r="N107" s="1663">
        <f>10^(-M107)</f>
        <v>1</v>
      </c>
      <c r="O107" s="1656">
        <f>$C$7*$C$11*($C$12+$C$13*$C$14)*0.0000000000000024*($C$10)*(SQRT($P$29/$P$30)*((1.64*10^(-$P$20/1.9)+10^(-$P$20/(2.06*SQRT($P$30))))*(1-$P$45)*$N$107*1000000))</f>
        <v>0</v>
      </c>
      <c r="P107" s="1656">
        <f>$J95/$M$52+$K95/$M$53+$L95/$M$54</f>
        <v>0</v>
      </c>
      <c r="Q107" s="1663">
        <f>10^(-P107)</f>
        <v>1</v>
      </c>
      <c r="R107" s="1656">
        <f>$C$7*$D$11*($D$12+$D$13*$D$14)*0.0000000000000024*($D$10)*(SQRT($P$29/$P$30)*((1.64*10^(-$P$20/1.9)+10^(-$P$20/(2.06*SQRT($P$30))))*(1-$P$45)*$Q$107*1000000))</f>
        <v>0</v>
      </c>
      <c r="S107" s="1656">
        <f>$J95/$M$52+$K95/$M$53+$L95/$M$54</f>
        <v>0</v>
      </c>
      <c r="T107" s="1663">
        <f>10^(-S107)</f>
        <v>1</v>
      </c>
      <c r="U107" s="1656">
        <f>$C$7*$E$11*($E$12+$E$13*$E$14)*0.0000000000000024*($E$10)*(SQRT($P$29/$P$30)*((1.64*10^(-$P$20/1.9)+10^(-$P$20/(2.06*SQRT($P$30))))*(1-$P$45)*$T$107*1000000))</f>
        <v>9.9054452546101235E-2</v>
      </c>
      <c r="V107" s="1656">
        <f>$J95/$M$52+$K95/$M$53+$L95/$M$54</f>
        <v>0</v>
      </c>
      <c r="W107" s="1663">
        <f>10^(-V107)</f>
        <v>1</v>
      </c>
      <c r="X107" s="1656">
        <f>$C$7*$F$11*($F$12+$F$13*$F$14)*0.0000000000000024*($F$10)*(SQRT($P$29/$P$30)*((1.64*10^(-$P$20/1.9)+10^(-$P$20/(2.06*SQRT($P$30))))*(1-$P$45)*$W$107*1000000))</f>
        <v>0</v>
      </c>
      <c r="Y107" s="1656">
        <f>$J95/$M$52+$K95/$M$53+$L95/$M$54</f>
        <v>0</v>
      </c>
      <c r="Z107" s="1663">
        <f>10^(-Y107)</f>
        <v>1</v>
      </c>
      <c r="AA107" s="1656">
        <f>$C$7*$G$11*($G$12+$G$13*$G$14)*0.0000000000000024*($G$10)*(SQRT($P$29/$P$30)*((1.64*10^(-$P$20/1.9)+10^(-$P$20/(2.06*SQRT($P$30))))*(1-$P$45)*$Z$107*1000000))</f>
        <v>0</v>
      </c>
      <c r="AB107" s="1745">
        <f>SUM(O107,R107,U107,X107,AA107)</f>
        <v>9.9054452546101235E-2</v>
      </c>
      <c r="AC107" s="1182"/>
      <c r="AD107" s="944"/>
      <c r="AE107" s="348"/>
      <c r="AF107" s="311"/>
      <c r="AG107" s="336"/>
      <c r="AH107" s="442"/>
      <c r="AI107" s="336"/>
      <c r="AJ107" s="336"/>
      <c r="AK107" s="345"/>
      <c r="AL107" s="345"/>
      <c r="AM107" s="345"/>
      <c r="AN107" s="345"/>
      <c r="AO107" s="345"/>
      <c r="AP107" s="355"/>
      <c r="AQ107" s="355"/>
      <c r="AR107" s="355"/>
      <c r="AS107" s="355"/>
      <c r="AT107" s="355"/>
      <c r="AU107" s="355"/>
      <c r="AV107" s="345"/>
      <c r="AW107" s="345"/>
      <c r="AX107" s="345"/>
      <c r="AY107" s="345"/>
      <c r="AZ107" s="345"/>
      <c r="BA107" s="345"/>
      <c r="BB107" s="345"/>
      <c r="BC107" s="345"/>
      <c r="BD107" s="345"/>
      <c r="BE107" s="345"/>
      <c r="BF107" s="345"/>
      <c r="BG107" s="345"/>
      <c r="BH107" s="345"/>
      <c r="BI107" s="345"/>
      <c r="BJ107" s="345"/>
    </row>
    <row r="108" spans="1:62" s="325" customFormat="1" ht="19.5" customHeight="1">
      <c r="A108" s="1122"/>
      <c r="B108" s="1008"/>
      <c r="C108" s="1742"/>
      <c r="D108" s="1652"/>
      <c r="E108" s="1652"/>
      <c r="F108" s="1743"/>
      <c r="G108" s="1707"/>
      <c r="H108" s="1742"/>
      <c r="I108" s="1743"/>
      <c r="J108" s="1752"/>
      <c r="K108" s="1628"/>
      <c r="L108" s="1732"/>
      <c r="M108" s="1660"/>
      <c r="N108" s="1668"/>
      <c r="O108" s="1660"/>
      <c r="P108" s="1660"/>
      <c r="Q108" s="1668"/>
      <c r="R108" s="1660"/>
      <c r="S108" s="1660"/>
      <c r="T108" s="1668"/>
      <c r="U108" s="1660"/>
      <c r="V108" s="1660"/>
      <c r="W108" s="1668"/>
      <c r="X108" s="1660"/>
      <c r="Y108" s="1660"/>
      <c r="Z108" s="1668"/>
      <c r="AA108" s="1660"/>
      <c r="AB108" s="1717"/>
      <c r="AC108" s="1182"/>
      <c r="AD108" s="944"/>
      <c r="AE108" s="348"/>
      <c r="AF108" s="311"/>
      <c r="AG108" s="336"/>
      <c r="AH108" s="442"/>
      <c r="AI108" s="336"/>
      <c r="AJ108" s="336"/>
      <c r="AK108" s="345"/>
      <c r="AL108" s="345"/>
      <c r="AM108" s="345"/>
      <c r="AN108" s="345"/>
      <c r="AO108" s="345"/>
      <c r="AP108" s="355"/>
      <c r="AQ108" s="355"/>
      <c r="AR108" s="355"/>
      <c r="AS108" s="355"/>
      <c r="AT108" s="355"/>
      <c r="AU108" s="355"/>
      <c r="AV108" s="345"/>
      <c r="AW108" s="345"/>
      <c r="AX108" s="345"/>
      <c r="AY108" s="345"/>
      <c r="AZ108" s="345"/>
      <c r="BA108" s="345"/>
      <c r="BB108" s="345"/>
      <c r="BC108" s="345"/>
      <c r="BD108" s="345"/>
      <c r="BE108" s="345"/>
      <c r="BF108" s="345"/>
      <c r="BG108" s="345"/>
      <c r="BH108" s="345"/>
      <c r="BI108" s="345"/>
      <c r="BJ108" s="345"/>
    </row>
    <row r="109" spans="1:62" s="325" customFormat="1" ht="19.5" customHeight="1">
      <c r="A109" s="1122"/>
      <c r="B109" s="1008"/>
      <c r="C109" s="1755" t="s">
        <v>269</v>
      </c>
      <c r="D109" s="1633"/>
      <c r="E109" s="1633"/>
      <c r="F109" s="1757"/>
      <c r="G109" s="1758"/>
      <c r="H109" s="1744"/>
      <c r="I109" s="1757"/>
      <c r="J109" s="1752"/>
      <c r="K109" s="1628"/>
      <c r="L109" s="1732"/>
      <c r="M109" s="1656">
        <f>$J95/$N$52+$K95/$N$53</f>
        <v>0</v>
      </c>
      <c r="N109" s="1663">
        <f>10^(-M109)</f>
        <v>1</v>
      </c>
      <c r="O109" s="1761">
        <f>$C$7*$C$11*($C$12+$C$13*$C$14)*0.00000000000000057*$C$10*10^-($P$20/6.2)*(1-$P$46)*N109*1000000</f>
        <v>0</v>
      </c>
      <c r="P109" s="1656">
        <f>$J95/$N$52+$K95/$N$53</f>
        <v>0</v>
      </c>
      <c r="Q109" s="1663">
        <f>10^(-P109)</f>
        <v>1</v>
      </c>
      <c r="R109" s="1760">
        <f>$C$7*$D$11*($D$12+$D$13*$D$14)*0.00000000000000057*$D$10*10^-($P$20/6.2)*(1-$P$46)*Q109*1000000</f>
        <v>0</v>
      </c>
      <c r="S109" s="1763">
        <f>$J95/$N$52+$K95/$N$53</f>
        <v>0</v>
      </c>
      <c r="T109" s="1663">
        <f>10^(-S109)</f>
        <v>1</v>
      </c>
      <c r="U109" s="1760">
        <f>$C$7*$E$11*($E$12+$E$13*$E$14)*0.00000000000000057*$E$10*10^-($P$20/6.2)*(1-$P$46)*T109*1000000</f>
        <v>34.021009276742291</v>
      </c>
      <c r="V109" s="1656">
        <f>$J95/$N$52+$K95/$N$53</f>
        <v>0</v>
      </c>
      <c r="W109" s="1663">
        <f>10^(-V109)</f>
        <v>1</v>
      </c>
      <c r="X109" s="1760">
        <f>$C$7*$F$11*($F$12+$F$13*$F$14)*0.00000000000000057*$F$10*10^-($P$20/6.2)*(1-$P$46)*W109*1000000</f>
        <v>0</v>
      </c>
      <c r="Y109" s="1656">
        <f>$J95/$N$52+$K95/$N$53</f>
        <v>0</v>
      </c>
      <c r="Z109" s="1663">
        <f>10^(-Y109)</f>
        <v>1</v>
      </c>
      <c r="AA109" s="1760">
        <f>$C$7*$G$11*($G$12+$G$13*$G$14)*0.00000000000000057*$G$10*10^-($P$20/6.2)*(1-$P$46)*Z109*1000000</f>
        <v>0</v>
      </c>
      <c r="AB109" s="1745">
        <f>SUM(O109,R109,U109,X109,AA109)</f>
        <v>34.021009276742291</v>
      </c>
      <c r="AC109" s="1182"/>
      <c r="AD109" s="944"/>
      <c r="AE109" s="348"/>
      <c r="AF109" s="311"/>
      <c r="AG109" s="336"/>
      <c r="AH109" s="442"/>
      <c r="AI109" s="336"/>
      <c r="AJ109" s="336"/>
      <c r="AK109" s="345"/>
      <c r="AL109" s="345"/>
      <c r="AM109" s="345"/>
      <c r="AN109" s="345"/>
      <c r="AO109" s="345"/>
      <c r="AP109" s="355"/>
      <c r="AQ109" s="355"/>
      <c r="AR109" s="355"/>
      <c r="AS109" s="355"/>
      <c r="AT109" s="355"/>
      <c r="AU109" s="355"/>
      <c r="AV109" s="345"/>
      <c r="AW109" s="345"/>
      <c r="AX109" s="345"/>
      <c r="AY109" s="345"/>
      <c r="AZ109" s="345"/>
      <c r="BA109" s="345"/>
      <c r="BB109" s="345"/>
      <c r="BC109" s="345"/>
      <c r="BD109" s="345"/>
      <c r="BE109" s="345"/>
      <c r="BF109" s="345"/>
      <c r="BG109" s="345"/>
      <c r="BH109" s="345"/>
      <c r="BI109" s="345"/>
      <c r="BJ109" s="345"/>
    </row>
    <row r="110" spans="1:62" s="325" customFormat="1" ht="19.5" customHeight="1" thickBot="1">
      <c r="A110" s="1122"/>
      <c r="B110" s="1008"/>
      <c r="C110" s="1756"/>
      <c r="D110" s="1652"/>
      <c r="E110" s="1652"/>
      <c r="F110" s="1743"/>
      <c r="G110" s="1759"/>
      <c r="H110" s="1742"/>
      <c r="I110" s="1743"/>
      <c r="J110" s="1754"/>
      <c r="K110" s="1629"/>
      <c r="L110" s="1733"/>
      <c r="M110" s="1660"/>
      <c r="N110" s="1668"/>
      <c r="O110" s="1762"/>
      <c r="P110" s="1660"/>
      <c r="Q110" s="1668"/>
      <c r="R110" s="1715"/>
      <c r="S110" s="1764"/>
      <c r="T110" s="1668"/>
      <c r="U110" s="1715"/>
      <c r="V110" s="1660"/>
      <c r="W110" s="1668"/>
      <c r="X110" s="1715"/>
      <c r="Y110" s="1660"/>
      <c r="Z110" s="1668"/>
      <c r="AA110" s="1715"/>
      <c r="AB110" s="1717"/>
      <c r="AC110" s="1182"/>
      <c r="AD110" s="944"/>
      <c r="AE110" s="348"/>
      <c r="AF110" s="311"/>
      <c r="AG110" s="336"/>
      <c r="AH110" s="442"/>
      <c r="AI110" s="336"/>
      <c r="AJ110" s="336"/>
      <c r="AK110" s="345"/>
      <c r="AL110" s="345"/>
      <c r="AM110" s="345"/>
      <c r="AN110" s="345"/>
      <c r="AO110" s="345"/>
      <c r="AP110" s="355"/>
      <c r="AQ110" s="355"/>
      <c r="AR110" s="355"/>
      <c r="AS110" s="355"/>
      <c r="AT110" s="355"/>
      <c r="AU110" s="355"/>
      <c r="AV110" s="345"/>
      <c r="AW110" s="345"/>
      <c r="AX110" s="345"/>
      <c r="AY110" s="345"/>
      <c r="AZ110" s="345"/>
      <c r="BA110" s="345"/>
      <c r="BB110" s="345"/>
      <c r="BC110" s="345"/>
      <c r="BD110" s="345"/>
      <c r="BE110" s="345"/>
      <c r="BF110" s="345"/>
      <c r="BG110" s="345"/>
      <c r="BH110" s="345"/>
      <c r="BI110" s="345"/>
      <c r="BJ110" s="345"/>
    </row>
    <row r="111" spans="1:62" s="325" customFormat="1" ht="19.5" customHeight="1">
      <c r="A111" s="1638" t="str">
        <f ca="1">'Linac 2'!A$95</f>
        <v>L2</v>
      </c>
      <c r="B111" s="1011"/>
      <c r="C111" s="1623" t="s">
        <v>333</v>
      </c>
      <c r="D111" s="1627">
        <v>1</v>
      </c>
      <c r="E111" s="1627">
        <v>0</v>
      </c>
      <c r="F111" s="1627" t="s">
        <v>12</v>
      </c>
      <c r="G111" s="1627">
        <v>250</v>
      </c>
      <c r="H111" s="1627">
        <v>0</v>
      </c>
      <c r="I111" s="1627">
        <v>0</v>
      </c>
      <c r="J111" s="1765"/>
      <c r="K111" s="1765"/>
      <c r="L111" s="1768"/>
      <c r="M111" s="1656">
        <f>IF($G111=0,0,IF($F111="recht",1+($G111-$C$17)/$C$18,1+($G111-$C$17-0.301*$C$18)/$C$18))+IF($H111=0,0,IF($F111="recht",$H111/$C$19,($H111-0.301*$C$19)/$C$19))+$I111/$C$20</f>
        <v>7.4545454545454541</v>
      </c>
      <c r="N111" s="1663">
        <f>10^(-M111)</f>
        <v>3.5111917342151263E-8</v>
      </c>
      <c r="O111" s="1656">
        <f>($C$7*$C$11*$E111/$D111/$D111*N111*1000000)</f>
        <v>0</v>
      </c>
      <c r="P111" s="1656">
        <f>IF($G111=0,0,IF($F111="recht",1+($G111-$D$17)/$D$18,1+($G111-$D$17-0.301*$D$18)/$D$18))+IF($H111=0,0,IF($F111="recht",$H111/$D$19,($H111-0.301*$D$19)/$D$19))+$I111/$D$20</f>
        <v>6.6486486486486482</v>
      </c>
      <c r="Q111" s="1663">
        <f>10^(-P111)</f>
        <v>2.2456979955397711E-7</v>
      </c>
      <c r="R111" s="1656">
        <f>($C$7*$D$11*$E111/$D111/$D111*Q111*1000000)</f>
        <v>0</v>
      </c>
      <c r="S111" s="1656">
        <f>IF($G111=0,0,IF($F111="recht",1+($G111-$E$17)/$E$18,1+($G111-$E$17-0.301*$E$18)/$E$18))+IF($H111=0,0,IF($F111="recht",$H111/$E$19,($H111-0.301*$E$19)/$E$19))+$I111/$E$20</f>
        <v>6.024390243902439</v>
      </c>
      <c r="T111" s="1663">
        <f>10^(-S111)</f>
        <v>9.4538728313079291E-7</v>
      </c>
      <c r="U111" s="1656">
        <f>($C$7*$E$11*$E111/$D111/$D111*T111*1000000)</f>
        <v>0</v>
      </c>
      <c r="V111" s="1656">
        <f>IF($G111=0,0,IF($F111="recht",1+($G111-$F$17)/$F$18,1+($G111-$F$17-0.301*$F$18)/$F$18))+IF($H111=0,0,IF($F111="recht",$H111/$F$19,($H111-0.301*$F$19)/$F$19))+$I111/$F$20</f>
        <v>9.1481481481481488</v>
      </c>
      <c r="W111" s="1661">
        <f>10^(-V111)</f>
        <v>7.1097094323124171E-10</v>
      </c>
      <c r="X111" s="1658">
        <f>($C$7*$F$11*$E111/$D111/$D111*W111*1000000)</f>
        <v>0</v>
      </c>
      <c r="Y111" s="1656">
        <f>IF($G111=0,0,IF($F111="recht",1+($G111-$G$17)/$G$18,1+($G111-$G$17-0.301*$G$18)/$G$18))+IF($H111=0,0,IF($F111="recht",$H111/$G$19,($H111-0.301*$G$19)/$G$19))+$I111/$G$20</f>
        <v>6.9444444444444446</v>
      </c>
      <c r="Z111" s="1661">
        <f>10^(-Y111)</f>
        <v>1.136463666385722E-7</v>
      </c>
      <c r="AA111" s="1658">
        <f>($C$7*$G$11*$E111/$D111/$D111*Z111*1000000)</f>
        <v>0</v>
      </c>
      <c r="AB111" s="1708">
        <f>SUM(O111,R111,U111,X111,AA111)</f>
        <v>0</v>
      </c>
      <c r="AC111" s="1180">
        <f>SUM(AB111:AB114)*$D$86/2400/1000</f>
        <v>7.7799298705522589E-7</v>
      </c>
      <c r="AD111" s="942">
        <f>AC111*$D$87</f>
        <v>3.8899649352761298E-6</v>
      </c>
      <c r="AE111" s="1233"/>
      <c r="AF111" s="336"/>
      <c r="AG111" s="345"/>
      <c r="AH111" s="345"/>
      <c r="AI111" s="345"/>
      <c r="AJ111" s="345"/>
      <c r="AK111" s="345"/>
      <c r="AL111" s="345"/>
      <c r="AM111" s="345"/>
      <c r="AN111" s="345"/>
      <c r="AO111" s="345"/>
      <c r="AP111" s="345"/>
      <c r="AQ111" s="345"/>
      <c r="AR111" s="345"/>
      <c r="AS111" s="345"/>
      <c r="AT111" s="345"/>
      <c r="AU111" s="345"/>
      <c r="AV111" s="345"/>
      <c r="AW111" s="345"/>
      <c r="AX111" s="345"/>
      <c r="AY111" s="345"/>
      <c r="AZ111" s="345"/>
      <c r="BA111" s="345"/>
      <c r="BB111" s="345"/>
      <c r="BC111" s="345"/>
      <c r="BD111" s="345"/>
      <c r="BE111" s="345"/>
      <c r="BF111" s="345"/>
      <c r="BG111" s="345"/>
      <c r="BH111" s="345"/>
      <c r="BI111" s="345"/>
      <c r="BJ111" s="345"/>
    </row>
    <row r="112" spans="1:62" s="325" customFormat="1" ht="19.5" customHeight="1">
      <c r="A112" s="1639"/>
      <c r="B112" s="1010" t="s">
        <v>168</v>
      </c>
      <c r="C112" s="1624"/>
      <c r="D112" s="1720"/>
      <c r="E112" s="1720"/>
      <c r="F112" s="1628"/>
      <c r="G112" s="1628"/>
      <c r="H112" s="1628"/>
      <c r="I112" s="1628"/>
      <c r="J112" s="1766"/>
      <c r="K112" s="1766"/>
      <c r="L112" s="1769"/>
      <c r="M112" s="1659"/>
      <c r="N112" s="1662"/>
      <c r="O112" s="1657"/>
      <c r="P112" s="1657"/>
      <c r="Q112" s="1662"/>
      <c r="R112" s="1657"/>
      <c r="S112" s="1657"/>
      <c r="T112" s="1662"/>
      <c r="U112" s="1657"/>
      <c r="V112" s="1657"/>
      <c r="W112" s="1662"/>
      <c r="X112" s="1657"/>
      <c r="Y112" s="1657"/>
      <c r="Z112" s="1662"/>
      <c r="AA112" s="1657"/>
      <c r="AB112" s="1709"/>
      <c r="AC112" s="1181"/>
      <c r="AD112" s="943"/>
      <c r="AE112" s="348"/>
      <c r="AF112" s="336"/>
      <c r="AG112" s="345"/>
      <c r="AH112" s="345"/>
      <c r="AI112" s="345"/>
      <c r="AJ112" s="345"/>
      <c r="AK112" s="345"/>
      <c r="AL112" s="345"/>
      <c r="AM112" s="345"/>
      <c r="AN112" s="345"/>
      <c r="AO112" s="345"/>
      <c r="AP112" s="345"/>
      <c r="AQ112" s="345"/>
      <c r="AR112" s="345"/>
      <c r="AS112" s="345"/>
      <c r="AT112" s="345"/>
      <c r="AU112" s="345"/>
      <c r="AV112" s="345"/>
      <c r="AW112" s="345"/>
      <c r="AX112" s="345"/>
      <c r="AY112" s="345"/>
      <c r="AZ112" s="345"/>
      <c r="BA112" s="345"/>
      <c r="BB112" s="345"/>
      <c r="BC112" s="345"/>
      <c r="BD112" s="345"/>
      <c r="BE112" s="345"/>
      <c r="BF112" s="345"/>
      <c r="BG112" s="345"/>
      <c r="BH112" s="345"/>
      <c r="BI112" s="345"/>
      <c r="BJ112" s="345"/>
    </row>
    <row r="113" spans="1:82" s="325" customFormat="1" ht="19.5" customHeight="1">
      <c r="A113" s="1639"/>
      <c r="B113" s="1012" t="str">
        <f ca="1">'Linac 2'!C$3</f>
        <v>Linac 2</v>
      </c>
      <c r="C113" s="1687" t="s">
        <v>334</v>
      </c>
      <c r="D113" s="1770">
        <v>1</v>
      </c>
      <c r="E113" s="1712">
        <v>1</v>
      </c>
      <c r="F113" s="1628"/>
      <c r="G113" s="1628"/>
      <c r="H113" s="1628"/>
      <c r="I113" s="1628"/>
      <c r="J113" s="1766"/>
      <c r="K113" s="1766"/>
      <c r="L113" s="1769"/>
      <c r="M113" s="1714">
        <f>IF($G111=0,0,IF($F111="recht",$G111/$C$24,($G111-0.301*$C$24)/$C$24))+IF($H111=0,0,IF($F111="recht",$H111/$C$25,($H111-0.301*$C$25)/$C$25))+$I111/$C$26</f>
        <v>7.3529411764705879</v>
      </c>
      <c r="N113" s="1661">
        <f>10^(-M113)</f>
        <v>4.4366873309786093E-8</v>
      </c>
      <c r="O113" s="1658">
        <f>($C$7*$C$8*$C$11*($C$12+$C$13*$C$14)*$E113/$D113/$D113*N113*1000000)</f>
        <v>2.6620123985871658E-2</v>
      </c>
      <c r="P113" s="1658">
        <f>IF($G111=0,0,IF($F111="recht",$G111/$D$24,($G111-0.301*$D$24)/$D$24))+IF($H111=0,0,IF($F111="recht",$H111/$D$25,($H111-0.301*$D$25)/$D$25))+$I111/$D$26</f>
        <v>6.5789473684210522</v>
      </c>
      <c r="Q113" s="1661">
        <f>10^(-P113)</f>
        <v>2.636650898730358E-7</v>
      </c>
      <c r="R113" s="1658">
        <f>($C$7*$C$8*$D$11*($D$12+$D$13*$D$14)*$E113/$D113/$D113*Q113*1000000)</f>
        <v>0.1581990539238215</v>
      </c>
      <c r="S113" s="1658">
        <f>IF($G111=0,0,IF($F111="recht",$G111/$E$24,($G111-0.301*$E$24)/$E$24))+IF($H111=0,0,IF($F111="recht",$H111/$E$25,($H111-0.301*$E$25)/$E$25))+$I111/$E$26</f>
        <v>6.5616797900262469</v>
      </c>
      <c r="T113" s="1661">
        <f>10^(-S113)</f>
        <v>2.7435963093132793E-7</v>
      </c>
      <c r="U113" s="1658">
        <f>($C$7*$C$8*$E$11*($E$12+$E$13*$E$14)*$E113/$D113/$D113*T113*1000000)</f>
        <v>0.16461577855879678</v>
      </c>
      <c r="V113" s="1658">
        <f>IF($G111=0,0,IF($F111="recht",$G111/$F$24,($G111-0.301*$F$24)/$F$24))+IF($H111=0,0,IF($F111="recht",$H111/$F$25,($H111-0.301*$F$25)/$F$25))+$I111/$F$26</f>
        <v>8.1967213114754092</v>
      </c>
      <c r="W113" s="1661">
        <f>10^(-V113)</f>
        <v>6.3573875711648393E-9</v>
      </c>
      <c r="X113" s="1658">
        <f>($C$7*$C$8*$F$11*($F$12+$F$13*$F$14)*$E113/$D113/$D113*W113*1000000)</f>
        <v>2.1615117741960455E-3</v>
      </c>
      <c r="Y113" s="1658">
        <f>IF($G111=0,0,IF($F111="recht",$G111/$G$24,($G111-0.301*$G$24)/$G$24))+IF($H111=0,0,IF($F111="recht",$H111/$G$25,($H111-0.301*$G$25)/$G$25))+$I111/$G$26</f>
        <v>7.0224719101123592</v>
      </c>
      <c r="Z113" s="1661">
        <f>10^(-Y113)</f>
        <v>9.4957241494880226E-8</v>
      </c>
      <c r="AA113" s="1658">
        <f>($C$7*$C$8*$G$11*($G$12+$G$13*$G$14)*$E113/$D113/$D113*Z113*1000000)</f>
        <v>2.1840165543822451E-2</v>
      </c>
      <c r="AB113" s="1716">
        <f>SUM(O113,R113,U113,X113,AA113)</f>
        <v>0.37343663378650843</v>
      </c>
      <c r="AC113" s="1181"/>
      <c r="AD113" s="944"/>
      <c r="AE113" s="348"/>
      <c r="AF113" s="336"/>
      <c r="AG113" s="345"/>
      <c r="AH113" s="345"/>
      <c r="AI113" s="345"/>
      <c r="AJ113" s="345"/>
      <c r="AK113" s="345"/>
      <c r="AL113" s="345"/>
      <c r="AM113" s="345"/>
      <c r="AN113" s="345"/>
      <c r="AO113" s="345"/>
      <c r="AP113" s="345"/>
      <c r="AQ113" s="345"/>
      <c r="AR113" s="345"/>
      <c r="AS113" s="345"/>
      <c r="AT113" s="345"/>
      <c r="AU113" s="345"/>
      <c r="AV113" s="345"/>
      <c r="AW113" s="345"/>
      <c r="AX113" s="345"/>
      <c r="AY113" s="345"/>
      <c r="AZ113" s="345"/>
      <c r="BA113" s="345"/>
      <c r="BB113" s="345"/>
      <c r="BC113" s="345"/>
      <c r="BD113" s="345"/>
      <c r="BE113" s="345"/>
      <c r="BF113" s="345"/>
      <c r="BG113" s="345"/>
      <c r="BH113" s="345"/>
      <c r="BI113" s="345"/>
      <c r="BJ113" s="345"/>
    </row>
    <row r="114" spans="1:82" s="325" customFormat="1" ht="19.5" customHeight="1" thickBot="1">
      <c r="A114" s="1640"/>
      <c r="B114" s="1012"/>
      <c r="C114" s="1688"/>
      <c r="D114" s="1629"/>
      <c r="E114" s="1743"/>
      <c r="F114" s="1629"/>
      <c r="G114" s="1629"/>
      <c r="H114" s="1629"/>
      <c r="I114" s="1629"/>
      <c r="J114" s="1767"/>
      <c r="K114" s="1767"/>
      <c r="L114" s="1769"/>
      <c r="M114" s="1715"/>
      <c r="N114" s="1668"/>
      <c r="O114" s="1660"/>
      <c r="P114" s="1660"/>
      <c r="Q114" s="1668"/>
      <c r="R114" s="1660"/>
      <c r="S114" s="1660"/>
      <c r="T114" s="1668"/>
      <c r="U114" s="1660"/>
      <c r="V114" s="1660"/>
      <c r="W114" s="1668"/>
      <c r="X114" s="1660"/>
      <c r="Y114" s="1660"/>
      <c r="Z114" s="1668"/>
      <c r="AA114" s="1660"/>
      <c r="AB114" s="1717"/>
      <c r="AC114" s="1181"/>
      <c r="AD114" s="944"/>
      <c r="AE114" s="348"/>
      <c r="AF114" s="336"/>
      <c r="AG114" s="345"/>
      <c r="AH114" s="345"/>
      <c r="AI114" s="345"/>
      <c r="AJ114" s="345"/>
      <c r="AK114" s="345"/>
      <c r="AL114" s="345"/>
      <c r="AM114" s="345"/>
      <c r="AN114" s="345"/>
      <c r="AO114" s="345"/>
      <c r="AP114" s="345"/>
      <c r="AQ114" s="345"/>
      <c r="AR114" s="345"/>
      <c r="AS114" s="345"/>
      <c r="AT114" s="345"/>
      <c r="AU114" s="345"/>
      <c r="AV114" s="345"/>
      <c r="AW114" s="345"/>
      <c r="AX114" s="345"/>
      <c r="AY114" s="345"/>
      <c r="AZ114" s="345"/>
      <c r="BA114" s="345"/>
      <c r="BB114" s="345"/>
      <c r="BC114" s="345"/>
      <c r="BD114" s="345"/>
      <c r="BE114" s="345"/>
      <c r="BF114" s="345"/>
      <c r="BG114" s="345"/>
      <c r="BH114" s="345"/>
      <c r="BI114" s="345"/>
      <c r="BJ114" s="345"/>
    </row>
    <row r="115" spans="1:82" s="325" customFormat="1" ht="19.5" customHeight="1">
      <c r="A115" s="1638" t="str">
        <f ca="1">'Linac 3'!A$99</f>
        <v>L3</v>
      </c>
      <c r="B115" s="1004"/>
      <c r="C115" s="1623" t="s">
        <v>333</v>
      </c>
      <c r="D115" s="1627">
        <v>1</v>
      </c>
      <c r="E115" s="1627">
        <v>0</v>
      </c>
      <c r="F115" s="1627" t="s">
        <v>12</v>
      </c>
      <c r="G115" s="1627">
        <v>250</v>
      </c>
      <c r="H115" s="1627">
        <v>0</v>
      </c>
      <c r="I115" s="1627">
        <v>0</v>
      </c>
      <c r="J115" s="1765"/>
      <c r="K115" s="1765"/>
      <c r="L115" s="1768"/>
      <c r="M115" s="1656">
        <f>IF($G115=0,0,IF($F115="recht",1+($G115-$C$17)/$C$18,1+($G115-$C$17-0.301*$C$18)/$C$18))+IF($H115=0,0,IF($F115="recht",$H115/$C$19,($H115-0.301*$C$19)/$C$19))+$I115/$C$20</f>
        <v>7.4545454545454541</v>
      </c>
      <c r="N115" s="1663">
        <f>10^(-M115)</f>
        <v>3.5111917342151263E-8</v>
      </c>
      <c r="O115" s="1656">
        <f>($C$7*$C$11*$E115/$D115/$D115*N115*1000000)</f>
        <v>0</v>
      </c>
      <c r="P115" s="1656">
        <f>IF($G115=0,0,IF($F115="recht",1+($G115-$D$17)/$D$18,1+($G115-$D$17-0.301*$D$18)/$D$18))+IF($H115=0,0,IF($F115="recht",$H115/$D$19,($H115-0.301*$D$19)/$D$19))+$I115/$D$20</f>
        <v>6.6486486486486482</v>
      </c>
      <c r="Q115" s="1663">
        <f>10^(-P115)</f>
        <v>2.2456979955397711E-7</v>
      </c>
      <c r="R115" s="1656">
        <f>($C$7*$D$11*$E115/$D115/$D115*Q115*1000000)</f>
        <v>0</v>
      </c>
      <c r="S115" s="1656">
        <f>IF($G115=0,0,IF($F115="recht",1+($G115-$E$17)/$E$18,1+($G115-$E$17-0.301*$E$18)/$E$18))+IF($H115=0,0,IF($F115="recht",$H115/$E$19,($H115-0.301*$E$19)/$E$19))+$I115/$E$20</f>
        <v>6.024390243902439</v>
      </c>
      <c r="T115" s="1663">
        <f>10^(-S115)</f>
        <v>9.4538728313079291E-7</v>
      </c>
      <c r="U115" s="1656">
        <f>($C$7*$E$11*$E115/$D115/$D115*T115*1000000)</f>
        <v>0</v>
      </c>
      <c r="V115" s="1656">
        <f>IF($G115=0,0,IF($F115="recht",1+($G115-$F$17)/$F$18,1+($G115-$F$17-0.301*$F$18)/$F$18))+IF($H115=0,0,IF($F115="recht",$H115/$F$19,($H115-0.301*$F$19)/$F$19))+$I115/$F$20</f>
        <v>9.1481481481481488</v>
      </c>
      <c r="W115" s="1661">
        <f>10^(-V115)</f>
        <v>7.1097094323124171E-10</v>
      </c>
      <c r="X115" s="1658">
        <f>($C$7*$F$11*$E115/$D115/$D115*W115*1000000)</f>
        <v>0</v>
      </c>
      <c r="Y115" s="1656">
        <f>IF($G115=0,0,IF($F115="recht",1+($G115-$G$17)/$G$18,1+($G115-$G$17-0.301*$G$18)/$G$18))+IF($H115=0,0,IF($F115="recht",$H115/$G$19,($H115-0.301*$G$19)/$G$19))+$I115/$G$20</f>
        <v>6.9444444444444446</v>
      </c>
      <c r="Z115" s="1661">
        <f>10^(-Y115)</f>
        <v>1.136463666385722E-7</v>
      </c>
      <c r="AA115" s="1658">
        <f>($C$7*$G$11*$E115/$D115/$D115*Z115*1000000)</f>
        <v>0</v>
      </c>
      <c r="AB115" s="1708">
        <f>SUM(O115,R115,U115,X115,AA115)</f>
        <v>0</v>
      </c>
      <c r="AC115" s="1180">
        <f>SUM(AB115:AB118)*$D$86/2400/1000</f>
        <v>7.7799298705522589E-7</v>
      </c>
      <c r="AD115" s="942">
        <f>AC115*$D$87</f>
        <v>3.8899649352761298E-6</v>
      </c>
      <c r="AE115" s="1233"/>
      <c r="AF115" s="336"/>
      <c r="AG115" s="345"/>
      <c r="AH115" s="345"/>
      <c r="AI115" s="345"/>
      <c r="AJ115" s="345"/>
      <c r="AK115" s="345"/>
      <c r="AL115" s="345"/>
      <c r="AM115" s="345"/>
      <c r="AN115" s="345"/>
      <c r="AO115" s="345"/>
      <c r="AP115" s="345"/>
      <c r="AQ115" s="345"/>
      <c r="AR115" s="345"/>
      <c r="AS115" s="345"/>
      <c r="AT115" s="345"/>
      <c r="AU115" s="345"/>
      <c r="AV115" s="345"/>
      <c r="AW115" s="345"/>
      <c r="AX115" s="345"/>
      <c r="AY115" s="345"/>
      <c r="AZ115" s="345"/>
      <c r="BA115" s="345"/>
      <c r="BB115" s="345"/>
      <c r="BC115" s="345"/>
      <c r="BD115" s="345"/>
      <c r="BE115" s="345"/>
      <c r="BF115" s="345"/>
      <c r="BG115" s="345"/>
      <c r="BH115" s="345"/>
      <c r="BI115" s="345"/>
      <c r="BJ115" s="345"/>
    </row>
    <row r="116" spans="1:82" s="325" customFormat="1" ht="19.5" customHeight="1">
      <c r="A116" s="1639"/>
      <c r="B116" s="1008" t="s">
        <v>168</v>
      </c>
      <c r="C116" s="1624"/>
      <c r="D116" s="1720"/>
      <c r="E116" s="1720"/>
      <c r="F116" s="1628"/>
      <c r="G116" s="1628"/>
      <c r="H116" s="1628"/>
      <c r="I116" s="1628"/>
      <c r="J116" s="1766"/>
      <c r="K116" s="1766"/>
      <c r="L116" s="1769"/>
      <c r="M116" s="1659"/>
      <c r="N116" s="1662"/>
      <c r="O116" s="1657"/>
      <c r="P116" s="1657"/>
      <c r="Q116" s="1662"/>
      <c r="R116" s="1657"/>
      <c r="S116" s="1657"/>
      <c r="T116" s="1662"/>
      <c r="U116" s="1657"/>
      <c r="V116" s="1657"/>
      <c r="W116" s="1662"/>
      <c r="X116" s="1657"/>
      <c r="Y116" s="1657"/>
      <c r="Z116" s="1662"/>
      <c r="AA116" s="1657"/>
      <c r="AB116" s="1709"/>
      <c r="AC116" s="1181"/>
      <c r="AD116" s="943"/>
      <c r="AE116" s="348"/>
      <c r="AF116" s="336"/>
      <c r="AG116" s="345"/>
      <c r="AH116" s="345"/>
      <c r="AI116" s="345"/>
      <c r="AJ116" s="345"/>
      <c r="AK116" s="345"/>
      <c r="AL116" s="345"/>
      <c r="AM116" s="345"/>
      <c r="AN116" s="345"/>
      <c r="AO116" s="345"/>
      <c r="AP116" s="345"/>
      <c r="AQ116" s="345"/>
      <c r="AR116" s="345"/>
      <c r="AS116" s="345"/>
      <c r="AT116" s="345"/>
      <c r="AU116" s="345"/>
      <c r="AV116" s="345"/>
      <c r="AW116" s="345"/>
      <c r="AX116" s="345"/>
      <c r="AY116" s="345"/>
      <c r="AZ116" s="345"/>
      <c r="BA116" s="345"/>
      <c r="BB116" s="345"/>
      <c r="BC116" s="345"/>
      <c r="BD116" s="345"/>
      <c r="BE116" s="345"/>
      <c r="BF116" s="345"/>
      <c r="BG116" s="345"/>
      <c r="BH116" s="345"/>
      <c r="BI116" s="345"/>
      <c r="BJ116" s="345"/>
    </row>
    <row r="117" spans="1:82" s="325" customFormat="1" ht="19.5" customHeight="1">
      <c r="A117" s="1639"/>
      <c r="B117" s="1012" t="str">
        <f ca="1">'Linac 3'!C$3</f>
        <v>Linac 3</v>
      </c>
      <c r="C117" s="1687" t="s">
        <v>334</v>
      </c>
      <c r="D117" s="1770">
        <v>1</v>
      </c>
      <c r="E117" s="1712">
        <v>1</v>
      </c>
      <c r="F117" s="1628"/>
      <c r="G117" s="1628"/>
      <c r="H117" s="1628"/>
      <c r="I117" s="1628"/>
      <c r="J117" s="1766"/>
      <c r="K117" s="1766"/>
      <c r="L117" s="1769"/>
      <c r="M117" s="1714">
        <f>IF($G115=0,0,IF($F115="recht",$G115/$C$24,($G115-0.301*$C$24)/$C$24))+IF($H115=0,0,IF($F115="recht",$H115/$C$25,($H115-0.301*$C$25)/$C$25))+$I115/$C$26</f>
        <v>7.3529411764705879</v>
      </c>
      <c r="N117" s="1661">
        <f>10^(-M117)</f>
        <v>4.4366873309786093E-8</v>
      </c>
      <c r="O117" s="1658">
        <f>($C$7*$C$8*$C$11*($C$12+$C$13*$C$14)*$E117/$D117/$D117*N117*1000000)</f>
        <v>2.6620123985871658E-2</v>
      </c>
      <c r="P117" s="1658">
        <f>IF($G115=0,0,IF($F115="recht",$G115/$D$24,($G115-0.301*$D$24)/$D$24))+IF($H115=0,0,IF($F115="recht",$H115/$D$25,($H115-0.301*$D$25)/$D$25))+$I115/$D$26</f>
        <v>6.5789473684210522</v>
      </c>
      <c r="Q117" s="1661">
        <f>10^(-P117)</f>
        <v>2.636650898730358E-7</v>
      </c>
      <c r="R117" s="1658">
        <f>($C$7*$C$8*$D$11*($D$12+$D$13*$D$14)*$E117/$D117/$D117*Q117*1000000)</f>
        <v>0.1581990539238215</v>
      </c>
      <c r="S117" s="1658">
        <f>IF($G115=0,0,IF($F115="recht",$G115/$E$24,($G115-0.301*$E$24)/$E$24))+IF($H115=0,0,IF($F115="recht",$H115/$E$25,($H115-0.301*$E$25)/$E$25))+$I115/$E$26</f>
        <v>6.5616797900262469</v>
      </c>
      <c r="T117" s="1661">
        <f>10^(-S117)</f>
        <v>2.7435963093132793E-7</v>
      </c>
      <c r="U117" s="1658">
        <f>($C$7*$C$8*$E$11*($E$12+$E$13*$E$14)*$E117/$D117/$D117*T117*1000000)</f>
        <v>0.16461577855879678</v>
      </c>
      <c r="V117" s="1658">
        <f>IF($G115=0,0,IF($F115="recht",$G115/$F$24,($G115-0.301*$F$24)/$F$24))+IF($H115=0,0,IF($F115="recht",$H115/$F$25,($H115-0.301*$F$25)/$F$25))+$I115/$F$26</f>
        <v>8.1967213114754092</v>
      </c>
      <c r="W117" s="1661">
        <f>10^(-V117)</f>
        <v>6.3573875711648393E-9</v>
      </c>
      <c r="X117" s="1658">
        <f>($C$7*$C$8*$F$11*($F$12+$F$13*$F$14)*$E117/$D117/$D117*W117*1000000)</f>
        <v>2.1615117741960455E-3</v>
      </c>
      <c r="Y117" s="1658">
        <f>IF($G115=0,0,IF($F115="recht",$G115/$G$24,($G115-0.301*$G$24)/$G$24))+IF($H115=0,0,IF($F115="recht",$H115/$G$25,($H115-0.301*$G$25)/$G$25))+$I115/$G$26</f>
        <v>7.0224719101123592</v>
      </c>
      <c r="Z117" s="1661">
        <f>10^(-Y117)</f>
        <v>9.4957241494880226E-8</v>
      </c>
      <c r="AA117" s="1658">
        <f>($C$7*$C$8*$G$11*($G$12+$G$13*$G$14)*$E117/$D117/$D117*Z117*1000000)</f>
        <v>2.1840165543822451E-2</v>
      </c>
      <c r="AB117" s="1716">
        <f>SUM(O117,R117,U117,X117,AA117)</f>
        <v>0.37343663378650843</v>
      </c>
      <c r="AC117" s="1181"/>
      <c r="AD117" s="944"/>
      <c r="AE117" s="348"/>
      <c r="AF117" s="336"/>
      <c r="AG117" s="345"/>
      <c r="AH117" s="345"/>
      <c r="AI117" s="345"/>
      <c r="AJ117" s="345"/>
      <c r="AK117" s="345"/>
      <c r="AL117" s="345"/>
      <c r="AM117" s="345"/>
      <c r="AN117" s="345"/>
      <c r="AO117" s="345"/>
      <c r="AP117" s="345"/>
      <c r="AQ117" s="345"/>
      <c r="AR117" s="345"/>
      <c r="AS117" s="345"/>
      <c r="AT117" s="345"/>
      <c r="AU117" s="345"/>
      <c r="AV117" s="345"/>
      <c r="AW117" s="345"/>
      <c r="AX117" s="345"/>
      <c r="AY117" s="345"/>
      <c r="AZ117" s="345"/>
      <c r="BA117" s="345"/>
      <c r="BB117" s="345"/>
      <c r="BC117" s="345"/>
      <c r="BD117" s="345"/>
      <c r="BE117" s="345"/>
      <c r="BF117" s="345"/>
      <c r="BG117" s="345"/>
      <c r="BH117" s="345"/>
      <c r="BI117" s="345"/>
      <c r="BJ117" s="345"/>
    </row>
    <row r="118" spans="1:82" s="325" customFormat="1" ht="19.5" customHeight="1" thickBot="1">
      <c r="A118" s="1640"/>
      <c r="B118" s="1012"/>
      <c r="C118" s="1688"/>
      <c r="D118" s="1629"/>
      <c r="E118" s="1743"/>
      <c r="F118" s="1629"/>
      <c r="G118" s="1629"/>
      <c r="H118" s="1629"/>
      <c r="I118" s="1629"/>
      <c r="J118" s="1767"/>
      <c r="K118" s="1767"/>
      <c r="L118" s="1769"/>
      <c r="M118" s="1715"/>
      <c r="N118" s="1668"/>
      <c r="O118" s="1660"/>
      <c r="P118" s="1660"/>
      <c r="Q118" s="1668"/>
      <c r="R118" s="1660"/>
      <c r="S118" s="1660"/>
      <c r="T118" s="1668"/>
      <c r="U118" s="1660"/>
      <c r="V118" s="1660"/>
      <c r="W118" s="1668"/>
      <c r="X118" s="1660"/>
      <c r="Y118" s="1660"/>
      <c r="Z118" s="1668"/>
      <c r="AA118" s="1660"/>
      <c r="AB118" s="1717"/>
      <c r="AC118" s="1181"/>
      <c r="AD118" s="944"/>
      <c r="AE118" s="348"/>
      <c r="AF118" s="336"/>
      <c r="AG118" s="345"/>
      <c r="AH118" s="345"/>
      <c r="AI118" s="345"/>
      <c r="AJ118" s="345"/>
      <c r="AK118" s="345"/>
      <c r="AL118" s="345"/>
      <c r="AM118" s="345"/>
      <c r="AN118" s="345"/>
      <c r="AO118" s="345"/>
      <c r="AP118" s="345"/>
      <c r="AQ118" s="345"/>
      <c r="AR118" s="345"/>
      <c r="AS118" s="345"/>
      <c r="AT118" s="345"/>
      <c r="AU118" s="345"/>
      <c r="AV118" s="345"/>
      <c r="AW118" s="345"/>
      <c r="AX118" s="345"/>
      <c r="AY118" s="345"/>
      <c r="AZ118" s="345"/>
      <c r="BA118" s="345"/>
      <c r="BB118" s="345"/>
      <c r="BC118" s="345"/>
      <c r="BD118" s="345"/>
      <c r="BE118" s="345"/>
      <c r="BF118" s="345"/>
      <c r="BG118" s="345"/>
      <c r="BH118" s="345"/>
      <c r="BI118" s="345"/>
      <c r="BJ118" s="345"/>
    </row>
    <row r="119" spans="1:82" s="325" customFormat="1" ht="19.5" customHeight="1">
      <c r="A119" s="1638" t="str">
        <f ca="1">'Linac 4'!A$103</f>
        <v>L4</v>
      </c>
      <c r="B119" s="1004"/>
      <c r="C119" s="1623" t="s">
        <v>333</v>
      </c>
      <c r="D119" s="1627">
        <v>1</v>
      </c>
      <c r="E119" s="1627">
        <v>0</v>
      </c>
      <c r="F119" s="1627" t="s">
        <v>12</v>
      </c>
      <c r="G119" s="1627">
        <v>250</v>
      </c>
      <c r="H119" s="1627">
        <v>0</v>
      </c>
      <c r="I119" s="1627">
        <v>0</v>
      </c>
      <c r="J119" s="1765"/>
      <c r="K119" s="1765"/>
      <c r="L119" s="1768"/>
      <c r="M119" s="1656">
        <f>IF($G119=0,0,IF($F119="recht",1+($G119-$C$17)/$C$18,1+($G119-$C$17-0.301*$C$18)/$C$18))+IF($H119=0,0,IF($F119="recht",$H119/$C$19,($H119-0.301*$C$19)/$C$19))+$I119/$C$20</f>
        <v>7.4545454545454541</v>
      </c>
      <c r="N119" s="1663">
        <f>10^(-M119)</f>
        <v>3.5111917342151263E-8</v>
      </c>
      <c r="O119" s="1656">
        <f>($C$7*$C$11*$E119/$D119/$D119*N119*1000000)</f>
        <v>0</v>
      </c>
      <c r="P119" s="1656">
        <f>IF($G$119=0,0,IF($F119="recht",1+($G119-$D$17)/$D$18,1+($G119-$D$17-0.301*$D$18)/$D$18))+IF($H119=0,0,IF($F119="recht",$H119/$D$19,($H119-0.301*$D$19)/$D$19))+$I119/$D$20</f>
        <v>6.6486486486486482</v>
      </c>
      <c r="Q119" s="1663">
        <f>10^(-P119)</f>
        <v>2.2456979955397711E-7</v>
      </c>
      <c r="R119" s="1656">
        <f>($C$7*$D$11*$E119/$D119/$D119*Q119*1000000)</f>
        <v>0</v>
      </c>
      <c r="S119" s="1656">
        <f>IF($G119=0,0,IF($F119="recht",1+($G119-$E$17)/$E$18,1+($G119-$E$17-0.301*$E$18)/$E$18))+IF($H119=0,0,IF($F119="recht",$H119/$E$19,($H119-0.301*$E$19)/$E$19))+$I119/$E$20</f>
        <v>6.024390243902439</v>
      </c>
      <c r="T119" s="1663">
        <f>10^(-S119)</f>
        <v>9.4538728313079291E-7</v>
      </c>
      <c r="U119" s="1656">
        <f>($C$7*$E$11*$E119/$D119/$D119*T119*1000000)</f>
        <v>0</v>
      </c>
      <c r="V119" s="1656">
        <f>IF($G119=0,0,IF($F119="recht",1+($G119-$F$17)/$F$18,1+($G119-$F$17-0.301*$F$18)/$F$18))+IF($H119=0,0,IF($F119="recht",$H119/$F$19,($H119-0.301*$F$19)/$F$19))+$I119/$F$20</f>
        <v>9.1481481481481488</v>
      </c>
      <c r="W119" s="1661">
        <f>10^(-V119)</f>
        <v>7.1097094323124171E-10</v>
      </c>
      <c r="X119" s="1658">
        <f>($C$7*$F$11*$E119/$D119/$D119*W119*1000000)</f>
        <v>0</v>
      </c>
      <c r="Y119" s="1656">
        <f>IF($G119=0,0,IF($F119="recht",1+($G119-$G$17)/$G$18,1+($G119-$G$17-0.301*$G$18)/$G$18))+IF($H119=0,0,IF($F119="recht",$H119/$G$19,($H119-0.301*$G$19)/$G$19))+$I119/$G$20</f>
        <v>6.9444444444444446</v>
      </c>
      <c r="Z119" s="1661">
        <f>10^(-Y119)</f>
        <v>1.136463666385722E-7</v>
      </c>
      <c r="AA119" s="1658">
        <f>($C$7*$G$11*$E119/$D119/$D119*Z119*1000000)</f>
        <v>0</v>
      </c>
      <c r="AB119" s="1708">
        <f>SUM(O119,R119,U119,X119,AA119)</f>
        <v>0</v>
      </c>
      <c r="AC119" s="1180">
        <f>SUM(AB119:AB122)*$D$86/2400/1000</f>
        <v>7.7799298705522589E-7</v>
      </c>
      <c r="AD119" s="942">
        <f>AC119*$D$87</f>
        <v>3.8899649352761298E-6</v>
      </c>
      <c r="AE119" s="1233"/>
      <c r="AF119" s="336"/>
      <c r="AG119" s="345"/>
      <c r="AH119" s="345"/>
      <c r="AI119" s="345"/>
      <c r="AJ119" s="345"/>
      <c r="AK119" s="345"/>
      <c r="AL119" s="345"/>
      <c r="AM119" s="345"/>
      <c r="AN119" s="345"/>
      <c r="AO119" s="345"/>
      <c r="AP119" s="345"/>
      <c r="AQ119" s="345"/>
      <c r="AR119" s="345"/>
      <c r="AS119" s="345"/>
      <c r="AT119" s="345"/>
      <c r="AU119" s="345"/>
      <c r="AV119" s="345"/>
      <c r="AW119" s="345"/>
      <c r="AX119" s="345"/>
      <c r="AY119" s="345"/>
      <c r="AZ119" s="345"/>
      <c r="BA119" s="345"/>
      <c r="BB119" s="345"/>
      <c r="BC119" s="345"/>
      <c r="BD119" s="345"/>
      <c r="BE119" s="345"/>
      <c r="BF119" s="345"/>
      <c r="BG119" s="345"/>
      <c r="BH119" s="345"/>
      <c r="BI119" s="345"/>
      <c r="BJ119" s="345"/>
    </row>
    <row r="120" spans="1:82" s="325" customFormat="1" ht="19.5" customHeight="1">
      <c r="A120" s="1639"/>
      <c r="B120" s="1008" t="s">
        <v>168</v>
      </c>
      <c r="C120" s="1624"/>
      <c r="D120" s="1720"/>
      <c r="E120" s="1720"/>
      <c r="F120" s="1628"/>
      <c r="G120" s="1628"/>
      <c r="H120" s="1628"/>
      <c r="I120" s="1628"/>
      <c r="J120" s="1766"/>
      <c r="K120" s="1766"/>
      <c r="L120" s="1769"/>
      <c r="M120" s="1659"/>
      <c r="N120" s="1662"/>
      <c r="O120" s="1657"/>
      <c r="P120" s="1657"/>
      <c r="Q120" s="1662"/>
      <c r="R120" s="1657"/>
      <c r="S120" s="1657"/>
      <c r="T120" s="1662"/>
      <c r="U120" s="1657"/>
      <c r="V120" s="1657"/>
      <c r="W120" s="1662"/>
      <c r="X120" s="1657"/>
      <c r="Y120" s="1657"/>
      <c r="Z120" s="1662"/>
      <c r="AA120" s="1657"/>
      <c r="AB120" s="1709"/>
      <c r="AC120" s="1181"/>
      <c r="AD120" s="943"/>
      <c r="AE120" s="348"/>
      <c r="AF120" s="336"/>
      <c r="AG120" s="345"/>
      <c r="AH120" s="345"/>
      <c r="AI120" s="345"/>
      <c r="AJ120" s="345"/>
      <c r="AK120" s="345"/>
      <c r="AL120" s="345"/>
      <c r="AM120" s="345"/>
      <c r="AN120" s="345"/>
      <c r="AO120" s="345"/>
      <c r="AP120" s="345"/>
      <c r="AQ120" s="345"/>
      <c r="AR120" s="345"/>
      <c r="AS120" s="345"/>
      <c r="AT120" s="345"/>
      <c r="AU120" s="345"/>
      <c r="AV120" s="345"/>
      <c r="AW120" s="345"/>
      <c r="AX120" s="345"/>
      <c r="AY120" s="345"/>
      <c r="AZ120" s="345"/>
      <c r="BA120" s="345"/>
      <c r="BB120" s="345"/>
      <c r="BC120" s="345"/>
      <c r="BD120" s="345"/>
      <c r="BE120" s="345"/>
      <c r="BF120" s="345"/>
      <c r="BG120" s="345"/>
      <c r="BH120" s="345"/>
      <c r="BI120" s="345"/>
      <c r="BJ120" s="345"/>
    </row>
    <row r="121" spans="1:82" s="325" customFormat="1" ht="19.5" customHeight="1">
      <c r="A121" s="1639"/>
      <c r="B121" s="1012" t="str">
        <f ca="1">'Linac 4'!C$3</f>
        <v>Linac 4</v>
      </c>
      <c r="C121" s="1687" t="s">
        <v>334</v>
      </c>
      <c r="D121" s="1770">
        <v>1</v>
      </c>
      <c r="E121" s="1712">
        <v>1</v>
      </c>
      <c r="F121" s="1628"/>
      <c r="G121" s="1628"/>
      <c r="H121" s="1628"/>
      <c r="I121" s="1628"/>
      <c r="J121" s="1766"/>
      <c r="K121" s="1766"/>
      <c r="L121" s="1769"/>
      <c r="M121" s="1714">
        <f>IF($G119=0,0,IF($F119="recht",$G119/$C$24,($G119-0.301*$C$24)/$C$24))+IF($H119=0,0,IF($F119="recht",$H119/$C$25,($H119-0.301*$C$25)/$C$25))+$I119/$C$26</f>
        <v>7.3529411764705879</v>
      </c>
      <c r="N121" s="1661">
        <f>10^(-M121)</f>
        <v>4.4366873309786093E-8</v>
      </c>
      <c r="O121" s="1658">
        <f>($C$7*$C$8*$C$11*($C$12+$C$13*$C$14)*$E121/$D121/$D121*N121*1000000)</f>
        <v>2.6620123985871658E-2</v>
      </c>
      <c r="P121" s="1658">
        <f>IF($G119=0,0,IF($F119="recht",$G119/$D$24,($G119-0.301*$D$24)/$D$24))+IF($H119=0,0,IF($F119="recht",$H119/$D$25,($H119-0.301*$D$25)/$D$25))+$I119/$D$26</f>
        <v>6.5789473684210522</v>
      </c>
      <c r="Q121" s="1661">
        <f>10^(-P121)</f>
        <v>2.636650898730358E-7</v>
      </c>
      <c r="R121" s="1658">
        <f>($C$7*$C$8*$D$11*($D$12+$D$13*$D$14)*$E121/$D121/$D121*Q121*1000000)</f>
        <v>0.1581990539238215</v>
      </c>
      <c r="S121" s="1658">
        <f>IF($G119=0,0,IF($F119="recht",$G119/$E$24,($G119-0.301*$E$24)/$E$24))+IF($H119=0,0,IF($F119="recht",$H119/$E$25,($H119-0.301*$E$25)/$E$25))+$I119/$E$26</f>
        <v>6.5616797900262469</v>
      </c>
      <c r="T121" s="1661">
        <f>10^(-S121)</f>
        <v>2.7435963093132793E-7</v>
      </c>
      <c r="U121" s="1658">
        <f>($C$7*$C$8*$E$11*($E$12+$E$13*$E$14)*$E121/$D121/$D121*T121*1000000)</f>
        <v>0.16461577855879678</v>
      </c>
      <c r="V121" s="1658">
        <f>IF($G119=0,0,IF($F119="recht",$G119/$F$24,($G119-0.301*$F$24)/$F$24))+IF($H119=0,0,IF($F119="recht",$H119/$F$25,($H119-0.301*$F$25)/$F$25))+$I119/$F$26</f>
        <v>8.1967213114754092</v>
      </c>
      <c r="W121" s="1661">
        <f>10^(-V121)</f>
        <v>6.3573875711648393E-9</v>
      </c>
      <c r="X121" s="1658">
        <f>($C$7*$C$8*$F$11*($F$12+$F$13*$F$14)*$E121/$D121/$D121*W121*1000000)</f>
        <v>2.1615117741960455E-3</v>
      </c>
      <c r="Y121" s="1658">
        <f>IF($G119=0,0,IF($F119="recht",$G119/$G$24,($G119-0.301*$G$24)/$G$24))+IF($H119=0,0,IF($F119="recht",$H119/$G$25,($H119-0.301*$G$25)/$G$25))+$I119/$G$26</f>
        <v>7.0224719101123592</v>
      </c>
      <c r="Z121" s="1661">
        <f>10^(-Y121)</f>
        <v>9.4957241494880226E-8</v>
      </c>
      <c r="AA121" s="1658">
        <f>($C$7*$C$8*$G$11*($G$12+$G$13*$G$14)*$E121/$D121/$D121*Z121*1000000)</f>
        <v>2.1840165543822451E-2</v>
      </c>
      <c r="AB121" s="1716">
        <f>SUM(O121,R121,U121,X121,AA121)</f>
        <v>0.37343663378650843</v>
      </c>
      <c r="AC121" s="1181"/>
      <c r="AD121" s="944"/>
      <c r="AE121" s="348"/>
      <c r="AF121" s="336"/>
      <c r="AG121" s="345"/>
      <c r="AH121" s="345"/>
      <c r="AI121" s="345"/>
      <c r="AJ121" s="345"/>
      <c r="AK121" s="345"/>
      <c r="AL121" s="345"/>
      <c r="AM121" s="345"/>
      <c r="AN121" s="345"/>
      <c r="AO121" s="345"/>
      <c r="AP121" s="345"/>
      <c r="AQ121" s="345"/>
      <c r="AR121" s="345"/>
      <c r="AS121" s="345"/>
      <c r="AT121" s="345"/>
      <c r="AU121" s="345"/>
      <c r="AV121" s="345"/>
      <c r="AW121" s="345"/>
      <c r="AX121" s="345"/>
      <c r="AY121" s="345"/>
      <c r="AZ121" s="345"/>
      <c r="BA121" s="345"/>
      <c r="BB121" s="345"/>
      <c r="BC121" s="345"/>
      <c r="BD121" s="345"/>
      <c r="BE121" s="345"/>
      <c r="BF121" s="345"/>
      <c r="BG121" s="345"/>
      <c r="BH121" s="345"/>
      <c r="BI121" s="345"/>
      <c r="BJ121" s="345"/>
    </row>
    <row r="122" spans="1:82" s="325" customFormat="1" ht="19.5" customHeight="1" thickBot="1">
      <c r="A122" s="1640"/>
      <c r="B122" s="1021"/>
      <c r="C122" s="1688"/>
      <c r="D122" s="1629"/>
      <c r="E122" s="1743"/>
      <c r="F122" s="1629"/>
      <c r="G122" s="1629"/>
      <c r="H122" s="1629"/>
      <c r="I122" s="1629"/>
      <c r="J122" s="1767"/>
      <c r="K122" s="1767"/>
      <c r="L122" s="1788"/>
      <c r="M122" s="1715"/>
      <c r="N122" s="1668"/>
      <c r="O122" s="1660"/>
      <c r="P122" s="1660"/>
      <c r="Q122" s="1668"/>
      <c r="R122" s="1660"/>
      <c r="S122" s="1660"/>
      <c r="T122" s="1668"/>
      <c r="U122" s="1660"/>
      <c r="V122" s="1660"/>
      <c r="W122" s="1668"/>
      <c r="X122" s="1660"/>
      <c r="Y122" s="1660"/>
      <c r="Z122" s="1668"/>
      <c r="AA122" s="1660"/>
      <c r="AB122" s="1781"/>
      <c r="AC122" s="1183"/>
      <c r="AD122" s="945"/>
      <c r="AE122" s="348"/>
      <c r="AF122" s="336"/>
      <c r="AG122" s="345"/>
      <c r="AH122" s="345"/>
      <c r="AI122" s="345"/>
      <c r="AJ122" s="345"/>
      <c r="AK122" s="345"/>
      <c r="AL122" s="345"/>
      <c r="AM122" s="345"/>
      <c r="AN122" s="345"/>
      <c r="AO122" s="345"/>
      <c r="AP122" s="345"/>
      <c r="AQ122" s="345"/>
      <c r="AR122" s="345"/>
      <c r="AS122" s="345"/>
      <c r="AT122" s="345"/>
      <c r="AU122" s="345"/>
      <c r="AV122" s="345"/>
      <c r="AW122" s="345"/>
      <c r="AX122" s="345"/>
      <c r="AY122" s="345"/>
      <c r="AZ122" s="345"/>
      <c r="BA122" s="345"/>
      <c r="BB122" s="345"/>
      <c r="BC122" s="345"/>
      <c r="BD122" s="345"/>
      <c r="BE122" s="345"/>
      <c r="BF122" s="345"/>
      <c r="BG122" s="345"/>
      <c r="BH122" s="345"/>
      <c r="BI122" s="345"/>
      <c r="BJ122" s="345"/>
    </row>
    <row r="123" spans="1:82" s="325" customFormat="1" ht="19.5" customHeight="1">
      <c r="A123" s="898"/>
      <c r="B123" s="358"/>
      <c r="C123" s="766"/>
      <c r="D123" s="895"/>
      <c r="E123" s="895"/>
      <c r="F123" s="895"/>
      <c r="G123" s="895"/>
      <c r="H123" s="895"/>
      <c r="I123" s="895"/>
      <c r="J123" s="901"/>
      <c r="K123" s="901"/>
      <c r="L123" s="899"/>
      <c r="M123" s="900"/>
      <c r="N123" s="897"/>
      <c r="O123" s="896"/>
      <c r="P123" s="896"/>
      <c r="Q123" s="897"/>
      <c r="R123" s="896"/>
      <c r="S123" s="896"/>
      <c r="T123" s="897"/>
      <c r="U123" s="896"/>
      <c r="V123" s="896"/>
      <c r="W123" s="897"/>
      <c r="X123" s="896"/>
      <c r="Y123" s="896"/>
      <c r="Z123" s="897"/>
      <c r="AA123" s="896"/>
      <c r="AB123" s="896"/>
      <c r="AC123" s="428"/>
      <c r="AD123" s="338"/>
      <c r="AE123" s="336"/>
      <c r="AF123" s="336"/>
      <c r="AG123" s="345"/>
      <c r="AH123" s="345"/>
      <c r="AI123" s="345"/>
      <c r="AJ123" s="345"/>
      <c r="AK123" s="345"/>
      <c r="AL123" s="345"/>
      <c r="AM123" s="345"/>
      <c r="AN123" s="345"/>
      <c r="AO123" s="345"/>
      <c r="AP123" s="345"/>
      <c r="AQ123" s="345"/>
      <c r="AR123" s="345"/>
      <c r="AS123" s="345"/>
      <c r="AT123" s="345"/>
      <c r="AU123" s="345"/>
      <c r="AV123" s="345"/>
      <c r="AW123" s="345"/>
      <c r="AX123" s="345"/>
      <c r="AY123" s="345"/>
      <c r="AZ123" s="345"/>
      <c r="BA123" s="345"/>
      <c r="BB123" s="345"/>
      <c r="BC123" s="345"/>
      <c r="BD123" s="345"/>
      <c r="BE123" s="345"/>
      <c r="BF123" s="345"/>
      <c r="BG123" s="345"/>
      <c r="BH123" s="345"/>
      <c r="BI123" s="345"/>
      <c r="BJ123" s="345"/>
    </row>
    <row r="124" spans="1:82" s="325" customFormat="1" ht="19.5" customHeight="1">
      <c r="A124" s="336"/>
      <c r="B124" s="336"/>
      <c r="C124" s="336"/>
      <c r="D124" s="336"/>
      <c r="E124" s="336"/>
      <c r="F124" s="336"/>
      <c r="G124" s="336"/>
      <c r="H124" s="336"/>
      <c r="I124" s="358"/>
      <c r="J124" s="387"/>
      <c r="K124" s="388"/>
      <c r="L124" s="389"/>
      <c r="M124" s="390"/>
      <c r="N124" s="391"/>
      <c r="O124" s="390"/>
      <c r="P124" s="392"/>
      <c r="Q124" s="331"/>
      <c r="R124" s="331"/>
      <c r="S124" s="331"/>
      <c r="T124" s="331"/>
      <c r="U124" s="331"/>
      <c r="V124" s="311"/>
      <c r="W124" s="393"/>
      <c r="X124" s="393"/>
      <c r="Y124" s="394"/>
      <c r="Z124" s="311"/>
      <c r="AA124" s="311"/>
      <c r="AB124" s="66"/>
      <c r="AC124" s="66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53"/>
      <c r="AQ124" s="428"/>
      <c r="AR124" s="428"/>
      <c r="AS124" s="428"/>
      <c r="AT124" s="428"/>
      <c r="AU124" s="428"/>
      <c r="AV124" s="428"/>
      <c r="AW124" s="428"/>
      <c r="AX124" s="428"/>
      <c r="AY124" s="428"/>
      <c r="AZ124" s="428"/>
      <c r="BA124" s="428"/>
      <c r="BB124" s="428"/>
      <c r="BC124" s="428"/>
      <c r="BD124" s="428"/>
      <c r="BE124" s="428"/>
      <c r="BF124" s="428"/>
      <c r="BG124" s="428"/>
      <c r="BH124" s="428"/>
      <c r="BI124" s="428"/>
      <c r="BJ124" s="428"/>
      <c r="BK124" s="385"/>
      <c r="BL124" s="338"/>
      <c r="BM124" s="338"/>
      <c r="BN124" s="336"/>
      <c r="BO124" s="338"/>
      <c r="BP124" s="336"/>
      <c r="BQ124" s="442"/>
      <c r="BR124" s="336"/>
      <c r="BS124" s="336"/>
      <c r="BT124" s="345"/>
      <c r="BU124" s="345"/>
      <c r="BV124" s="345"/>
      <c r="BW124" s="345"/>
      <c r="BX124" s="345"/>
      <c r="BY124" s="355"/>
      <c r="BZ124" s="355"/>
      <c r="CA124" s="355"/>
      <c r="CB124" s="382"/>
      <c r="CC124" s="382"/>
      <c r="CD124" s="382"/>
    </row>
    <row r="125" spans="1:82" s="381" customFormat="1" ht="19.5" customHeight="1">
      <c r="A125" s="904" t="s">
        <v>513</v>
      </c>
      <c r="B125" s="904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36"/>
      <c r="W125" s="336"/>
      <c r="X125" s="336"/>
      <c r="Y125" s="336"/>
      <c r="Z125" s="336"/>
      <c r="AA125" s="336"/>
    </row>
    <row r="126" spans="1:82" s="336" customFormat="1" ht="19.5" customHeight="1">
      <c r="B126" s="1246" t="s">
        <v>552</v>
      </c>
      <c r="C126" s="389"/>
      <c r="D126" s="389"/>
      <c r="E126" s="389"/>
      <c r="F126" s="389"/>
      <c r="G126" s="389"/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389"/>
      <c r="U126" s="389"/>
    </row>
    <row r="127" spans="1:82" s="336" customFormat="1" ht="19.5" customHeight="1">
      <c r="B127" s="920" t="s">
        <v>553</v>
      </c>
      <c r="C127" s="389"/>
      <c r="D127" s="389"/>
      <c r="E127" s="389"/>
      <c r="F127" s="389"/>
      <c r="G127" s="389"/>
      <c r="H127" s="389"/>
      <c r="I127" s="389"/>
      <c r="J127" s="389"/>
      <c r="K127" s="389"/>
      <c r="L127" s="389"/>
      <c r="M127" s="389"/>
      <c r="N127" s="389"/>
      <c r="O127" s="389"/>
      <c r="P127" s="389"/>
      <c r="Q127" s="389"/>
      <c r="R127" s="389"/>
      <c r="S127" s="389"/>
      <c r="T127" s="389"/>
      <c r="U127" s="389"/>
    </row>
    <row r="128" spans="1:82" s="336" customFormat="1" ht="19.5" customHeight="1">
      <c r="B128" s="920" t="s">
        <v>558</v>
      </c>
      <c r="C128" s="389"/>
      <c r="D128" s="389"/>
      <c r="E128" s="389"/>
      <c r="F128" s="389"/>
      <c r="G128" s="389"/>
      <c r="H128" s="389"/>
      <c r="I128" s="389"/>
      <c r="J128" s="389"/>
      <c r="K128" s="389"/>
      <c r="L128" s="389"/>
      <c r="M128" s="389"/>
      <c r="N128" s="389"/>
      <c r="O128" s="389"/>
      <c r="P128" s="389"/>
      <c r="Q128" s="389"/>
      <c r="R128" s="389"/>
      <c r="S128" s="389"/>
      <c r="T128" s="389"/>
      <c r="U128" s="389"/>
    </row>
    <row r="129" spans="1:56" s="336" customFormat="1" ht="19.5" customHeight="1">
      <c r="A129" s="1633" t="s">
        <v>65</v>
      </c>
      <c r="B129" s="1653" t="s">
        <v>19</v>
      </c>
      <c r="C129" s="1692" t="s">
        <v>31</v>
      </c>
      <c r="D129" s="1127" t="s">
        <v>426</v>
      </c>
      <c r="E129" s="487" t="s">
        <v>555</v>
      </c>
      <c r="F129" s="1250"/>
      <c r="G129" s="640" t="s">
        <v>363</v>
      </c>
      <c r="H129" s="1250" t="s">
        <v>564</v>
      </c>
      <c r="I129" s="487" t="s">
        <v>425</v>
      </c>
      <c r="J129" s="487" t="s">
        <v>425</v>
      </c>
      <c r="K129" s="487" t="s">
        <v>425</v>
      </c>
      <c r="L129" s="389"/>
      <c r="M129" s="389"/>
      <c r="N129" s="389"/>
      <c r="O129" s="389"/>
      <c r="P129" s="463"/>
      <c r="Q129" s="389"/>
      <c r="R129" s="389"/>
      <c r="S129" s="463"/>
      <c r="T129" s="389"/>
      <c r="U129" s="389"/>
      <c r="V129" s="463"/>
      <c r="W129" s="389"/>
      <c r="X129" s="389"/>
      <c r="Y129" s="389"/>
      <c r="Z129" s="389"/>
      <c r="AB129" s="389"/>
      <c r="AC129" s="389"/>
    </row>
    <row r="130" spans="1:56" s="336" customFormat="1" ht="19.5" customHeight="1">
      <c r="A130" s="1634"/>
      <c r="B130" s="1654"/>
      <c r="C130" s="1682"/>
      <c r="D130" s="1833" t="s">
        <v>554</v>
      </c>
      <c r="E130" s="1248" t="s">
        <v>556</v>
      </c>
      <c r="F130" s="1034" t="s">
        <v>5</v>
      </c>
      <c r="G130" s="436" t="s">
        <v>423</v>
      </c>
      <c r="H130" s="1034" t="s">
        <v>171</v>
      </c>
      <c r="I130" s="641"/>
      <c r="J130" s="641" t="s">
        <v>15</v>
      </c>
      <c r="K130" s="641" t="s">
        <v>15</v>
      </c>
      <c r="L130" s="389"/>
      <c r="M130" s="389"/>
      <c r="N130" s="389"/>
      <c r="O130" s="389"/>
      <c r="P130" s="463"/>
      <c r="Q130" s="389"/>
      <c r="R130" s="389"/>
      <c r="S130" s="463"/>
      <c r="T130" s="389"/>
      <c r="U130" s="389"/>
      <c r="V130" s="463"/>
      <c r="W130" s="389"/>
      <c r="X130" s="389"/>
      <c r="Y130" s="389"/>
      <c r="Z130" s="389"/>
      <c r="AB130" s="389"/>
      <c r="AC130" s="389"/>
    </row>
    <row r="131" spans="1:56" s="336" customFormat="1" ht="19.5" customHeight="1">
      <c r="A131" s="1652"/>
      <c r="B131" s="1655"/>
      <c r="C131" s="1693"/>
      <c r="D131" s="1834"/>
      <c r="E131" s="1249" t="s">
        <v>557</v>
      </c>
      <c r="F131" s="1035" t="s">
        <v>114</v>
      </c>
      <c r="G131" s="436" t="s">
        <v>422</v>
      </c>
      <c r="H131" s="1035"/>
      <c r="I131" s="641" t="s">
        <v>574</v>
      </c>
      <c r="J131" s="641" t="s">
        <v>574</v>
      </c>
      <c r="K131" s="641" t="s">
        <v>279</v>
      </c>
      <c r="L131" s="389"/>
      <c r="M131" s="389"/>
      <c r="N131" s="389"/>
      <c r="O131" s="389"/>
      <c r="P131" s="463"/>
      <c r="Q131" s="389"/>
      <c r="R131" s="389"/>
      <c r="S131" s="463"/>
      <c r="T131" s="389"/>
      <c r="U131" s="389"/>
      <c r="V131" s="463"/>
      <c r="W131" s="389"/>
      <c r="X131" s="389"/>
      <c r="Y131" s="389"/>
      <c r="Z131" s="389"/>
      <c r="AB131" s="389"/>
      <c r="AC131" s="389"/>
    </row>
    <row r="132" spans="1:56" s="336" customFormat="1" ht="19.5" customHeight="1">
      <c r="A132" s="1251"/>
      <c r="B132" s="1838" t="s">
        <v>559</v>
      </c>
      <c r="C132" s="1329" t="s">
        <v>1</v>
      </c>
      <c r="D132" s="1635">
        <v>550</v>
      </c>
      <c r="E132" s="1253"/>
      <c r="F132" s="1124">
        <v>2</v>
      </c>
      <c r="G132" s="1125">
        <v>30</v>
      </c>
      <c r="H132" s="1635">
        <v>1</v>
      </c>
      <c r="I132" s="1247">
        <f>D132*0.001/F132/F132*G132/60*10</f>
        <v>0.6875</v>
      </c>
      <c r="J132" s="1829">
        <f>SUM(I132:I133)</f>
        <v>1.6500000000000001</v>
      </c>
      <c r="K132" s="1831">
        <f>J132*H132</f>
        <v>1.6500000000000001</v>
      </c>
      <c r="L132" s="467"/>
      <c r="M132" s="467"/>
      <c r="N132" s="466"/>
      <c r="O132" s="466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  <c r="AA132" s="466"/>
      <c r="AB132" s="466"/>
      <c r="AC132" s="467"/>
      <c r="AD132" s="467"/>
      <c r="AE132" s="467"/>
      <c r="AK132" s="436"/>
      <c r="AL132" s="436"/>
      <c r="AM132" s="436"/>
      <c r="AN132" s="436"/>
      <c r="AO132" s="436"/>
      <c r="AP132" s="436"/>
      <c r="AU132" s="442"/>
      <c r="AV132" s="346"/>
      <c r="BC132" s="442"/>
      <c r="BD132" s="442"/>
    </row>
    <row r="133" spans="1:56" s="336" customFormat="1" ht="19.5" customHeight="1">
      <c r="A133" s="1252"/>
      <c r="B133" s="1839"/>
      <c r="C133" s="1329" t="s">
        <v>44</v>
      </c>
      <c r="D133" s="1637"/>
      <c r="E133" s="1124">
        <f>0.007*20</f>
        <v>0.14000000000000001</v>
      </c>
      <c r="F133" s="1124">
        <v>2</v>
      </c>
      <c r="G133" s="1125">
        <v>30</v>
      </c>
      <c r="H133" s="1637"/>
      <c r="I133" s="1247">
        <f>D132*E133/100/F133/F133*G133/60*10</f>
        <v>0.96250000000000013</v>
      </c>
      <c r="J133" s="1830"/>
      <c r="K133" s="1832"/>
      <c r="L133" s="467"/>
      <c r="M133" s="467"/>
      <c r="N133" s="466"/>
      <c r="O133" s="466"/>
      <c r="P133" s="466"/>
      <c r="Q133" s="466"/>
      <c r="R133" s="466"/>
      <c r="S133" s="466"/>
      <c r="T133" s="466"/>
      <c r="U133" s="466"/>
      <c r="V133" s="466"/>
      <c r="W133" s="466"/>
      <c r="X133" s="466"/>
      <c r="Y133" s="466"/>
      <c r="Z133" s="466"/>
      <c r="AA133" s="466"/>
      <c r="AB133" s="466"/>
      <c r="AC133" s="467"/>
      <c r="AD133" s="467"/>
      <c r="AE133" s="467"/>
      <c r="AK133" s="436"/>
      <c r="AL133" s="436"/>
      <c r="AM133" s="436"/>
      <c r="AN133" s="436"/>
      <c r="AO133" s="436"/>
      <c r="AP133" s="436"/>
      <c r="AU133" s="442"/>
      <c r="AV133" s="346"/>
      <c r="BC133" s="442"/>
      <c r="BD133" s="442"/>
    </row>
    <row r="136" spans="1:56" s="381" customFormat="1" ht="19.5" customHeight="1">
      <c r="A136" s="904" t="s">
        <v>296</v>
      </c>
      <c r="B136" s="904"/>
      <c r="C136" s="1334"/>
      <c r="D136" s="389"/>
      <c r="E136" s="389"/>
      <c r="F136" s="389"/>
      <c r="G136" s="389"/>
      <c r="H136" s="389"/>
      <c r="I136" s="389"/>
      <c r="J136" s="389"/>
      <c r="K136" s="389"/>
      <c r="L136" s="389"/>
      <c r="M136" s="389"/>
      <c r="N136" s="389"/>
      <c r="O136" s="389"/>
      <c r="P136" s="389"/>
      <c r="Q136" s="389"/>
      <c r="R136" s="389"/>
      <c r="S136" s="389"/>
      <c r="T136" s="389"/>
      <c r="U136" s="389"/>
      <c r="V136" s="336"/>
      <c r="W136" s="336"/>
      <c r="X136" s="336"/>
      <c r="Y136" s="336"/>
      <c r="Z136" s="336"/>
      <c r="AA136" s="336"/>
    </row>
    <row r="137" spans="1:56" s="336" customFormat="1" ht="19.5" customHeight="1">
      <c r="B137" s="1246" t="s">
        <v>581</v>
      </c>
      <c r="C137" s="389"/>
      <c r="D137" s="389"/>
      <c r="E137" s="389"/>
      <c r="F137" s="389"/>
      <c r="G137" s="389"/>
      <c r="H137" s="389"/>
      <c r="I137" s="389"/>
      <c r="J137" s="389"/>
      <c r="K137" s="389"/>
      <c r="L137" s="389"/>
      <c r="M137" s="389"/>
      <c r="N137" s="389"/>
      <c r="O137" s="389"/>
      <c r="P137" s="389"/>
      <c r="Q137" s="389"/>
      <c r="R137" s="389"/>
      <c r="S137" s="389"/>
      <c r="T137" s="389"/>
      <c r="U137" s="389"/>
    </row>
    <row r="138" spans="1:56" s="336" customFormat="1" ht="19.5" customHeight="1">
      <c r="A138" s="1633" t="s">
        <v>65</v>
      </c>
      <c r="B138" s="1653" t="s">
        <v>19</v>
      </c>
      <c r="C138" s="1127" t="s">
        <v>426</v>
      </c>
      <c r="D138" s="487" t="s">
        <v>363</v>
      </c>
      <c r="E138" s="1250" t="s">
        <v>564</v>
      </c>
      <c r="F138" s="487" t="s">
        <v>425</v>
      </c>
      <c r="G138" s="487" t="s">
        <v>425</v>
      </c>
      <c r="H138" s="1336"/>
      <c r="J138" s="389"/>
      <c r="K138" s="389"/>
      <c r="L138" s="389"/>
      <c r="M138" s="389"/>
      <c r="N138" s="389"/>
      <c r="O138" s="463"/>
      <c r="P138" s="389"/>
      <c r="Q138" s="389"/>
      <c r="R138" s="463"/>
      <c r="S138" s="389"/>
      <c r="T138" s="389"/>
      <c r="U138" s="463"/>
      <c r="V138" s="389"/>
      <c r="W138" s="389"/>
      <c r="X138" s="389"/>
      <c r="Y138" s="389"/>
      <c r="AA138" s="389"/>
      <c r="AB138" s="389"/>
    </row>
    <row r="139" spans="1:56" s="336" customFormat="1" ht="19.5" customHeight="1">
      <c r="A139" s="1634"/>
      <c r="B139" s="1654"/>
      <c r="C139" s="1833" t="s">
        <v>583</v>
      </c>
      <c r="D139" s="1248" t="s">
        <v>563</v>
      </c>
      <c r="E139" s="1034" t="s">
        <v>171</v>
      </c>
      <c r="F139" s="1034"/>
      <c r="G139" s="641" t="s">
        <v>15</v>
      </c>
      <c r="H139" s="1336"/>
      <c r="J139" s="389"/>
      <c r="K139" s="389"/>
      <c r="L139" s="389"/>
      <c r="M139" s="389"/>
      <c r="N139" s="389"/>
      <c r="O139" s="463"/>
      <c r="P139" s="389"/>
      <c r="Q139" s="389"/>
      <c r="R139" s="463"/>
      <c r="S139" s="389"/>
      <c r="T139" s="389"/>
      <c r="U139" s="463"/>
      <c r="V139" s="389"/>
      <c r="W139" s="389"/>
      <c r="X139" s="389"/>
      <c r="Y139" s="389"/>
      <c r="AA139" s="389"/>
      <c r="AB139" s="389"/>
    </row>
    <row r="140" spans="1:56" s="336" customFormat="1" ht="19.5" customHeight="1">
      <c r="A140" s="1652"/>
      <c r="B140" s="1655"/>
      <c r="C140" s="1834"/>
      <c r="D140" s="1249" t="s">
        <v>369</v>
      </c>
      <c r="E140" s="1035"/>
      <c r="F140" s="641" t="s">
        <v>574</v>
      </c>
      <c r="G140" s="641" t="s">
        <v>279</v>
      </c>
      <c r="H140" s="1336"/>
      <c r="J140" s="389"/>
      <c r="K140" s="389"/>
      <c r="L140" s="389"/>
      <c r="M140" s="389"/>
      <c r="N140" s="389"/>
      <c r="O140" s="463"/>
      <c r="P140" s="389"/>
      <c r="Q140" s="389"/>
      <c r="R140" s="463"/>
      <c r="S140" s="389"/>
      <c r="T140" s="389"/>
      <c r="U140" s="463"/>
      <c r="V140" s="389"/>
      <c r="W140" s="389"/>
      <c r="X140" s="389"/>
      <c r="Y140" s="389"/>
      <c r="AA140" s="389"/>
      <c r="AB140" s="389"/>
    </row>
    <row r="141" spans="1:56" s="336" customFormat="1" ht="19.5" customHeight="1">
      <c r="A141" s="1338"/>
      <c r="B141" s="1128" t="s">
        <v>559</v>
      </c>
      <c r="C141" s="1124">
        <v>25</v>
      </c>
      <c r="D141" s="1124">
        <v>2</v>
      </c>
      <c r="E141" s="1124">
        <v>4</v>
      </c>
      <c r="F141" s="1330">
        <f>C141*D141/1000</f>
        <v>0.05</v>
      </c>
      <c r="G141" s="1335">
        <f>F141*E141</f>
        <v>0.2</v>
      </c>
      <c r="H141" s="1337"/>
      <c r="J141" s="467"/>
      <c r="K141" s="467"/>
      <c r="L141" s="467"/>
      <c r="M141" s="466"/>
      <c r="N141" s="466"/>
      <c r="O141" s="466"/>
      <c r="P141" s="466"/>
      <c r="Q141" s="466"/>
      <c r="R141" s="466"/>
      <c r="S141" s="466"/>
      <c r="T141" s="466"/>
      <c r="U141" s="466"/>
      <c r="V141" s="466"/>
      <c r="W141" s="466"/>
      <c r="X141" s="466"/>
      <c r="Y141" s="466"/>
      <c r="Z141" s="466"/>
      <c r="AA141" s="466"/>
      <c r="AB141" s="467"/>
      <c r="AC141" s="467"/>
      <c r="AD141" s="467"/>
      <c r="AJ141" s="436"/>
      <c r="AK141" s="436"/>
      <c r="AL141" s="436"/>
      <c r="AM141" s="436"/>
      <c r="AN141" s="436"/>
      <c r="AO141" s="436"/>
      <c r="AT141" s="442"/>
      <c r="AU141" s="346"/>
      <c r="BB141" s="442"/>
      <c r="BC141" s="442"/>
    </row>
    <row r="143" spans="1:56" s="345" customFormat="1" ht="19.5" customHeight="1">
      <c r="A143" s="389"/>
      <c r="B143" s="468"/>
      <c r="C143" s="329"/>
      <c r="D143" s="469"/>
      <c r="E143" s="469"/>
      <c r="F143" s="469"/>
      <c r="G143" s="469"/>
      <c r="H143" s="469"/>
      <c r="I143" s="469"/>
      <c r="J143" s="465"/>
      <c r="K143" s="451"/>
      <c r="L143" s="465"/>
      <c r="M143" s="465"/>
      <c r="N143" s="451"/>
      <c r="O143" s="465"/>
      <c r="P143" s="465"/>
      <c r="Q143" s="451"/>
      <c r="R143" s="465"/>
      <c r="S143" s="465"/>
      <c r="T143" s="451"/>
      <c r="U143" s="465"/>
      <c r="V143" s="465"/>
      <c r="W143" s="451"/>
      <c r="X143" s="465"/>
      <c r="Y143" s="465"/>
      <c r="Z143" s="385"/>
      <c r="AA143" s="385"/>
      <c r="AG143" s="428"/>
      <c r="AI143" s="428"/>
      <c r="AJ143" s="428"/>
      <c r="AK143" s="428"/>
      <c r="AL143" s="428"/>
      <c r="AP143" s="336"/>
      <c r="AQ143" s="442"/>
      <c r="AR143" s="336"/>
      <c r="AS143" s="336"/>
      <c r="AY143" s="355"/>
      <c r="AZ143" s="355"/>
    </row>
    <row r="144" spans="1:56" s="381" customFormat="1" ht="19.5" customHeight="1">
      <c r="A144" s="904" t="s">
        <v>296</v>
      </c>
      <c r="B144" s="904"/>
      <c r="C144" s="1334"/>
      <c r="D144" s="389"/>
      <c r="E144" s="389"/>
      <c r="F144" s="389"/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  <c r="S144" s="389"/>
      <c r="T144" s="389"/>
      <c r="U144" s="389"/>
      <c r="V144" s="336"/>
      <c r="W144" s="336"/>
      <c r="X144" s="336"/>
      <c r="Y144" s="336"/>
      <c r="Z144" s="336"/>
      <c r="AA144" s="336"/>
    </row>
    <row r="145" spans="1:55" s="336" customFormat="1" ht="19.5" customHeight="1">
      <c r="B145" s="920" t="s">
        <v>562</v>
      </c>
      <c r="C145" s="389"/>
      <c r="D145" s="389"/>
      <c r="E145" s="389"/>
      <c r="F145" s="389"/>
      <c r="G145" s="389"/>
      <c r="H145" s="389"/>
      <c r="I145" s="389"/>
      <c r="J145" s="389"/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</row>
    <row r="146" spans="1:55" s="336" customFormat="1" ht="19.5" customHeight="1">
      <c r="A146" s="1633" t="s">
        <v>65</v>
      </c>
      <c r="B146" s="1653" t="s">
        <v>19</v>
      </c>
      <c r="C146" s="1127" t="s">
        <v>426</v>
      </c>
      <c r="D146" s="487" t="s">
        <v>363</v>
      </c>
      <c r="E146" s="1250" t="s">
        <v>564</v>
      </c>
      <c r="F146" s="487" t="s">
        <v>425</v>
      </c>
      <c r="G146" s="487" t="s">
        <v>425</v>
      </c>
      <c r="H146" s="1336"/>
      <c r="J146" s="389"/>
      <c r="K146" s="389"/>
      <c r="L146" s="389"/>
      <c r="M146" s="389"/>
      <c r="N146" s="389"/>
      <c r="O146" s="463"/>
      <c r="P146" s="389"/>
      <c r="Q146" s="389"/>
      <c r="R146" s="463"/>
      <c r="S146" s="389"/>
      <c r="T146" s="389"/>
      <c r="U146" s="463"/>
      <c r="V146" s="389"/>
      <c r="W146" s="389"/>
      <c r="X146" s="389"/>
      <c r="Y146" s="389"/>
      <c r="AA146" s="389"/>
      <c r="AB146" s="389"/>
    </row>
    <row r="147" spans="1:55" s="336" customFormat="1" ht="19.5" customHeight="1">
      <c r="A147" s="1634"/>
      <c r="B147" s="1654"/>
      <c r="C147" s="1833" t="s">
        <v>583</v>
      </c>
      <c r="D147" s="1248" t="s">
        <v>563</v>
      </c>
      <c r="E147" s="1034" t="s">
        <v>171</v>
      </c>
      <c r="F147" s="1034"/>
      <c r="G147" s="641" t="s">
        <v>15</v>
      </c>
      <c r="H147" s="1336"/>
      <c r="J147" s="389"/>
      <c r="K147" s="389"/>
      <c r="L147" s="389"/>
      <c r="M147" s="389"/>
      <c r="N147" s="389"/>
      <c r="O147" s="463"/>
      <c r="P147" s="389"/>
      <c r="Q147" s="389"/>
      <c r="R147" s="463"/>
      <c r="S147" s="389"/>
      <c r="T147" s="389"/>
      <c r="U147" s="463"/>
      <c r="V147" s="389"/>
      <c r="W147" s="389"/>
      <c r="X147" s="389"/>
      <c r="Y147" s="389"/>
      <c r="AA147" s="389"/>
      <c r="AB147" s="389"/>
    </row>
    <row r="148" spans="1:55" s="336" customFormat="1" ht="19.5" customHeight="1">
      <c r="A148" s="1652"/>
      <c r="B148" s="1655"/>
      <c r="C148" s="1834"/>
      <c r="D148" s="1249" t="s">
        <v>369</v>
      </c>
      <c r="E148" s="1035"/>
      <c r="F148" s="641" t="s">
        <v>574</v>
      </c>
      <c r="G148" s="641" t="s">
        <v>279</v>
      </c>
      <c r="H148" s="1336"/>
      <c r="J148" s="389"/>
      <c r="K148" s="389"/>
      <c r="L148" s="389"/>
      <c r="M148" s="389"/>
      <c r="N148" s="389"/>
      <c r="O148" s="463"/>
      <c r="P148" s="389"/>
      <c r="Q148" s="389"/>
      <c r="R148" s="463"/>
      <c r="S148" s="389"/>
      <c r="T148" s="389"/>
      <c r="U148" s="463"/>
      <c r="V148" s="389"/>
      <c r="W148" s="389"/>
      <c r="X148" s="389"/>
      <c r="Y148" s="389"/>
      <c r="AA148" s="389"/>
      <c r="AB148" s="389"/>
    </row>
    <row r="149" spans="1:55" s="336" customFormat="1" ht="19.5" customHeight="1">
      <c r="A149" s="1252"/>
      <c r="B149" s="1128" t="s">
        <v>559</v>
      </c>
      <c r="C149" s="1124">
        <v>1.5</v>
      </c>
      <c r="D149" s="1124">
        <v>2</v>
      </c>
      <c r="E149" s="1124">
        <v>24</v>
      </c>
      <c r="F149" s="1330">
        <f>C149*D149/1000</f>
        <v>3.0000000000000001E-3</v>
      </c>
      <c r="G149" s="1335">
        <f>F149*E149</f>
        <v>7.2000000000000008E-2</v>
      </c>
      <c r="H149" s="1339"/>
      <c r="J149" s="467"/>
      <c r="K149" s="467"/>
      <c r="L149" s="467"/>
      <c r="M149" s="466"/>
      <c r="N149" s="466"/>
      <c r="O149" s="466"/>
      <c r="P149" s="466"/>
      <c r="Q149" s="466"/>
      <c r="R149" s="466"/>
      <c r="S149" s="466"/>
      <c r="T149" s="466"/>
      <c r="U149" s="466"/>
      <c r="V149" s="466"/>
      <c r="W149" s="466"/>
      <c r="X149" s="466"/>
      <c r="Y149" s="466"/>
      <c r="Z149" s="466"/>
      <c r="AA149" s="466"/>
      <c r="AB149" s="467"/>
      <c r="AC149" s="467"/>
      <c r="AD149" s="467"/>
      <c r="AJ149" s="436"/>
      <c r="AK149" s="436"/>
      <c r="AL149" s="436"/>
      <c r="AM149" s="436"/>
      <c r="AN149" s="436"/>
      <c r="AO149" s="436"/>
      <c r="AT149" s="442"/>
      <c r="AU149" s="346"/>
      <c r="BB149" s="442"/>
      <c r="BC149" s="442"/>
    </row>
    <row r="151" spans="1:55" s="345" customFormat="1" ht="19.5" customHeight="1">
      <c r="A151" s="389"/>
      <c r="B151" s="468"/>
      <c r="C151" s="329"/>
      <c r="D151" s="469"/>
      <c r="E151" s="469"/>
      <c r="F151" s="469"/>
      <c r="G151" s="469"/>
      <c r="H151" s="469"/>
      <c r="I151" s="469"/>
      <c r="J151" s="465"/>
      <c r="K151" s="451"/>
      <c r="L151" s="465"/>
      <c r="M151" s="465"/>
      <c r="N151" s="451"/>
      <c r="O151" s="465"/>
      <c r="P151" s="465"/>
      <c r="Q151" s="451"/>
      <c r="R151" s="465"/>
      <c r="S151" s="465"/>
      <c r="T151" s="451"/>
      <c r="U151" s="465"/>
      <c r="V151" s="465"/>
      <c r="W151" s="451"/>
      <c r="X151" s="465"/>
      <c r="Y151" s="465"/>
      <c r="Z151" s="385"/>
      <c r="AA151" s="385"/>
      <c r="AG151" s="428"/>
      <c r="AI151" s="428"/>
      <c r="AJ151" s="428"/>
      <c r="AK151" s="428"/>
      <c r="AL151" s="428"/>
      <c r="AP151" s="336"/>
      <c r="AQ151" s="442"/>
      <c r="AR151" s="336"/>
      <c r="AS151" s="336"/>
      <c r="AY151" s="355"/>
      <c r="AZ151" s="355"/>
    </row>
    <row r="152" spans="1:55" s="345" customFormat="1" ht="19.5" customHeight="1">
      <c r="A152" s="919" t="s">
        <v>513</v>
      </c>
      <c r="B152" s="902"/>
      <c r="C152" s="329"/>
      <c r="D152" s="469"/>
      <c r="E152" s="469"/>
      <c r="F152" s="389"/>
      <c r="G152" s="469"/>
      <c r="H152" s="469"/>
      <c r="I152" s="469"/>
      <c r="J152" s="465"/>
      <c r="K152" s="451"/>
      <c r="L152" s="465"/>
      <c r="M152" s="465"/>
      <c r="N152" s="451"/>
      <c r="O152" s="465"/>
      <c r="P152" s="465"/>
      <c r="Q152" s="451"/>
      <c r="R152" s="465"/>
      <c r="S152" s="465"/>
      <c r="T152" s="451"/>
      <c r="U152" s="465"/>
      <c r="V152" s="465"/>
      <c r="W152" s="451"/>
      <c r="X152" s="465"/>
      <c r="Y152" s="465"/>
      <c r="Z152" s="385"/>
      <c r="AA152" s="385"/>
      <c r="AG152" s="428"/>
      <c r="AI152" s="428"/>
      <c r="AJ152" s="428"/>
      <c r="AK152" s="428"/>
      <c r="AL152" s="428"/>
      <c r="AP152" s="336"/>
      <c r="AQ152" s="442"/>
      <c r="AR152" s="336"/>
      <c r="AS152" s="336"/>
      <c r="AY152" s="355"/>
      <c r="AZ152" s="355"/>
    </row>
    <row r="153" spans="1:55" s="336" customFormat="1" ht="19.5" customHeight="1">
      <c r="B153" s="389" t="s">
        <v>560</v>
      </c>
      <c r="C153" s="329"/>
      <c r="D153" s="469"/>
      <c r="E153" s="469"/>
      <c r="F153" s="389"/>
      <c r="G153" s="469"/>
      <c r="H153" s="469"/>
      <c r="I153" s="469"/>
      <c r="J153" s="465"/>
      <c r="K153" s="451"/>
      <c r="L153" s="465"/>
      <c r="M153" s="465"/>
      <c r="N153" s="451"/>
      <c r="O153" s="465"/>
      <c r="P153" s="465"/>
      <c r="Q153" s="451"/>
      <c r="R153" s="465"/>
      <c r="S153" s="465"/>
      <c r="T153" s="451"/>
      <c r="U153" s="465"/>
      <c r="V153" s="465"/>
      <c r="W153" s="451"/>
      <c r="X153" s="465"/>
      <c r="Y153" s="465"/>
      <c r="Z153" s="385"/>
      <c r="AA153" s="385"/>
      <c r="AG153" s="428"/>
      <c r="AI153" s="428"/>
      <c r="AJ153" s="428"/>
      <c r="AK153" s="428"/>
      <c r="AL153" s="428"/>
      <c r="AQ153" s="442"/>
      <c r="AY153" s="442"/>
      <c r="AZ153" s="442"/>
    </row>
    <row r="154" spans="1:55" s="336" customFormat="1" ht="19.5" customHeight="1">
      <c r="A154" s="1633" t="s">
        <v>65</v>
      </c>
      <c r="B154" s="1653" t="s">
        <v>19</v>
      </c>
      <c r="C154" s="1692" t="s">
        <v>31</v>
      </c>
      <c r="D154" s="1692" t="s">
        <v>270</v>
      </c>
      <c r="E154" s="1694" t="s">
        <v>0</v>
      </c>
      <c r="F154" s="1692" t="s">
        <v>103</v>
      </c>
      <c r="G154" s="1694" t="s">
        <v>113</v>
      </c>
      <c r="H154" s="1695"/>
      <c r="I154" s="1653"/>
      <c r="J154" s="487" t="s">
        <v>363</v>
      </c>
      <c r="K154" s="1250" t="s">
        <v>564</v>
      </c>
      <c r="L154" s="1673">
        <f>$C$6</f>
        <v>6</v>
      </c>
      <c r="M154" s="1674"/>
      <c r="N154" s="1675"/>
      <c r="O154" s="1673">
        <f>$D$6</f>
        <v>10</v>
      </c>
      <c r="P154" s="1674"/>
      <c r="Q154" s="1675"/>
      <c r="R154" s="1673">
        <f>$E$6</f>
        <v>15</v>
      </c>
      <c r="S154" s="1674"/>
      <c r="T154" s="1675"/>
      <c r="U154" s="1673" t="str">
        <f>$F$6</f>
        <v>6 FFF</v>
      </c>
      <c r="V154" s="1674"/>
      <c r="W154" s="1675"/>
      <c r="X154" s="1673" t="str">
        <f>$G$6</f>
        <v>10 FFF</v>
      </c>
      <c r="Y154" s="1674"/>
      <c r="Z154" s="1676"/>
      <c r="AA154" s="487" t="s">
        <v>425</v>
      </c>
      <c r="AB154" s="487" t="s">
        <v>425</v>
      </c>
      <c r="AH154" s="428"/>
      <c r="AJ154" s="428"/>
      <c r="AK154" s="428"/>
      <c r="AL154" s="428"/>
      <c r="AM154" s="428"/>
      <c r="AR154" s="442"/>
      <c r="AZ154" s="442"/>
      <c r="BA154" s="442"/>
    </row>
    <row r="155" spans="1:55" s="336" customFormat="1" ht="19.5" customHeight="1">
      <c r="A155" s="1634"/>
      <c r="B155" s="1654"/>
      <c r="C155" s="1682"/>
      <c r="D155" s="1682"/>
      <c r="E155" s="1696"/>
      <c r="F155" s="1682"/>
      <c r="G155" s="1696"/>
      <c r="H155" s="1697"/>
      <c r="I155" s="1654"/>
      <c r="J155" s="641" t="s">
        <v>563</v>
      </c>
      <c r="K155" s="1034" t="s">
        <v>171</v>
      </c>
      <c r="L155" s="328" t="s">
        <v>170</v>
      </c>
      <c r="M155" s="328" t="s">
        <v>329</v>
      </c>
      <c r="N155" s="328" t="s">
        <v>425</v>
      </c>
      <c r="O155" s="328" t="s">
        <v>170</v>
      </c>
      <c r="P155" s="328" t="s">
        <v>329</v>
      </c>
      <c r="Q155" s="328" t="s">
        <v>425</v>
      </c>
      <c r="R155" s="328" t="s">
        <v>170</v>
      </c>
      <c r="S155" s="328" t="s">
        <v>329</v>
      </c>
      <c r="T155" s="328" t="s">
        <v>425</v>
      </c>
      <c r="U155" s="328" t="s">
        <v>170</v>
      </c>
      <c r="V155" s="328" t="s">
        <v>329</v>
      </c>
      <c r="W155" s="328" t="s">
        <v>425</v>
      </c>
      <c r="X155" s="328" t="s">
        <v>170</v>
      </c>
      <c r="Y155" s="328" t="s">
        <v>329</v>
      </c>
      <c r="Z155" s="328" t="s">
        <v>425</v>
      </c>
      <c r="AA155" s="1034"/>
      <c r="AB155" s="641" t="s">
        <v>15</v>
      </c>
      <c r="AH155" s="428"/>
      <c r="AI155" s="428"/>
      <c r="AJ155" s="428"/>
      <c r="AK155" s="428"/>
      <c r="AL155" s="428"/>
      <c r="AM155" s="428"/>
      <c r="AR155" s="442"/>
      <c r="AZ155" s="442"/>
      <c r="BA155" s="442"/>
    </row>
    <row r="156" spans="1:55" s="336" customFormat="1" ht="19.5" customHeight="1" thickBot="1">
      <c r="A156" s="1652"/>
      <c r="B156" s="1655"/>
      <c r="C156" s="1693"/>
      <c r="D156" s="1693"/>
      <c r="E156" s="1734"/>
      <c r="F156" s="1693"/>
      <c r="G156" s="354" t="s">
        <v>2</v>
      </c>
      <c r="H156" s="354" t="s">
        <v>96</v>
      </c>
      <c r="I156" s="354" t="s">
        <v>4</v>
      </c>
      <c r="J156" s="372" t="s">
        <v>369</v>
      </c>
      <c r="K156" s="372"/>
      <c r="L156" s="763" t="s">
        <v>331</v>
      </c>
      <c r="M156" s="763" t="s">
        <v>330</v>
      </c>
      <c r="N156" s="439" t="s">
        <v>584</v>
      </c>
      <c r="O156" s="763" t="s">
        <v>331</v>
      </c>
      <c r="P156" s="763" t="s">
        <v>330</v>
      </c>
      <c r="Q156" s="439" t="s">
        <v>584</v>
      </c>
      <c r="R156" s="764" t="s">
        <v>331</v>
      </c>
      <c r="S156" s="764" t="s">
        <v>330</v>
      </c>
      <c r="T156" s="439" t="s">
        <v>584</v>
      </c>
      <c r="U156" s="764" t="s">
        <v>331</v>
      </c>
      <c r="V156" s="764" t="s">
        <v>330</v>
      </c>
      <c r="W156" s="439" t="s">
        <v>584</v>
      </c>
      <c r="X156" s="764" t="s">
        <v>331</v>
      </c>
      <c r="Y156" s="764" t="s">
        <v>330</v>
      </c>
      <c r="Z156" s="439" t="s">
        <v>584</v>
      </c>
      <c r="AA156" s="641" t="s">
        <v>574</v>
      </c>
      <c r="AB156" s="641" t="s">
        <v>279</v>
      </c>
      <c r="AH156" s="428"/>
      <c r="AI156" s="428"/>
      <c r="AJ156" s="428"/>
      <c r="AK156" s="428"/>
      <c r="AL156" s="428"/>
      <c r="AM156" s="428"/>
      <c r="AR156" s="442"/>
      <c r="AZ156" s="442"/>
      <c r="BA156" s="442"/>
    </row>
    <row r="157" spans="1:55" s="336" customFormat="1" ht="19.5" customHeight="1">
      <c r="A157" s="328"/>
      <c r="B157" s="1649" t="s">
        <v>535</v>
      </c>
      <c r="C157" s="1623" t="s">
        <v>333</v>
      </c>
      <c r="D157" s="1625">
        <v>6</v>
      </c>
      <c r="E157" s="1846">
        <v>0.25</v>
      </c>
      <c r="F157" s="1627" t="s">
        <v>12</v>
      </c>
      <c r="G157" s="1627">
        <v>250</v>
      </c>
      <c r="H157" s="1627">
        <v>0</v>
      </c>
      <c r="I157" s="1627">
        <v>0</v>
      </c>
      <c r="J157" s="1826">
        <v>1</v>
      </c>
      <c r="K157" s="1826">
        <v>1</v>
      </c>
      <c r="L157" s="1656">
        <f>IF($G157=0,0,IF($F157="recht",1+($G157-$C$17)/$C$18,1+($G157-$C$17-0.301*$C$18)/$C$18))+IF($H157=0,0,IF($F157="recht",$H157/$C$19,($H157-0.301*$C$19)/$C$19))+$I157/$C$20</f>
        <v>7.4545454545454541</v>
      </c>
      <c r="M157" s="1663">
        <f>10^(-L157)</f>
        <v>3.5111917342151263E-8</v>
      </c>
      <c r="N157" s="1656">
        <f>($C$7*J157/40*$C$11*$E157/$D157/$D157*M157*1000000)</f>
        <v>1.2191637966024744E-3</v>
      </c>
      <c r="O157" s="1656">
        <f>IF($G157=0,0,IF($F157="recht",1+($G157-$D$17)/$D$18,1+($G157-$D$17-0.301*$D$18)/$D$18))+IF($H157=0,0,IF($F157="recht",$H157/$D$19,($H157-0.301*$D$19)/$D$19))+$I157/$D$20</f>
        <v>6.6486486486486482</v>
      </c>
      <c r="P157" s="1663">
        <f>10^(-O157)</f>
        <v>2.2456979955397711E-7</v>
      </c>
      <c r="Q157" s="1656">
        <f>($C$7*J157/40*$D$11*$E157/$D157/$D157*P157*1000000)</f>
        <v>7.7975624845130955E-3</v>
      </c>
      <c r="R157" s="1771">
        <f>IF($G157=0,0,IF($F157="recht",1+($G157-$E$17)/$E$18,1+($G157-$E$17-0.301*$E$18)/$E$18))+IF($H157=0,0,IF($F157="recht",$H157/$E$19,($H157-0.301*$E$19)/$E$19))+$I157/$E$20</f>
        <v>6.024390243902439</v>
      </c>
      <c r="S157" s="1663">
        <f>10^(-R157)</f>
        <v>9.4538728313079291E-7</v>
      </c>
      <c r="T157" s="1656">
        <f>($C$7*J157/40*$E$11*$E157/$D157/$D157*S157*1000000)</f>
        <v>3.2825947330930312E-2</v>
      </c>
      <c r="U157" s="1771">
        <f>IF($G157=0,0,IF($F157="recht",1+($G157-$F$17)/$F$18,1+($G157-$F$17-0.301*$F$18)/$F$18))+IF($H157=0,0,IF($F157="recht",$H157/$F$19,($H157-0.301*$F$19)/$F$19))+$I157/$F$20</f>
        <v>9.1481481481481488</v>
      </c>
      <c r="V157" s="1663">
        <f>10^(-U157)</f>
        <v>7.1097094323124171E-10</v>
      </c>
      <c r="W157" s="1656">
        <f>($C$7*J157/40*$F$11*$E157/$D157/$D157*V157*1000000)</f>
        <v>2.4686491084418116E-5</v>
      </c>
      <c r="X157" s="1771">
        <f>IF($G157=0,0,IF($F157="recht",1+($G157-$G$17)/$G$18,1+($G157-$G$17-0.301*$G$18)/$G$18))+IF($H157=0,0,IF($F157="recht",$H157/$G$19,($H157-0.301*$G$19)/$G$19))+$I157/$G$20</f>
        <v>6.9444444444444446</v>
      </c>
      <c r="Y157" s="1663">
        <f>10^(-X157)</f>
        <v>1.136463666385722E-7</v>
      </c>
      <c r="Z157" s="1677">
        <f>($C$7*J157/40*$G$11*$E157/$D157/$D157*Y157*1000000)</f>
        <v>3.9460543971726455E-3</v>
      </c>
      <c r="AA157" s="1840">
        <f>(SUM(N157,Q157,T157,W157,Z157)+SUM(N159,Q159,T159,W159,Z159))/1000</f>
        <v>4.6186851134089458E-5</v>
      </c>
      <c r="AB157" s="1843">
        <f>AA157*K157</f>
        <v>4.6186851134089458E-5</v>
      </c>
    </row>
    <row r="158" spans="1:55" s="336" customFormat="1" ht="19.5" customHeight="1">
      <c r="A158" s="454"/>
      <c r="B158" s="1650"/>
      <c r="C158" s="1624"/>
      <c r="D158" s="1626"/>
      <c r="E158" s="1847"/>
      <c r="F158" s="1628"/>
      <c r="G158" s="1628"/>
      <c r="H158" s="1628"/>
      <c r="I158" s="1628"/>
      <c r="J158" s="1827"/>
      <c r="K158" s="1827"/>
      <c r="L158" s="1659"/>
      <c r="M158" s="1662"/>
      <c r="N158" s="1657"/>
      <c r="O158" s="1657"/>
      <c r="P158" s="1662"/>
      <c r="Q158" s="1657"/>
      <c r="R158" s="1772"/>
      <c r="S158" s="1662"/>
      <c r="T158" s="1657"/>
      <c r="U158" s="1772"/>
      <c r="V158" s="1662"/>
      <c r="W158" s="1657"/>
      <c r="X158" s="1772"/>
      <c r="Y158" s="1662"/>
      <c r="Z158" s="1678"/>
      <c r="AA158" s="1841"/>
      <c r="AB158" s="1844"/>
    </row>
    <row r="159" spans="1:55" s="336" customFormat="1" ht="19.5" customHeight="1">
      <c r="A159" s="326"/>
      <c r="B159" s="1650"/>
      <c r="C159" s="1687" t="s">
        <v>334</v>
      </c>
      <c r="D159" s="1626">
        <v>5</v>
      </c>
      <c r="E159" s="1824">
        <v>1</v>
      </c>
      <c r="F159" s="1628"/>
      <c r="G159" s="1628"/>
      <c r="H159" s="1628"/>
      <c r="I159" s="1628"/>
      <c r="J159" s="1827"/>
      <c r="K159" s="1827"/>
      <c r="L159" s="1658">
        <f>IF($G157=0,0,IF($F157="recht",$G157/$C$24,($G157-0.301*$C$24)/$C$24))+IF($H157=0,0,IF($F157="recht",$H157/$C$25,($H157-0.301*$C$25)/$C$25))+$I157/$C$26</f>
        <v>7.3529411764705879</v>
      </c>
      <c r="M159" s="1661">
        <f>10^(-L159)</f>
        <v>4.4366873309786093E-8</v>
      </c>
      <c r="N159" s="1658">
        <f>($C$7*J157/40*$C$8*$C$11*($C$12+$C$13*$C$14)*$E159/$D159/$D159*M159*1000000)</f>
        <v>2.6620123985871658E-5</v>
      </c>
      <c r="O159" s="1772">
        <f>IF($G157=0,0,IF(F157="recht",$G157/$D$24,($G157-0.301*$D$24)/$D$24))+IF($H157=0,0,IF($F157="recht",$H157/$D$25,($H157-0.301*$D$25)/$D$25))+$I157/$D$26</f>
        <v>6.5789473684210522</v>
      </c>
      <c r="P159" s="1661">
        <f>10^(-O159)</f>
        <v>2.636650898730358E-7</v>
      </c>
      <c r="Q159" s="1658">
        <f>($C$7*J157/40*$C$8*$D$11*($D$12+$D$13*$D$14)*$E159/$D159/$D159*P159*1000000)</f>
        <v>1.581990539238215E-4</v>
      </c>
      <c r="R159" s="1772">
        <f>IF($G157=0,0,IF($F157="recht",$G157/$E$24,($G157-0.301*$E$24)/$E$24))+IF($H157=0,0,IF($F157="recht",$H157/$E$25,($H157-0.301*$E$25)/$E$25))+$I157/$E$26</f>
        <v>6.5616797900262469</v>
      </c>
      <c r="S159" s="1661">
        <f>10^(-R159)</f>
        <v>2.7435963093132793E-7</v>
      </c>
      <c r="T159" s="1658">
        <f>($C$7*J157/40*$C$8*$E$11*($E$12+$E$13*$E$14)*$E159/$D159/$D159*S159*1000000)</f>
        <v>1.6461577855879676E-4</v>
      </c>
      <c r="U159" s="1772">
        <f>IF($G157=0,0,IF($F157="recht",$G157/$F$24,($G157-0.301*$F$24)/$F$24))+IF($H157=0,0,IF($F157="recht",$H157/$F$25,($H157-0.301*$F$25)/$F$25))+$I157/$F$26</f>
        <v>8.1967213114754092</v>
      </c>
      <c r="V159" s="1661">
        <f>10^(-U159)</f>
        <v>6.3573875711648393E-9</v>
      </c>
      <c r="W159" s="1658">
        <f>($C$7*J157/40*$C$8*$F$11*($F$12+$F$13*$F$14)*$E159/$D159/$D159*V159*1000000)</f>
        <v>2.1615117741960455E-6</v>
      </c>
      <c r="X159" s="1772">
        <f>IF($G157=0,0,IF($F157="recht",$G157/$G$24,($G157-0.301*$G$24)/$G$24))+IF($H157=0,0,IF($F157="recht",$H157/$G$25,($H157-0.301*$G$25)/$G$25))+$I157/$G$26</f>
        <v>7.0224719101123592</v>
      </c>
      <c r="Y159" s="1661">
        <f>10^(-X159)</f>
        <v>9.4957241494880226E-8</v>
      </c>
      <c r="Z159" s="1664">
        <f>($C$7*J157/40*$C$8*$G$11*($G$12+$G$13*$G$14)*$E159/$D159/$D159*Y159*1000000)</f>
        <v>2.1840165543822456E-5</v>
      </c>
      <c r="AA159" s="1841"/>
      <c r="AB159" s="1844"/>
    </row>
    <row r="160" spans="1:55" s="311" customFormat="1" ht="19.5" customHeight="1" thickBot="1">
      <c r="A160" s="643"/>
      <c r="B160" s="1651"/>
      <c r="C160" s="1688"/>
      <c r="D160" s="1689"/>
      <c r="E160" s="1825"/>
      <c r="F160" s="1629"/>
      <c r="G160" s="1629"/>
      <c r="H160" s="1629"/>
      <c r="I160" s="1629"/>
      <c r="J160" s="1828"/>
      <c r="K160" s="1828"/>
      <c r="L160" s="1660"/>
      <c r="M160" s="1668"/>
      <c r="N160" s="1660"/>
      <c r="O160" s="1773"/>
      <c r="P160" s="1668"/>
      <c r="Q160" s="1660"/>
      <c r="R160" s="1773"/>
      <c r="S160" s="1668"/>
      <c r="T160" s="1660"/>
      <c r="U160" s="1773"/>
      <c r="V160" s="1668"/>
      <c r="W160" s="1660"/>
      <c r="X160" s="1773"/>
      <c r="Y160" s="1668"/>
      <c r="Z160" s="1665"/>
      <c r="AA160" s="1842"/>
      <c r="AB160" s="1845"/>
    </row>
    <row r="161" spans="1:87" ht="19.5" customHeight="1"/>
    <row r="162" spans="1:87" ht="19.5" customHeight="1"/>
    <row r="163" spans="1:87" s="325" customFormat="1" ht="19.5" customHeight="1" thickBot="1">
      <c r="A163" s="905" t="s">
        <v>509</v>
      </c>
      <c r="B163" s="881"/>
      <c r="C163" s="375"/>
      <c r="D163" s="376"/>
      <c r="E163" s="331"/>
      <c r="F163" s="331"/>
      <c r="G163" s="331"/>
      <c r="H163" s="331"/>
      <c r="I163" s="331"/>
      <c r="J163" s="331"/>
      <c r="K163" s="331"/>
      <c r="L163" s="377"/>
      <c r="M163" s="377"/>
      <c r="N163" s="331"/>
      <c r="O163" s="331"/>
      <c r="P163" s="331"/>
      <c r="Q163" s="331"/>
      <c r="R163" s="331"/>
      <c r="S163" s="380"/>
      <c r="T163" s="331"/>
      <c r="U163" s="311"/>
      <c r="V163" s="440"/>
      <c r="W163" s="311"/>
      <c r="X163" s="311"/>
      <c r="Y163" s="311"/>
      <c r="Z163" s="311"/>
      <c r="AA163" s="321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53"/>
      <c r="AQ163" s="428"/>
      <c r="AR163" s="428"/>
      <c r="AS163" s="428"/>
      <c r="AT163" s="428"/>
      <c r="AU163" s="428"/>
      <c r="AV163" s="428"/>
      <c r="AW163" s="428"/>
      <c r="AX163" s="428"/>
      <c r="AY163" s="428"/>
      <c r="AZ163" s="428"/>
      <c r="BA163" s="428"/>
      <c r="BB163" s="428"/>
      <c r="BC163" s="428"/>
      <c r="BD163" s="428"/>
      <c r="BE163" s="428"/>
      <c r="BF163" s="428"/>
      <c r="BG163" s="428"/>
      <c r="BH163" s="428"/>
      <c r="BI163" s="428"/>
      <c r="BJ163" s="428"/>
      <c r="BK163" s="385"/>
      <c r="BL163" s="338"/>
      <c r="BM163" s="338"/>
      <c r="BN163" s="336"/>
      <c r="BO163" s="338"/>
      <c r="BP163" s="336"/>
      <c r="BQ163" s="442"/>
      <c r="BR163" s="336"/>
      <c r="BS163" s="336"/>
      <c r="BT163" s="345"/>
      <c r="BU163" s="345"/>
      <c r="BV163" s="345"/>
      <c r="BW163" s="345"/>
      <c r="BX163" s="345"/>
      <c r="BY163" s="355"/>
      <c r="BZ163" s="355"/>
      <c r="CA163" s="355"/>
      <c r="CB163" s="382"/>
      <c r="CC163" s="382"/>
      <c r="CD163" s="382"/>
    </row>
    <row r="164" spans="1:87" s="325" customFormat="1" ht="19.5" customHeight="1">
      <c r="A164" s="1633" t="s">
        <v>65</v>
      </c>
      <c r="B164" s="1633" t="s">
        <v>19</v>
      </c>
      <c r="C164" s="1623" t="s">
        <v>31</v>
      </c>
      <c r="D164" s="1692" t="s">
        <v>332</v>
      </c>
      <c r="E164" s="1789" t="s">
        <v>0</v>
      </c>
      <c r="F164" s="1623" t="s">
        <v>103</v>
      </c>
      <c r="G164" s="1782" t="s">
        <v>113</v>
      </c>
      <c r="H164" s="1783"/>
      <c r="I164" s="1784"/>
      <c r="J164" s="1673">
        <f>$C$6</f>
        <v>6</v>
      </c>
      <c r="K164" s="1674"/>
      <c r="L164" s="1675"/>
      <c r="M164" s="1673">
        <f>$D$6</f>
        <v>10</v>
      </c>
      <c r="N164" s="1674"/>
      <c r="O164" s="1675"/>
      <c r="P164" s="1673">
        <f>$E$6</f>
        <v>15</v>
      </c>
      <c r="Q164" s="1674"/>
      <c r="R164" s="1675"/>
      <c r="S164" s="1673" t="str">
        <f>$F$6</f>
        <v>6 FFF</v>
      </c>
      <c r="T164" s="1674"/>
      <c r="U164" s="1675"/>
      <c r="V164" s="1673" t="str">
        <f>$G$6</f>
        <v>10 FFF</v>
      </c>
      <c r="W164" s="1674"/>
      <c r="X164" s="1676"/>
      <c r="Y164" s="1778" t="s">
        <v>20</v>
      </c>
      <c r="Z164" s="1779"/>
      <c r="AA164" s="1780"/>
      <c r="AB164" s="45"/>
      <c r="AC164" s="45"/>
      <c r="AD164" s="45"/>
      <c r="AE164" s="45"/>
      <c r="AF164" s="66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53"/>
      <c r="AV164" s="428"/>
      <c r="AW164" s="428"/>
      <c r="AX164" s="428"/>
      <c r="AY164" s="428"/>
      <c r="AZ164" s="428"/>
      <c r="BA164" s="428"/>
      <c r="BB164" s="428"/>
      <c r="BC164" s="428"/>
      <c r="BD164" s="428"/>
      <c r="BE164" s="428"/>
      <c r="BF164" s="428"/>
      <c r="BG164" s="428"/>
      <c r="BH164" s="428"/>
      <c r="BI164" s="428"/>
      <c r="BJ164" s="428"/>
      <c r="BK164" s="428"/>
      <c r="BL164" s="428"/>
      <c r="BM164" s="428"/>
      <c r="BN164" s="428"/>
      <c r="BO164" s="428"/>
      <c r="BP164" s="385"/>
      <c r="BQ164" s="338"/>
      <c r="BR164" s="338"/>
      <c r="BS164" s="336"/>
      <c r="BT164" s="338"/>
      <c r="BU164" s="336"/>
      <c r="BV164" s="442"/>
      <c r="BW164" s="336"/>
      <c r="BX164" s="336"/>
      <c r="BY164" s="345"/>
      <c r="BZ164" s="345"/>
      <c r="CA164" s="345"/>
      <c r="CB164" s="345"/>
      <c r="CC164" s="345"/>
      <c r="CD164" s="355"/>
      <c r="CE164" s="355"/>
      <c r="CF164" s="355"/>
      <c r="CG164" s="382"/>
      <c r="CH164" s="382"/>
      <c r="CI164" s="382"/>
    </row>
    <row r="165" spans="1:87" s="325" customFormat="1" ht="19.5" customHeight="1">
      <c r="A165" s="1634"/>
      <c r="B165" s="1634"/>
      <c r="C165" s="1624"/>
      <c r="D165" s="1682"/>
      <c r="E165" s="1790"/>
      <c r="F165" s="1624"/>
      <c r="G165" s="1785"/>
      <c r="H165" s="1786"/>
      <c r="I165" s="1787"/>
      <c r="J165" s="1692" t="s">
        <v>343</v>
      </c>
      <c r="K165" s="328" t="s">
        <v>329</v>
      </c>
      <c r="L165" s="328" t="s">
        <v>20</v>
      </c>
      <c r="M165" s="1692" t="s">
        <v>343</v>
      </c>
      <c r="N165" s="328" t="s">
        <v>329</v>
      </c>
      <c r="O165" s="328" t="s">
        <v>20</v>
      </c>
      <c r="P165" s="1692" t="s">
        <v>343</v>
      </c>
      <c r="Q165" s="328" t="s">
        <v>329</v>
      </c>
      <c r="R165" s="328" t="s">
        <v>20</v>
      </c>
      <c r="S165" s="1692" t="s">
        <v>343</v>
      </c>
      <c r="T165" s="328" t="s">
        <v>329</v>
      </c>
      <c r="U165" s="328" t="s">
        <v>20</v>
      </c>
      <c r="V165" s="1692" t="s">
        <v>343</v>
      </c>
      <c r="W165" s="328" t="s">
        <v>329</v>
      </c>
      <c r="X165" s="765" t="s">
        <v>20</v>
      </c>
      <c r="Y165" s="882" t="s">
        <v>29</v>
      </c>
      <c r="Z165" s="1776" t="s">
        <v>297</v>
      </c>
      <c r="AA165" s="1777"/>
      <c r="AB165" s="45"/>
      <c r="AC165" s="45"/>
      <c r="AD165" s="45"/>
      <c r="AE165" s="45"/>
      <c r="AF165" s="66"/>
      <c r="AG165" s="66"/>
      <c r="AH165" s="66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53"/>
      <c r="AV165" s="428"/>
      <c r="AW165" s="428"/>
      <c r="AX165" s="428"/>
      <c r="AY165" s="428"/>
      <c r="AZ165" s="428"/>
      <c r="BA165" s="428"/>
      <c r="BB165" s="428"/>
      <c r="BC165" s="428"/>
      <c r="BD165" s="428"/>
      <c r="BE165" s="428"/>
      <c r="BF165" s="428"/>
      <c r="BG165" s="428"/>
      <c r="BH165" s="428"/>
      <c r="BI165" s="428"/>
      <c r="BJ165" s="428"/>
      <c r="BK165" s="428"/>
      <c r="BL165" s="428"/>
      <c r="BM165" s="428"/>
      <c r="BN165" s="428"/>
      <c r="BO165" s="428"/>
      <c r="BP165" s="385"/>
      <c r="BQ165" s="338"/>
      <c r="BR165" s="338"/>
      <c r="BS165" s="336"/>
      <c r="BT165" s="336"/>
      <c r="BU165" s="336"/>
      <c r="BV165" s="442"/>
      <c r="BW165" s="336"/>
      <c r="BX165" s="336"/>
      <c r="BY165" s="345"/>
      <c r="BZ165" s="345"/>
      <c r="CA165" s="345"/>
      <c r="CB165" s="345"/>
      <c r="CC165" s="345"/>
      <c r="CD165" s="355"/>
      <c r="CE165" s="355"/>
      <c r="CF165" s="355"/>
      <c r="CG165" s="382"/>
      <c r="CH165" s="382"/>
      <c r="CI165" s="382"/>
    </row>
    <row r="166" spans="1:87" s="325" customFormat="1" ht="19.5" customHeight="1" thickBot="1">
      <c r="A166" s="1634"/>
      <c r="B166" s="1634"/>
      <c r="C166" s="1726"/>
      <c r="D166" s="1682"/>
      <c r="E166" s="1790"/>
      <c r="F166" s="1624"/>
      <c r="G166" s="79" t="s">
        <v>3</v>
      </c>
      <c r="H166" s="72" t="s">
        <v>96</v>
      </c>
      <c r="I166" s="51" t="s">
        <v>4</v>
      </c>
      <c r="J166" s="1693"/>
      <c r="K166" s="764" t="s">
        <v>330</v>
      </c>
      <c r="L166" s="372" t="s">
        <v>291</v>
      </c>
      <c r="M166" s="1693"/>
      <c r="N166" s="764" t="s">
        <v>330</v>
      </c>
      <c r="O166" s="372" t="s">
        <v>291</v>
      </c>
      <c r="P166" s="1693"/>
      <c r="Q166" s="764" t="s">
        <v>330</v>
      </c>
      <c r="R166" s="372" t="s">
        <v>291</v>
      </c>
      <c r="S166" s="1693"/>
      <c r="T166" s="764" t="s">
        <v>330</v>
      </c>
      <c r="U166" s="372" t="s">
        <v>291</v>
      </c>
      <c r="V166" s="1693"/>
      <c r="W166" s="764" t="s">
        <v>330</v>
      </c>
      <c r="X166" s="347" t="s">
        <v>291</v>
      </c>
      <c r="Y166" s="883" t="s">
        <v>290</v>
      </c>
      <c r="Z166" s="884" t="s">
        <v>290</v>
      </c>
      <c r="AA166" s="885" t="s">
        <v>279</v>
      </c>
      <c r="AB166" s="45"/>
      <c r="AC166" s="45"/>
      <c r="AD166" s="45"/>
      <c r="AE166" s="45"/>
      <c r="AF166" s="78"/>
      <c r="AG166" s="66"/>
      <c r="AH166" s="66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53"/>
      <c r="AV166" s="53"/>
      <c r="AW166" s="53"/>
      <c r="AX166" s="53"/>
      <c r="AY166" s="428"/>
      <c r="AZ166" s="428"/>
      <c r="BA166" s="428"/>
      <c r="BB166" s="428"/>
      <c r="BC166" s="428"/>
      <c r="BD166" s="428"/>
      <c r="BE166" s="428"/>
      <c r="BF166" s="428"/>
      <c r="BG166" s="428"/>
      <c r="BH166" s="428"/>
      <c r="BI166" s="428"/>
      <c r="BJ166" s="428"/>
      <c r="BK166" s="428"/>
      <c r="BL166" s="428"/>
      <c r="BM166" s="428"/>
      <c r="BN166" s="428"/>
      <c r="BO166" s="428"/>
      <c r="BP166" s="385"/>
      <c r="BQ166" s="338"/>
      <c r="BR166" s="338"/>
      <c r="BS166" s="336"/>
      <c r="BT166" s="336"/>
      <c r="BU166" s="336"/>
      <c r="BV166" s="442"/>
      <c r="BW166" s="336"/>
      <c r="BX166" s="336"/>
      <c r="BY166" s="345"/>
      <c r="BZ166" s="345"/>
      <c r="CA166" s="345"/>
      <c r="CB166" s="345"/>
      <c r="CC166" s="345"/>
      <c r="CD166" s="355"/>
      <c r="CE166" s="355"/>
      <c r="CF166" s="355"/>
      <c r="CG166" s="382"/>
      <c r="CH166" s="382"/>
      <c r="CI166" s="382"/>
    </row>
    <row r="167" spans="1:87" s="325" customFormat="1" ht="19.5" customHeight="1">
      <c r="A167" s="1627" t="s">
        <v>285</v>
      </c>
      <c r="B167" s="1630" t="s">
        <v>184</v>
      </c>
      <c r="C167" s="1623" t="s">
        <v>333</v>
      </c>
      <c r="D167" s="1627">
        <v>1</v>
      </c>
      <c r="E167" s="1627">
        <v>0</v>
      </c>
      <c r="F167" s="1627" t="s">
        <v>12</v>
      </c>
      <c r="G167" s="1627">
        <v>250</v>
      </c>
      <c r="H167" s="1627">
        <v>0</v>
      </c>
      <c r="I167" s="1627">
        <v>0</v>
      </c>
      <c r="J167" s="1656">
        <f>IF($G167=0,0,IF($F167="recht",1+($G167-$C$17)/$C$18,1+($G167-$C$17-0.301*$C$18)/$C$18))+IF($H167=0,0,IF($F167="recht",$H167/$C$19,($H167-0.301*$C$19)/$C$19))+$I167/$C$20</f>
        <v>7.4545454545454541</v>
      </c>
      <c r="K167" s="1791">
        <f>10^(-J167)</f>
        <v>3.5111917342151263E-8</v>
      </c>
      <c r="L167" s="1771">
        <f>$C$7*$C$11*$E167/$D167/$D167*K167*1000000</f>
        <v>0</v>
      </c>
      <c r="M167" s="1656">
        <f>IF($G167=0,0,IF($F167="recht",1+($G167-$D$17)/$D$18,1+($G167-$D$17-0.301*$D$18)/$D$18))+IF($H167=0,0,IF($F167="recht",$H167/$D$19,($H167-0.301*$D$19)/$D$19))+$I167/$D$20</f>
        <v>6.6486486486486482</v>
      </c>
      <c r="N167" s="1791">
        <f>10^(-M167)</f>
        <v>2.2456979955397711E-7</v>
      </c>
      <c r="O167" s="1771">
        <f>$C$7*$D$11*$E167/$D167/$D167*$N167*1000000</f>
        <v>0</v>
      </c>
      <c r="P167" s="1771">
        <f>IF($G167=0,0,IF($F167="recht",1+(G167-$E$17)/$E$18,1+(G167-$E$17-0.301*$E$18)/$E$18))+IF($H167=0,0,IF($F167="recht",$H167/$E$19,($H167-0.301*$E$19)/$E$19))+I167/$E$20</f>
        <v>6.024390243902439</v>
      </c>
      <c r="Q167" s="1791">
        <f>10^(-P167)</f>
        <v>9.4538728313079291E-7</v>
      </c>
      <c r="R167" s="1771">
        <f>$C$7*$E$11*$E167/$D167/$D167*$Q167*1000000</f>
        <v>0</v>
      </c>
      <c r="S167" s="1771">
        <f>IF($G167=0,0,IF($F167="recht",1+(G167-$F$17)/$F$18,1+(G167-$F$17-0.301*$F$18)/$F$18))+IF($H167=0,0,IF($F167="recht",$H167/$F$19,($H167-0.301*$F$19)/$F$19))+I167/$F$20</f>
        <v>9.1481481481481488</v>
      </c>
      <c r="T167" s="1791">
        <f>10^(-S167)</f>
        <v>7.1097094323124171E-10</v>
      </c>
      <c r="U167" s="1771">
        <f>$C$7*$F$11*$E167/$D167/$D167*$T167*1000000</f>
        <v>0</v>
      </c>
      <c r="V167" s="1771">
        <f>IF($G167=0,0,IF(F167="recht",1+(G167-$G$17)/$G$18,1+(G167-$G$17-0.301*$G$18)/$G$18))+IF($H167=0,0,IF($F167="recht",$H167/$G$19,($H167-0.301*$G$19)/$G$19))+I167/$G$20</f>
        <v>6.9444444444444446</v>
      </c>
      <c r="W167" s="1791">
        <f>10^(-V167)</f>
        <v>1.136463666385722E-7</v>
      </c>
      <c r="X167" s="1817">
        <f>$C$7*$G$11*$E167/$D167/$D167*$W167*1000000</f>
        <v>0</v>
      </c>
      <c r="Y167" s="1774">
        <f>SUM(L167,O167,R167,U167,X167)</f>
        <v>0</v>
      </c>
      <c r="Z167" s="886">
        <f>SUM(Y167:Y174)</f>
        <v>2.0415508389015229E-2</v>
      </c>
      <c r="AA167" s="887">
        <f>Z167*52/1000</f>
        <v>1.0616064362287919E-3</v>
      </c>
      <c r="AB167" s="45"/>
      <c r="AC167" s="45"/>
      <c r="AD167" s="45"/>
      <c r="AE167" s="821"/>
      <c r="AF167" s="78"/>
      <c r="AG167" s="53"/>
      <c r="AH167" s="53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53"/>
      <c r="AV167" s="53"/>
      <c r="AW167" s="53"/>
      <c r="AX167" s="53"/>
      <c r="AY167" s="428"/>
      <c r="AZ167" s="428"/>
      <c r="BA167" s="428"/>
      <c r="BB167" s="428"/>
      <c r="BC167" s="428"/>
      <c r="BD167" s="428"/>
      <c r="BE167" s="428"/>
      <c r="BF167" s="428"/>
      <c r="BG167" s="428"/>
      <c r="BH167" s="428"/>
      <c r="BI167" s="428"/>
      <c r="BJ167" s="428"/>
      <c r="BK167" s="428"/>
      <c r="BL167" s="428"/>
      <c r="BM167" s="428"/>
      <c r="BN167" s="428"/>
      <c r="BO167" s="428"/>
      <c r="BP167" s="385"/>
      <c r="BQ167" s="338"/>
      <c r="BR167" s="338"/>
      <c r="BS167" s="336"/>
      <c r="BT167" s="336"/>
      <c r="BU167" s="336"/>
      <c r="BV167" s="442"/>
      <c r="BW167" s="336"/>
      <c r="BX167" s="336"/>
      <c r="BY167" s="345"/>
      <c r="BZ167" s="345"/>
      <c r="CA167" s="345"/>
      <c r="CB167" s="345"/>
      <c r="CC167" s="345"/>
      <c r="CD167" s="355"/>
      <c r="CE167" s="355"/>
      <c r="CF167" s="355"/>
      <c r="CG167" s="382"/>
      <c r="CH167" s="382"/>
      <c r="CI167" s="382"/>
    </row>
    <row r="168" spans="1:87" s="325" customFormat="1" ht="19.5" customHeight="1">
      <c r="A168" s="1628"/>
      <c r="B168" s="1631"/>
      <c r="C168" s="1624"/>
      <c r="D168" s="1628"/>
      <c r="E168" s="1628"/>
      <c r="F168" s="1628"/>
      <c r="G168" s="1628"/>
      <c r="H168" s="1628"/>
      <c r="I168" s="1628"/>
      <c r="J168" s="1659"/>
      <c r="K168" s="1792"/>
      <c r="L168" s="1772"/>
      <c r="M168" s="1657"/>
      <c r="N168" s="1792"/>
      <c r="O168" s="1772"/>
      <c r="P168" s="1772"/>
      <c r="Q168" s="1792"/>
      <c r="R168" s="1772"/>
      <c r="S168" s="1772"/>
      <c r="T168" s="1792"/>
      <c r="U168" s="1772"/>
      <c r="V168" s="1772"/>
      <c r="W168" s="1792"/>
      <c r="X168" s="1808"/>
      <c r="Y168" s="1775"/>
      <c r="Z168" s="888"/>
      <c r="AA168" s="889"/>
      <c r="AB168" s="45"/>
      <c r="AC168" s="45"/>
      <c r="AD168" s="819"/>
      <c r="AE168" s="821"/>
      <c r="AF168" s="78"/>
      <c r="AG168" s="53"/>
      <c r="AH168" s="53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53"/>
      <c r="AV168" s="53"/>
      <c r="AW168" s="53"/>
      <c r="AX168" s="53"/>
      <c r="AY168" s="428"/>
      <c r="AZ168" s="428"/>
      <c r="BA168" s="428"/>
      <c r="BB168" s="428"/>
      <c r="BC168" s="428"/>
      <c r="BD168" s="428"/>
      <c r="BE168" s="428"/>
      <c r="BF168" s="428"/>
      <c r="BG168" s="428"/>
      <c r="BH168" s="428"/>
      <c r="BI168" s="428"/>
      <c r="BJ168" s="428"/>
      <c r="BK168" s="428"/>
      <c r="BL168" s="428"/>
      <c r="BM168" s="428"/>
      <c r="BN168" s="428"/>
      <c r="BO168" s="428"/>
      <c r="BP168" s="385"/>
      <c r="BQ168" s="338"/>
      <c r="BR168" s="338"/>
      <c r="BS168" s="336"/>
      <c r="BT168" s="336"/>
      <c r="BU168" s="336"/>
      <c r="BV168" s="442"/>
      <c r="BW168" s="336"/>
      <c r="BX168" s="336"/>
      <c r="BY168" s="345"/>
      <c r="BZ168" s="345"/>
      <c r="CA168" s="345"/>
      <c r="CB168" s="345"/>
      <c r="CC168" s="345"/>
      <c r="CD168" s="355"/>
      <c r="CE168" s="355"/>
      <c r="CF168" s="355"/>
      <c r="CG168" s="382"/>
      <c r="CH168" s="382"/>
      <c r="CI168" s="382"/>
    </row>
    <row r="169" spans="1:87" s="45" customFormat="1" ht="19.5" customHeight="1">
      <c r="A169" s="1628"/>
      <c r="B169" s="1631"/>
      <c r="C169" s="1687" t="s">
        <v>334</v>
      </c>
      <c r="D169" s="1626">
        <v>10</v>
      </c>
      <c r="E169" s="1803">
        <v>1</v>
      </c>
      <c r="F169" s="1628"/>
      <c r="G169" s="1628"/>
      <c r="H169" s="1628"/>
      <c r="I169" s="1628"/>
      <c r="J169" s="1772">
        <f>IF($G167=0,0,IF($F167="recht",$G167/$C$24,(G167-0.301*$C$24)/$C$24))+IF($H167=0,0,IF($F167="recht",$H167/$C$25,($H167-0.301*$C$25)/$C$25))+I167/$C$26</f>
        <v>7.3529411764705879</v>
      </c>
      <c r="K169" s="1792">
        <f>10^(-J169)</f>
        <v>4.4366873309786093E-8</v>
      </c>
      <c r="L169" s="1772">
        <f>$C$7*$C$8*$C$11*($C$12+$C$13*$C$14)*$E$169/$D169/$D169*$K169*1000000</f>
        <v>2.6620123985871658E-4</v>
      </c>
      <c r="M169" s="1772">
        <f>IF($G167=0,0,IF(F167="recht",$G167/$D$24,($G167-0.301*$D$24)/$D$24))+IF($H167=0,0,IF($F167="recht",$H167/$D$25,($H167-0.301*$D$25)/$D$25))+I167/$D$26</f>
        <v>6.5789473684210522</v>
      </c>
      <c r="N169" s="1792">
        <f>10^(-M169)</f>
        <v>2.636650898730358E-7</v>
      </c>
      <c r="O169" s="1772">
        <f>$C$7*$C$8*$D$11*($D$12+$D$13*$D$14)*$E$169/$D169/$D169*$N169*1000000</f>
        <v>1.581990539238215E-3</v>
      </c>
      <c r="P169" s="1772">
        <f>IF($G167=0,0,IF($F167="recht",$G167/$E$24,($G167-0.301*$E$24)/$E$24))+IF($H167=0,0,IF($F167="recht",$H167/$E$25,($H167-0.301*$E$25)/$E$25))+I167/$E$26</f>
        <v>6.5616797900262469</v>
      </c>
      <c r="Q169" s="1792">
        <f>10^(-P169)</f>
        <v>2.7435963093132793E-7</v>
      </c>
      <c r="R169" s="1772">
        <f>$C$7*$C$8*$E$11*($E$12+$E$13*$E$14)*$E169/$D169/$D169*$Q169*1000000</f>
        <v>1.6461577855879678E-3</v>
      </c>
      <c r="S169" s="1772">
        <f>IF($G167=0,0,IF($F167="recht",$G167/$F$24,(G167-0.301*$F$24)/$F$24))+IF($H167=0,0,IF($F167="recht",$H167/$F$25,($H167-0.301*$F$25)/$F$25))+I167/$F$26</f>
        <v>8.1967213114754092</v>
      </c>
      <c r="T169" s="1792">
        <f>10^(-S169)</f>
        <v>6.3573875711648393E-9</v>
      </c>
      <c r="U169" s="1772">
        <f>$C$7*$C$8*$F$11*($F$12+$F$13*$F$14)*$E$169/$D169/$D169*$T169*1000000</f>
        <v>2.1615117741960457E-5</v>
      </c>
      <c r="V169" s="1772">
        <f>IF($G167=0,0,IF($F167="recht",$G167/$G$24,($G167-0.301*$G$24)/$G$24))+IF($H167=0,0,IF($F167="recht",$H167/$G$25,($H167-0.301*$G$25)/$G$25))+I167/$G$26</f>
        <v>7.0224719101123592</v>
      </c>
      <c r="W169" s="1792">
        <f>10^(-V169)</f>
        <v>9.4957241494880226E-8</v>
      </c>
      <c r="X169" s="1808">
        <f>$C$7*$C$8*$G$11*($G$12+$G$13*$G$14)*$E$169/$D169/$D169*$W169*1000000</f>
        <v>2.1840165543822451E-4</v>
      </c>
      <c r="Y169" s="1805">
        <f>SUM(L169,O169,R169,U169,X169)</f>
        <v>3.7343663378650842E-3</v>
      </c>
      <c r="Z169" s="888"/>
      <c r="AA169" s="889"/>
      <c r="AE169" s="821"/>
      <c r="AF169" s="822"/>
      <c r="AG169" s="78"/>
      <c r="AH169" s="66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</row>
    <row r="170" spans="1:87" s="45" customFormat="1" ht="19.5" customHeight="1">
      <c r="A170" s="1628"/>
      <c r="B170" s="1631"/>
      <c r="C170" s="1688"/>
      <c r="D170" s="1689"/>
      <c r="E170" s="1804"/>
      <c r="F170" s="1628"/>
      <c r="G170" s="1628"/>
      <c r="H170" s="1628"/>
      <c r="I170" s="1628"/>
      <c r="J170" s="1773"/>
      <c r="K170" s="1793"/>
      <c r="L170" s="1773"/>
      <c r="M170" s="1773"/>
      <c r="N170" s="1793"/>
      <c r="O170" s="1773"/>
      <c r="P170" s="1773"/>
      <c r="Q170" s="1793"/>
      <c r="R170" s="1773"/>
      <c r="S170" s="1773"/>
      <c r="T170" s="1793"/>
      <c r="U170" s="1773"/>
      <c r="V170" s="1773"/>
      <c r="W170" s="1793"/>
      <c r="X170" s="1809"/>
      <c r="Y170" s="1805"/>
      <c r="Z170" s="888"/>
      <c r="AA170" s="889"/>
      <c r="AD170" s="824"/>
      <c r="AF170" s="53"/>
      <c r="AG170" s="66"/>
      <c r="AH170" s="66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</row>
    <row r="171" spans="1:87" s="45" customFormat="1" ht="19.5" customHeight="1">
      <c r="A171" s="1628"/>
      <c r="B171" s="1631"/>
      <c r="C171" s="1623" t="s">
        <v>34</v>
      </c>
      <c r="D171" s="1718">
        <f>D169</f>
        <v>10</v>
      </c>
      <c r="E171" s="1627">
        <v>0</v>
      </c>
      <c r="F171" s="1798" t="s">
        <v>12</v>
      </c>
      <c r="G171" s="1718">
        <f>X$10</f>
        <v>250</v>
      </c>
      <c r="H171" s="1718">
        <f>Y$10</f>
        <v>0</v>
      </c>
      <c r="I171" s="1718">
        <f>Z$10</f>
        <v>0</v>
      </c>
      <c r="J171" s="1801">
        <f>IF($G171=0,0,IF($F171="recht",1+(G171-$C$17)/$C$18,1+(G171-$C$17-0.301*$C$18)/$C$18))+IF($H171=0,0,IF($F171="recht",$H171/$C$19,($H171-0.301*$C$19)/$C$17))+I171/$C$20</f>
        <v>7.4545454545454541</v>
      </c>
      <c r="K171" s="1794">
        <f>10^(-J171)</f>
        <v>3.5111917342151263E-8</v>
      </c>
      <c r="L171" s="1796">
        <f>2.5*0.01*$C$7*$C$11*E$171*K171/U$10/U$10*$W$10^1.3/$D$171/$D$171*1000000</f>
        <v>0</v>
      </c>
      <c r="M171" s="1656">
        <f>IF($G171=0,0,IF($F171="recht",1+($G171-$D$17)/$D$18,1+($G171-$D$17-0.301*$D$18)/$D$18))+IF($H171=0,0,IF($F171="recht",$H171/$D$19,($H171-0.301*$D$19)/$D$19))+$I171/$D$20</f>
        <v>6.6486486486486482</v>
      </c>
      <c r="N171" s="1794">
        <f>10^(-M171)</f>
        <v>2.2456979955397711E-7</v>
      </c>
      <c r="O171" s="1796">
        <f>2.5*0.01*$C$7*$D$11*E$171*N171/U$10/U$10*$W$10^1.3/$D$171/$D$171*1000000</f>
        <v>0</v>
      </c>
      <c r="P171" s="1771">
        <f>IF($G171=0,0,IF($F171="recht",1+($G171-$E$17)/$E$18,1+($G171-$E$17-0.301*$E$18)/$E$18))+IF($H171=0,0,IF($F171="recht",$H171/$E$19,($H171-0.301*$E$19)/$E$19))+I171/$E$20</f>
        <v>6.024390243902439</v>
      </c>
      <c r="Q171" s="1794">
        <f>10^(-P171)</f>
        <v>9.4538728313079291E-7</v>
      </c>
      <c r="R171" s="1796">
        <f>2.5*0.01*$C$7*$E$11*E$171*Q171/U$10/U$10*$W$10^1.3/$D$171/$D$171*1000000</f>
        <v>0</v>
      </c>
      <c r="S171" s="1771">
        <f>IF($G171=0,0,IF(F171="recht",1+(G171-$F$17)/$F$18,1+(G171-$F$17-0.301*$F$18)/$F$18))+IF($H171=0,0,IF($F171="recht",$H171/$F$19,($H171-0.301*$F$19)/$F$19))+I171/$F$20</f>
        <v>9.1481481481481488</v>
      </c>
      <c r="T171" s="1794">
        <f>10^(-S171)</f>
        <v>7.1097094323124171E-10</v>
      </c>
      <c r="U171" s="1796">
        <f>2.5*0.01*$C$7*$F$11*E$171*T171/U$10/U$10*$W$10^1.3/$D$171/$D$171*1000000</f>
        <v>0</v>
      </c>
      <c r="V171" s="1771">
        <f>IF($G171=0,0,IF($F171="recht",1+(G171-$G$17)/$G$18,1+(G171-$G$17-0.301*$G$18)/$G$18))+IF($H171=0,0,IF($F171="recht",$H171/$G$19,($H171-0.301*$G$19)/$G$19))+I171/$G$20</f>
        <v>6.9444444444444446</v>
      </c>
      <c r="W171" s="1794">
        <f>10^(-V171)</f>
        <v>1.136463666385722E-7</v>
      </c>
      <c r="X171" s="1819">
        <f>2.5*0.01*$C$7*$G$11*E$171*W171/U$10/U$10*$W$10^1.3/$D$171/$D$171*1000000</f>
        <v>0</v>
      </c>
      <c r="Y171" s="1805">
        <f>SUM(L171,O171,R171,U171,X171)</f>
        <v>0</v>
      </c>
      <c r="Z171" s="890"/>
      <c r="AA171" s="891"/>
      <c r="AD171" s="824"/>
    </row>
    <row r="172" spans="1:87" s="45" customFormat="1" ht="19.5" customHeight="1">
      <c r="A172" s="1628"/>
      <c r="B172" s="1631"/>
      <c r="C172" s="1624"/>
      <c r="D172" s="1800"/>
      <c r="E172" s="1628"/>
      <c r="F172" s="1799"/>
      <c r="G172" s="1800"/>
      <c r="H172" s="1800"/>
      <c r="I172" s="1800"/>
      <c r="J172" s="1802"/>
      <c r="K172" s="1795"/>
      <c r="L172" s="1797"/>
      <c r="M172" s="1657"/>
      <c r="N172" s="1795"/>
      <c r="O172" s="1797"/>
      <c r="P172" s="1772"/>
      <c r="Q172" s="1795"/>
      <c r="R172" s="1797"/>
      <c r="S172" s="1772"/>
      <c r="T172" s="1812"/>
      <c r="U172" s="1818"/>
      <c r="V172" s="1772"/>
      <c r="W172" s="1812"/>
      <c r="X172" s="1820"/>
      <c r="Y172" s="1805"/>
      <c r="Z172" s="890"/>
      <c r="AA172" s="891"/>
      <c r="AE172" s="821"/>
    </row>
    <row r="173" spans="1:87" s="45" customFormat="1" ht="19.5" customHeight="1">
      <c r="A173" s="1628"/>
      <c r="B173" s="1631"/>
      <c r="C173" s="1623" t="s">
        <v>35</v>
      </c>
      <c r="D173" s="1800"/>
      <c r="E173" s="1798">
        <v>1</v>
      </c>
      <c r="F173" s="1798" t="s">
        <v>116</v>
      </c>
      <c r="G173" s="1718">
        <f>X$11</f>
        <v>200</v>
      </c>
      <c r="H173" s="1718">
        <f>Y$11</f>
        <v>0</v>
      </c>
      <c r="I173" s="1718">
        <f>Z$11</f>
        <v>0</v>
      </c>
      <c r="J173" s="1801">
        <f>IF($G173=0,0,IF($F173="recht",$GG173/$C$24,($G173-0.301*$C$24)/$C$24))+IF($H173=0,0,IF($F173="recht",$H173/$C$25,($H173-0.301*$C$25)/$C$25))+I173/$C$26</f>
        <v>5.58135294117647</v>
      </c>
      <c r="K173" s="1794">
        <f>10^(-J173)</f>
        <v>2.6220867674308296E-6</v>
      </c>
      <c r="L173" s="1796">
        <f>2.5*0.01*$C$7*$C$8*$C$11*($C$12+$C$13*$C$14)*E$173/U$11/U$11*K173*$W$11^1.3/$D$171/$D$171*1000000</f>
        <v>1.7419398413490567E-3</v>
      </c>
      <c r="M173" s="1801">
        <f>IF($G173=0,0,IF($F173="recht",$G173/$D$24,($G173-0.301*$D$24)/$D$24))+IF($H173=0,0,IF($F173="recht",$H173/$D$25,($H173-0.301*$D$25)/$D$25))+I173/$D$26</f>
        <v>4.9621578947368423</v>
      </c>
      <c r="N173" s="1794">
        <f>10^(-M173)</f>
        <v>1.0910435979026304E-5</v>
      </c>
      <c r="O173" s="1796">
        <f>2.5*0.01*$C$7*$C$8*$D$11*($D$12+$D$13*$D$14)*E$173/U$11/U$11*N173*$W$11^1.3/$D$171/$D$171*1000000</f>
        <v>7.2481671294866799E-3</v>
      </c>
      <c r="P173" s="1801">
        <f>IF($G173=0,0,IF($F173="recht",$G173/$E$24,(G173-0.301*$E$24)/$E$24))+IF($H173=0,0,IF($F173="recht",$H173/$E$25,($H173-0.301*$E$25)/$E$25))+I173/$E$26</f>
        <v>4.9483438320209974</v>
      </c>
      <c r="Q173" s="1794">
        <f>10^(-P173)</f>
        <v>1.1263054043136272E-5</v>
      </c>
      <c r="R173" s="1796">
        <f>2.5*0.01*$C$7*$C$8*$E$11*($E$12+$E$13*$E$14)*E$173/U$11/U$11*Q173*$W$11^1.3/$D$171/$D$171*1000000</f>
        <v>7.4824230901520735E-3</v>
      </c>
      <c r="S173" s="1806">
        <f>IF(G$173=0,0,IF(F173="recht",$G173/$F$173,($G173-0.301*$F$24)/$F$24))+IF($H173=0,0,IF($F173="recht",$H173/$F$25,($H173-0.301*$F$25)/$F$25))+I173/$F$26</f>
        <v>6.2563770491803279</v>
      </c>
      <c r="T173" s="1811">
        <f>10^(-S173)</f>
        <v>5.5414440263229426E-7</v>
      </c>
      <c r="U173" s="1796">
        <f>2.5*0.01*$C$7*$C$8*$F$11*($F$12+$F$13*$F$14)*E$173/U$11/U$11*T173*$W$11^1.3/$D$171/$D$171*1000000</f>
        <v>2.0861076276506701E-4</v>
      </c>
      <c r="V173" s="1806">
        <f>IF($G173=0,0,IF($F173="recht",$G173/$G$24,($G173-0.301*$G$24)/$G$24))+IF($H173=0,0,IF($F173="recht",$H173/$G$25,($H173-0.301*$G$25)/$G$25))+I173/$G$26</f>
        <v>5.3169775280898879</v>
      </c>
      <c r="W173" s="1811">
        <f>10^(-V173)</f>
        <v>4.8197273592906954E-6</v>
      </c>
      <c r="X173" s="1819">
        <f>2.5*0.01*$C$7*$C$8*$G$11*($G$12+$G$13*$G$14)*E$173/U$11/U$11*W173*$W$11^1.3/$D$171/$D$171</f>
        <v>1.2273972646840874E-9</v>
      </c>
      <c r="Y173" s="1775">
        <f>SUM(L173,O173,R173,U173,X173)</f>
        <v>1.6681142051150143E-2</v>
      </c>
      <c r="Z173" s="890"/>
      <c r="AA173" s="891"/>
      <c r="AE173" s="819"/>
      <c r="AF173" s="819"/>
    </row>
    <row r="174" spans="1:87" s="45" customFormat="1" ht="19.5" customHeight="1" thickBot="1">
      <c r="A174" s="1629"/>
      <c r="B174" s="1632"/>
      <c r="C174" s="1624"/>
      <c r="D174" s="1800"/>
      <c r="E174" s="1799"/>
      <c r="F174" s="1799"/>
      <c r="G174" s="1800"/>
      <c r="H174" s="1800"/>
      <c r="I174" s="1800"/>
      <c r="J174" s="1802"/>
      <c r="K174" s="1795"/>
      <c r="L174" s="1797"/>
      <c r="M174" s="1802"/>
      <c r="N174" s="1795"/>
      <c r="O174" s="1797"/>
      <c r="P174" s="1802"/>
      <c r="Q174" s="1795"/>
      <c r="R174" s="1797"/>
      <c r="S174" s="1802"/>
      <c r="T174" s="1795"/>
      <c r="U174" s="1797"/>
      <c r="V174" s="1802"/>
      <c r="W174" s="1795"/>
      <c r="X174" s="1823"/>
      <c r="Y174" s="1807"/>
      <c r="Z174" s="892"/>
      <c r="AA174" s="893"/>
      <c r="AD174" s="818"/>
      <c r="AE174" s="819"/>
      <c r="AF174" s="819"/>
    </row>
    <row r="175" spans="1:87" s="325" customFormat="1" ht="19.5" customHeight="1">
      <c r="A175" s="1627" t="s">
        <v>292</v>
      </c>
      <c r="B175" s="1646" t="s">
        <v>185</v>
      </c>
      <c r="C175" s="1623" t="s">
        <v>333</v>
      </c>
      <c r="D175" s="1627">
        <v>1</v>
      </c>
      <c r="E175" s="1627">
        <v>0</v>
      </c>
      <c r="F175" s="1627" t="s">
        <v>12</v>
      </c>
      <c r="G175" s="1627">
        <v>250</v>
      </c>
      <c r="H175" s="1627">
        <v>0</v>
      </c>
      <c r="I175" s="1627">
        <v>0</v>
      </c>
      <c r="J175" s="1656">
        <f>IF($G175=0,0,IF($F175="recht",1+($G175-$C$17)/$C$18,1+($G175-$C$17-0.301*$C$18)/$C$18))+IF($H175=0,0,IF($F175="recht",$H175/$C$19,($H175-0.301*$C$19)/$C$19))+$I175/$C$20</f>
        <v>7.4545454545454541</v>
      </c>
      <c r="K175" s="1791">
        <f>10^(-J175)</f>
        <v>3.5111917342151263E-8</v>
      </c>
      <c r="L175" s="1771">
        <f>$C$7*$C$11*$E175/$D175/$D175*K175*1000000</f>
        <v>0</v>
      </c>
      <c r="M175" s="1656">
        <f>IF($G175=0,0,IF($F175="recht",1+($G175-$D$17)/$D$18,1+($G175-$D$17-0.301*$D$18)/$D$18))+IF($H175=0,0,IF($F175="recht",$H175/$D$19,($H175-0.301*$D$19)/$D$19))+$I175/$D$20</f>
        <v>6.6486486486486482</v>
      </c>
      <c r="N175" s="1791">
        <f>10^(-M175)</f>
        <v>2.2456979955397711E-7</v>
      </c>
      <c r="O175" s="1771">
        <f>$C$7*$D$11*$E175/$D175/$D175*$N175*1000000</f>
        <v>0</v>
      </c>
      <c r="P175" s="1771">
        <f>IF($G175=0,0,IF($F175="recht",1+(G175-$E$17)/$E$18,1+(G175-$E$17-0.301*$E$18)/$E$18))+IF($H175=0,0,IF($F175="recht",$H175/$E$19,($H175-0.301*$E$19)/$E$19))+I175/$E$20</f>
        <v>6.024390243902439</v>
      </c>
      <c r="Q175" s="1791">
        <f>10^(-P175)</f>
        <v>9.4538728313079291E-7</v>
      </c>
      <c r="R175" s="1771">
        <f>$C$7*$E$11*$E175/$D175/$D175*$Q175*1000000</f>
        <v>0</v>
      </c>
      <c r="S175" s="1771">
        <f>IF($G175=0,0,IF($F175="recht",1+(G175-$F$17)/$F$18,1+(G175-$F$17-0.301*$F$18)/$F$18))+IF($H175=0,0,IF($F175="recht",$H175/$F$19,($H175-0.301*$F$19)/$F$19))+I175/$F$20</f>
        <v>9.1481481481481488</v>
      </c>
      <c r="T175" s="1791">
        <f>10^(-S175)</f>
        <v>7.1097094323124171E-10</v>
      </c>
      <c r="U175" s="1771">
        <f>$C$7*$F$11*$E175/$D175/$D175*$T175*1000000</f>
        <v>0</v>
      </c>
      <c r="V175" s="1771">
        <f>IF($G175=0,0,IF(F175="recht",1+(G175-$G$17)/$G$18,1+(G175-$G$17-0.301*$G$18)/$G$18))+IF($H175=0,0,IF($F175="recht",$H175/$G$19,($H175-0.301*$G$19)/$G$19))+I175/$G$20</f>
        <v>6.9444444444444446</v>
      </c>
      <c r="W175" s="1791">
        <f>10^(-V175)</f>
        <v>1.136463666385722E-7</v>
      </c>
      <c r="X175" s="1817">
        <f>$C$7*$G$11*$E175/$D175/$D175*$W175*1000000</f>
        <v>0</v>
      </c>
      <c r="Y175" s="1813">
        <f>SUM(L175,O175,R175,U175,X175)</f>
        <v>0</v>
      </c>
      <c r="Z175" s="886">
        <f>SUM(Y175:Y182)</f>
        <v>2.0415508389015229E-2</v>
      </c>
      <c r="AA175" s="887">
        <f>Z175*52/1000</f>
        <v>1.0616064362287919E-3</v>
      </c>
      <c r="AB175" s="45"/>
      <c r="AC175" s="45"/>
      <c r="AD175" s="818"/>
      <c r="AE175" s="819"/>
      <c r="AF175" s="66"/>
      <c r="AG175" s="53"/>
      <c r="AH175" s="53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53"/>
      <c r="AV175" s="53"/>
      <c r="AW175" s="53"/>
      <c r="AX175" s="53"/>
      <c r="AY175" s="428"/>
      <c r="AZ175" s="428"/>
      <c r="BA175" s="428"/>
      <c r="BB175" s="428"/>
      <c r="BC175" s="428"/>
      <c r="BD175" s="428"/>
      <c r="BE175" s="428"/>
      <c r="BF175" s="428"/>
      <c r="BG175" s="428"/>
      <c r="BH175" s="428"/>
      <c r="BI175" s="428"/>
      <c r="BJ175" s="428"/>
      <c r="BK175" s="428"/>
      <c r="BL175" s="428"/>
      <c r="BM175" s="428"/>
      <c r="BN175" s="428"/>
      <c r="BO175" s="428"/>
      <c r="BP175" s="385"/>
      <c r="BQ175" s="338"/>
      <c r="BR175" s="338"/>
      <c r="BS175" s="336"/>
      <c r="BT175" s="336"/>
      <c r="BU175" s="336"/>
      <c r="BV175" s="442"/>
      <c r="BW175" s="336"/>
      <c r="BX175" s="336"/>
      <c r="BY175" s="345"/>
      <c r="BZ175" s="345"/>
      <c r="CA175" s="345"/>
      <c r="CB175" s="345"/>
      <c r="CC175" s="345"/>
      <c r="CD175" s="355"/>
      <c r="CE175" s="355"/>
      <c r="CF175" s="355"/>
      <c r="CG175" s="382"/>
      <c r="CH175" s="382"/>
      <c r="CI175" s="382"/>
    </row>
    <row r="176" spans="1:87" s="325" customFormat="1" ht="19.5" customHeight="1">
      <c r="A176" s="1628"/>
      <c r="B176" s="1647"/>
      <c r="C176" s="1624"/>
      <c r="D176" s="1628"/>
      <c r="E176" s="1628"/>
      <c r="F176" s="1628"/>
      <c r="G176" s="1628"/>
      <c r="H176" s="1628"/>
      <c r="I176" s="1628"/>
      <c r="J176" s="1659"/>
      <c r="K176" s="1792"/>
      <c r="L176" s="1772"/>
      <c r="M176" s="1657"/>
      <c r="N176" s="1792"/>
      <c r="O176" s="1772"/>
      <c r="P176" s="1772"/>
      <c r="Q176" s="1792"/>
      <c r="R176" s="1772"/>
      <c r="S176" s="1772"/>
      <c r="T176" s="1792"/>
      <c r="U176" s="1772"/>
      <c r="V176" s="1772"/>
      <c r="W176" s="1792"/>
      <c r="X176" s="1808"/>
      <c r="Y176" s="1814"/>
      <c r="Z176" s="888"/>
      <c r="AA176" s="889"/>
      <c r="AB176" s="45"/>
      <c r="AC176" s="45"/>
      <c r="AD176" s="45"/>
      <c r="AE176" s="820"/>
      <c r="AF176" s="823"/>
      <c r="AG176" s="53"/>
      <c r="AH176" s="53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53"/>
      <c r="AV176" s="53"/>
      <c r="AW176" s="53"/>
      <c r="AX176" s="53"/>
      <c r="AY176" s="428"/>
      <c r="AZ176" s="428"/>
      <c r="BA176" s="428"/>
      <c r="BB176" s="428"/>
      <c r="BC176" s="428"/>
      <c r="BD176" s="428"/>
      <c r="BE176" s="428"/>
      <c r="BF176" s="428"/>
      <c r="BG176" s="428"/>
      <c r="BH176" s="428"/>
      <c r="BI176" s="428"/>
      <c r="BJ176" s="428"/>
      <c r="BK176" s="428"/>
      <c r="BL176" s="428"/>
      <c r="BM176" s="428"/>
      <c r="BN176" s="428"/>
      <c r="BO176" s="428"/>
      <c r="BP176" s="385"/>
      <c r="BQ176" s="338"/>
      <c r="BR176" s="338"/>
      <c r="BS176" s="336"/>
      <c r="BT176" s="336"/>
      <c r="BU176" s="336"/>
      <c r="BV176" s="442"/>
      <c r="BW176" s="336"/>
      <c r="BX176" s="336"/>
      <c r="BY176" s="345"/>
      <c r="BZ176" s="345"/>
      <c r="CA176" s="345"/>
      <c r="CB176" s="345"/>
      <c r="CC176" s="345"/>
      <c r="CD176" s="355"/>
      <c r="CE176" s="355"/>
      <c r="CF176" s="355"/>
      <c r="CG176" s="382"/>
      <c r="CH176" s="382"/>
      <c r="CI176" s="382"/>
    </row>
    <row r="177" spans="1:87" s="45" customFormat="1" ht="19.5" customHeight="1">
      <c r="A177" s="1628"/>
      <c r="B177" s="1647"/>
      <c r="C177" s="1687" t="s">
        <v>334</v>
      </c>
      <c r="D177" s="1626">
        <v>10</v>
      </c>
      <c r="E177" s="1815">
        <v>1</v>
      </c>
      <c r="F177" s="1628"/>
      <c r="G177" s="1628"/>
      <c r="H177" s="1628"/>
      <c r="I177" s="1628"/>
      <c r="J177" s="1772">
        <f>IF($G175=0,0,IF($F175="recht",$G175/$C$24,(G175-0.301*$C$24)/$C$24))+IF($H175=0,0,IF($F175="recht",$H175/$C$25,($H175-0.301*$C$25)/$C$25))+I175/$C$26</f>
        <v>7.3529411764705879</v>
      </c>
      <c r="K177" s="1792">
        <f>10^(-J177)</f>
        <v>4.4366873309786093E-8</v>
      </c>
      <c r="L177" s="1772">
        <f>$C$7*$C$8*$C$11*($C$12+$C$13*$C$14)*$E177/$D177/$D177*$K177*1000000</f>
        <v>2.6620123985871658E-4</v>
      </c>
      <c r="M177" s="1772">
        <f>IF($G175=0,0,IF(F175="recht",$G175/$D$24,($G175-0.301*$D$24)/$D$24))+IF($H175=0,0,IF($F175="recht",$H175/$D$25,($H175-0.301*$D$25)/$D$25))+I175/$D$26</f>
        <v>6.5789473684210522</v>
      </c>
      <c r="N177" s="1792">
        <f>10^(-M177)</f>
        <v>2.636650898730358E-7</v>
      </c>
      <c r="O177" s="1772">
        <f>$C$7*$C$8*$D$11*($D$12+$D$13*$D$14)*$E177/$D177/$D177*$N177*1000000</f>
        <v>1.581990539238215E-3</v>
      </c>
      <c r="P177" s="1772">
        <f>IF($G175=0,0,IF($F175="recht",$G175/$E$24,($G175-0.301*$E$24)/$E$24))+IF($H175=0,0,IF($F175="recht",$H175/$E$25,($H175-0.301*$E$25)/$E$25))+I175/$E$26</f>
        <v>6.5616797900262469</v>
      </c>
      <c r="Q177" s="1792">
        <f>10^(-P177)</f>
        <v>2.7435963093132793E-7</v>
      </c>
      <c r="R177" s="1772">
        <f>$C$7*$C$8*$E$11*($E$12+$E$13*$E$14)*$E177/$D177/$D177*$Q177*1000000</f>
        <v>1.6461577855879678E-3</v>
      </c>
      <c r="S177" s="1772">
        <f>IF($G175=0,0,IF($F175="recht",$G175/$F$24,(G175-0.301*$F$24)/$F$24))+IF($H175=0,0,IF($F175="recht",$H175/$F$25,($H175-0.301*$F$25)/$F$25))+I175/$F$26</f>
        <v>8.1967213114754092</v>
      </c>
      <c r="T177" s="1792">
        <f>10^(-S177)</f>
        <v>6.3573875711648393E-9</v>
      </c>
      <c r="U177" s="1772">
        <f>$C$7*$C$8*$F$11*($F$12+$F$13*$F$14)*$E177/$D177/$D177*$T177*1000000</f>
        <v>2.1615117741960457E-5</v>
      </c>
      <c r="V177" s="1772">
        <f>IF($G175=0,0,IF($F175="recht",$G175/$G$24,($G175-0.301*$G$24)/$G$24))+IF($H175=0,0,IF($F175="recht",$H175/$G$25,($H175-0.301*$G$25)/$G$25))+I175/$G$26</f>
        <v>7.0224719101123592</v>
      </c>
      <c r="W177" s="1792">
        <f>10^(-V177)</f>
        <v>9.4957241494880226E-8</v>
      </c>
      <c r="X177" s="1808">
        <f>$C$7*$C$8*$G$11*($G$12+$G$13*$G$14)*$E177/$D177/$D177*$W177*1000000</f>
        <v>2.1840165543822451E-4</v>
      </c>
      <c r="Y177" s="1810">
        <f>SUM(L177,O177,R177,U177,X177)</f>
        <v>3.7343663378650842E-3</v>
      </c>
      <c r="Z177" s="888"/>
      <c r="AA177" s="889"/>
      <c r="AD177" s="325"/>
      <c r="AF177" s="53"/>
      <c r="AG177" s="66"/>
      <c r="AH177" s="66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</row>
    <row r="178" spans="1:87" s="45" customFormat="1" ht="19.5" customHeight="1">
      <c r="A178" s="1628"/>
      <c r="B178" s="1647"/>
      <c r="C178" s="1688"/>
      <c r="D178" s="1689"/>
      <c r="E178" s="1816"/>
      <c r="F178" s="1628"/>
      <c r="G178" s="1628"/>
      <c r="H178" s="1628"/>
      <c r="I178" s="1628"/>
      <c r="J178" s="1773"/>
      <c r="K178" s="1793"/>
      <c r="L178" s="1773"/>
      <c r="M178" s="1773"/>
      <c r="N178" s="1793"/>
      <c r="O178" s="1773"/>
      <c r="P178" s="1773"/>
      <c r="Q178" s="1793"/>
      <c r="R178" s="1773"/>
      <c r="S178" s="1773"/>
      <c r="T178" s="1793"/>
      <c r="U178" s="1773"/>
      <c r="V178" s="1773"/>
      <c r="W178" s="1793"/>
      <c r="X178" s="1809"/>
      <c r="Y178" s="1810"/>
      <c r="Z178" s="888"/>
      <c r="AA178" s="889"/>
      <c r="AF178" s="53"/>
      <c r="AG178" s="66"/>
      <c r="AH178" s="66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</row>
    <row r="179" spans="1:87" s="45" customFormat="1" ht="19.5" customHeight="1">
      <c r="A179" s="1628"/>
      <c r="B179" s="1647"/>
      <c r="C179" s="1623" t="s">
        <v>34</v>
      </c>
      <c r="D179" s="1718">
        <f>D177</f>
        <v>10</v>
      </c>
      <c r="E179" s="1718">
        <f>E171</f>
        <v>0</v>
      </c>
      <c r="F179" s="1798" t="s">
        <v>12</v>
      </c>
      <c r="G179" s="1718">
        <f>X$10</f>
        <v>250</v>
      </c>
      <c r="H179" s="1718">
        <f>Y$10</f>
        <v>0</v>
      </c>
      <c r="I179" s="1718">
        <f>Z$10</f>
        <v>0</v>
      </c>
      <c r="J179" s="1801">
        <f>IF($G179=0,0,IF($F179="recht",1+(G179-$C$17)/$C$18,1+(G179-$C$17-0.301*$C$18)/$C$18))+IF($H179=0,0,IF($F179="recht",$H179/$C$19,($H179-0.301*$C$19)/$C$17))+I179/$C$20</f>
        <v>7.4545454545454541</v>
      </c>
      <c r="K179" s="1794">
        <f>10^(-J179)</f>
        <v>3.5111917342151263E-8</v>
      </c>
      <c r="L179" s="1796">
        <f>2.5*0.01*$C$7*$C$11*E179*K179/U$10/U$10*$W$10^1.3/$D179/$D179*1000000</f>
        <v>0</v>
      </c>
      <c r="M179" s="1656">
        <f>IF($G179=0,0,IF($F179="recht",1+($G179-$D$17)/$D$18,1+($G179-$D$17-0.301*$D$18)/$D$18))+IF($H179=0,0,IF($F179="recht",$H179/$D$19,($H179-0.301*$D$19)/$D$19))+$I179/$D$20</f>
        <v>6.6486486486486482</v>
      </c>
      <c r="N179" s="1794">
        <f>10^(-M179)</f>
        <v>2.2456979955397711E-7</v>
      </c>
      <c r="O179" s="1796">
        <f>2.5*0.01*$C$7*$D$11*E179*N179/U$10/U$10*$W$10^1.3/$D179/$D179*1000000</f>
        <v>0</v>
      </c>
      <c r="P179" s="1771">
        <f>IF($G179=0,0,IF($F179="recht",1+($G179-$E$17)/$E$18,1+($G179-$E$17-0.301*$E$18)/$E$18))+IF($H179=0,0,IF($F179="recht",$H179/$E$19,($H179-0.301*$E$19)/$E$19))+I179/$E$20</f>
        <v>6.024390243902439</v>
      </c>
      <c r="Q179" s="1794">
        <f>10^(-P179)</f>
        <v>9.4538728313079291E-7</v>
      </c>
      <c r="R179" s="1796">
        <f>2.5*0.01*$C$7*$E$11*E179*Q179/U$10/U$10*$W$10^1.3/$D179/$D179*1000000</f>
        <v>0</v>
      </c>
      <c r="S179" s="1771">
        <f>IF($G179=0,0,IF(F179="recht",1+(G179-$F$17)/$F$18,1+(G179-$F$17-0.301*$F$18)/$F$18))+IF($H179=0,0,IF($F179="recht",$H179/$F$19,($H179-0.301*$F$19)/$F$19))+I179/$F$20</f>
        <v>9.1481481481481488</v>
      </c>
      <c r="T179" s="1794">
        <f>10^(-S179)</f>
        <v>7.1097094323124171E-10</v>
      </c>
      <c r="U179" s="1796">
        <f>2.5*0.01*$C$7*$F$11*E179*T179/U$10/U$10*$W$10^1.3/$D179/$D179*1000000</f>
        <v>0</v>
      </c>
      <c r="V179" s="1771">
        <f>IF($G179=0,0,IF($F179="recht",1+(G179-$G$17)/$G$18,1+(G179-$G$17-0.301*$G$18)/$G$18))+IF($H179=0,0,IF($F179="recht",$H179/$G$19,($H179-0.301*$G$19)/$G$19))+I179/$G$20</f>
        <v>6.9444444444444446</v>
      </c>
      <c r="W179" s="1794">
        <f>10^(-V179)</f>
        <v>1.136463666385722E-7</v>
      </c>
      <c r="X179" s="1819">
        <f>2.5*0.01*$C$7*$G$11*E179*W179/U$10/U$10*$W$10^1.3/$D179/$D179*1000000</f>
        <v>0</v>
      </c>
      <c r="Y179" s="1810">
        <f>SUM(L179,O179,R179,U179,X179)</f>
        <v>0</v>
      </c>
      <c r="Z179" s="890"/>
      <c r="AA179" s="891"/>
    </row>
    <row r="180" spans="1:87" s="45" customFormat="1" ht="19.5" customHeight="1">
      <c r="A180" s="1628"/>
      <c r="B180" s="1647"/>
      <c r="C180" s="1624"/>
      <c r="D180" s="1800"/>
      <c r="E180" s="1800"/>
      <c r="F180" s="1799"/>
      <c r="G180" s="1800"/>
      <c r="H180" s="1800"/>
      <c r="I180" s="1800"/>
      <c r="J180" s="1802"/>
      <c r="K180" s="1795"/>
      <c r="L180" s="1797"/>
      <c r="M180" s="1657"/>
      <c r="N180" s="1795"/>
      <c r="O180" s="1797"/>
      <c r="P180" s="1772"/>
      <c r="Q180" s="1795"/>
      <c r="R180" s="1797"/>
      <c r="S180" s="1772"/>
      <c r="T180" s="1812"/>
      <c r="U180" s="1818"/>
      <c r="V180" s="1772"/>
      <c r="W180" s="1812"/>
      <c r="X180" s="1820"/>
      <c r="Y180" s="1810"/>
      <c r="Z180" s="890"/>
      <c r="AA180" s="891"/>
    </row>
    <row r="181" spans="1:87" s="45" customFormat="1" ht="19.5" customHeight="1">
      <c r="A181" s="1628"/>
      <c r="B181" s="1647"/>
      <c r="C181" s="1623" t="s">
        <v>35</v>
      </c>
      <c r="D181" s="1800"/>
      <c r="E181" s="1798">
        <v>1</v>
      </c>
      <c r="F181" s="1798" t="s">
        <v>116</v>
      </c>
      <c r="G181" s="1718">
        <f>X$11</f>
        <v>200</v>
      </c>
      <c r="H181" s="1718">
        <f>Y$11</f>
        <v>0</v>
      </c>
      <c r="I181" s="1718">
        <f>Z$11</f>
        <v>0</v>
      </c>
      <c r="J181" s="1801">
        <f>IF($G181=0,0,IF($F181="recht",$GG181/$C$24,($G181-0.301*$C$24)/$C$24))+IF($H181=0,0,IF($F181="recht",$H181/$C$25,($H181-0.301*$C$25)/$C$25))+I181/$C$26</f>
        <v>5.58135294117647</v>
      </c>
      <c r="K181" s="1794">
        <f>10^(-J181)</f>
        <v>2.6220867674308296E-6</v>
      </c>
      <c r="L181" s="1796">
        <f>2.5*0.01*$C$7*$C$8*$C$11*($C$12+$C$13*$C$14)*E181/U$11/U$11*K181*$W$11^1.3/$D179/$D179*1000000</f>
        <v>1.7419398413490567E-3</v>
      </c>
      <c r="M181" s="1801">
        <f>IF($G181=0,0,IF($F181="recht",$G181/$D$24,($G181-0.301*$D$24)/$D$24))+IF($H181=0,0,IF($F181="recht",$H181/$D$25,($H181-0.301*$D$25)/$D$25))+I181/$D$26</f>
        <v>4.9621578947368423</v>
      </c>
      <c r="N181" s="1794">
        <f>10^(-M181)</f>
        <v>1.0910435979026304E-5</v>
      </c>
      <c r="O181" s="1796">
        <f>2.5*0.01*$C$7*$C$8*$D$11*($D$12+$D$13*$D$14)*E181/U$11/U$11*N181*$W$11^1.3/$D179/$D179*1000000</f>
        <v>7.2481671294866799E-3</v>
      </c>
      <c r="P181" s="1801">
        <f>IF($G181=0,0,IF($F181="recht",$G181/$E$24,(G181-0.301*$E$24)/$E$24))+IF($H181=0,0,IF($F181="recht",$H181/$E$25,($H181-0.301*$E$25)/$E$25))+I181/$E$26</f>
        <v>4.9483438320209974</v>
      </c>
      <c r="Q181" s="1794">
        <f>10^(-P181)</f>
        <v>1.1263054043136272E-5</v>
      </c>
      <c r="R181" s="1796">
        <f>2.5*0.01*$C$7*$C$8*$E$11*($E$12+$E$13*$E$14)*E181/U$11/U$11*Q181*$W$11^1.3/$D179/$D179*1000000</f>
        <v>7.4824230901520735E-3</v>
      </c>
      <c r="S181" s="1806">
        <f>IF(G$173=0,0,IF(F181="recht",$G181/$F$173,($G181-0.301*$F$24)/$F$24))+IF($H181=0,0,IF($F181="recht",$H181/$F$25,($H181-0.301*$F$25)/$F$25))+I181/$F$26</f>
        <v>6.2563770491803279</v>
      </c>
      <c r="T181" s="1811">
        <f>10^(-S181)</f>
        <v>5.5414440263229426E-7</v>
      </c>
      <c r="U181" s="1796">
        <f>2.5*0.01*$C$7*$C$8*$F$11*($F$12+$F$13*$F$14)*E181/U$11/U$11*T181*$W$11^1.3/$D179/$D179*1000000</f>
        <v>2.0861076276506701E-4</v>
      </c>
      <c r="V181" s="1806">
        <f>IF($G181=0,0,IF($F181="recht",$G181/$G$24,($G181-0.301*$G$24)/$G$24))+IF($H181=0,0,IF($F181="recht",$H181/$G$25,($H181-0.301*$G$25)/$G$25))+I181/$G$26</f>
        <v>5.3169775280898879</v>
      </c>
      <c r="W181" s="1811">
        <f>10^(-V181)</f>
        <v>4.8197273592906954E-6</v>
      </c>
      <c r="X181" s="1819">
        <f>2.5*0.01*$C$7*$C$8*$G$11*($G$12+$G$13*$G$14)*E181/U$11/U$11*W181*$W$11^1.3/$D179/$D179</f>
        <v>1.2273972646840874E-9</v>
      </c>
      <c r="Y181" s="1814">
        <f>SUM(L181,O181,R181,U181,X181)</f>
        <v>1.6681142051150143E-2</v>
      </c>
      <c r="Z181" s="890"/>
      <c r="AA181" s="891"/>
    </row>
    <row r="182" spans="1:87" s="45" customFormat="1" ht="19.5" customHeight="1" thickBot="1">
      <c r="A182" s="1629"/>
      <c r="B182" s="1648"/>
      <c r="C182" s="1624"/>
      <c r="D182" s="1800"/>
      <c r="E182" s="1799"/>
      <c r="F182" s="1799"/>
      <c r="G182" s="1800"/>
      <c r="H182" s="1800"/>
      <c r="I182" s="1800"/>
      <c r="J182" s="1802"/>
      <c r="K182" s="1795"/>
      <c r="L182" s="1797"/>
      <c r="M182" s="1802"/>
      <c r="N182" s="1795"/>
      <c r="O182" s="1797"/>
      <c r="P182" s="1802"/>
      <c r="Q182" s="1795"/>
      <c r="R182" s="1797"/>
      <c r="S182" s="1802"/>
      <c r="T182" s="1795"/>
      <c r="U182" s="1797"/>
      <c r="V182" s="1802"/>
      <c r="W182" s="1795"/>
      <c r="X182" s="1823"/>
      <c r="Y182" s="1821"/>
      <c r="Z182" s="892"/>
      <c r="AA182" s="893"/>
    </row>
    <row r="183" spans="1:87" s="325" customFormat="1" ht="19.5" customHeight="1">
      <c r="A183" s="1627" t="s">
        <v>293</v>
      </c>
      <c r="B183" s="1630" t="s">
        <v>187</v>
      </c>
      <c r="C183" s="1623" t="s">
        <v>333</v>
      </c>
      <c r="D183" s="1627">
        <v>1</v>
      </c>
      <c r="E183" s="1627">
        <v>0</v>
      </c>
      <c r="F183" s="1627" t="s">
        <v>12</v>
      </c>
      <c r="G183" s="1627">
        <v>250</v>
      </c>
      <c r="H183" s="1627">
        <v>0</v>
      </c>
      <c r="I183" s="1627">
        <v>0</v>
      </c>
      <c r="J183" s="1656">
        <f>IF($G183=0,0,IF($F183="recht",1+($G183-$C$17)/$C$18,1+($G183-$C$17-0.301*$C$18)/$C$18))+IF($H183=0,0,IF($F183="recht",$H183/$C$19,($H183-0.301*$C$19)/$C$19))+$I183/$C$20</f>
        <v>7.4545454545454541</v>
      </c>
      <c r="K183" s="1791">
        <f>10^(-J183)</f>
        <v>3.5111917342151263E-8</v>
      </c>
      <c r="L183" s="1771">
        <f>$C$7*$C$11*$E183/$D183/$D183*K183*1000000</f>
        <v>0</v>
      </c>
      <c r="M183" s="1656">
        <f>IF($G183=0,0,IF($F183="recht",1+($G183-$D$17)/$D$18,1+($G183-$D$17-0.301*$D$18)/$D$18))+IF($H183=0,0,IF($F183="recht",$H183/$D$19,($H183-0.301*$D$19)/$D$19))+$I183/$D$20</f>
        <v>6.6486486486486482</v>
      </c>
      <c r="N183" s="1791">
        <f>10^(-M183)</f>
        <v>2.2456979955397711E-7</v>
      </c>
      <c r="O183" s="1771">
        <f>$C$7*$D$11*$E183/$D183/$D183*$N183*1000000</f>
        <v>0</v>
      </c>
      <c r="P183" s="1771">
        <f>IF($G183=0,0,IF($F183="recht",1+(G183-$E$17)/$E$18,1+(G183-$E$17-0.301*$E$18)/$E$18))+IF($H183=0,0,IF($F183="recht",$H183/$E$19,($H183-0.301*$E$19)/$E$19))+I183/$E$20</f>
        <v>6.024390243902439</v>
      </c>
      <c r="Q183" s="1791">
        <f>10^(-P183)</f>
        <v>9.4538728313079291E-7</v>
      </c>
      <c r="R183" s="1771">
        <f>$C$7*$E$11*$E183/$D183/$D183*$Q183*1000000</f>
        <v>0</v>
      </c>
      <c r="S183" s="1771">
        <f>IF($G183=0,0,IF($F183="recht",1+(G183-$F$17)/$F$18,1+(G183-$F$17-0.301*$F$18)/$F$18))+IF($H183=0,0,IF($F183="recht",$H183/$F$19,($H183-0.301*$F$19)/$F$19))+I183/$F$20</f>
        <v>9.1481481481481488</v>
      </c>
      <c r="T183" s="1791">
        <f>10^(-S183)</f>
        <v>7.1097094323124171E-10</v>
      </c>
      <c r="U183" s="1771">
        <f>$C$7*$F$11*$E183/$D183/$D183*$T183*1000000</f>
        <v>0</v>
      </c>
      <c r="V183" s="1771">
        <f>IF($G183=0,0,IF(F183="recht",1+(G183-$G$17)/$G$18,1+(G183-$G$17-0.301*$G$18)/$G$18))+IF($H183=0,0,IF($F183="recht",$H183/$G$19,($H183-0.301*$G$19)/$G$19))+I183/$G$20</f>
        <v>6.9444444444444446</v>
      </c>
      <c r="W183" s="1791">
        <f>10^(-V183)</f>
        <v>1.136463666385722E-7</v>
      </c>
      <c r="X183" s="1817">
        <f>$C$7*$G$11*$E183/$D183/$D183*$W183*1000000</f>
        <v>0</v>
      </c>
      <c r="Y183" s="1813">
        <f>SUM(L183,O183,R183,U183,X183)</f>
        <v>0</v>
      </c>
      <c r="Z183" s="886">
        <f>SUM(Y183:Y190)</f>
        <v>2.0415508389015229E-2</v>
      </c>
      <c r="AA183" s="887">
        <f>Z183*52/1000</f>
        <v>1.0616064362287919E-3</v>
      </c>
      <c r="AB183" s="45"/>
      <c r="AC183" s="45"/>
      <c r="AD183" s="45"/>
      <c r="AE183" s="45"/>
      <c r="AF183" s="66"/>
      <c r="AG183" s="53"/>
      <c r="AH183" s="53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53"/>
      <c r="AV183" s="53"/>
      <c r="AW183" s="53"/>
      <c r="AX183" s="53"/>
      <c r="AY183" s="428"/>
      <c r="AZ183" s="428"/>
      <c r="BA183" s="428"/>
      <c r="BB183" s="428"/>
      <c r="BC183" s="428"/>
      <c r="BD183" s="428"/>
      <c r="BE183" s="428"/>
      <c r="BF183" s="428"/>
      <c r="BG183" s="428"/>
      <c r="BH183" s="428"/>
      <c r="BI183" s="428"/>
      <c r="BJ183" s="428"/>
      <c r="BK183" s="428"/>
      <c r="BL183" s="428"/>
      <c r="BM183" s="428"/>
      <c r="BN183" s="428"/>
      <c r="BO183" s="428"/>
      <c r="BP183" s="385"/>
      <c r="BQ183" s="338"/>
      <c r="BR183" s="338"/>
      <c r="BS183" s="336"/>
      <c r="BT183" s="336"/>
      <c r="BU183" s="336"/>
      <c r="BV183" s="442"/>
      <c r="BW183" s="336"/>
      <c r="BX183" s="336"/>
      <c r="BY183" s="345"/>
      <c r="BZ183" s="345"/>
      <c r="CA183" s="345"/>
      <c r="CB183" s="345"/>
      <c r="CC183" s="345"/>
      <c r="CD183" s="355"/>
      <c r="CE183" s="355"/>
      <c r="CF183" s="355"/>
      <c r="CG183" s="382"/>
      <c r="CH183" s="382"/>
      <c r="CI183" s="382"/>
    </row>
    <row r="184" spans="1:87" s="325" customFormat="1" ht="19.5" customHeight="1">
      <c r="A184" s="1628"/>
      <c r="B184" s="1631"/>
      <c r="C184" s="1624"/>
      <c r="D184" s="1628"/>
      <c r="E184" s="1628"/>
      <c r="F184" s="1628"/>
      <c r="G184" s="1628"/>
      <c r="H184" s="1628"/>
      <c r="I184" s="1628"/>
      <c r="J184" s="1659"/>
      <c r="K184" s="1792"/>
      <c r="L184" s="1772"/>
      <c r="M184" s="1657"/>
      <c r="N184" s="1792"/>
      <c r="O184" s="1772"/>
      <c r="P184" s="1772"/>
      <c r="Q184" s="1792"/>
      <c r="R184" s="1772"/>
      <c r="S184" s="1772"/>
      <c r="T184" s="1792"/>
      <c r="U184" s="1772"/>
      <c r="V184" s="1772"/>
      <c r="W184" s="1792"/>
      <c r="X184" s="1808"/>
      <c r="Y184" s="1814"/>
      <c r="Z184" s="888"/>
      <c r="AA184" s="889"/>
      <c r="AB184" s="45"/>
      <c r="AC184" s="45"/>
      <c r="AD184" s="45"/>
      <c r="AE184" s="45"/>
      <c r="AF184" s="66"/>
      <c r="AG184" s="53"/>
      <c r="AH184" s="53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53"/>
      <c r="AV184" s="53"/>
      <c r="AW184" s="53"/>
      <c r="AX184" s="53"/>
      <c r="AY184" s="428"/>
      <c r="AZ184" s="428"/>
      <c r="BA184" s="428"/>
      <c r="BB184" s="428"/>
      <c r="BC184" s="428"/>
      <c r="BD184" s="428"/>
      <c r="BE184" s="428"/>
      <c r="BF184" s="428"/>
      <c r="BG184" s="428"/>
      <c r="BH184" s="428"/>
      <c r="BI184" s="428"/>
      <c r="BJ184" s="428"/>
      <c r="BK184" s="428"/>
      <c r="BL184" s="428"/>
      <c r="BM184" s="428"/>
      <c r="BN184" s="428"/>
      <c r="BO184" s="428"/>
      <c r="BP184" s="385"/>
      <c r="BQ184" s="338"/>
      <c r="BR184" s="338"/>
      <c r="BS184" s="336"/>
      <c r="BT184" s="336"/>
      <c r="BU184" s="336"/>
      <c r="BV184" s="442"/>
      <c r="BW184" s="336"/>
      <c r="BX184" s="336"/>
      <c r="BY184" s="345"/>
      <c r="BZ184" s="345"/>
      <c r="CA184" s="345"/>
      <c r="CB184" s="345"/>
      <c r="CC184" s="345"/>
      <c r="CD184" s="355"/>
      <c r="CE184" s="355"/>
      <c r="CF184" s="355"/>
      <c r="CG184" s="382"/>
      <c r="CH184" s="382"/>
      <c r="CI184" s="382"/>
    </row>
    <row r="185" spans="1:87" s="45" customFormat="1" ht="19.5" customHeight="1">
      <c r="A185" s="1628"/>
      <c r="B185" s="1631"/>
      <c r="C185" s="1687" t="s">
        <v>334</v>
      </c>
      <c r="D185" s="1626">
        <v>10</v>
      </c>
      <c r="E185" s="1815">
        <v>1</v>
      </c>
      <c r="F185" s="1628"/>
      <c r="G185" s="1628"/>
      <c r="H185" s="1628"/>
      <c r="I185" s="1628"/>
      <c r="J185" s="1772">
        <f>IF($G183=0,0,IF($F183="recht",$G183/$C$24,(G183-0.301*$C$24)/$C$24))+IF($H183=0,0,IF($F183="recht",$H183/$C$25,($H183-0.301*$C$25)/$C$25))+I183/$C$26</f>
        <v>7.3529411764705879</v>
      </c>
      <c r="K185" s="1792">
        <f>10^(-J185)</f>
        <v>4.4366873309786093E-8</v>
      </c>
      <c r="L185" s="1772">
        <f>$C$7*$C$8*$C$11*($C$12+$C$13*$C$14)*$E185/$D185/$D185*$K185*1000000</f>
        <v>2.6620123985871658E-4</v>
      </c>
      <c r="M185" s="1772">
        <f>IF($G183=0,0,IF(F183="recht",$G183/$D$24,($G183-0.301*$D$24)/$D$24))+IF($H183=0,0,IF($F183="recht",$H183/$D$25,($H183-0.301*$D$25)/$D$25))+I183/$D$26</f>
        <v>6.5789473684210522</v>
      </c>
      <c r="N185" s="1792">
        <f>10^(-M185)</f>
        <v>2.636650898730358E-7</v>
      </c>
      <c r="O185" s="1772">
        <f>$C$7*$C$8*$D$11*($D$12+$D$13*$D$14)*$E185/$D185/$D185*$N185*1000000</f>
        <v>1.581990539238215E-3</v>
      </c>
      <c r="P185" s="1772">
        <f>IF($G183=0,0,IF($F183="recht",$G183/$E$24,($G183-0.301*$E$24)/$E$24))+IF($H183=0,0,IF($F183="recht",$H183/$E$25,($H183-0.301*$E$25)/$E$25))+I183/$E$26</f>
        <v>6.5616797900262469</v>
      </c>
      <c r="Q185" s="1792">
        <f>10^(-P185)</f>
        <v>2.7435963093132793E-7</v>
      </c>
      <c r="R185" s="1772">
        <f>$C$7*$C$8*$E$11*($E$12+$E$13*$E$14)*$E185/$D185/$D185*$Q185*1000000</f>
        <v>1.6461577855879678E-3</v>
      </c>
      <c r="S185" s="1772">
        <f>IF($G183=0,0,IF($F183="recht",$G183/$F$24,(G183-0.301*$F$24)/$F$24))+IF($H183=0,0,IF($F183="recht",$H183/$F$25,($H183-0.301*$F$25)/$F$25))+I183/$F$26</f>
        <v>8.1967213114754092</v>
      </c>
      <c r="T185" s="1792">
        <f>10^(-S185)</f>
        <v>6.3573875711648393E-9</v>
      </c>
      <c r="U185" s="1772">
        <f>$C$7*$C$8*$F$11*($F$12+$F$13*$F$14)*$E185/$D185/$D185*$T185*1000000</f>
        <v>2.1615117741960457E-5</v>
      </c>
      <c r="V185" s="1772">
        <f>IF($G183=0,0,IF($F183="recht",$G183/$G$24,($G183-0.301*$G$24)/$G$24))+IF($H183=0,0,IF($F183="recht",$H183/$G$25,($H183-0.301*$G$25)/$G$25))+I183/$G$26</f>
        <v>7.0224719101123592</v>
      </c>
      <c r="W185" s="1792">
        <f>10^(-V185)</f>
        <v>9.4957241494880226E-8</v>
      </c>
      <c r="X185" s="1808">
        <f>$C$7*$C$8*$G$11*($G$12+$G$13*$G$14)*$E185/$D185/$D185*$W185*1000000</f>
        <v>2.1840165543822451E-4</v>
      </c>
      <c r="Y185" s="1810">
        <f>SUM(L185,O185,R185,U185,X185)</f>
        <v>3.7343663378650842E-3</v>
      </c>
      <c r="Z185" s="888"/>
      <c r="AA185" s="889"/>
      <c r="AF185" s="53"/>
      <c r="AG185" s="66"/>
      <c r="AH185" s="66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</row>
    <row r="186" spans="1:87" s="45" customFormat="1" ht="19.5" customHeight="1">
      <c r="A186" s="1628"/>
      <c r="B186" s="1631"/>
      <c r="C186" s="1688"/>
      <c r="D186" s="1689"/>
      <c r="E186" s="1816"/>
      <c r="F186" s="1628"/>
      <c r="G186" s="1628"/>
      <c r="H186" s="1628"/>
      <c r="I186" s="1628"/>
      <c r="J186" s="1773"/>
      <c r="K186" s="1793"/>
      <c r="L186" s="1773"/>
      <c r="M186" s="1773"/>
      <c r="N186" s="1793"/>
      <c r="O186" s="1773"/>
      <c r="P186" s="1773"/>
      <c r="Q186" s="1793"/>
      <c r="R186" s="1773"/>
      <c r="S186" s="1773"/>
      <c r="T186" s="1793"/>
      <c r="U186" s="1773"/>
      <c r="V186" s="1773"/>
      <c r="W186" s="1793"/>
      <c r="X186" s="1809"/>
      <c r="Y186" s="1810"/>
      <c r="Z186" s="888"/>
      <c r="AA186" s="889"/>
      <c r="AF186" s="53"/>
      <c r="AG186" s="66"/>
      <c r="AH186" s="66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</row>
    <row r="187" spans="1:87" s="45" customFormat="1" ht="19.5" customHeight="1">
      <c r="A187" s="1628"/>
      <c r="B187" s="1631"/>
      <c r="C187" s="1623" t="s">
        <v>34</v>
      </c>
      <c r="D187" s="1718">
        <f>D185</f>
        <v>10</v>
      </c>
      <c r="E187" s="1718">
        <f>E171</f>
        <v>0</v>
      </c>
      <c r="F187" s="1798" t="s">
        <v>12</v>
      </c>
      <c r="G187" s="1718">
        <f>X$10</f>
        <v>250</v>
      </c>
      <c r="H187" s="1718">
        <f>Y$10</f>
        <v>0</v>
      </c>
      <c r="I187" s="1718">
        <f>Z$10</f>
        <v>0</v>
      </c>
      <c r="J187" s="1801">
        <f>IF($G187=0,0,IF($F187="recht",1+(G187-$C$17)/$C$18,1+(G187-$C$17-0.301*$C$18)/$C$18))+IF($H187=0,0,IF($F187="recht",$H187/$C$19,($H187-0.301*$C$19)/$C$17))+I187/$C$20</f>
        <v>7.4545454545454541</v>
      </c>
      <c r="K187" s="1794">
        <f>10^(-J187)</f>
        <v>3.5111917342151263E-8</v>
      </c>
      <c r="L187" s="1796">
        <f>2.5*0.01*$C$7*$C$11*E187*K187/U$10/U$10*$W$10^1.3/$D187/$D187*1000000</f>
        <v>0</v>
      </c>
      <c r="M187" s="1656">
        <f>IF($G187=0,0,IF($F187="recht",1+($G187-$D$17)/$D$18,1+($G187-$D$17-0.301*$D$18)/$D$18))+IF($H187=0,0,IF($F187="recht",$H187/$D$19,($H187-0.301*$D$19)/$D$19))+$I187/$D$20</f>
        <v>6.6486486486486482</v>
      </c>
      <c r="N187" s="1794">
        <f>10^(-M187)</f>
        <v>2.2456979955397711E-7</v>
      </c>
      <c r="O187" s="1796">
        <f>2.5*0.01*$C$7*$D$11*E187*N187/U$10/U$10*$W$10^1.3/$D187/$D187*1000000</f>
        <v>0</v>
      </c>
      <c r="P187" s="1771">
        <f>IF($G187=0,0,IF($F187="recht",1+($G187-$E$17)/$E$18,1+($G187-$E$17-0.301*$E$18)/$E$18))+IF($H187=0,0,IF($F187="recht",$H187/$E$19,($H187-0.301*$E$19)/$E$19))+I187/$E$20</f>
        <v>6.024390243902439</v>
      </c>
      <c r="Q187" s="1794">
        <f>10^(-P187)</f>
        <v>9.4538728313079291E-7</v>
      </c>
      <c r="R187" s="1796">
        <f>2.5*0.01*$C$7*$E$11*E187*Q187/U$10/U$10*$W$10^1.3/$D187/$D187*1000000</f>
        <v>0</v>
      </c>
      <c r="S187" s="1771">
        <f>IF($G187=0,0,IF(F187="recht",1+(G187-$F$17)/$F$18,1+(G187-$F$17-0.301*$F$18)/$F$18))+IF($H187=0,0,IF($F187="recht",$H187/$F$19,($H187-0.301*$F$19)/$F$19))+I187/$F$20</f>
        <v>9.1481481481481488</v>
      </c>
      <c r="T187" s="1794">
        <f>10^(-S187)</f>
        <v>7.1097094323124171E-10</v>
      </c>
      <c r="U187" s="1796">
        <f>2.5*0.01*$C$7*$F$11*E187*T187/U$10/U$10*$W$10^1.3/$D187/$D187*1000000</f>
        <v>0</v>
      </c>
      <c r="V187" s="1771">
        <f>IF($G187=0,0,IF($F187="recht",1+(G187-$G$17)/$G$18,1+(G187-$G$17-0.301*$G$18)/$G$18))+IF($H187=0,0,IF($F187="recht",$H187/$G$19,($H187-0.301*$G$19)/$G$19))+I187/$G$20</f>
        <v>6.9444444444444446</v>
      </c>
      <c r="W187" s="1794">
        <f>10^(-V187)</f>
        <v>1.136463666385722E-7</v>
      </c>
      <c r="X187" s="1819">
        <f>2.5*0.01*$C$7*$G$11*E187*W187/U$10/U$10*$W$10^1.3/$D187/$D187*1000000</f>
        <v>0</v>
      </c>
      <c r="Y187" s="1810">
        <f>SUM(L187,O187,R187,U187,X187)</f>
        <v>0</v>
      </c>
      <c r="Z187" s="890"/>
      <c r="AA187" s="891"/>
    </row>
    <row r="188" spans="1:87" s="45" customFormat="1" ht="19.5" customHeight="1">
      <c r="A188" s="1628"/>
      <c r="B188" s="1631"/>
      <c r="C188" s="1624"/>
      <c r="D188" s="1800"/>
      <c r="E188" s="1800"/>
      <c r="F188" s="1799"/>
      <c r="G188" s="1800"/>
      <c r="H188" s="1800"/>
      <c r="I188" s="1800"/>
      <c r="J188" s="1802"/>
      <c r="K188" s="1795"/>
      <c r="L188" s="1797"/>
      <c r="M188" s="1657"/>
      <c r="N188" s="1795"/>
      <c r="O188" s="1797"/>
      <c r="P188" s="1772"/>
      <c r="Q188" s="1795"/>
      <c r="R188" s="1797"/>
      <c r="S188" s="1772"/>
      <c r="T188" s="1812"/>
      <c r="U188" s="1818"/>
      <c r="V188" s="1772"/>
      <c r="W188" s="1812"/>
      <c r="X188" s="1820"/>
      <c r="Y188" s="1810"/>
      <c r="Z188" s="890"/>
      <c r="AA188" s="891"/>
    </row>
    <row r="189" spans="1:87" s="45" customFormat="1" ht="19.5" customHeight="1">
      <c r="A189" s="1628"/>
      <c r="B189" s="1631"/>
      <c r="C189" s="1623" t="s">
        <v>35</v>
      </c>
      <c r="D189" s="1800"/>
      <c r="E189" s="1798">
        <v>1</v>
      </c>
      <c r="F189" s="1798" t="s">
        <v>116</v>
      </c>
      <c r="G189" s="1718">
        <f>X$11</f>
        <v>200</v>
      </c>
      <c r="H189" s="1718">
        <f>Y$11</f>
        <v>0</v>
      </c>
      <c r="I189" s="1718">
        <f>Z$11</f>
        <v>0</v>
      </c>
      <c r="J189" s="1801">
        <f>IF($G189=0,0,IF($F189="recht",$GG189/$C$24,($G189-0.301*$C$24)/$C$24))+IF($H189=0,0,IF($F189="recht",$H189/$C$25,($H189-0.301*$C$25)/$C$25))+I189/$C$26</f>
        <v>5.58135294117647</v>
      </c>
      <c r="K189" s="1794">
        <f>10^(-J189)</f>
        <v>2.6220867674308296E-6</v>
      </c>
      <c r="L189" s="1796">
        <f>2.5*0.01*$C$7*$C$8*$C$11*($C$12+$C$13*$C$14)*E189/U$11/U$11*K189*$W$11^1.3/$D187/$D187*1000000</f>
        <v>1.7419398413490567E-3</v>
      </c>
      <c r="M189" s="1801">
        <f>IF($G189=0,0,IF($F189="recht",$G189/$D$24,($G189-0.301*$D$24)/$D$24))+IF($H189=0,0,IF($F189="recht",$H189/$D$25,($H189-0.301*$D$25)/$D$25))+I189/$D$26</f>
        <v>4.9621578947368423</v>
      </c>
      <c r="N189" s="1794">
        <f>10^(-M189)</f>
        <v>1.0910435979026304E-5</v>
      </c>
      <c r="O189" s="1796">
        <f>2.5*0.01*$C$7*$C$8*$D$11*($D$12+$D$13*$D$14)*E189/U$11/U$11*N189*$W$11^1.3/$D187/$D187*1000000</f>
        <v>7.2481671294866799E-3</v>
      </c>
      <c r="P189" s="1801">
        <f>IF($G189=0,0,IF($F189="recht",$G189/$E$24,(G189-0.301*$E$24)/$E$24))+IF($H189=0,0,IF($F189="recht",$H189/$E$25,($H189-0.301*$E$25)/$E$25))+I189/$E$26</f>
        <v>4.9483438320209974</v>
      </c>
      <c r="Q189" s="1794">
        <f>10^(-P189)</f>
        <v>1.1263054043136272E-5</v>
      </c>
      <c r="R189" s="1796">
        <f>2.5*0.01*$C$7*$C$8*$E$11*($E$12+$E$13*$E$14)*E189/U$11/U$11*Q189*$W$11^1.3/$D187/$D187*1000000</f>
        <v>7.4824230901520735E-3</v>
      </c>
      <c r="S189" s="1806">
        <f>IF(G$173=0,0,IF(F189="recht",$G189/$F$173,($G189-0.301*$F$24)/$F$24))+IF($H189=0,0,IF($F189="recht",$H189/$F$25,($H189-0.301*$F$25)/$F$25))+I189/$F$26</f>
        <v>6.2563770491803279</v>
      </c>
      <c r="T189" s="1811">
        <f>10^(-S189)</f>
        <v>5.5414440263229426E-7</v>
      </c>
      <c r="U189" s="1796">
        <f>2.5*0.01*$C$7*$C$8*$F$11*($F$12+$F$13*$F$14)*E189/U$11/U$11*T189*$W$11^1.3/$D187/$D187*1000000</f>
        <v>2.0861076276506701E-4</v>
      </c>
      <c r="V189" s="1806">
        <f>IF($G189=0,0,IF($F189="recht",$G189/$G$24,($G189-0.301*$G$24)/$G$24))+IF($H189=0,0,IF($F189="recht",$H189/$G$25,($H189-0.301*$G$25)/$G$25))+I189/$G$26</f>
        <v>5.3169775280898879</v>
      </c>
      <c r="W189" s="1811">
        <f>10^(-V189)</f>
        <v>4.8197273592906954E-6</v>
      </c>
      <c r="X189" s="1819">
        <f>2.5*0.01*$C$7*$C$8*$G$11*($G$12+$G$13*$G$14)*E189/U$11/U$11*W189*$W$11^1.3/$D187/$D187</f>
        <v>1.2273972646840874E-9</v>
      </c>
      <c r="Y189" s="1814">
        <f>SUM(L189,O189,R189,U189,X189)</f>
        <v>1.6681142051150143E-2</v>
      </c>
      <c r="Z189" s="890"/>
      <c r="AA189" s="891"/>
    </row>
    <row r="190" spans="1:87" s="45" customFormat="1" ht="19.5" customHeight="1" thickBot="1">
      <c r="A190" s="1629"/>
      <c r="B190" s="1632"/>
      <c r="C190" s="1624"/>
      <c r="D190" s="1800"/>
      <c r="E190" s="1799"/>
      <c r="F190" s="1799"/>
      <c r="G190" s="1800"/>
      <c r="H190" s="1800"/>
      <c r="I190" s="1800"/>
      <c r="J190" s="1802"/>
      <c r="K190" s="1795"/>
      <c r="L190" s="1797"/>
      <c r="M190" s="1802"/>
      <c r="N190" s="1795"/>
      <c r="O190" s="1797"/>
      <c r="P190" s="1802"/>
      <c r="Q190" s="1795"/>
      <c r="R190" s="1797"/>
      <c r="S190" s="1802"/>
      <c r="T190" s="1795"/>
      <c r="U190" s="1797"/>
      <c r="V190" s="1802"/>
      <c r="W190" s="1795"/>
      <c r="X190" s="1823"/>
      <c r="Y190" s="1821"/>
      <c r="Z190" s="892"/>
      <c r="AA190" s="893"/>
    </row>
    <row r="191" spans="1:87" s="325" customFormat="1" ht="19.5" customHeight="1">
      <c r="A191" s="1627" t="s">
        <v>294</v>
      </c>
      <c r="B191" s="1630" t="s">
        <v>186</v>
      </c>
      <c r="C191" s="1623" t="s">
        <v>333</v>
      </c>
      <c r="D191" s="1627">
        <v>1</v>
      </c>
      <c r="E191" s="1627">
        <v>0</v>
      </c>
      <c r="F191" s="1627" t="s">
        <v>12</v>
      </c>
      <c r="G191" s="1627">
        <v>250</v>
      </c>
      <c r="H191" s="1627">
        <v>0</v>
      </c>
      <c r="I191" s="1627">
        <v>0</v>
      </c>
      <c r="J191" s="1656">
        <f>IF($G191=0,0,IF($F191="recht",1+($G191-$C$17)/$C$18,1+($G191-$C$17-0.301*$C$18)/$C$18))+IF($H191=0,0,IF($F191="recht",$H191/$C$19,($H191-0.301*$C$19)/$C$19))+$I191/$C$20</f>
        <v>7.4545454545454541</v>
      </c>
      <c r="K191" s="1791">
        <f>10^(-J191)</f>
        <v>3.5111917342151263E-8</v>
      </c>
      <c r="L191" s="1771">
        <f>$C$7*$C$11*$E191/$D191/$D191*K191*1000000</f>
        <v>0</v>
      </c>
      <c r="M191" s="1656">
        <f>IF($G191=0,0,IF($F191="recht",1+($G191-$D$17)/$D$18,1+($G191-$D$17-0.301*$D$18)/$D$18))+IF($H191=0,0,IF($F191="recht",$H191/$D$19,($H191-0.301*$D$19)/$D$19))+$I191/$D$20</f>
        <v>6.6486486486486482</v>
      </c>
      <c r="N191" s="1791">
        <f>10^(-M191)</f>
        <v>2.2456979955397711E-7</v>
      </c>
      <c r="O191" s="1771">
        <f>$C$7*$D$11*$E191/$D191/$D191*$N191*1000000</f>
        <v>0</v>
      </c>
      <c r="P191" s="1771">
        <f>IF($G191=0,0,IF($F191="recht",1+(G191-$E$17)/$E$18,1+(G191-$E$17-0.301*$E$18)/$E$18))+IF($H191=0,0,IF($F191="recht",$H191/$E$19,($H191-0.301*$E$19)/$E$19))+I191/$E$20</f>
        <v>6.024390243902439</v>
      </c>
      <c r="Q191" s="1791">
        <f>10^(-P191)</f>
        <v>9.4538728313079291E-7</v>
      </c>
      <c r="R191" s="1771">
        <f>$C$7*$E$11*$E191/$D191/$D191*$Q191*1000000</f>
        <v>0</v>
      </c>
      <c r="S191" s="1771">
        <f>IF($G191=0,0,IF($F191="recht",1+(G191-$F$17)/$F$18,1+(G191-$F$17-0.301*$F$18)/$F$18))+IF($H191=0,0,IF($F191="recht",$H191/$F$19,($H191-0.301*$F$19)/$F$19))+I191/$F$20</f>
        <v>9.1481481481481488</v>
      </c>
      <c r="T191" s="1791">
        <f>10^(-S191)</f>
        <v>7.1097094323124171E-10</v>
      </c>
      <c r="U191" s="1771">
        <f>$C$7*$F$11*$E191/$D191/$D191*$T191*1000000</f>
        <v>0</v>
      </c>
      <c r="V191" s="1771">
        <f>IF($G191=0,0,IF(F191="recht",1+(G191-$G$17)/$G$18,1+(G191-$G$17-0.301*$G$18)/$G$18))+IF($H191=0,0,IF($F191="recht",$H191/$G$19,($H191-0.301*$G$19)/$G$19))+I191/$G$20</f>
        <v>6.9444444444444446</v>
      </c>
      <c r="W191" s="1791">
        <f>10^(-V191)</f>
        <v>1.136463666385722E-7</v>
      </c>
      <c r="X191" s="1817">
        <f>$C$7*$G$11*$E191/$D191/$D191*$W191*1000000</f>
        <v>0</v>
      </c>
      <c r="Y191" s="1813">
        <f>SUM(L191,O191,R191,U191,X191)</f>
        <v>0</v>
      </c>
      <c r="Z191" s="886">
        <f>SUM(Y191:Y198)</f>
        <v>2.0415508389015229E-2</v>
      </c>
      <c r="AA191" s="887">
        <f>Z191*52/1000</f>
        <v>1.0616064362287919E-3</v>
      </c>
      <c r="AB191" s="45"/>
      <c r="AC191" s="45"/>
      <c r="AD191" s="45"/>
      <c r="AE191" s="45"/>
      <c r="AF191" s="66"/>
      <c r="AG191" s="53"/>
      <c r="AH191" s="53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53"/>
      <c r="AV191" s="53"/>
      <c r="AW191" s="53"/>
      <c r="AX191" s="53"/>
      <c r="AY191" s="428"/>
      <c r="AZ191" s="428"/>
      <c r="BA191" s="428"/>
      <c r="BB191" s="428"/>
      <c r="BC191" s="428"/>
      <c r="BD191" s="428"/>
      <c r="BE191" s="428"/>
      <c r="BF191" s="428"/>
      <c r="BG191" s="428"/>
      <c r="BH191" s="428"/>
      <c r="BI191" s="428"/>
      <c r="BJ191" s="428"/>
      <c r="BK191" s="428"/>
      <c r="BL191" s="428"/>
      <c r="BM191" s="428"/>
      <c r="BN191" s="428"/>
      <c r="BO191" s="428"/>
      <c r="BP191" s="385"/>
      <c r="BQ191" s="338"/>
      <c r="BR191" s="338"/>
      <c r="BS191" s="336"/>
      <c r="BT191" s="336"/>
      <c r="BU191" s="336"/>
      <c r="BV191" s="442"/>
      <c r="BW191" s="336"/>
      <c r="BX191" s="336"/>
      <c r="BY191" s="345"/>
      <c r="BZ191" s="345"/>
      <c r="CA191" s="345"/>
      <c r="CB191" s="345"/>
      <c r="CC191" s="345"/>
      <c r="CD191" s="355"/>
      <c r="CE191" s="355"/>
      <c r="CF191" s="355"/>
      <c r="CG191" s="382"/>
      <c r="CH191" s="382"/>
      <c r="CI191" s="382"/>
    </row>
    <row r="192" spans="1:87" s="325" customFormat="1" ht="19.5" customHeight="1">
      <c r="A192" s="1628"/>
      <c r="B192" s="1631"/>
      <c r="C192" s="1624"/>
      <c r="D192" s="1628"/>
      <c r="E192" s="1628"/>
      <c r="F192" s="1628"/>
      <c r="G192" s="1628"/>
      <c r="H192" s="1628"/>
      <c r="I192" s="1628"/>
      <c r="J192" s="1659"/>
      <c r="K192" s="1792"/>
      <c r="L192" s="1772"/>
      <c r="M192" s="1657"/>
      <c r="N192" s="1792"/>
      <c r="O192" s="1772"/>
      <c r="P192" s="1772"/>
      <c r="Q192" s="1792"/>
      <c r="R192" s="1772"/>
      <c r="S192" s="1772"/>
      <c r="T192" s="1792"/>
      <c r="U192" s="1772"/>
      <c r="V192" s="1772"/>
      <c r="W192" s="1792"/>
      <c r="X192" s="1808"/>
      <c r="Y192" s="1814"/>
      <c r="Z192" s="888"/>
      <c r="AA192" s="889"/>
      <c r="AB192" s="45"/>
      <c r="AC192" s="45"/>
      <c r="AD192" s="45"/>
      <c r="AE192" s="45"/>
      <c r="AF192" s="66"/>
      <c r="AG192" s="53"/>
      <c r="AH192" s="53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53"/>
      <c r="AV192" s="53"/>
      <c r="AW192" s="53"/>
      <c r="AX192" s="53"/>
      <c r="AY192" s="428"/>
      <c r="AZ192" s="428"/>
      <c r="BA192" s="428"/>
      <c r="BB192" s="428"/>
      <c r="BC192" s="428"/>
      <c r="BD192" s="428"/>
      <c r="BE192" s="428"/>
      <c r="BF192" s="428"/>
      <c r="BG192" s="428"/>
      <c r="BH192" s="428"/>
      <c r="BI192" s="428"/>
      <c r="BJ192" s="428"/>
      <c r="BK192" s="428"/>
      <c r="BL192" s="428"/>
      <c r="BM192" s="428"/>
      <c r="BN192" s="428"/>
      <c r="BO192" s="428"/>
      <c r="BP192" s="385"/>
      <c r="BQ192" s="338"/>
      <c r="BR192" s="338"/>
      <c r="BS192" s="336"/>
      <c r="BT192" s="336"/>
      <c r="BU192" s="336"/>
      <c r="BV192" s="442"/>
      <c r="BW192" s="336"/>
      <c r="BX192" s="336"/>
      <c r="BY192" s="345"/>
      <c r="BZ192" s="345"/>
      <c r="CA192" s="345"/>
      <c r="CB192" s="345"/>
      <c r="CC192" s="345"/>
      <c r="CD192" s="355"/>
      <c r="CE192" s="355"/>
      <c r="CF192" s="355"/>
      <c r="CG192" s="382"/>
      <c r="CH192" s="382"/>
      <c r="CI192" s="382"/>
    </row>
    <row r="193" spans="1:75" s="45" customFormat="1" ht="19.5" customHeight="1">
      <c r="A193" s="1628"/>
      <c r="B193" s="1631"/>
      <c r="C193" s="1687" t="s">
        <v>334</v>
      </c>
      <c r="D193" s="1626">
        <v>10</v>
      </c>
      <c r="E193" s="1815">
        <v>1</v>
      </c>
      <c r="F193" s="1628"/>
      <c r="G193" s="1628"/>
      <c r="H193" s="1628"/>
      <c r="I193" s="1628"/>
      <c r="J193" s="1772">
        <f>IF($G191=0,0,IF($F191="recht",$G191/$C$24,(G191-0.301*$C$24)/$C$24))+IF($H191=0,0,IF($F191="recht",$H191/$C$25,($H191-0.301*$C$25)/$C$25))+I191/$C$26</f>
        <v>7.3529411764705879</v>
      </c>
      <c r="K193" s="1792">
        <f>10^(-J193)</f>
        <v>4.4366873309786093E-8</v>
      </c>
      <c r="L193" s="1772">
        <f>$C$7*$C$8*$C$11*($C$12+$C$13*$C$14)*$E193/$D193/$D193*$K193*1000000</f>
        <v>2.6620123985871658E-4</v>
      </c>
      <c r="M193" s="1772">
        <f>IF($G191=0,0,IF(F191="recht",$G191/$D$24,($G191-0.301*$D$24)/$D$24))+IF($H191=0,0,IF($F191="recht",$H191/$D$25,($H191-0.301*$D$25)/$D$25))+I191/$D$26</f>
        <v>6.5789473684210522</v>
      </c>
      <c r="N193" s="1792">
        <f>10^(-M193)</f>
        <v>2.636650898730358E-7</v>
      </c>
      <c r="O193" s="1772">
        <f>$C$7*$C$8*$D$11*($D$12+$D$13*$D$14)*$E193/$D193/$D193*$N193*1000000</f>
        <v>1.581990539238215E-3</v>
      </c>
      <c r="P193" s="1772">
        <f>IF($G191=0,0,IF($F191="recht",$G191/$E$24,($G191-0.301*$E$24)/$E$24))+IF($H191=0,0,IF($F191="recht",$H191/$E$25,($H191-0.301*$E$25)/$E$25))+I191/$E$26</f>
        <v>6.5616797900262469</v>
      </c>
      <c r="Q193" s="1792">
        <f>10^(-P193)</f>
        <v>2.7435963093132793E-7</v>
      </c>
      <c r="R193" s="1772">
        <f>$C$7*$C$8*$E$11*($E$12+$E$13*$E$14)*$E193/$D193/$D193*$Q193*1000000</f>
        <v>1.6461577855879678E-3</v>
      </c>
      <c r="S193" s="1772">
        <f>IF($G191=0,0,IF($F191="recht",$G191/$F$24,(G191-0.301*$F$24)/$F$24))+IF($H191=0,0,IF($F191="recht",$H191/$F$25,($H191-0.301*$F$25)/$F$25))+I191/$F$26</f>
        <v>8.1967213114754092</v>
      </c>
      <c r="T193" s="1792">
        <f>10^(-S193)</f>
        <v>6.3573875711648393E-9</v>
      </c>
      <c r="U193" s="1772">
        <f>$C$7*$C$8*$F$11*($F$12+$F$13*$F$14)*$E193/$D193/$D193*$T193*1000000</f>
        <v>2.1615117741960457E-5</v>
      </c>
      <c r="V193" s="1772">
        <f>IF($G191=0,0,IF($F191="recht",$G191/$G$24,($G191-0.301*$G$24)/$G$24))+IF($H191=0,0,IF($F191="recht",$H191/$G$25,($H191-0.301*$G$25)/$G$25))+I191/$G$26</f>
        <v>7.0224719101123592</v>
      </c>
      <c r="W193" s="1792">
        <f>10^(-V193)</f>
        <v>9.4957241494880226E-8</v>
      </c>
      <c r="X193" s="1808">
        <f>$C$7*$C$8*$G$11*($G$12+$G$13*$G$14)*$E193/$D193/$D193*$W193*1000000</f>
        <v>2.1840165543822451E-4</v>
      </c>
      <c r="Y193" s="1810">
        <f>SUM(L193,O193,R193,U193,X193)</f>
        <v>3.7343663378650842E-3</v>
      </c>
      <c r="Z193" s="888"/>
      <c r="AA193" s="889"/>
      <c r="AF193" s="53"/>
      <c r="AG193" s="66"/>
      <c r="AH193" s="66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</row>
    <row r="194" spans="1:75" s="45" customFormat="1" ht="19.5" customHeight="1">
      <c r="A194" s="1628"/>
      <c r="B194" s="1631"/>
      <c r="C194" s="1688"/>
      <c r="D194" s="1689"/>
      <c r="E194" s="1816"/>
      <c r="F194" s="1628"/>
      <c r="G194" s="1628"/>
      <c r="H194" s="1628"/>
      <c r="I194" s="1628"/>
      <c r="J194" s="1773"/>
      <c r="K194" s="1793"/>
      <c r="L194" s="1773"/>
      <c r="M194" s="1773"/>
      <c r="N194" s="1793"/>
      <c r="O194" s="1773"/>
      <c r="P194" s="1773"/>
      <c r="Q194" s="1793"/>
      <c r="R194" s="1773"/>
      <c r="S194" s="1773"/>
      <c r="T194" s="1793"/>
      <c r="U194" s="1773"/>
      <c r="V194" s="1773"/>
      <c r="W194" s="1793"/>
      <c r="X194" s="1809"/>
      <c r="Y194" s="1810"/>
      <c r="Z194" s="888"/>
      <c r="AA194" s="889"/>
      <c r="AF194" s="53"/>
      <c r="AG194" s="66"/>
      <c r="AH194" s="66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</row>
    <row r="195" spans="1:75" s="45" customFormat="1" ht="19.5" customHeight="1">
      <c r="A195" s="1628"/>
      <c r="B195" s="1631"/>
      <c r="C195" s="1623" t="s">
        <v>34</v>
      </c>
      <c r="D195" s="1718">
        <f>D193</f>
        <v>10</v>
      </c>
      <c r="E195" s="1718">
        <f>E171</f>
        <v>0</v>
      </c>
      <c r="F195" s="1798" t="s">
        <v>12</v>
      </c>
      <c r="G195" s="1718">
        <f>X$10</f>
        <v>250</v>
      </c>
      <c r="H195" s="1718">
        <f>Y$10</f>
        <v>0</v>
      </c>
      <c r="I195" s="1718">
        <f>Z$10</f>
        <v>0</v>
      </c>
      <c r="J195" s="1801">
        <f>IF($G195=0,0,IF($F195="recht",1+(G195-$C$17)/$C$18,1+(G195-$C$17-0.301*$C$18)/$C$18))+IF($H195=0,0,IF($F195="recht",$H195/$C$19,($H195-0.301*$C$19)/$C$17))+I195/$C$20</f>
        <v>7.4545454545454541</v>
      </c>
      <c r="K195" s="1794">
        <f>10^(-J195)</f>
        <v>3.5111917342151263E-8</v>
      </c>
      <c r="L195" s="1796">
        <f>2.5*0.01*$C$7*$C$11*E195*K195/U$10/U$10*$W$10^1.3/$D195/$D195*1000000</f>
        <v>0</v>
      </c>
      <c r="M195" s="1656">
        <f>IF($G195=0,0,IF($F195="recht",1+($G195-$D$17)/$D$18,1+($G195-$D$17-0.301*$D$18)/$D$18))+IF($H195=0,0,IF($F195="recht",$H195/$D$19,($H195-0.301*$D$19)/$D$19))+$I195/$D$20</f>
        <v>6.6486486486486482</v>
      </c>
      <c r="N195" s="1794">
        <f>10^(-M195)</f>
        <v>2.2456979955397711E-7</v>
      </c>
      <c r="O195" s="1796">
        <f>2.5*0.01*$C$7*$D$11*E195*N195/U$10/U$10*$W$10^1.3/$D195/$D195*1000000</f>
        <v>0</v>
      </c>
      <c r="P195" s="1771">
        <f>IF($G195=0,0,IF($F195="recht",1+($G195-$E$17)/$E$18,1+($G195-$E$17-0.301*$E$18)/$E$18))+IF($H195=0,0,IF($F195="recht",$H195/$E$19,($H195-0.301*$E$19)/$E$19))+I195/$E$20</f>
        <v>6.024390243902439</v>
      </c>
      <c r="Q195" s="1794">
        <f>10^(-P195)</f>
        <v>9.4538728313079291E-7</v>
      </c>
      <c r="R195" s="1796">
        <f>2.5*0.01*$C$7*$E$11*E195*Q195/U$10/U$10*$W$10^1.3/$D195/$D195*1000000</f>
        <v>0</v>
      </c>
      <c r="S195" s="1771">
        <f>IF($G195=0,0,IF(F195="recht",1+(G195-$F$17)/$F$18,1+(G195-$F$17-0.301*$F$18)/$F$18))+IF($H195=0,0,IF($F195="recht",$H195/$F$19,($H195-0.301*$F$19)/$F$19))+I195/$F$20</f>
        <v>9.1481481481481488</v>
      </c>
      <c r="T195" s="1794">
        <f>10^(-S195)</f>
        <v>7.1097094323124171E-10</v>
      </c>
      <c r="U195" s="1796">
        <f>2.5*0.01*$C$7*$F$11*E195*T195/U$10/U$10*$W$10^1.3/$D195/$D195*1000000</f>
        <v>0</v>
      </c>
      <c r="V195" s="1771">
        <f>IF($G195=0,0,IF($F195="recht",1+(G195-$G$17)/$G$18,1+(G195-$G$17-0.301*$G$18)/$G$18))+IF($H195=0,0,IF($F195="recht",$H195/$G$19,($H195-0.301*$G$19)/$G$19))+I195/$G$20</f>
        <v>6.9444444444444446</v>
      </c>
      <c r="W195" s="1794">
        <f>10^(-V195)</f>
        <v>1.136463666385722E-7</v>
      </c>
      <c r="X195" s="1819">
        <f>2.5*0.01*$C$7*$G$11*E195*W195/U$10/U$10*$W$10^1.3/$D195/$D195*1000000</f>
        <v>0</v>
      </c>
      <c r="Y195" s="1810">
        <f>SUM(L195,O195,R195,U195,X195)</f>
        <v>0</v>
      </c>
      <c r="Z195" s="890"/>
      <c r="AA195" s="891"/>
    </row>
    <row r="196" spans="1:75" s="45" customFormat="1" ht="19.5" customHeight="1">
      <c r="A196" s="1628"/>
      <c r="B196" s="1631"/>
      <c r="C196" s="1624"/>
      <c r="D196" s="1800"/>
      <c r="E196" s="1800"/>
      <c r="F196" s="1799"/>
      <c r="G196" s="1800"/>
      <c r="H196" s="1800"/>
      <c r="I196" s="1800"/>
      <c r="J196" s="1802"/>
      <c r="K196" s="1795"/>
      <c r="L196" s="1797"/>
      <c r="M196" s="1657"/>
      <c r="N196" s="1795"/>
      <c r="O196" s="1797"/>
      <c r="P196" s="1772"/>
      <c r="Q196" s="1795"/>
      <c r="R196" s="1797"/>
      <c r="S196" s="1772"/>
      <c r="T196" s="1812"/>
      <c r="U196" s="1818"/>
      <c r="V196" s="1772"/>
      <c r="W196" s="1812"/>
      <c r="X196" s="1820"/>
      <c r="Y196" s="1810"/>
      <c r="Z196" s="890"/>
      <c r="AA196" s="891"/>
    </row>
    <row r="197" spans="1:75" s="45" customFormat="1" ht="19.5" customHeight="1">
      <c r="A197" s="1628"/>
      <c r="B197" s="1631"/>
      <c r="C197" s="1623" t="s">
        <v>35</v>
      </c>
      <c r="D197" s="1800"/>
      <c r="E197" s="1798">
        <v>1</v>
      </c>
      <c r="F197" s="1798" t="s">
        <v>116</v>
      </c>
      <c r="G197" s="1718">
        <f>X$11</f>
        <v>200</v>
      </c>
      <c r="H197" s="1718">
        <f>Y$11</f>
        <v>0</v>
      </c>
      <c r="I197" s="1718">
        <f>Z$11</f>
        <v>0</v>
      </c>
      <c r="J197" s="1801">
        <f>IF($G197=0,0,IF($F197="recht",$GG197/$C$24,($G197-0.301*$C$24)/$C$24))+IF($H197=0,0,IF($F197="recht",$H197/$C$25,($H197-0.301*$C$25)/$C$25))+I197/$C$26</f>
        <v>5.58135294117647</v>
      </c>
      <c r="K197" s="1794">
        <f>10^(-J197)</f>
        <v>2.6220867674308296E-6</v>
      </c>
      <c r="L197" s="1796">
        <f>2.5*0.01*$C$7*$C$8*$C$11*($C$12+$C$13*$C$14)*E197/U$11/U$11*K197*$W$11^1.3/$D195/$D195*1000000</f>
        <v>1.7419398413490567E-3</v>
      </c>
      <c r="M197" s="1801">
        <f>IF($G197=0,0,IF($F197="recht",$G197/$D$24,($G197-0.301*$D$24)/$D$24))+IF($H197=0,0,IF($F197="recht",$H197/$D$25,($H197-0.301*$D$25)/$D$25))+I197/$D$26</f>
        <v>4.9621578947368423</v>
      </c>
      <c r="N197" s="1794">
        <f>10^(-M197)</f>
        <v>1.0910435979026304E-5</v>
      </c>
      <c r="O197" s="1796">
        <f>2.5*0.01*$C$7*$C$8*$D$11*($D$12+$D$13*$D$14)*E197/U$11/U$11*N197*$W$11^1.3/$D195/$D195*1000000</f>
        <v>7.2481671294866799E-3</v>
      </c>
      <c r="P197" s="1801">
        <f>IF($G197=0,0,IF($F197="recht",$G197/$E$24,(G197-0.301*$E$24)/$E$24))+IF($H197=0,0,IF($F197="recht",$H197/$E$25,($H197-0.301*$E$25)/$E$25))+I197/$E$26</f>
        <v>4.9483438320209974</v>
      </c>
      <c r="Q197" s="1794">
        <f>10^(-P197)</f>
        <v>1.1263054043136272E-5</v>
      </c>
      <c r="R197" s="1796">
        <f>2.5*0.01*$C$7*$C$8*$E$11*($E$12+$E$13*$E$14)*E197/U$11/U$11*Q197*$W$11^1.3/$D195/$D195*1000000</f>
        <v>7.4824230901520735E-3</v>
      </c>
      <c r="S197" s="1806">
        <f>IF(G$173=0,0,IF(F197="recht",$G197/$F$173,($G197-0.301*$F$24)/$F$24))+IF($H197=0,0,IF($F197="recht",$H197/$F$25,($H197-0.301*$F$25)/$F$25))+I197/$F$26</f>
        <v>6.2563770491803279</v>
      </c>
      <c r="T197" s="1811">
        <f>10^(-S197)</f>
        <v>5.5414440263229426E-7</v>
      </c>
      <c r="U197" s="1796">
        <f>2.5*0.01*$C$7*$C$8*$F$11*($F$12+$F$13*$F$14)*E197/U$11/U$11*T197*$W$11^1.3/$D195/$D195*1000000</f>
        <v>2.0861076276506701E-4</v>
      </c>
      <c r="V197" s="1806">
        <f>IF($G197=0,0,IF($F197="recht",$G197/$G$24,($G197-0.301*$G$24)/$G$24))+IF($H197=0,0,IF($F197="recht",$H197/$G$25,($H197-0.301*$G$25)/$G$25))+I197/$G$26</f>
        <v>5.3169775280898879</v>
      </c>
      <c r="W197" s="1811">
        <f>10^(-V197)</f>
        <v>4.8197273592906954E-6</v>
      </c>
      <c r="X197" s="1819">
        <f>2.5*0.01*$C$7*$C$8*$G$11*($G$12+$G$13*$G$14)*E197/U$11/U$11*W197*$W$11^1.3/$D195/$D195</f>
        <v>1.2273972646840874E-9</v>
      </c>
      <c r="Y197" s="1814">
        <f>SUM(L197,O197,R197,U197,X197)</f>
        <v>1.6681142051150143E-2</v>
      </c>
      <c r="Z197" s="890"/>
      <c r="AA197" s="891"/>
    </row>
    <row r="198" spans="1:75" s="45" customFormat="1" ht="19.5" customHeight="1" thickBot="1">
      <c r="A198" s="1629"/>
      <c r="B198" s="1632"/>
      <c r="C198" s="1726"/>
      <c r="D198" s="1711"/>
      <c r="E198" s="1822"/>
      <c r="F198" s="1822"/>
      <c r="G198" s="1711"/>
      <c r="H198" s="1711"/>
      <c r="I198" s="1711"/>
      <c r="J198" s="1802"/>
      <c r="K198" s="1795"/>
      <c r="L198" s="1797"/>
      <c r="M198" s="1802"/>
      <c r="N198" s="1795"/>
      <c r="O198" s="1797"/>
      <c r="P198" s="1802"/>
      <c r="Q198" s="1795"/>
      <c r="R198" s="1797"/>
      <c r="S198" s="1802"/>
      <c r="T198" s="1795"/>
      <c r="U198" s="1797"/>
      <c r="V198" s="1802"/>
      <c r="W198" s="1795"/>
      <c r="X198" s="1823"/>
      <c r="Y198" s="1821"/>
      <c r="Z198" s="892"/>
      <c r="AA198" s="893"/>
    </row>
    <row r="199" spans="1:75" ht="19.5" customHeight="1"/>
    <row r="200" spans="1:75" ht="19.5" customHeight="1"/>
    <row r="201" spans="1:75" ht="19.5" customHeight="1"/>
  </sheetData>
  <sheetProtection password="C526" sheet="1" objects="1" scenarios="1"/>
  <mergeCells count="1008">
    <mergeCell ref="C111:C112"/>
    <mergeCell ref="Y187:Y188"/>
    <mergeCell ref="Y185:Y186"/>
    <mergeCell ref="X189:X190"/>
    <mergeCell ref="T187:T188"/>
    <mergeCell ref="U187:U188"/>
    <mergeCell ref="V187:V188"/>
    <mergeCell ref="W187:W188"/>
    <mergeCell ref="U183:U184"/>
    <mergeCell ref="V183:V184"/>
    <mergeCell ref="A146:A148"/>
    <mergeCell ref="B146:B148"/>
    <mergeCell ref="C147:C148"/>
    <mergeCell ref="K157:K160"/>
    <mergeCell ref="D157:D158"/>
    <mergeCell ref="E157:E158"/>
    <mergeCell ref="F157:F160"/>
    <mergeCell ref="A154:A156"/>
    <mergeCell ref="B154:B156"/>
    <mergeCell ref="AB157:AB160"/>
    <mergeCell ref="Y189:Y190"/>
    <mergeCell ref="W185:W186"/>
    <mergeCell ref="W183:W184"/>
    <mergeCell ref="X181:X182"/>
    <mergeCell ref="W171:W172"/>
    <mergeCell ref="X171:X172"/>
    <mergeCell ref="W173:W174"/>
    <mergeCell ref="X173:X174"/>
    <mergeCell ref="C129:C131"/>
    <mergeCell ref="B132:B133"/>
    <mergeCell ref="D132:D133"/>
    <mergeCell ref="A138:A140"/>
    <mergeCell ref="B138:B140"/>
    <mergeCell ref="C139:C140"/>
    <mergeCell ref="R157:R158"/>
    <mergeCell ref="V159:V160"/>
    <mergeCell ref="M157:M158"/>
    <mergeCell ref="N157:N158"/>
    <mergeCell ref="O157:O158"/>
    <mergeCell ref="P157:P158"/>
    <mergeCell ref="S157:S158"/>
    <mergeCell ref="T157:T158"/>
    <mergeCell ref="R159:R160"/>
    <mergeCell ref="S159:S160"/>
    <mergeCell ref="O154:Q154"/>
    <mergeCell ref="AB105:AB106"/>
    <mergeCell ref="L47:L48"/>
    <mergeCell ref="G99:G106"/>
    <mergeCell ref="H99:H106"/>
    <mergeCell ref="I99:I106"/>
    <mergeCell ref="Z105:Z106"/>
    <mergeCell ref="AA105:AA106"/>
    <mergeCell ref="AA101:AA102"/>
    <mergeCell ref="Y101:Y102"/>
    <mergeCell ref="T105:T106"/>
    <mergeCell ref="U105:U106"/>
    <mergeCell ref="V105:V106"/>
    <mergeCell ref="W105:W106"/>
    <mergeCell ref="X105:X106"/>
    <mergeCell ref="Y105:Y106"/>
    <mergeCell ref="W99:W100"/>
    <mergeCell ref="O99:O100"/>
    <mergeCell ref="P99:P100"/>
    <mergeCell ref="Q99:Q100"/>
    <mergeCell ref="R99:R100"/>
    <mergeCell ref="S99:S100"/>
    <mergeCell ref="T99:T100"/>
    <mergeCell ref="U99:U100"/>
    <mergeCell ref="V99:V100"/>
    <mergeCell ref="R195:R196"/>
    <mergeCell ref="R189:R190"/>
    <mergeCell ref="P193:P194"/>
    <mergeCell ref="Q193:Q194"/>
    <mergeCell ref="R193:R194"/>
    <mergeCell ref="X101:X102"/>
    <mergeCell ref="R101:R102"/>
    <mergeCell ref="T101:T102"/>
    <mergeCell ref="W101:W102"/>
    <mergeCell ref="U101:U102"/>
    <mergeCell ref="R179:R180"/>
    <mergeCell ref="N177:N178"/>
    <mergeCell ref="V157:V158"/>
    <mergeCell ref="R191:R192"/>
    <mergeCell ref="U177:U178"/>
    <mergeCell ref="V171:V172"/>
    <mergeCell ref="V173:V174"/>
    <mergeCell ref="P179:P180"/>
    <mergeCell ref="S189:S190"/>
    <mergeCell ref="T189:T190"/>
    <mergeCell ref="X191:X192"/>
    <mergeCell ref="S191:S192"/>
    <mergeCell ref="T191:T192"/>
    <mergeCell ref="S193:S194"/>
    <mergeCell ref="T193:T194"/>
    <mergeCell ref="U191:U192"/>
    <mergeCell ref="V191:V192"/>
    <mergeCell ref="W191:W192"/>
    <mergeCell ref="X175:X176"/>
    <mergeCell ref="U167:U168"/>
    <mergeCell ref="U169:U170"/>
    <mergeCell ref="V169:V170"/>
    <mergeCell ref="W169:W170"/>
    <mergeCell ref="X169:X170"/>
    <mergeCell ref="U171:U172"/>
    <mergeCell ref="U173:U174"/>
    <mergeCell ref="W167:W168"/>
    <mergeCell ref="X167:X168"/>
    <mergeCell ref="X185:X186"/>
    <mergeCell ref="S187:S188"/>
    <mergeCell ref="D130:D131"/>
    <mergeCell ref="N121:N122"/>
    <mergeCell ref="O121:O122"/>
    <mergeCell ref="P121:P122"/>
    <mergeCell ref="N187:N188"/>
    <mergeCell ref="O187:O188"/>
    <mergeCell ref="Q157:Q158"/>
    <mergeCell ref="J177:J178"/>
    <mergeCell ref="L177:L178"/>
    <mergeCell ref="K191:K192"/>
    <mergeCell ref="L191:L192"/>
    <mergeCell ref="M191:M192"/>
    <mergeCell ref="I191:I194"/>
    <mergeCell ref="F191:F194"/>
    <mergeCell ref="G191:G194"/>
    <mergeCell ref="H191:H194"/>
    <mergeCell ref="J193:J194"/>
    <mergeCell ref="J191:J192"/>
    <mergeCell ref="H132:H133"/>
    <mergeCell ref="J132:J133"/>
    <mergeCell ref="K132:K133"/>
    <mergeCell ref="K177:K178"/>
    <mergeCell ref="M185:M186"/>
    <mergeCell ref="N179:N180"/>
    <mergeCell ref="L181:L182"/>
    <mergeCell ref="M183:M184"/>
    <mergeCell ref="M181:M182"/>
    <mergeCell ref="N181:N182"/>
    <mergeCell ref="D115:D116"/>
    <mergeCell ref="E115:E116"/>
    <mergeCell ref="F115:F118"/>
    <mergeCell ref="X187:X188"/>
    <mergeCell ref="U189:U190"/>
    <mergeCell ref="V189:V190"/>
    <mergeCell ref="W189:W190"/>
    <mergeCell ref="G189:G190"/>
    <mergeCell ref="H189:H190"/>
    <mergeCell ref="P189:P190"/>
    <mergeCell ref="N159:N160"/>
    <mergeCell ref="O159:O160"/>
    <mergeCell ref="J157:J160"/>
    <mergeCell ref="G157:G160"/>
    <mergeCell ref="H157:H160"/>
    <mergeCell ref="I157:I160"/>
    <mergeCell ref="T159:T160"/>
    <mergeCell ref="U159:U160"/>
    <mergeCell ref="U157:U158"/>
    <mergeCell ref="K179:K180"/>
    <mergeCell ref="M177:M178"/>
    <mergeCell ref="L157:L158"/>
    <mergeCell ref="O177:O178"/>
    <mergeCell ref="P177:P178"/>
    <mergeCell ref="Q177:Q178"/>
    <mergeCell ref="R177:R178"/>
    <mergeCell ref="R154:T154"/>
    <mergeCell ref="Y157:Y158"/>
    <mergeCell ref="Z157:Z158"/>
    <mergeCell ref="C159:C160"/>
    <mergeCell ref="D159:D160"/>
    <mergeCell ref="E159:E160"/>
    <mergeCell ref="L159:L160"/>
    <mergeCell ref="M159:M160"/>
    <mergeCell ref="P159:P160"/>
    <mergeCell ref="Q159:Q160"/>
    <mergeCell ref="L197:L198"/>
    <mergeCell ref="M197:M198"/>
    <mergeCell ref="N197:N198"/>
    <mergeCell ref="X197:X198"/>
    <mergeCell ref="P197:P198"/>
    <mergeCell ref="Q197:Q198"/>
    <mergeCell ref="R197:R198"/>
    <mergeCell ref="V195:V196"/>
    <mergeCell ref="W195:W196"/>
    <mergeCell ref="Y197:Y198"/>
    <mergeCell ref="S197:S198"/>
    <mergeCell ref="T197:T198"/>
    <mergeCell ref="U197:U198"/>
    <mergeCell ref="V197:V198"/>
    <mergeCell ref="W197:W198"/>
    <mergeCell ref="F195:F196"/>
    <mergeCell ref="G195:G196"/>
    <mergeCell ref="X195:X196"/>
    <mergeCell ref="Y195:Y196"/>
    <mergeCell ref="U193:U194"/>
    <mergeCell ref="Y191:Y192"/>
    <mergeCell ref="Y193:Y194"/>
    <mergeCell ref="V193:V194"/>
    <mergeCell ref="W193:W194"/>
    <mergeCell ref="X193:X194"/>
    <mergeCell ref="H195:H196"/>
    <mergeCell ref="I195:I196"/>
    <mergeCell ref="J195:J196"/>
    <mergeCell ref="K195:K196"/>
    <mergeCell ref="T195:T196"/>
    <mergeCell ref="U195:U196"/>
    <mergeCell ref="L195:L196"/>
    <mergeCell ref="M195:M196"/>
    <mergeCell ref="S195:S196"/>
    <mergeCell ref="P195:P196"/>
    <mergeCell ref="O197:O198"/>
    <mergeCell ref="P191:P192"/>
    <mergeCell ref="Q191:Q192"/>
    <mergeCell ref="Q187:Q188"/>
    <mergeCell ref="R187:R188"/>
    <mergeCell ref="Q189:Q190"/>
    <mergeCell ref="O191:O192"/>
    <mergeCell ref="O189:O190"/>
    <mergeCell ref="P187:P188"/>
    <mergeCell ref="Q195:Q196"/>
    <mergeCell ref="J187:J188"/>
    <mergeCell ref="K187:K188"/>
    <mergeCell ref="L187:L188"/>
    <mergeCell ref="M187:M188"/>
    <mergeCell ref="F189:F190"/>
    <mergeCell ref="I189:I190"/>
    <mergeCell ref="H187:H188"/>
    <mergeCell ref="I187:I188"/>
    <mergeCell ref="F187:F188"/>
    <mergeCell ref="G187:G188"/>
    <mergeCell ref="H197:H198"/>
    <mergeCell ref="I197:I198"/>
    <mergeCell ref="J197:J198"/>
    <mergeCell ref="K197:K198"/>
    <mergeCell ref="C197:C198"/>
    <mergeCell ref="E197:E198"/>
    <mergeCell ref="F197:F198"/>
    <mergeCell ref="G197:G198"/>
    <mergeCell ref="D195:D198"/>
    <mergeCell ref="E195:E196"/>
    <mergeCell ref="C195:C196"/>
    <mergeCell ref="O193:O194"/>
    <mergeCell ref="N195:N196"/>
    <mergeCell ref="O195:O196"/>
    <mergeCell ref="L193:L194"/>
    <mergeCell ref="M193:M194"/>
    <mergeCell ref="N193:N194"/>
    <mergeCell ref="K193:K194"/>
    <mergeCell ref="C193:C194"/>
    <mergeCell ref="D193:D194"/>
    <mergeCell ref="E193:E194"/>
    <mergeCell ref="L189:L190"/>
    <mergeCell ref="M189:M190"/>
    <mergeCell ref="N189:N190"/>
    <mergeCell ref="C191:C192"/>
    <mergeCell ref="D191:D192"/>
    <mergeCell ref="E191:E192"/>
    <mergeCell ref="N191:N192"/>
    <mergeCell ref="J189:J190"/>
    <mergeCell ref="K189:K190"/>
    <mergeCell ref="C187:C188"/>
    <mergeCell ref="D187:D190"/>
    <mergeCell ref="E187:E188"/>
    <mergeCell ref="E183:E184"/>
    <mergeCell ref="C189:C190"/>
    <mergeCell ref="E189:E190"/>
    <mergeCell ref="C185:C186"/>
    <mergeCell ref="D185:D186"/>
    <mergeCell ref="E185:E186"/>
    <mergeCell ref="C183:C184"/>
    <mergeCell ref="V181:V182"/>
    <mergeCell ref="J185:J186"/>
    <mergeCell ref="K185:K186"/>
    <mergeCell ref="O183:O184"/>
    <mergeCell ref="P183:P184"/>
    <mergeCell ref="Q183:Q184"/>
    <mergeCell ref="R183:R184"/>
    <mergeCell ref="O181:O182"/>
    <mergeCell ref="I183:I186"/>
    <mergeCell ref="J183:J184"/>
    <mergeCell ref="K183:K184"/>
    <mergeCell ref="L183:L184"/>
    <mergeCell ref="F183:F186"/>
    <mergeCell ref="G183:G186"/>
    <mergeCell ref="H183:H186"/>
    <mergeCell ref="D183:D184"/>
    <mergeCell ref="L185:L186"/>
    <mergeCell ref="Y181:Y182"/>
    <mergeCell ref="V185:V186"/>
    <mergeCell ref="S185:S186"/>
    <mergeCell ref="T185:T186"/>
    <mergeCell ref="U185:U186"/>
    <mergeCell ref="S181:S182"/>
    <mergeCell ref="T181:T182"/>
    <mergeCell ref="U181:U182"/>
    <mergeCell ref="Y179:Y180"/>
    <mergeCell ref="S179:S180"/>
    <mergeCell ref="T179:T180"/>
    <mergeCell ref="U179:U180"/>
    <mergeCell ref="V179:V180"/>
    <mergeCell ref="W179:W180"/>
    <mergeCell ref="X179:X180"/>
    <mergeCell ref="R185:R186"/>
    <mergeCell ref="N185:N186"/>
    <mergeCell ref="X183:X184"/>
    <mergeCell ref="Y183:Y184"/>
    <mergeCell ref="S183:S184"/>
    <mergeCell ref="T183:T184"/>
    <mergeCell ref="N183:N184"/>
    <mergeCell ref="O185:O186"/>
    <mergeCell ref="P185:P186"/>
    <mergeCell ref="Q185:Q186"/>
    <mergeCell ref="W181:W182"/>
    <mergeCell ref="R181:R182"/>
    <mergeCell ref="C179:C180"/>
    <mergeCell ref="D179:D182"/>
    <mergeCell ref="E179:E180"/>
    <mergeCell ref="F179:F180"/>
    <mergeCell ref="G179:G180"/>
    <mergeCell ref="M179:M180"/>
    <mergeCell ref="F181:F182"/>
    <mergeCell ref="G181:G182"/>
    <mergeCell ref="C177:C178"/>
    <mergeCell ref="D177:D178"/>
    <mergeCell ref="E177:E178"/>
    <mergeCell ref="L179:L180"/>
    <mergeCell ref="H179:H180"/>
    <mergeCell ref="I179:I180"/>
    <mergeCell ref="J179:J180"/>
    <mergeCell ref="G175:G178"/>
    <mergeCell ref="I175:I178"/>
    <mergeCell ref="J175:J176"/>
    <mergeCell ref="T175:T176"/>
    <mergeCell ref="T177:T178"/>
    <mergeCell ref="H181:H182"/>
    <mergeCell ref="I181:I182"/>
    <mergeCell ref="J181:J182"/>
    <mergeCell ref="K181:K182"/>
    <mergeCell ref="P181:P182"/>
    <mergeCell ref="Q181:Q182"/>
    <mergeCell ref="Q179:Q180"/>
    <mergeCell ref="O179:O180"/>
    <mergeCell ref="H175:H178"/>
    <mergeCell ref="P173:P174"/>
    <mergeCell ref="C181:C182"/>
    <mergeCell ref="E181:E182"/>
    <mergeCell ref="Y175:Y176"/>
    <mergeCell ref="O175:O176"/>
    <mergeCell ref="P175:P176"/>
    <mergeCell ref="Q175:Q176"/>
    <mergeCell ref="R175:R176"/>
    <mergeCell ref="S175:S176"/>
    <mergeCell ref="H173:H174"/>
    <mergeCell ref="I173:I174"/>
    <mergeCell ref="T171:T172"/>
    <mergeCell ref="L173:L174"/>
    <mergeCell ref="M173:M174"/>
    <mergeCell ref="N173:N174"/>
    <mergeCell ref="O173:O174"/>
    <mergeCell ref="Q173:Q174"/>
    <mergeCell ref="Y173:Y174"/>
    <mergeCell ref="S171:S172"/>
    <mergeCell ref="V177:V178"/>
    <mergeCell ref="W177:W178"/>
    <mergeCell ref="X177:X178"/>
    <mergeCell ref="Y177:Y178"/>
    <mergeCell ref="U175:U176"/>
    <mergeCell ref="V175:V176"/>
    <mergeCell ref="W175:W176"/>
    <mergeCell ref="T173:T174"/>
    <mergeCell ref="C173:C174"/>
    <mergeCell ref="E173:E174"/>
    <mergeCell ref="S173:S174"/>
    <mergeCell ref="J173:J174"/>
    <mergeCell ref="K173:K174"/>
    <mergeCell ref="C175:C176"/>
    <mergeCell ref="D175:D176"/>
    <mergeCell ref="E175:E176"/>
    <mergeCell ref="F175:F178"/>
    <mergeCell ref="S177:S178"/>
    <mergeCell ref="R169:R170"/>
    <mergeCell ref="K175:K176"/>
    <mergeCell ref="L175:L176"/>
    <mergeCell ref="M175:M176"/>
    <mergeCell ref="N175:N176"/>
    <mergeCell ref="R173:R174"/>
    <mergeCell ref="R171:R172"/>
    <mergeCell ref="Y169:Y170"/>
    <mergeCell ref="C171:C172"/>
    <mergeCell ref="D171:D174"/>
    <mergeCell ref="E171:E172"/>
    <mergeCell ref="F171:F172"/>
    <mergeCell ref="G171:G172"/>
    <mergeCell ref="O169:O170"/>
    <mergeCell ref="P169:P170"/>
    <mergeCell ref="Q169:Q170"/>
    <mergeCell ref="E169:E170"/>
    <mergeCell ref="J169:J170"/>
    <mergeCell ref="S169:S170"/>
    <mergeCell ref="T169:T170"/>
    <mergeCell ref="N169:N170"/>
    <mergeCell ref="Y171:Y172"/>
    <mergeCell ref="N171:N172"/>
    <mergeCell ref="O171:O172"/>
    <mergeCell ref="P171:P172"/>
    <mergeCell ref="Q171:Q172"/>
    <mergeCell ref="K171:K172"/>
    <mergeCell ref="L171:L172"/>
    <mergeCell ref="M171:M172"/>
    <mergeCell ref="F173:F174"/>
    <mergeCell ref="G173:G174"/>
    <mergeCell ref="C169:C170"/>
    <mergeCell ref="H171:H172"/>
    <mergeCell ref="I171:I172"/>
    <mergeCell ref="J171:J172"/>
    <mergeCell ref="D169:D170"/>
    <mergeCell ref="G167:G170"/>
    <mergeCell ref="H167:H170"/>
    <mergeCell ref="K169:K170"/>
    <mergeCell ref="O167:O168"/>
    <mergeCell ref="P167:P168"/>
    <mergeCell ref="Q167:Q168"/>
    <mergeCell ref="T167:T168"/>
    <mergeCell ref="I167:I170"/>
    <mergeCell ref="J167:J168"/>
    <mergeCell ref="K167:K168"/>
    <mergeCell ref="L167:L168"/>
    <mergeCell ref="M167:M168"/>
    <mergeCell ref="N167:N168"/>
    <mergeCell ref="L169:L170"/>
    <mergeCell ref="M169:M170"/>
    <mergeCell ref="R167:R168"/>
    <mergeCell ref="C164:C166"/>
    <mergeCell ref="D164:D166"/>
    <mergeCell ref="E164:E166"/>
    <mergeCell ref="R121:R122"/>
    <mergeCell ref="P165:P166"/>
    <mergeCell ref="S167:S168"/>
    <mergeCell ref="C167:C168"/>
    <mergeCell ref="D167:D168"/>
    <mergeCell ref="E167:E168"/>
    <mergeCell ref="F167:F170"/>
    <mergeCell ref="T121:T122"/>
    <mergeCell ref="U121:U122"/>
    <mergeCell ref="K119:K122"/>
    <mergeCell ref="L119:L122"/>
    <mergeCell ref="M119:M120"/>
    <mergeCell ref="N119:N120"/>
    <mergeCell ref="R119:R120"/>
    <mergeCell ref="S119:S120"/>
    <mergeCell ref="T119:T120"/>
    <mergeCell ref="J165:J166"/>
    <mergeCell ref="M165:M166"/>
    <mergeCell ref="G119:G122"/>
    <mergeCell ref="H119:H122"/>
    <mergeCell ref="E119:E120"/>
    <mergeCell ref="F119:F122"/>
    <mergeCell ref="I119:I122"/>
    <mergeCell ref="J119:J122"/>
    <mergeCell ref="G154:I155"/>
    <mergeCell ref="L154:N154"/>
    <mergeCell ref="S165:S166"/>
    <mergeCell ref="M164:O164"/>
    <mergeCell ref="C121:C122"/>
    <mergeCell ref="D121:D122"/>
    <mergeCell ref="E121:E122"/>
    <mergeCell ref="M121:M122"/>
    <mergeCell ref="F164:F166"/>
    <mergeCell ref="G164:I165"/>
    <mergeCell ref="J164:L164"/>
    <mergeCell ref="P164:R164"/>
    <mergeCell ref="W119:W120"/>
    <mergeCell ref="S164:U164"/>
    <mergeCell ref="C154:C156"/>
    <mergeCell ref="D154:D156"/>
    <mergeCell ref="E154:E156"/>
    <mergeCell ref="F154:F156"/>
    <mergeCell ref="C157:C158"/>
    <mergeCell ref="C119:C120"/>
    <mergeCell ref="D119:D120"/>
    <mergeCell ref="S121:S122"/>
    <mergeCell ref="AB119:AB120"/>
    <mergeCell ref="X119:X120"/>
    <mergeCell ref="Y119:Y120"/>
    <mergeCell ref="Z119:Z120"/>
    <mergeCell ref="AB121:AB122"/>
    <mergeCell ref="V121:V122"/>
    <mergeCell ref="V119:V120"/>
    <mergeCell ref="X121:X122"/>
    <mergeCell ref="Y121:Y122"/>
    <mergeCell ref="W121:W122"/>
    <mergeCell ref="Y167:Y168"/>
    <mergeCell ref="AA121:AA122"/>
    <mergeCell ref="Z165:AA165"/>
    <mergeCell ref="AA119:AA120"/>
    <mergeCell ref="Y164:AA164"/>
    <mergeCell ref="Y159:Y160"/>
    <mergeCell ref="Z159:Z160"/>
    <mergeCell ref="Z121:Z122"/>
    <mergeCell ref="AA157:AA160"/>
    <mergeCell ref="X157:X158"/>
    <mergeCell ref="X154:Z154"/>
    <mergeCell ref="X159:X160"/>
    <mergeCell ref="V165:V166"/>
    <mergeCell ref="V164:X164"/>
    <mergeCell ref="U154:W154"/>
    <mergeCell ref="W157:W158"/>
    <mergeCell ref="W159:W160"/>
    <mergeCell ref="V167:V168"/>
    <mergeCell ref="M115:M116"/>
    <mergeCell ref="N115:N116"/>
    <mergeCell ref="O115:O116"/>
    <mergeCell ref="P115:P116"/>
    <mergeCell ref="Q121:Q122"/>
    <mergeCell ref="U119:U120"/>
    <mergeCell ref="O119:O120"/>
    <mergeCell ref="P119:P120"/>
    <mergeCell ref="Q119:Q120"/>
    <mergeCell ref="V117:V118"/>
    <mergeCell ref="C117:C118"/>
    <mergeCell ref="T117:T118"/>
    <mergeCell ref="U117:U118"/>
    <mergeCell ref="D117:D118"/>
    <mergeCell ref="E117:E118"/>
    <mergeCell ref="H115:H118"/>
    <mergeCell ref="I115:I118"/>
    <mergeCell ref="G115:G118"/>
    <mergeCell ref="C115:C116"/>
    <mergeCell ref="W117:W118"/>
    <mergeCell ref="X117:X118"/>
    <mergeCell ref="Y117:Y118"/>
    <mergeCell ref="AA111:AA112"/>
    <mergeCell ref="C113:C114"/>
    <mergeCell ref="D113:D114"/>
    <mergeCell ref="E113:E114"/>
    <mergeCell ref="M113:M114"/>
    <mergeCell ref="R113:R114"/>
    <mergeCell ref="S113:S114"/>
    <mergeCell ref="Z115:Z116"/>
    <mergeCell ref="AA115:AA116"/>
    <mergeCell ref="Y113:Y114"/>
    <mergeCell ref="Z113:Z114"/>
    <mergeCell ref="AA113:AA114"/>
    <mergeCell ref="W115:W116"/>
    <mergeCell ref="X115:X116"/>
    <mergeCell ref="Y115:Y116"/>
    <mergeCell ref="D111:D112"/>
    <mergeCell ref="E111:E112"/>
    <mergeCell ref="I111:I114"/>
    <mergeCell ref="J111:J114"/>
    <mergeCell ref="K111:K114"/>
    <mergeCell ref="L111:L114"/>
    <mergeCell ref="F111:F114"/>
    <mergeCell ref="AB113:AB114"/>
    <mergeCell ref="AB115:AB116"/>
    <mergeCell ref="AB111:AB112"/>
    <mergeCell ref="AB117:AB118"/>
    <mergeCell ref="J115:J118"/>
    <mergeCell ref="K115:K118"/>
    <mergeCell ref="L115:L118"/>
    <mergeCell ref="Z117:Z118"/>
    <mergeCell ref="AA117:AA118"/>
    <mergeCell ref="Y111:Y112"/>
    <mergeCell ref="AB109:AB110"/>
    <mergeCell ref="X111:X112"/>
    <mergeCell ref="Q111:Q112"/>
    <mergeCell ref="R111:R112"/>
    <mergeCell ref="S111:S112"/>
    <mergeCell ref="T111:T112"/>
    <mergeCell ref="AA109:AA110"/>
    <mergeCell ref="W111:W112"/>
    <mergeCell ref="Z111:Z112"/>
    <mergeCell ref="N111:N112"/>
    <mergeCell ref="M117:M118"/>
    <mergeCell ref="N117:N118"/>
    <mergeCell ref="O117:O118"/>
    <mergeCell ref="R117:R118"/>
    <mergeCell ref="S117:S118"/>
    <mergeCell ref="M111:M112"/>
    <mergeCell ref="S115:S116"/>
    <mergeCell ref="Q117:Q118"/>
    <mergeCell ref="X109:X110"/>
    <mergeCell ref="P117:P118"/>
    <mergeCell ref="T115:T116"/>
    <mergeCell ref="U115:U116"/>
    <mergeCell ref="V115:V116"/>
    <mergeCell ref="Q115:Q116"/>
    <mergeCell ref="R115:R116"/>
    <mergeCell ref="X113:X114"/>
    <mergeCell ref="V113:V114"/>
    <mergeCell ref="W113:W114"/>
    <mergeCell ref="N113:N114"/>
    <mergeCell ref="O113:O114"/>
    <mergeCell ref="O109:O110"/>
    <mergeCell ref="G111:G114"/>
    <mergeCell ref="H111:H114"/>
    <mergeCell ref="Y109:Y110"/>
    <mergeCell ref="S109:S110"/>
    <mergeCell ref="T109:T110"/>
    <mergeCell ref="U109:U110"/>
    <mergeCell ref="V109:V110"/>
    <mergeCell ref="O111:O112"/>
    <mergeCell ref="P111:P112"/>
    <mergeCell ref="P113:P114"/>
    <mergeCell ref="Q113:Q114"/>
    <mergeCell ref="U111:U112"/>
    <mergeCell ref="V111:V112"/>
    <mergeCell ref="T113:T114"/>
    <mergeCell ref="U113:U114"/>
    <mergeCell ref="I109:I110"/>
    <mergeCell ref="Z107:Z108"/>
    <mergeCell ref="AA107:AA108"/>
    <mergeCell ref="P109:P110"/>
    <mergeCell ref="Q109:Q110"/>
    <mergeCell ref="R109:R110"/>
    <mergeCell ref="M109:M110"/>
    <mergeCell ref="N109:N110"/>
    <mergeCell ref="Z109:Z110"/>
    <mergeCell ref="W109:W110"/>
    <mergeCell ref="C109:C110"/>
    <mergeCell ref="D109:D110"/>
    <mergeCell ref="E109:E110"/>
    <mergeCell ref="F109:F110"/>
    <mergeCell ref="G109:G110"/>
    <mergeCell ref="H109:H110"/>
    <mergeCell ref="T107:T108"/>
    <mergeCell ref="U107:U108"/>
    <mergeCell ref="V107:V108"/>
    <mergeCell ref="J95:J110"/>
    <mergeCell ref="S97:S98"/>
    <mergeCell ref="T97:T98"/>
    <mergeCell ref="P105:P106"/>
    <mergeCell ref="Q105:Q106"/>
    <mergeCell ref="S105:S106"/>
    <mergeCell ref="N105:N106"/>
    <mergeCell ref="T103:T104"/>
    <mergeCell ref="U103:U104"/>
    <mergeCell ref="Z101:Z102"/>
    <mergeCell ref="P103:P104"/>
    <mergeCell ref="Q103:Q104"/>
    <mergeCell ref="C103:C104"/>
    <mergeCell ref="V103:V104"/>
    <mergeCell ref="C101:C102"/>
    <mergeCell ref="F99:F106"/>
    <mergeCell ref="Z103:Z104"/>
    <mergeCell ref="M101:M102"/>
    <mergeCell ref="O103:O104"/>
    <mergeCell ref="N101:N102"/>
    <mergeCell ref="O101:O102"/>
    <mergeCell ref="R103:R104"/>
    <mergeCell ref="N103:N104"/>
    <mergeCell ref="AB99:AB100"/>
    <mergeCell ref="AA99:AA100"/>
    <mergeCell ref="X99:X100"/>
    <mergeCell ref="Y99:Y100"/>
    <mergeCell ref="Z99:Z100"/>
    <mergeCell ref="Y97:Y98"/>
    <mergeCell ref="AB101:AB102"/>
    <mergeCell ref="X107:X108"/>
    <mergeCell ref="Y107:Y108"/>
    <mergeCell ref="W107:W108"/>
    <mergeCell ref="W103:W104"/>
    <mergeCell ref="X103:X104"/>
    <mergeCell ref="Y103:Y104"/>
    <mergeCell ref="AB107:AB108"/>
    <mergeCell ref="AA103:AA104"/>
    <mergeCell ref="AB103:AB104"/>
    <mergeCell ref="V101:V102"/>
    <mergeCell ref="N107:N108"/>
    <mergeCell ref="O107:O108"/>
    <mergeCell ref="P107:P108"/>
    <mergeCell ref="Q107:Q108"/>
    <mergeCell ref="O105:O106"/>
    <mergeCell ref="R105:R106"/>
    <mergeCell ref="P101:P102"/>
    <mergeCell ref="Q101:Q102"/>
    <mergeCell ref="S103:S104"/>
    <mergeCell ref="P97:P98"/>
    <mergeCell ref="Q97:Q98"/>
    <mergeCell ref="N97:N98"/>
    <mergeCell ref="R107:R108"/>
    <mergeCell ref="S107:S108"/>
    <mergeCell ref="S101:S102"/>
    <mergeCell ref="G97:G98"/>
    <mergeCell ref="H97:H98"/>
    <mergeCell ref="I97:I98"/>
    <mergeCell ref="M97:M98"/>
    <mergeCell ref="N99:N100"/>
    <mergeCell ref="O97:O98"/>
    <mergeCell ref="U95:U96"/>
    <mergeCell ref="V95:V96"/>
    <mergeCell ref="W95:W96"/>
    <mergeCell ref="X95:X96"/>
    <mergeCell ref="R97:R98"/>
    <mergeCell ref="AB95:AB96"/>
    <mergeCell ref="O95:O96"/>
    <mergeCell ref="P95:P96"/>
    <mergeCell ref="Q95:Q96"/>
    <mergeCell ref="R95:R96"/>
    <mergeCell ref="S95:S96"/>
    <mergeCell ref="T95:T96"/>
    <mergeCell ref="U97:U98"/>
    <mergeCell ref="V97:V98"/>
    <mergeCell ref="W97:W98"/>
    <mergeCell ref="X97:X98"/>
    <mergeCell ref="AB97:AB98"/>
    <mergeCell ref="AA95:AA96"/>
    <mergeCell ref="AA97:AA98"/>
    <mergeCell ref="Z97:Z98"/>
    <mergeCell ref="Y95:Y96"/>
    <mergeCell ref="Z95:Z96"/>
    <mergeCell ref="I107:I108"/>
    <mergeCell ref="I95:I96"/>
    <mergeCell ref="C107:C108"/>
    <mergeCell ref="D107:D108"/>
    <mergeCell ref="E107:E108"/>
    <mergeCell ref="F107:F108"/>
    <mergeCell ref="C97:C98"/>
    <mergeCell ref="D97:D98"/>
    <mergeCell ref="E97:E98"/>
    <mergeCell ref="F97:F98"/>
    <mergeCell ref="M95:M96"/>
    <mergeCell ref="M107:M108"/>
    <mergeCell ref="E103:E104"/>
    <mergeCell ref="M103:M104"/>
    <mergeCell ref="E95:E96"/>
    <mergeCell ref="F95:F96"/>
    <mergeCell ref="H95:H96"/>
    <mergeCell ref="E101:E102"/>
    <mergeCell ref="G107:G108"/>
    <mergeCell ref="H107:H108"/>
    <mergeCell ref="C105:C106"/>
    <mergeCell ref="E105:E106"/>
    <mergeCell ref="M105:M106"/>
    <mergeCell ref="C99:C100"/>
    <mergeCell ref="D99:D100"/>
    <mergeCell ref="E99:E100"/>
    <mergeCell ref="M99:M100"/>
    <mergeCell ref="K95:K110"/>
    <mergeCell ref="L95:L110"/>
    <mergeCell ref="D95:D96"/>
    <mergeCell ref="C95:C96"/>
    <mergeCell ref="G88:I88"/>
    <mergeCell ref="J88:L88"/>
    <mergeCell ref="P88:R88"/>
    <mergeCell ref="G95:G96"/>
    <mergeCell ref="N95:N96"/>
    <mergeCell ref="R93:R94"/>
    <mergeCell ref="O91:O92"/>
    <mergeCell ref="O93:O94"/>
    <mergeCell ref="P93:P94"/>
    <mergeCell ref="V88:X88"/>
    <mergeCell ref="Y88:AA88"/>
    <mergeCell ref="R91:R92"/>
    <mergeCell ref="S91:S92"/>
    <mergeCell ref="T91:T92"/>
    <mergeCell ref="U91:U92"/>
    <mergeCell ref="AA91:AA92"/>
    <mergeCell ref="Z91:Z92"/>
    <mergeCell ref="I91:I94"/>
    <mergeCell ref="N93:N94"/>
    <mergeCell ref="Z93:Z94"/>
    <mergeCell ref="AA93:AA94"/>
    <mergeCell ref="S93:S94"/>
    <mergeCell ref="T93:T94"/>
    <mergeCell ref="U93:U94"/>
    <mergeCell ref="V93:V94"/>
    <mergeCell ref="W93:W94"/>
    <mergeCell ref="X93:X94"/>
    <mergeCell ref="C91:C92"/>
    <mergeCell ref="D91:D92"/>
    <mergeCell ref="E91:E92"/>
    <mergeCell ref="F91:F94"/>
    <mergeCell ref="G91:G94"/>
    <mergeCell ref="H91:H94"/>
    <mergeCell ref="V91:V92"/>
    <mergeCell ref="W91:W92"/>
    <mergeCell ref="X91:X92"/>
    <mergeCell ref="Y91:Y92"/>
    <mergeCell ref="Q93:Q94"/>
    <mergeCell ref="Y93:Y94"/>
    <mergeCell ref="J91:J94"/>
    <mergeCell ref="K91:K94"/>
    <mergeCell ref="L91:L94"/>
    <mergeCell ref="M91:M92"/>
    <mergeCell ref="AB91:AB92"/>
    <mergeCell ref="C93:C94"/>
    <mergeCell ref="D93:D94"/>
    <mergeCell ref="E93:E94"/>
    <mergeCell ref="M93:M94"/>
    <mergeCell ref="AB93:AB94"/>
    <mergeCell ref="P91:P92"/>
    <mergeCell ref="Q91:Q92"/>
    <mergeCell ref="N91:N92"/>
    <mergeCell ref="Y78:Y79"/>
    <mergeCell ref="N78:N79"/>
    <mergeCell ref="O78:O79"/>
    <mergeCell ref="S78:S79"/>
    <mergeCell ref="P78:P79"/>
    <mergeCell ref="M88:O88"/>
    <mergeCell ref="S88:U88"/>
    <mergeCell ref="C88:C90"/>
    <mergeCell ref="D88:D90"/>
    <mergeCell ref="W80:W81"/>
    <mergeCell ref="X80:X81"/>
    <mergeCell ref="Y80:Y81"/>
    <mergeCell ref="N80:N81"/>
    <mergeCell ref="O80:O81"/>
    <mergeCell ref="P80:P81"/>
    <mergeCell ref="Q80:Q81"/>
    <mergeCell ref="R80:R81"/>
    <mergeCell ref="E88:E90"/>
    <mergeCell ref="F88:F90"/>
    <mergeCell ref="T80:T81"/>
    <mergeCell ref="U80:U81"/>
    <mergeCell ref="K80:K81"/>
    <mergeCell ref="L80:L81"/>
    <mergeCell ref="I78:I81"/>
    <mergeCell ref="J78:J79"/>
    <mergeCell ref="K78:K79"/>
    <mergeCell ref="L78:L79"/>
    <mergeCell ref="E80:E81"/>
    <mergeCell ref="J80:J81"/>
    <mergeCell ref="H78:H81"/>
    <mergeCell ref="C78:C79"/>
    <mergeCell ref="D78:D79"/>
    <mergeCell ref="E78:E79"/>
    <mergeCell ref="F78:F81"/>
    <mergeCell ref="G78:G81"/>
    <mergeCell ref="W78:W79"/>
    <mergeCell ref="X78:X79"/>
    <mergeCell ref="S76:S77"/>
    <mergeCell ref="T76:T77"/>
    <mergeCell ref="N76:N77"/>
    <mergeCell ref="T78:T79"/>
    <mergeCell ref="O76:O77"/>
    <mergeCell ref="P76:P77"/>
    <mergeCell ref="Q76:Q77"/>
    <mergeCell ref="R76:R77"/>
    <mergeCell ref="M78:M79"/>
    <mergeCell ref="M80:M81"/>
    <mergeCell ref="Q78:Q79"/>
    <mergeCell ref="R78:R79"/>
    <mergeCell ref="U78:U79"/>
    <mergeCell ref="V78:V79"/>
    <mergeCell ref="S80:S81"/>
    <mergeCell ref="V80:V81"/>
    <mergeCell ref="H74:H77"/>
    <mergeCell ref="Y74:Y75"/>
    <mergeCell ref="C76:C77"/>
    <mergeCell ref="D76:D77"/>
    <mergeCell ref="E76:E77"/>
    <mergeCell ref="J76:J77"/>
    <mergeCell ref="K76:K77"/>
    <mergeCell ref="O74:O75"/>
    <mergeCell ref="P74:P75"/>
    <mergeCell ref="Q74:Q75"/>
    <mergeCell ref="I74:I77"/>
    <mergeCell ref="J74:J75"/>
    <mergeCell ref="K74:K75"/>
    <mergeCell ref="L74:L75"/>
    <mergeCell ref="M74:M75"/>
    <mergeCell ref="N74:N75"/>
    <mergeCell ref="L76:L77"/>
    <mergeCell ref="W74:W75"/>
    <mergeCell ref="X74:X75"/>
    <mergeCell ref="M76:M77"/>
    <mergeCell ref="U76:U77"/>
    <mergeCell ref="V76:V77"/>
    <mergeCell ref="W76:W77"/>
    <mergeCell ref="R74:R75"/>
    <mergeCell ref="S74:S75"/>
    <mergeCell ref="T74:T75"/>
    <mergeCell ref="U74:U75"/>
    <mergeCell ref="U70:U71"/>
    <mergeCell ref="X76:X77"/>
    <mergeCell ref="Y76:Y77"/>
    <mergeCell ref="C74:C75"/>
    <mergeCell ref="D74:D75"/>
    <mergeCell ref="E74:E75"/>
    <mergeCell ref="F74:F77"/>
    <mergeCell ref="G74:G77"/>
    <mergeCell ref="V74:V75"/>
    <mergeCell ref="W70:W71"/>
    <mergeCell ref="X70:X71"/>
    <mergeCell ref="I70:I73"/>
    <mergeCell ref="J70:J71"/>
    <mergeCell ref="K70:K71"/>
    <mergeCell ref="L70:L71"/>
    <mergeCell ref="M70:M71"/>
    <mergeCell ref="M72:M73"/>
    <mergeCell ref="W72:W73"/>
    <mergeCell ref="K72:K73"/>
    <mergeCell ref="X72:X73"/>
    <mergeCell ref="Y72:Y73"/>
    <mergeCell ref="N72:N73"/>
    <mergeCell ref="O72:O73"/>
    <mergeCell ref="P72:P73"/>
    <mergeCell ref="Q72:Q73"/>
    <mergeCell ref="R72:R73"/>
    <mergeCell ref="S72:S73"/>
    <mergeCell ref="T72:T73"/>
    <mergeCell ref="U72:U73"/>
    <mergeCell ref="E63:E65"/>
    <mergeCell ref="F63:F65"/>
    <mergeCell ref="G63:I64"/>
    <mergeCell ref="J63:L63"/>
    <mergeCell ref="A63:A65"/>
    <mergeCell ref="B63:B65"/>
    <mergeCell ref="C63:C65"/>
    <mergeCell ref="D63:D65"/>
    <mergeCell ref="P63:R63"/>
    <mergeCell ref="C68:C69"/>
    <mergeCell ref="D68:D69"/>
    <mergeCell ref="E68:E69"/>
    <mergeCell ref="J68:J69"/>
    <mergeCell ref="K68:K69"/>
    <mergeCell ref="O66:O67"/>
    <mergeCell ref="P66:P67"/>
    <mergeCell ref="N66:N67"/>
    <mergeCell ref="L68:L69"/>
    <mergeCell ref="T70:T71"/>
    <mergeCell ref="V72:V73"/>
    <mergeCell ref="C72:C73"/>
    <mergeCell ref="D72:D73"/>
    <mergeCell ref="E72:E73"/>
    <mergeCell ref="J72:J73"/>
    <mergeCell ref="G70:G73"/>
    <mergeCell ref="V70:V71"/>
    <mergeCell ref="L72:L73"/>
    <mergeCell ref="H70:H73"/>
    <mergeCell ref="U66:U67"/>
    <mergeCell ref="W66:W67"/>
    <mergeCell ref="M63:O63"/>
    <mergeCell ref="Y70:Y71"/>
    <mergeCell ref="N70:N71"/>
    <mergeCell ref="O70:O71"/>
    <mergeCell ref="Q70:Q71"/>
    <mergeCell ref="R70:R71"/>
    <mergeCell ref="S70:S71"/>
    <mergeCell ref="P70:P71"/>
    <mergeCell ref="Y66:Y67"/>
    <mergeCell ref="N31:N32"/>
    <mergeCell ref="N61:P61"/>
    <mergeCell ref="Y63:AA63"/>
    <mergeCell ref="C66:C67"/>
    <mergeCell ref="D66:D67"/>
    <mergeCell ref="E66:E67"/>
    <mergeCell ref="F66:F69"/>
    <mergeCell ref="G66:G69"/>
    <mergeCell ref="H66:H69"/>
    <mergeCell ref="V66:V67"/>
    <mergeCell ref="W68:W69"/>
    <mergeCell ref="X6:Z6"/>
    <mergeCell ref="Q61:S61"/>
    <mergeCell ref="W61:Y61"/>
    <mergeCell ref="S66:S67"/>
    <mergeCell ref="T66:T67"/>
    <mergeCell ref="S63:U63"/>
    <mergeCell ref="V63:X63"/>
    <mergeCell ref="X66:X67"/>
    <mergeCell ref="X68:X69"/>
    <mergeCell ref="Y68:Y69"/>
    <mergeCell ref="Q66:Q67"/>
    <mergeCell ref="R66:R67"/>
    <mergeCell ref="Q68:Q69"/>
    <mergeCell ref="R68:R69"/>
    <mergeCell ref="S68:S69"/>
    <mergeCell ref="T68:T69"/>
    <mergeCell ref="U68:U69"/>
    <mergeCell ref="V68:V69"/>
    <mergeCell ref="M66:M67"/>
    <mergeCell ref="M68:M69"/>
    <mergeCell ref="O68:O69"/>
    <mergeCell ref="P68:P69"/>
    <mergeCell ref="N68:N69"/>
    <mergeCell ref="I66:I69"/>
    <mergeCell ref="J66:J67"/>
    <mergeCell ref="K66:K67"/>
    <mergeCell ref="L66:L67"/>
    <mergeCell ref="A191:A198"/>
    <mergeCell ref="B191:B198"/>
    <mergeCell ref="AC89:AD89"/>
    <mergeCell ref="AB88:AD88"/>
    <mergeCell ref="A175:A182"/>
    <mergeCell ref="B175:B182"/>
    <mergeCell ref="B157:B160"/>
    <mergeCell ref="A129:A131"/>
    <mergeCell ref="B129:B131"/>
    <mergeCell ref="A111:A114"/>
    <mergeCell ref="A66:A69"/>
    <mergeCell ref="A70:A73"/>
    <mergeCell ref="A74:A77"/>
    <mergeCell ref="A78:A81"/>
    <mergeCell ref="A183:A190"/>
    <mergeCell ref="B183:B190"/>
    <mergeCell ref="A115:A118"/>
    <mergeCell ref="A119:A122"/>
    <mergeCell ref="A88:A90"/>
    <mergeCell ref="B88:B89"/>
    <mergeCell ref="C70:C71"/>
    <mergeCell ref="D70:D71"/>
    <mergeCell ref="E70:E71"/>
    <mergeCell ref="F70:F73"/>
    <mergeCell ref="A167:A174"/>
    <mergeCell ref="B167:B174"/>
    <mergeCell ref="A164:A166"/>
    <mergeCell ref="B164:B166"/>
    <mergeCell ref="C80:C81"/>
    <mergeCell ref="D80:D81"/>
  </mergeCells>
  <phoneticPr fontId="0" type="noConversion"/>
  <dataValidations xWindow="595" yWindow="573" count="24">
    <dataValidation type="list" allowBlank="1" showInputMessage="1" showErrorMessage="1" sqref="F157 F151 F66 F95 F111 F119 F115 F91 F70 F74 F78 F143">
      <formula1>"recht, schuin"</formula1>
    </dataValidation>
    <dataValidation type="list" allowBlank="1" showInputMessage="1" showErrorMessage="1" sqref="F167 F175 F183 F191">
      <formula1>"recht,schuin"</formula1>
    </dataValidation>
    <dataValidation allowBlank="1" showInputMessage="1" showErrorMessage="1" prompt="Als labyrint 1 bocht heeft dan dan is er geen A5: 1 invullen_x000a_" sqref="N38"/>
    <dataValidation allowBlank="1" showInputMessage="1" showErrorMessage="1" promptTitle="let op" prompt="Als labyrint 1 bocht heeft dan dan is er geen A5: 1 invullen" sqref="P26"/>
    <dataValidation allowBlank="1" showInputMessage="1" showErrorMessage="1" prompt="als versneller parallel aan het labyrint draait is er geen A2_x000a_: 1 invullen" sqref="P23"/>
    <dataValidation allowBlank="1" showInputMessage="1" showErrorMessage="1" promptTitle="let op" prompt="Als labyrint 1 bocht heeft dan dan is er geen dz5: 1 invullen_x000a_" sqref="P18"/>
    <dataValidation allowBlank="1" showInputMessage="1" showErrorMessage="1" promptTitle="let op" prompt="als versneller parallel aan het labyrint draait is er geen dz2:_x000a_ 1 invullen" sqref="P15"/>
    <dataValidation allowBlank="1" showInputMessage="1" showErrorMessage="1" promptTitle="let op" prompt="is 1 las versneller parallel aan het labyrint draait" sqref="R8"/>
    <dataValidation type="list" allowBlank="1" showInputMessage="1" showErrorMessage="1" sqref="P6">
      <formula1>"parallel,loodrecht"</formula1>
    </dataValidation>
    <dataValidation type="list" allowBlank="1" showInputMessage="1" showErrorMessage="1" sqref="P7">
      <formula1>"1,2"</formula1>
    </dataValidation>
    <dataValidation allowBlank="1" showInputMessage="1" showErrorMessage="1" promptTitle="let op" prompt="als versneller parallel aan het labyrint draait is er geen dp2: 1 invullen" sqref="P11"/>
    <dataValidation allowBlank="1" showInputMessage="1" showErrorMessage="1" promptTitle="let op" prompt="als er geen afstand dp is: 1 invullen_x000a_Bij de voorbeeld plattegronden is er alleen een afstand dp in fig 6. " sqref="P9"/>
    <dataValidation allowBlank="1" showInputMessage="1" showErrorMessage="1" promptTitle="let op" prompt="Alleen van belang als E &gt; 10 MV (neutronenproduktie)" sqref="P45:P46"/>
    <dataValidation allowBlank="1" showInputMessage="1" showErrorMessage="1" prompt="Fr richting  opp A1_x000a_" sqref="E97:E98"/>
    <dataValidation allowBlank="1" showInputMessage="1" showErrorMessage="1" promptTitle="let op" prompt="Fr richting opp A2" sqref="E95:E96"/>
    <dataValidation allowBlank="1" showInputMessage="1" showErrorMessage="1" prompt="Fr richting opp A1 als versneller parallel aan labyrint draait of Fr richting opp A2 als versneller loodrecht op labyrint draait" sqref="E101:E102"/>
    <dataValidation allowBlank="1" showInputMessage="1" showErrorMessage="1" prompt="Fr richting vloer (gantry 0 graden ) en plafond (gantry 180 graden)_x000a_" sqref="E103:E104"/>
    <dataValidation allowBlank="1" showInputMessage="1" showErrorMessage="1" prompt="Fr voor gantry 90/270 graden als primaire bundel van labyrint is afgericht._x000a_" sqref="E105:E106"/>
    <dataValidation type="list" allowBlank="1" showInputMessage="1" showErrorMessage="1" prompt="alleen van belang als de verstrooide straling door het binnenmuurtje van het labyrint gaat op weg naar het tweede verstrooiiende oppervlak_x000a_" sqref="F97:F98">
      <formula1>"recht, schuin"</formula1>
    </dataValidation>
    <dataValidation allowBlank="1" showInputMessage="1" showErrorMessage="1" prompt="alleen van belang als de verstrooide straling door het binnenmuurtje van het labyrint gaat op weg naar het tweede verstrooiiende oppervlak" sqref="G97:I98"/>
    <dataValidation type="list" allowBlank="1" showInputMessage="1" showErrorMessage="1" prompt="alleen van belang als de lekstraling of door patient verstrooide straling door het binnenmuurtje van het labyrint gaat op weg naar 1e hoek van labyrint_x000a__x000a_" sqref="F99:F106">
      <formula1>"recht, schuin"</formula1>
    </dataValidation>
    <dataValidation allowBlank="1" showInputMessage="1" showErrorMessage="1" prompt="alleen van belang als de lekstraling of door patient verstrooide straling door het binnenmuurtje van het labyrint gaat op weg naar 1e hoek labyrint_x000a_" sqref="G99:G106"/>
    <dataValidation allowBlank="1" showInputMessage="1" showErrorMessage="1" prompt="alleen van belang als de lekstraling of door patient verstrooide straling door het binnenmuurtje van het labyrint gaat op weg naar de 1e hoek labyrint" sqref="H99:H106"/>
    <dataValidation allowBlank="1" showInputMessage="1" showErrorMessage="1" prompt="alleen van belang als de lekstraling of door patient verstrooide straling door het binnenmuurtje van het labyrint gaat op weg naar de 1e hoek _x000a_labyrint" sqref="I99:I106"/>
  </dataValidations>
  <pageMargins left="0.70866141732283472" right="0.70866141732283472" top="0.74803149606299213" bottom="0.74803149606299213" header="0.31496062992125984" footer="0.31496062992125984"/>
  <pageSetup paperSize="8" scale="20" orientation="landscape" r:id="rId1"/>
  <headerFooter>
    <oddFooter>&amp;C&amp;F 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Blad6">
    <tabColor theme="0" tint="-0.249977111117893"/>
  </sheetPr>
  <dimension ref="A1:CI174"/>
  <sheetViews>
    <sheetView showGridLines="0" topLeftCell="A99" zoomScale="25" zoomScaleNormal="25" workbookViewId="0">
      <selection activeCell="L142" sqref="L142:L143"/>
    </sheetView>
  </sheetViews>
  <sheetFormatPr defaultRowHeight="15.75"/>
  <cols>
    <col min="1" max="1" width="6.7109375" style="331" customWidth="1"/>
    <col min="2" max="2" width="20.7109375" style="331" customWidth="1"/>
    <col min="3" max="21" width="12.7109375" style="331" customWidth="1"/>
    <col min="22" max="27" width="12.7109375" style="311" customWidth="1"/>
    <col min="28" max="36" width="12.7109375" style="321" customWidth="1"/>
    <col min="37" max="39" width="10" style="321" bestFit="1" customWidth="1"/>
    <col min="40" max="43" width="10.140625" style="321" bestFit="1" customWidth="1"/>
    <col min="44" max="45" width="10" style="321" bestFit="1" customWidth="1"/>
    <col min="46" max="48" width="10.140625" style="321" bestFit="1" customWidth="1"/>
    <col min="49" max="55" width="12.140625" style="321" customWidth="1"/>
    <col min="56" max="60" width="10.140625" style="321" bestFit="1" customWidth="1"/>
    <col min="61" max="16384" width="9.140625" style="321"/>
  </cols>
  <sheetData>
    <row r="1" spans="1:31" s="381" customFormat="1" ht="26.25" customHeight="1" thickBot="1">
      <c r="A1" s="18" t="s">
        <v>66</v>
      </c>
      <c r="B1" s="19"/>
      <c r="C1" s="21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20"/>
      <c r="W1" s="20"/>
      <c r="X1" s="20"/>
      <c r="Y1" s="20"/>
      <c r="Z1" s="20">
        <v>8</v>
      </c>
      <c r="AA1" s="20"/>
      <c r="AB1" s="21"/>
      <c r="AC1" s="21"/>
      <c r="AD1" s="21"/>
      <c r="AE1" s="642"/>
    </row>
    <row r="2" spans="1:31" s="311" customFormat="1" ht="18.75" thickBot="1">
      <c r="A2" s="330"/>
      <c r="F2" s="440"/>
      <c r="G2" s="440"/>
      <c r="H2" s="440"/>
    </row>
    <row r="3" spans="1:31" s="311" customFormat="1" ht="26.25" customHeight="1" thickBot="1">
      <c r="A3" s="1015" t="s">
        <v>529</v>
      </c>
      <c r="B3" s="1016"/>
      <c r="C3" s="1099" t="s">
        <v>527</v>
      </c>
      <c r="D3" s="1017"/>
      <c r="E3" s="1017"/>
      <c r="F3" s="1018"/>
      <c r="G3" s="1019"/>
      <c r="H3" s="440"/>
    </row>
    <row r="4" spans="1:31" ht="22.5" customHeight="1">
      <c r="A4" s="330"/>
      <c r="S4" s="311"/>
      <c r="T4" s="311"/>
      <c r="U4" s="311"/>
      <c r="Z4" s="321"/>
      <c r="AA4" s="321"/>
    </row>
    <row r="5" spans="1:31" ht="19.5" customHeight="1" thickBot="1">
      <c r="A5" s="332" t="s">
        <v>189</v>
      </c>
      <c r="B5" s="333"/>
      <c r="C5" s="333"/>
      <c r="F5" s="399"/>
      <c r="G5" s="399"/>
      <c r="H5" s="399"/>
      <c r="I5" s="399"/>
      <c r="J5" s="334" t="s">
        <v>393</v>
      </c>
      <c r="K5" s="335"/>
      <c r="L5" s="336"/>
      <c r="M5" s="336"/>
      <c r="N5" s="336"/>
      <c r="O5" s="336"/>
      <c r="P5" s="336"/>
      <c r="Q5" s="442"/>
      <c r="R5" s="336"/>
      <c r="S5" s="334" t="s">
        <v>391</v>
      </c>
      <c r="T5" s="336"/>
      <c r="U5" s="336"/>
      <c r="V5" s="336"/>
      <c r="W5" s="321"/>
      <c r="X5" s="321"/>
      <c r="Y5" s="325"/>
      <c r="Z5" s="325"/>
      <c r="AD5" s="762"/>
    </row>
    <row r="6" spans="1:31" s="325" customFormat="1" ht="19.5" customHeight="1" thickBot="1">
      <c r="A6" s="1425" t="s">
        <v>70</v>
      </c>
      <c r="B6" s="1426"/>
      <c r="C6" s="1427">
        <v>6</v>
      </c>
      <c r="D6" s="1427">
        <v>10</v>
      </c>
      <c r="E6" s="1428">
        <v>15</v>
      </c>
      <c r="F6" s="1427" t="s">
        <v>309</v>
      </c>
      <c r="G6" s="1429" t="s">
        <v>310</v>
      </c>
      <c r="H6" s="399"/>
      <c r="I6" s="399"/>
      <c r="J6" s="356" t="s">
        <v>402</v>
      </c>
      <c r="K6" s="340"/>
      <c r="L6" s="340"/>
      <c r="M6" s="340"/>
      <c r="N6" s="340"/>
      <c r="O6" s="340"/>
      <c r="P6" s="1108" t="s">
        <v>456</v>
      </c>
      <c r="S6" s="493" t="s">
        <v>31</v>
      </c>
      <c r="T6" s="1383"/>
      <c r="U6" s="96"/>
      <c r="V6" s="49" t="s">
        <v>36</v>
      </c>
      <c r="W6" s="67" t="s">
        <v>32</v>
      </c>
      <c r="X6" s="1669" t="s">
        <v>287</v>
      </c>
      <c r="Y6" s="1670"/>
      <c r="Z6" s="1671"/>
      <c r="AD6" s="311"/>
    </row>
    <row r="7" spans="1:31" s="325" customFormat="1" ht="19.5" customHeight="1" thickBot="1">
      <c r="A7" s="339" t="s">
        <v>392</v>
      </c>
      <c r="B7" s="532"/>
      <c r="C7" s="1369">
        <v>1000</v>
      </c>
      <c r="D7" s="1370"/>
      <c r="E7" s="1370"/>
      <c r="F7" s="1370"/>
      <c r="G7" s="1371"/>
      <c r="H7" s="311"/>
      <c r="I7" s="311"/>
      <c r="J7" s="373" t="s">
        <v>401</v>
      </c>
      <c r="K7" s="447"/>
      <c r="L7" s="447"/>
      <c r="M7" s="447"/>
      <c r="N7" s="447"/>
      <c r="O7" s="447"/>
      <c r="P7" s="1109">
        <v>1</v>
      </c>
      <c r="S7" s="586"/>
      <c r="T7" s="1384"/>
      <c r="U7" s="68" t="s">
        <v>286</v>
      </c>
      <c r="V7" s="51" t="s">
        <v>37</v>
      </c>
      <c r="W7" s="68" t="s">
        <v>28</v>
      </c>
      <c r="X7" s="79" t="s">
        <v>3</v>
      </c>
      <c r="Y7" s="68" t="s">
        <v>96</v>
      </c>
      <c r="Z7" s="309" t="s">
        <v>4</v>
      </c>
    </row>
    <row r="8" spans="1:31" s="325" customFormat="1" ht="19.5" customHeight="1" thickBot="1">
      <c r="A8" s="448" t="s">
        <v>227</v>
      </c>
      <c r="B8" s="534"/>
      <c r="C8" s="1372">
        <v>1E-3</v>
      </c>
      <c r="D8" s="1373"/>
      <c r="E8" s="1373"/>
      <c r="F8" s="1373"/>
      <c r="G8" s="1374"/>
      <c r="H8" s="311"/>
      <c r="I8" s="311"/>
      <c r="J8" s="529" t="s">
        <v>271</v>
      </c>
      <c r="K8" s="340"/>
      <c r="L8" s="340"/>
      <c r="M8" s="340"/>
      <c r="N8" s="340"/>
      <c r="O8" s="340"/>
      <c r="P8" s="1129"/>
      <c r="S8" s="586"/>
      <c r="T8" s="1384"/>
      <c r="U8" s="69"/>
      <c r="V8" s="51" t="s">
        <v>117</v>
      </c>
      <c r="W8" s="68" t="s">
        <v>115</v>
      </c>
      <c r="X8" s="79"/>
      <c r="Y8" s="68"/>
      <c r="Z8" s="309"/>
      <c r="AD8" s="451"/>
    </row>
    <row r="9" spans="1:31" s="325" customFormat="1" ht="19.5" customHeight="1" thickBot="1">
      <c r="A9" s="356" t="s">
        <v>335</v>
      </c>
      <c r="B9" s="361"/>
      <c r="C9" s="1101">
        <v>0</v>
      </c>
      <c r="D9" s="983">
        <v>0</v>
      </c>
      <c r="E9" s="1102">
        <v>0.76</v>
      </c>
      <c r="F9" s="1101">
        <v>0</v>
      </c>
      <c r="G9" s="1103">
        <v>0</v>
      </c>
      <c r="J9" s="343" t="s">
        <v>464</v>
      </c>
      <c r="K9" s="344"/>
      <c r="L9" s="336"/>
      <c r="M9" s="336"/>
      <c r="N9" s="336"/>
      <c r="O9" s="336"/>
      <c r="P9" s="1110">
        <v>1</v>
      </c>
      <c r="Q9" s="336"/>
      <c r="S9" s="586"/>
      <c r="T9" s="1384"/>
      <c r="U9" s="69"/>
      <c r="V9" s="51" t="s">
        <v>38</v>
      </c>
      <c r="W9" s="1431" t="s">
        <v>39</v>
      </c>
      <c r="X9" s="79" t="s">
        <v>33</v>
      </c>
      <c r="Y9" s="1431" t="s">
        <v>33</v>
      </c>
      <c r="Z9" s="309" t="s">
        <v>33</v>
      </c>
    </row>
    <row r="10" spans="1:31" s="325" customFormat="1" ht="19.5" customHeight="1" thickBot="1">
      <c r="A10" s="448" t="s">
        <v>337</v>
      </c>
      <c r="B10" s="447"/>
      <c r="C10" s="449">
        <f>$C$9*10^12/(4*PI()*$P$19^2)+5.4*$C$9*10^12/(2*PI()*$P$28)+1.26*$C$9*10^12/(2*PI()*$P$28)</f>
        <v>0</v>
      </c>
      <c r="D10" s="449">
        <f>$D$9*10^12/(4*PI()*$P$19^2)+5.4*$D$9*10^12/(2*PI()*$P$28)+1.26*$D$9*10^12/(2*PI()*$P$28)</f>
        <v>0</v>
      </c>
      <c r="E10" s="449">
        <f>$E$9*10^12/(4*PI()*$P$19^2)+5.4*$E$9*10^12/(2*PI()*$P$28)+1.26*$E$9*10^12/(2*PI()*$P$28)</f>
        <v>5999504734.7920866</v>
      </c>
      <c r="F10" s="449">
        <f>$F$9*10^12/(4*PI()*$P$19^2)+5.4*$F$9*10^12/(2*PI()*$P$28)+1.26*$F$9*10^12/(2*PI()*$P$28)</f>
        <v>0</v>
      </c>
      <c r="G10" s="450">
        <f>$G$9*10^12/(4*PI()*$P$19^2)+5.4*$G$9*10^12/(2*PI()*$P$28)+1.26*$G$9*10^12/(2*PI()*$P$28)</f>
        <v>0</v>
      </c>
      <c r="J10" s="343" t="s">
        <v>465</v>
      </c>
      <c r="K10" s="344"/>
      <c r="L10" s="336"/>
      <c r="M10" s="336"/>
      <c r="N10" s="336"/>
      <c r="O10" s="336"/>
      <c r="P10" s="1111">
        <v>5</v>
      </c>
      <c r="Q10" s="336"/>
      <c r="R10" s="336"/>
      <c r="S10" s="1375" t="s">
        <v>288</v>
      </c>
      <c r="T10" s="1376"/>
      <c r="U10" s="1116">
        <v>1</v>
      </c>
      <c r="V10" s="1117">
        <v>15</v>
      </c>
      <c r="W10" s="452">
        <f>2*PI()*(1-COS(V10/180*PI()))</f>
        <v>0.21409434761481089</v>
      </c>
      <c r="X10" s="1116">
        <v>250</v>
      </c>
      <c r="Y10" s="1116">
        <v>0</v>
      </c>
      <c r="Z10" s="1118">
        <v>0</v>
      </c>
    </row>
    <row r="11" spans="1:31" s="325" customFormat="1" ht="19.5" customHeight="1" thickBot="1">
      <c r="A11" s="339" t="s">
        <v>228</v>
      </c>
      <c r="B11" s="532"/>
      <c r="C11" s="1101">
        <v>0.2</v>
      </c>
      <c r="D11" s="1101">
        <v>0.2</v>
      </c>
      <c r="E11" s="983">
        <v>0.2</v>
      </c>
      <c r="F11" s="1101">
        <v>0.2</v>
      </c>
      <c r="G11" s="1103">
        <v>0.2</v>
      </c>
      <c r="H11" s="311"/>
      <c r="I11" s="311"/>
      <c r="J11" s="343" t="s">
        <v>488</v>
      </c>
      <c r="K11" s="344"/>
      <c r="L11" s="336"/>
      <c r="M11" s="336"/>
      <c r="N11" s="336"/>
      <c r="O11" s="336"/>
      <c r="P11" s="1112">
        <v>1</v>
      </c>
      <c r="Q11" s="336"/>
      <c r="R11" s="336"/>
      <c r="S11" s="1377" t="s">
        <v>289</v>
      </c>
      <c r="T11" s="1378"/>
      <c r="U11" s="1100">
        <v>1</v>
      </c>
      <c r="V11" s="1372">
        <v>60</v>
      </c>
      <c r="W11" s="453">
        <f>2*PI()*(1-COS(V11/180*PI()))</f>
        <v>3.1415926535897922</v>
      </c>
      <c r="X11" s="1100">
        <v>200</v>
      </c>
      <c r="Y11" s="1100">
        <v>0</v>
      </c>
      <c r="Z11" s="1119">
        <v>0</v>
      </c>
    </row>
    <row r="12" spans="1:31" s="325" customFormat="1" ht="19.5" customHeight="1">
      <c r="A12" s="533" t="s">
        <v>229</v>
      </c>
      <c r="B12" s="467"/>
      <c r="C12" s="1104">
        <v>0.5</v>
      </c>
      <c r="D12" s="1104">
        <v>0.5</v>
      </c>
      <c r="E12" s="1105">
        <v>0.5</v>
      </c>
      <c r="F12" s="1104">
        <v>0.5</v>
      </c>
      <c r="G12" s="1106">
        <v>0.5</v>
      </c>
      <c r="H12" s="311"/>
      <c r="I12" s="311"/>
      <c r="J12" s="343" t="s">
        <v>466</v>
      </c>
      <c r="K12" s="344"/>
      <c r="L12" s="442"/>
      <c r="M12" s="336"/>
      <c r="N12" s="336"/>
      <c r="O12" s="336"/>
      <c r="P12" s="1111">
        <v>5</v>
      </c>
      <c r="Q12" s="336"/>
      <c r="R12" s="336"/>
      <c r="S12" s="336"/>
      <c r="T12" s="336"/>
      <c r="U12" s="336"/>
      <c r="V12" s="345"/>
      <c r="W12" s="345"/>
      <c r="X12" s="345"/>
      <c r="Y12" s="345"/>
      <c r="Z12" s="345"/>
      <c r="AA12" s="345"/>
      <c r="AB12" s="345"/>
      <c r="AC12" s="345"/>
    </row>
    <row r="13" spans="1:31" s="325" customFormat="1" ht="19.5" customHeight="1">
      <c r="A13" s="533" t="s">
        <v>230</v>
      </c>
      <c r="B13" s="467"/>
      <c r="C13" s="347">
        <f>1-C12</f>
        <v>0.5</v>
      </c>
      <c r="D13" s="347">
        <f>1-D12</f>
        <v>0.5</v>
      </c>
      <c r="E13" s="372">
        <f>1-E12</f>
        <v>0.5</v>
      </c>
      <c r="F13" s="347">
        <f>1-F12</f>
        <v>0.5</v>
      </c>
      <c r="G13" s="445">
        <f>1-G12</f>
        <v>0.5</v>
      </c>
      <c r="H13" s="311"/>
      <c r="I13" s="311"/>
      <c r="J13" s="343" t="s">
        <v>489</v>
      </c>
      <c r="K13" s="344"/>
      <c r="L13" s="336"/>
      <c r="M13" s="336"/>
      <c r="N13" s="336"/>
      <c r="O13" s="336"/>
      <c r="P13" s="1111">
        <v>5</v>
      </c>
      <c r="Q13" s="336"/>
      <c r="R13" s="336"/>
      <c r="S13" s="336"/>
      <c r="T13" s="338"/>
      <c r="U13" s="336"/>
      <c r="V13" s="345"/>
      <c r="W13" s="345"/>
      <c r="X13" s="345"/>
      <c r="Y13" s="345"/>
      <c r="Z13" s="345"/>
      <c r="AA13" s="345"/>
      <c r="AB13" s="345"/>
      <c r="AC13" s="345"/>
    </row>
    <row r="14" spans="1:31" s="325" customFormat="1" ht="19.5" customHeight="1" thickBot="1">
      <c r="A14" s="533" t="s">
        <v>231</v>
      </c>
      <c r="B14" s="467"/>
      <c r="C14" s="1104">
        <v>5</v>
      </c>
      <c r="D14" s="1104">
        <v>5</v>
      </c>
      <c r="E14" s="1107">
        <v>5</v>
      </c>
      <c r="F14" s="1104">
        <v>2.4</v>
      </c>
      <c r="G14" s="1106">
        <v>1.3</v>
      </c>
      <c r="H14" s="311"/>
      <c r="I14" s="311"/>
      <c r="J14" s="343" t="s">
        <v>467</v>
      </c>
      <c r="K14" s="344"/>
      <c r="L14" s="336"/>
      <c r="M14" s="336"/>
      <c r="N14" s="336"/>
      <c r="O14" s="336"/>
      <c r="P14" s="1111">
        <v>10</v>
      </c>
      <c r="Q14" s="336"/>
      <c r="R14" s="336"/>
      <c r="S14" s="336"/>
      <c r="T14" s="338"/>
      <c r="U14" s="336"/>
      <c r="V14" s="345"/>
      <c r="W14" s="345"/>
      <c r="X14" s="345"/>
      <c r="Y14" s="345"/>
      <c r="Z14" s="345"/>
      <c r="AA14" s="345"/>
      <c r="AB14" s="345"/>
      <c r="AC14" s="345"/>
    </row>
    <row r="15" spans="1:31" s="325" customFormat="1" ht="19.5" customHeight="1">
      <c r="A15" s="356" t="s">
        <v>268</v>
      </c>
      <c r="B15" s="366"/>
      <c r="C15" s="871" t="s">
        <v>18</v>
      </c>
      <c r="D15" s="872"/>
      <c r="E15" s="872"/>
      <c r="F15" s="872"/>
      <c r="G15" s="873"/>
      <c r="H15" s="533"/>
      <c r="I15" s="467"/>
      <c r="J15" s="343" t="s">
        <v>480</v>
      </c>
      <c r="K15" s="344"/>
      <c r="L15" s="336"/>
      <c r="M15" s="336"/>
      <c r="N15" s="336"/>
      <c r="O15" s="336"/>
      <c r="P15" s="1110">
        <v>5</v>
      </c>
      <c r="Q15" s="336"/>
      <c r="R15" s="336"/>
      <c r="S15" s="336"/>
      <c r="T15" s="338"/>
      <c r="U15" s="336"/>
      <c r="V15" s="345"/>
      <c r="W15" s="345"/>
      <c r="X15" s="345"/>
      <c r="Y15" s="345"/>
      <c r="Z15" s="345"/>
      <c r="AA15" s="345"/>
      <c r="AB15" s="345"/>
      <c r="AC15" s="345"/>
    </row>
    <row r="16" spans="1:31" s="325" customFormat="1" ht="19.5" customHeight="1">
      <c r="A16" s="446"/>
      <c r="B16" s="442" t="s">
        <v>70</v>
      </c>
      <c r="C16" s="752">
        <f>C6</f>
        <v>6</v>
      </c>
      <c r="D16" s="752">
        <f>D6</f>
        <v>10</v>
      </c>
      <c r="E16" s="752">
        <f>E6</f>
        <v>15</v>
      </c>
      <c r="F16" s="752" t="str">
        <f>F6</f>
        <v>6 FFF</v>
      </c>
      <c r="G16" s="752" t="str">
        <f>G6</f>
        <v>10 FFF</v>
      </c>
      <c r="H16" s="444"/>
      <c r="I16" s="345"/>
      <c r="J16" s="343" t="s">
        <v>479</v>
      </c>
      <c r="K16" s="344"/>
      <c r="L16" s="336"/>
      <c r="M16" s="336"/>
      <c r="N16" s="336"/>
      <c r="O16" s="336"/>
      <c r="P16" s="1111">
        <v>10</v>
      </c>
      <c r="Q16" s="336"/>
      <c r="R16" s="336"/>
      <c r="S16" s="336"/>
      <c r="T16" s="338"/>
      <c r="U16" s="336"/>
      <c r="V16" s="345"/>
      <c r="W16" s="345"/>
      <c r="X16" s="345"/>
      <c r="Y16" s="345"/>
      <c r="Z16" s="345"/>
      <c r="AA16" s="345"/>
      <c r="AB16" s="345"/>
      <c r="AC16" s="345"/>
    </row>
    <row r="17" spans="1:29" s="350" customFormat="1" ht="19.5" customHeight="1">
      <c r="A17" s="348"/>
      <c r="B17" s="962" t="s">
        <v>437</v>
      </c>
      <c r="C17" s="723">
        <f ca="1">VLOOKUP($C$16,'TVT''s afscherming'!$A$10:$J$23,2)</f>
        <v>37</v>
      </c>
      <c r="D17" s="724">
        <f ca="1">VLOOKUP($D$16,'TVT''s afscherming'!$A$10:$J$23,2)</f>
        <v>41</v>
      </c>
      <c r="E17" s="724">
        <f ca="1">VLOOKUP($E$16,'TVT''s afscherming'!$A$10:$J$23,2)</f>
        <v>44</v>
      </c>
      <c r="F17" s="724">
        <f ca="1">VLOOKUP($F$16,'TVT''s afscherming'!$A$10:$J$23,2)</f>
        <v>30</v>
      </c>
      <c r="G17" s="723">
        <f ca="1">VLOOKUP($G$16,'TVT''s afscherming'!$A$10:$J$23,2)</f>
        <v>36</v>
      </c>
      <c r="H17" s="721"/>
      <c r="I17" s="538"/>
      <c r="J17" s="343" t="s">
        <v>491</v>
      </c>
      <c r="K17" s="344"/>
      <c r="L17" s="336"/>
      <c r="M17" s="336"/>
      <c r="N17" s="336"/>
      <c r="O17" s="336"/>
      <c r="P17" s="1111">
        <v>10</v>
      </c>
      <c r="Q17" s="336"/>
      <c r="R17" s="336"/>
      <c r="S17" s="336"/>
      <c r="U17" s="336"/>
      <c r="V17" s="336"/>
      <c r="W17" s="336"/>
      <c r="X17" s="538"/>
      <c r="Y17" s="538"/>
      <c r="Z17" s="345"/>
      <c r="AA17" s="345"/>
      <c r="AB17" s="345"/>
      <c r="AC17" s="345"/>
    </row>
    <row r="18" spans="1:29" s="350" customFormat="1" ht="19.5" customHeight="1">
      <c r="A18" s="441"/>
      <c r="B18" s="311" t="s">
        <v>438</v>
      </c>
      <c r="C18" s="725">
        <f ca="1">VLOOKUP($C$16,'TVT''s afscherming'!$A$10:$J$23,3)</f>
        <v>33</v>
      </c>
      <c r="D18" s="725">
        <f ca="1">VLOOKUP($D$16,'TVT''s afscherming'!$A$10:$J$23,3)</f>
        <v>37</v>
      </c>
      <c r="E18" s="725">
        <f ca="1">VLOOKUP($E$16,'TVT''s afscherming'!$A$10:$J$23,3)</f>
        <v>41</v>
      </c>
      <c r="F18" s="725">
        <f ca="1">VLOOKUP($F$16,'TVT''s afscherming'!$A$10:$J$23,3)</f>
        <v>27</v>
      </c>
      <c r="G18" s="726">
        <f ca="1">VLOOKUP($G$16,'TVT''s afscherming'!$A$10:$J$23,3)</f>
        <v>36</v>
      </c>
      <c r="H18" s="719"/>
      <c r="I18" s="538"/>
      <c r="J18" s="343" t="s">
        <v>468</v>
      </c>
      <c r="K18" s="344"/>
      <c r="L18" s="336"/>
      <c r="M18" s="336"/>
      <c r="N18" s="336"/>
      <c r="O18" s="336"/>
      <c r="P18" s="1110">
        <v>1</v>
      </c>
      <c r="Q18" s="336"/>
      <c r="R18" s="336"/>
      <c r="S18" s="336"/>
      <c r="U18" s="336"/>
      <c r="V18" s="539"/>
      <c r="W18" s="336"/>
      <c r="X18" s="538"/>
      <c r="Y18" s="538"/>
      <c r="Z18" s="538"/>
      <c r="AA18" s="345"/>
      <c r="AB18" s="345"/>
      <c r="AC18" s="345"/>
    </row>
    <row r="19" spans="1:29" s="325" customFormat="1" ht="19.5" customHeight="1">
      <c r="A19" s="348"/>
      <c r="B19" s="442" t="s">
        <v>96</v>
      </c>
      <c r="C19" s="727">
        <f ca="1">VLOOKUP($C$16,'TVT''s afscherming'!$A$10:$J$23,4)</f>
        <v>24.2</v>
      </c>
      <c r="D19" s="725">
        <f ca="1">VLOOKUP($D$16,'TVT''s afscherming'!$A$10:$J$23,4)</f>
        <v>27</v>
      </c>
      <c r="E19" s="725">
        <f ca="1">VLOOKUP($E$16,'TVT''s afscherming'!$A$10:$J$23,4)</f>
        <v>29.5</v>
      </c>
      <c r="F19" s="725">
        <f ca="1">VLOOKUP($F$16,'TVT''s afscherming'!$A$10:$J$23,4)</f>
        <v>19.7</v>
      </c>
      <c r="G19" s="727">
        <f ca="1">VLOOKUP($G$16,'TVT''s afscherming'!$A$10:$J$23,4)</f>
        <v>23.6</v>
      </c>
      <c r="H19" s="441"/>
      <c r="I19" s="345"/>
      <c r="J19" s="343" t="s">
        <v>469</v>
      </c>
      <c r="K19" s="344"/>
      <c r="L19" s="336"/>
      <c r="M19" s="336"/>
      <c r="N19" s="336"/>
      <c r="O19" s="350"/>
      <c r="P19" s="1111">
        <v>5</v>
      </c>
      <c r="Q19" s="350"/>
      <c r="R19" s="350"/>
      <c r="S19" s="350"/>
      <c r="T19" s="338"/>
      <c r="U19" s="336"/>
      <c r="V19" s="397"/>
      <c r="W19" s="346"/>
      <c r="X19" s="345"/>
      <c r="Y19" s="345"/>
      <c r="Z19" s="538"/>
      <c r="AA19" s="345"/>
      <c r="AB19" s="345"/>
      <c r="AC19" s="345"/>
    </row>
    <row r="20" spans="1:29" s="325" customFormat="1" ht="19.5" customHeight="1" thickBot="1">
      <c r="A20" s="348"/>
      <c r="B20" s="442" t="s">
        <v>4</v>
      </c>
      <c r="C20" s="727">
        <f ca="1">VLOOKUP($C$16,'TVT''s afscherming'!$A$10:$J$23,5)</f>
        <v>9.9</v>
      </c>
      <c r="D20" s="725">
        <f ca="1">VLOOKUP($D$16,'TVT''s afscherming'!$A$10:$J$23,5)</f>
        <v>10</v>
      </c>
      <c r="E20" s="725">
        <f ca="1">VLOOKUP($E$16,'TVT''s afscherming'!$A$10:$J$23,5)</f>
        <v>11</v>
      </c>
      <c r="F20" s="725">
        <f ca="1">VLOOKUP($F$16,'TVT''s afscherming'!$A$10:$J$23,5)</f>
        <v>10.199999999999999</v>
      </c>
      <c r="G20" s="727">
        <f ca="1">VLOOKUP($G$16,'TVT''s afscherming'!$A$10:$J$23,5)</f>
        <v>10.199999999999999</v>
      </c>
      <c r="H20" s="441"/>
      <c r="I20" s="345"/>
      <c r="J20" s="409" t="s">
        <v>470</v>
      </c>
      <c r="K20" s="374"/>
      <c r="L20" s="336"/>
      <c r="M20" s="336"/>
      <c r="N20" s="336"/>
      <c r="O20" s="350"/>
      <c r="P20" s="1111">
        <v>10</v>
      </c>
      <c r="Q20" s="350"/>
      <c r="R20" s="350"/>
      <c r="S20" s="350"/>
      <c r="U20" s="336"/>
      <c r="V20" s="336"/>
      <c r="W20" s="336"/>
      <c r="X20" s="345"/>
      <c r="Y20" s="345"/>
      <c r="Z20" s="345"/>
      <c r="AA20" s="345"/>
      <c r="AB20" s="345"/>
      <c r="AC20" s="345"/>
    </row>
    <row r="21" spans="1:29" s="325" customFormat="1" ht="19.5" customHeight="1">
      <c r="A21" s="348"/>
      <c r="B21" s="442" t="s">
        <v>27</v>
      </c>
      <c r="C21" s="727">
        <f ca="1">VLOOKUP($C$16,'TVT''s afscherming'!$A$10:$J$23,6)</f>
        <v>5.7</v>
      </c>
      <c r="D21" s="725">
        <f ca="1">VLOOKUP($D$16,'TVT''s afscherming'!$A$10:$J$23,6)</f>
        <v>5.7</v>
      </c>
      <c r="E21" s="725">
        <f ca="1">VLOOKUP($E$16,'TVT''s afscherming'!$A$10:$J$23,6)</f>
        <v>5.7</v>
      </c>
      <c r="F21" s="725">
        <f ca="1">VLOOKUP($F$16,'TVT''s afscherming'!$A$10:$J$23,6)</f>
        <v>5.7</v>
      </c>
      <c r="G21" s="727">
        <f ca="1">VLOOKUP($G$16,'TVT''s afscherming'!$A$10:$J$23,6)</f>
        <v>5.7</v>
      </c>
      <c r="H21" s="441"/>
      <c r="I21" s="345"/>
      <c r="J21" s="530" t="s">
        <v>395</v>
      </c>
      <c r="K21" s="340"/>
      <c r="L21" s="340"/>
      <c r="M21" s="340"/>
      <c r="N21" s="340"/>
      <c r="O21" s="340"/>
      <c r="P21" s="1129"/>
      <c r="S21" s="336"/>
      <c r="U21" s="336"/>
      <c r="V21" s="336"/>
      <c r="W21" s="336"/>
      <c r="X21" s="345"/>
      <c r="Y21" s="345"/>
      <c r="Z21" s="345"/>
      <c r="AA21" s="345"/>
      <c r="AB21" s="345"/>
      <c r="AC21" s="345"/>
    </row>
    <row r="22" spans="1:29" s="325" customFormat="1" ht="19.5" customHeight="1">
      <c r="A22" s="441"/>
      <c r="B22" s="720"/>
      <c r="C22" s="868" t="s">
        <v>1</v>
      </c>
      <c r="D22" s="869"/>
      <c r="E22" s="869"/>
      <c r="F22" s="869"/>
      <c r="G22" s="870"/>
      <c r="H22" s="441"/>
      <c r="I22" s="345"/>
      <c r="J22" s="357" t="s">
        <v>403</v>
      </c>
      <c r="K22" s="358"/>
      <c r="L22" s="336"/>
      <c r="M22" s="336"/>
      <c r="N22" s="336"/>
      <c r="O22" s="336"/>
      <c r="P22" s="1111">
        <v>4</v>
      </c>
      <c r="Q22" s="336"/>
      <c r="U22" s="336"/>
      <c r="V22" s="336"/>
      <c r="W22" s="336"/>
      <c r="X22" s="345"/>
      <c r="Y22" s="345"/>
      <c r="Z22" s="345"/>
      <c r="AA22" s="345"/>
      <c r="AB22" s="345"/>
      <c r="AC22" s="345"/>
    </row>
    <row r="23" spans="1:29" s="325" customFormat="1" ht="19.5" customHeight="1">
      <c r="A23" s="441"/>
      <c r="B23" s="442" t="s">
        <v>70</v>
      </c>
      <c r="C23" s="752">
        <f ca="1">C6</f>
        <v>6</v>
      </c>
      <c r="D23" s="752">
        <f ca="1">D6</f>
        <v>10</v>
      </c>
      <c r="E23" s="753">
        <f ca="1">E6</f>
        <v>15</v>
      </c>
      <c r="F23" s="752" t="str">
        <f ca="1">F6</f>
        <v>6 FFF</v>
      </c>
      <c r="G23" s="754" t="str">
        <f ca="1">G6</f>
        <v>10 FFF</v>
      </c>
      <c r="H23" s="441"/>
      <c r="I23" s="345"/>
      <c r="J23" s="357" t="s">
        <v>482</v>
      </c>
      <c r="K23" s="358"/>
      <c r="L23" s="336"/>
      <c r="M23" s="336"/>
      <c r="N23" s="336"/>
      <c r="O23" s="336"/>
      <c r="P23" s="1110">
        <v>5</v>
      </c>
      <c r="Q23" s="336"/>
      <c r="U23" s="336"/>
      <c r="V23" s="345"/>
      <c r="W23" s="345"/>
      <c r="X23" s="345"/>
      <c r="Y23" s="345"/>
      <c r="Z23" s="345"/>
      <c r="AA23" s="538"/>
      <c r="AB23" s="538"/>
      <c r="AC23" s="538"/>
    </row>
    <row r="24" spans="1:29" s="325" customFormat="1" ht="19.5" customHeight="1">
      <c r="A24" s="441"/>
      <c r="B24" s="962" t="s">
        <v>3</v>
      </c>
      <c r="C24" s="723">
        <f ca="1">VLOOKUP($C$23,'TVT''s afscherming'!$A$10:$J$23,7)</f>
        <v>34</v>
      </c>
      <c r="D24" s="723">
        <f ca="1">VLOOKUP($D$23,'TVT''s afscherming'!$A$10:$J$23,7)</f>
        <v>38</v>
      </c>
      <c r="E24" s="724">
        <f ca="1">VLOOKUP($E$23,'TVT''s afscherming'!$A$10:$J$23,7)</f>
        <v>38.1</v>
      </c>
      <c r="F24" s="723">
        <f ca="1">VLOOKUP($F$23,'TVT''s afscherming'!$A$10:$J$23,7)</f>
        <v>30.5</v>
      </c>
      <c r="G24" s="728">
        <f ca="1">VLOOKUP($G$23,'TVT''s afscherming'!$A$10:$J$23,7)</f>
        <v>35.6</v>
      </c>
      <c r="J24" s="357" t="s">
        <v>307</v>
      </c>
      <c r="K24" s="358"/>
      <c r="L24" s="336"/>
      <c r="M24" s="336"/>
      <c r="N24" s="336"/>
      <c r="O24" s="336"/>
      <c r="P24" s="1111">
        <v>5</v>
      </c>
      <c r="Q24" s="336"/>
      <c r="U24" s="336"/>
      <c r="V24" s="336"/>
      <c r="W24" s="336"/>
      <c r="X24" s="336"/>
    </row>
    <row r="25" spans="1:29" s="325" customFormat="1" ht="19.5" customHeight="1">
      <c r="A25" s="441"/>
      <c r="B25" s="442" t="s">
        <v>96</v>
      </c>
      <c r="C25" s="727">
        <f ca="1">VLOOKUP($C$23,'TVT''s afscherming'!$A$10:$J$23,8)</f>
        <v>20</v>
      </c>
      <c r="D25" s="727">
        <f ca="1">VLOOKUP($D$23,'TVT''s afscherming'!$A$10:$J$23,8)</f>
        <v>24</v>
      </c>
      <c r="E25" s="725">
        <f ca="1">VLOOKUP($E$23,'TVT''s afscherming'!$A$10:$J$23,8)</f>
        <v>25.3</v>
      </c>
      <c r="F25" s="727">
        <f ca="1">VLOOKUP($F$23,'TVT''s afscherming'!$A$10:$J$23,8)</f>
        <v>20.3</v>
      </c>
      <c r="G25" s="726">
        <f ca="1">VLOOKUP($G$23,'TVT''s afscherming'!$A$10:$J$23,8)</f>
        <v>23.7</v>
      </c>
      <c r="I25" s="442"/>
      <c r="J25" s="357" t="s">
        <v>490</v>
      </c>
      <c r="K25" s="358"/>
      <c r="L25" s="336"/>
      <c r="M25" s="336"/>
      <c r="N25" s="336"/>
      <c r="O25" s="336"/>
      <c r="P25" s="1111">
        <v>5</v>
      </c>
      <c r="Q25" s="336"/>
      <c r="U25" s="336"/>
      <c r="V25" s="336"/>
      <c r="W25" s="336"/>
      <c r="X25" s="336"/>
    </row>
    <row r="26" spans="1:29" s="325" customFormat="1" ht="19.5" customHeight="1">
      <c r="A26" s="441"/>
      <c r="B26" s="442" t="s">
        <v>4</v>
      </c>
      <c r="C26" s="727">
        <f ca="1">VLOOKUP($C$23,'TVT''s afscherming'!$A$10:$J$23,9)</f>
        <v>9.9</v>
      </c>
      <c r="D26" s="727">
        <f ca="1">VLOOKUP($D$23,'TVT''s afscherming'!$A$10:$J$23,9)</f>
        <v>10</v>
      </c>
      <c r="E26" s="725">
        <f ca="1">VLOOKUP($E$23,'TVT''s afscherming'!$A$10:$J$23,9)</f>
        <v>10.7</v>
      </c>
      <c r="F26" s="727">
        <f ca="1">VLOOKUP($F$23,'TVT''s afscherming'!$A$10:$J$23,9)</f>
        <v>10.199999999999999</v>
      </c>
      <c r="G26" s="726">
        <f ca="1">VLOOKUP($G$23,'TVT''s afscherming'!$A$10:$J$23,9)</f>
        <v>10.7</v>
      </c>
      <c r="J26" s="357" t="s">
        <v>308</v>
      </c>
      <c r="K26" s="358"/>
      <c r="L26" s="336"/>
      <c r="M26" s="336"/>
      <c r="N26" s="336"/>
      <c r="O26" s="336"/>
      <c r="P26" s="1110">
        <v>1</v>
      </c>
      <c r="Q26" s="336"/>
      <c r="T26" s="336"/>
      <c r="U26" s="337"/>
      <c r="V26" s="336"/>
      <c r="W26" s="336"/>
      <c r="X26" s="336"/>
      <c r="Y26" s="336"/>
    </row>
    <row r="27" spans="1:29" s="325" customFormat="1" ht="19.5" customHeight="1" thickBot="1">
      <c r="A27" s="777"/>
      <c r="B27" s="455" t="s">
        <v>27</v>
      </c>
      <c r="C27" s="729">
        <f ca="1">VLOOKUP($C$23,'TVT''s afscherming'!$A$10:$J$23,10)</f>
        <v>5.7</v>
      </c>
      <c r="D27" s="729">
        <f ca="1">VLOOKUP($D$23,'TVT''s afscherming'!$A$10:$J$23,10)</f>
        <v>5.7</v>
      </c>
      <c r="E27" s="730">
        <f ca="1">VLOOKUP($E$23,'TVT''s afscherming'!$A$10:$J$23,10)</f>
        <v>5.7</v>
      </c>
      <c r="F27" s="729">
        <f ca="1">VLOOKUP($F$23,'TVT''s afscherming'!$A$10:$J$23,10)</f>
        <v>5</v>
      </c>
      <c r="G27" s="731">
        <f ca="1">VLOOKUP($G$23,'TVT''s afscherming'!$A$10:$J$23,10)</f>
        <v>5.7</v>
      </c>
      <c r="J27" s="357" t="s">
        <v>481</v>
      </c>
      <c r="K27" s="358"/>
      <c r="L27" s="336"/>
      <c r="M27" s="336"/>
      <c r="N27" s="336"/>
      <c r="O27" s="336"/>
      <c r="P27" s="1111">
        <f>20*20</f>
        <v>400</v>
      </c>
      <c r="Q27" s="336"/>
      <c r="T27" s="336"/>
      <c r="U27" s="337"/>
      <c r="V27" s="336"/>
      <c r="W27" s="336"/>
      <c r="X27" s="336"/>
      <c r="Y27" s="336"/>
    </row>
    <row r="28" spans="1:29" s="325" customFormat="1" ht="19.5" customHeight="1">
      <c r="A28" s="441"/>
      <c r="B28" s="720"/>
      <c r="C28" s="1430" t="s">
        <v>453</v>
      </c>
      <c r="D28" s="869"/>
      <c r="E28" s="869"/>
      <c r="F28" s="869"/>
      <c r="G28" s="870"/>
      <c r="J28" s="357" t="s">
        <v>394</v>
      </c>
      <c r="K28" s="345"/>
      <c r="L28" s="345"/>
      <c r="M28" s="345"/>
      <c r="N28" s="345"/>
      <c r="O28" s="345"/>
      <c r="P28" s="1111">
        <v>225</v>
      </c>
      <c r="T28" s="336"/>
      <c r="U28" s="337"/>
      <c r="V28" s="336"/>
      <c r="W28" s="336"/>
      <c r="X28" s="336"/>
      <c r="Y28" s="336"/>
    </row>
    <row r="29" spans="1:29" s="325" customFormat="1" ht="19.5" customHeight="1">
      <c r="A29" s="441"/>
      <c r="B29" s="442" t="s">
        <v>70</v>
      </c>
      <c r="C29" s="783">
        <v>0.5</v>
      </c>
      <c r="D29" s="765"/>
      <c r="E29" s="962"/>
      <c r="F29" s="962"/>
      <c r="G29" s="786"/>
      <c r="J29" s="343" t="s">
        <v>471</v>
      </c>
      <c r="K29" s="374"/>
      <c r="L29" s="336"/>
      <c r="M29" s="336"/>
      <c r="N29" s="336"/>
      <c r="O29" s="336"/>
      <c r="P29" s="1111">
        <v>1</v>
      </c>
      <c r="T29" s="336"/>
      <c r="U29" s="337"/>
      <c r="V29" s="336"/>
      <c r="W29" s="336"/>
      <c r="X29" s="336"/>
      <c r="Y29" s="336"/>
    </row>
    <row r="30" spans="1:29" s="325" customFormat="1" ht="19.5" customHeight="1" thickBot="1">
      <c r="A30" s="441"/>
      <c r="B30" s="962" t="s">
        <v>3</v>
      </c>
      <c r="C30" s="723">
        <f ca="1">VLOOKUP($C$29,'TVT''s afscherming'!$A$10:$J$23,2)</f>
        <v>11.9</v>
      </c>
      <c r="D30" s="784"/>
      <c r="E30" s="359"/>
      <c r="F30" s="359"/>
      <c r="G30" s="787"/>
      <c r="J30" s="373" t="s">
        <v>472</v>
      </c>
      <c r="K30" s="352"/>
      <c r="L30" s="353"/>
      <c r="M30" s="353"/>
      <c r="N30" s="353"/>
      <c r="O30" s="353"/>
      <c r="P30" s="1113">
        <v>1</v>
      </c>
      <c r="T30" s="336"/>
      <c r="U30" s="337"/>
      <c r="V30" s="336"/>
      <c r="X30" s="336"/>
      <c r="Y30" s="336"/>
    </row>
    <row r="31" spans="1:29" s="325" customFormat="1" ht="19.5" customHeight="1">
      <c r="A31" s="441"/>
      <c r="B31" s="442" t="s">
        <v>96</v>
      </c>
      <c r="C31" s="727">
        <f ca="1">VLOOKUP($C$29,'TVT''s afscherming'!$A$10:$J$23,4)</f>
        <v>9.4</v>
      </c>
      <c r="D31" s="784"/>
      <c r="E31" s="359"/>
      <c r="F31" s="359"/>
      <c r="G31" s="787"/>
      <c r="J31" s="531" t="s">
        <v>398</v>
      </c>
      <c r="K31" s="360"/>
      <c r="L31" s="361"/>
      <c r="M31" s="361"/>
      <c r="N31" s="1681" t="s">
        <v>295</v>
      </c>
      <c r="O31" s="323"/>
      <c r="P31" s="396"/>
      <c r="Q31" s="361"/>
      <c r="R31" s="427"/>
      <c r="S31" s="426"/>
      <c r="T31" s="336"/>
      <c r="U31" s="337"/>
      <c r="V31" s="336"/>
      <c r="W31" s="336"/>
      <c r="X31" s="336"/>
      <c r="Y31" s="336"/>
    </row>
    <row r="32" spans="1:29" s="325" customFormat="1" ht="19.5" customHeight="1">
      <c r="A32" s="441"/>
      <c r="B32" s="442" t="s">
        <v>4</v>
      </c>
      <c r="C32" s="727">
        <f ca="1">VLOOKUP($C$29,'TVT''s afscherming'!$A$10:$J$23,5)</f>
        <v>3.2</v>
      </c>
      <c r="D32" s="784"/>
      <c r="E32" s="359"/>
      <c r="F32" s="359"/>
      <c r="G32" s="787"/>
      <c r="J32" s="546"/>
      <c r="K32" s="467"/>
      <c r="L32" s="345"/>
      <c r="M32" s="349"/>
      <c r="N32" s="1682"/>
      <c r="O32" s="326"/>
      <c r="P32" s="454"/>
      <c r="Q32" s="336"/>
      <c r="R32" s="513"/>
      <c r="S32" s="383"/>
      <c r="T32" s="337"/>
      <c r="U32" s="338"/>
      <c r="V32" s="336"/>
      <c r="W32" s="336"/>
      <c r="X32" s="336"/>
      <c r="Y32" s="336"/>
    </row>
    <row r="33" spans="1:34" s="325" customFormat="1" ht="19.5" customHeight="1" thickBot="1">
      <c r="A33" s="777"/>
      <c r="B33" s="455" t="s">
        <v>27</v>
      </c>
      <c r="C33" s="729">
        <f ca="1">VLOOKUP($C$29,'TVT''s afscherming'!$A$10:$J$23,6)</f>
        <v>1.03</v>
      </c>
      <c r="D33" s="785"/>
      <c r="E33" s="788"/>
      <c r="F33" s="788"/>
      <c r="G33" s="789"/>
      <c r="J33" s="348"/>
      <c r="K33" s="814" t="s">
        <v>103</v>
      </c>
      <c r="L33" s="813" t="s">
        <v>129</v>
      </c>
      <c r="M33" s="563" t="s">
        <v>70</v>
      </c>
      <c r="N33" s="564">
        <v>0.5</v>
      </c>
      <c r="O33" s="755">
        <f>$C$6</f>
        <v>6</v>
      </c>
      <c r="P33" s="756">
        <f>$D$6</f>
        <v>10</v>
      </c>
      <c r="Q33" s="756">
        <f>$E$6</f>
        <v>15</v>
      </c>
      <c r="R33" s="755" t="str">
        <f>$F$6</f>
        <v>6 FFF</v>
      </c>
      <c r="S33" s="757" t="str">
        <f>$G$6</f>
        <v>10 FFF</v>
      </c>
      <c r="T33" s="397"/>
      <c r="U33" s="338"/>
      <c r="V33" s="336"/>
      <c r="W33" s="336"/>
      <c r="X33" s="336"/>
      <c r="Y33" s="336"/>
    </row>
    <row r="34" spans="1:34" s="325" customFormat="1" ht="19.5" customHeight="1">
      <c r="A34" s="336" t="s">
        <v>439</v>
      </c>
      <c r="H34" s="345"/>
      <c r="J34" s="362" t="s">
        <v>483</v>
      </c>
      <c r="K34" s="809" t="s">
        <v>456</v>
      </c>
      <c r="L34" s="767">
        <f>IF($P$6="parallel",75,30)</f>
        <v>30</v>
      </c>
      <c r="M34" s="364"/>
      <c r="N34" s="732"/>
      <c r="O34" s="733">
        <f ca="1">IF($P$6="parallel",VLOOKUP($O$33,reflectiecoeff!$A$10:$F$18,2),VLOOKUP($O$33,reflectiecoeff!$A$26:$F$34,2))</f>
        <v>1.7500000000000002E-2</v>
      </c>
      <c r="P34" s="733">
        <f ca="1">IF($P$6="parallel",VLOOKUP($P$33,reflectiecoeff!$A$10:$F$18,2),VLOOKUP($P$33,reflectiecoeff!$A$26:$F$34,2))</f>
        <v>2.2499999999999999E-2</v>
      </c>
      <c r="Q34" s="733">
        <f ca="1">IF($P$6="parallel",VLOOKUP($Q$33,reflectiecoeff!$A$10:$F$18,2),VLOOKUP($Q$33,reflectiecoeff!$A$26:$F$34,2))</f>
        <v>3.2500000000000001E-2</v>
      </c>
      <c r="R34" s="734">
        <f ca="1">IF($P$6="parallel",VLOOKUP($R$33,reflectiecoeff!$A$10:$F$18,2),VLOOKUP($R$33,reflectiecoeff!$A$26:$F$34,2))</f>
        <v>1.4999999999999999E-2</v>
      </c>
      <c r="S34" s="735">
        <f ca="1">IF($P$6="parallel",VLOOKUP($S$33,reflectiecoeff!$A$10:$F$18,2),VLOOKUP($S$33,reflectiecoeff!$A$26:$F$34,2))</f>
        <v>1.49E-2</v>
      </c>
      <c r="T34" s="562"/>
      <c r="U34" s="338"/>
      <c r="V34" s="336"/>
      <c r="W34" s="336"/>
      <c r="X34" s="336"/>
      <c r="Y34" s="336"/>
    </row>
    <row r="35" spans="1:34" s="325" customFormat="1" ht="19.5" customHeight="1">
      <c r="J35" s="365" t="s">
        <v>484</v>
      </c>
      <c r="K35" s="810" t="s">
        <v>456</v>
      </c>
      <c r="L35" s="768">
        <v>75</v>
      </c>
      <c r="M35" s="545"/>
      <c r="N35" s="736"/>
      <c r="O35" s="737">
        <f ca="1">IF($P$6="parallel",VLOOKUP($O$33,reflectiecoeff!$A$10:$F$18,3),VLOOKUP($O$33,reflectiecoeff!$A$26:$F$34,3))</f>
        <v>1.7500000000000002E-2</v>
      </c>
      <c r="P35" s="737">
        <f ca="1">IF($P$6="parallel",VLOOKUP($P$33,reflectiecoeff!$A$10:$F$18,3),VLOOKUP($P$33,reflectiecoeff!$A$26:$F$34,3))</f>
        <v>2.2499999999999999E-2</v>
      </c>
      <c r="Q35" s="737">
        <f ca="1">IF($P$6="parallel",VLOOKUP($Q$33,reflectiecoeff!$A$10:$F$18,3),VLOOKUP($Q$33,reflectiecoeff!$A$26:$F$34,3))</f>
        <v>3.2500000000000001E-2</v>
      </c>
      <c r="R35" s="738">
        <f ca="1">IF($P$6="parallel",VLOOKUP($R$33,reflectiecoeff!$A$10:$F$18,3),VLOOKUP($R$33,reflectiecoeff!$A$26:$F$34,3))</f>
        <v>1.4999999999999999E-2</v>
      </c>
      <c r="S35" s="739">
        <f ca="1">IF($P$6="parallel",VLOOKUP($S$33,reflectiecoeff!$A$10:$F$18,3),VLOOKUP($S$33,reflectiecoeff!$A$26:$F$34,3))</f>
        <v>1.49E-2</v>
      </c>
      <c r="T35" s="336"/>
      <c r="U35" s="338"/>
      <c r="V35" s="338"/>
      <c r="W35" s="336"/>
      <c r="X35" s="336"/>
      <c r="Y35" s="336"/>
    </row>
    <row r="36" spans="1:34" s="325" customFormat="1" ht="19.5" customHeight="1">
      <c r="J36" s="365" t="s">
        <v>485</v>
      </c>
      <c r="K36" s="768">
        <f>IF($P$6="parallel",0,45)</f>
        <v>45</v>
      </c>
      <c r="L36" s="768">
        <f>IF($P$6="parallel",75,0)</f>
        <v>0</v>
      </c>
      <c r="M36" s="545"/>
      <c r="N36" s="740">
        <f ca="1">IF($P$6="parallel",VLOOKUP($N$33,reflectiecoeff!$A$10:$F$18,4),VLOOKUP($N$33,reflectiecoeff!$A$26:$F$34,4))</f>
        <v>2.375E-2</v>
      </c>
      <c r="O36" s="741"/>
      <c r="P36" s="737"/>
      <c r="Q36" s="737"/>
      <c r="R36" s="738"/>
      <c r="S36" s="739"/>
      <c r="T36" s="336"/>
      <c r="U36" s="338"/>
      <c r="V36" s="338"/>
      <c r="W36" s="336"/>
      <c r="X36" s="336"/>
      <c r="Y36" s="336"/>
    </row>
    <row r="37" spans="1:34" s="325" customFormat="1" ht="19.5" customHeight="1">
      <c r="I37" s="311"/>
      <c r="J37" s="365" t="s">
        <v>486</v>
      </c>
      <c r="K37" s="810">
        <v>45</v>
      </c>
      <c r="L37" s="768">
        <v>0</v>
      </c>
      <c r="M37" s="545"/>
      <c r="N37" s="736"/>
      <c r="O37" s="737">
        <f ca="1">IF($P$6="parallel",VLOOKUP($O$33,reflectiecoeff!$A$10:$F$18,5),VLOOKUP($O$33,reflectiecoeff!$A$26:$F$34,5))</f>
        <v>1.7500000000000002E-2</v>
      </c>
      <c r="P37" s="737">
        <f ca="1">IF($P$6="parallel",VLOOKUP($P$33,reflectiecoeff!$A$10:$F$18,5),VLOOKUP($P$33,reflectiecoeff!$A$26:$F$34,5))</f>
        <v>2.2499999999999999E-2</v>
      </c>
      <c r="Q37" s="737">
        <f ca="1">IF($P$6="parallel",VLOOKUP($Q$33,reflectiecoeff!$A$10:$F$18,5),VLOOKUP($Q$33,reflectiecoeff!$A$26:$F$34,5))</f>
        <v>3.2500000000000001E-2</v>
      </c>
      <c r="R37" s="738">
        <f ca="1">IF($P$6="parallel",VLOOKUP($R$33,reflectiecoeff!$A$10:$F$18,5),VLOOKUP($R$33,reflectiecoeff!$A$26:$F$34,5))</f>
        <v>1.4999999999999999E-2</v>
      </c>
      <c r="S37" s="739">
        <f ca="1">IF($P$6="parallel",VLOOKUP($S$33,reflectiecoeff!$A$10:$F$18,5),VLOOKUP($S$33,reflectiecoeff!$A$26:$F$34,5))</f>
        <v>1.49E-2</v>
      </c>
      <c r="T37" s="336"/>
      <c r="U37" s="338"/>
      <c r="V37" s="338"/>
      <c r="W37" s="336"/>
      <c r="X37" s="336"/>
      <c r="Y37" s="336"/>
    </row>
    <row r="38" spans="1:34" s="325" customFormat="1" ht="19.5" customHeight="1" thickBot="1">
      <c r="I38" s="311"/>
      <c r="J38" s="365" t="s">
        <v>487</v>
      </c>
      <c r="K38" s="812" t="s">
        <v>456</v>
      </c>
      <c r="L38" s="811">
        <v>75</v>
      </c>
      <c r="M38" s="534"/>
      <c r="N38" s="1176">
        <f ca="1">IF(P7=1,1,(IF($P$6="parallel",VLOOKUP($N$33,reflectiecoeff!$A$10:$F$18,6),VLOOKUP($N$33,reflectiecoeff!$A$26:$F$34,6))))</f>
        <v>1</v>
      </c>
      <c r="O38" s="736"/>
      <c r="P38" s="737"/>
      <c r="Q38" s="742"/>
      <c r="R38" s="742"/>
      <c r="S38" s="743"/>
      <c r="U38" s="338"/>
      <c r="V38" s="338"/>
      <c r="W38" s="336"/>
      <c r="X38" s="336"/>
      <c r="Y38" s="336"/>
    </row>
    <row r="39" spans="1:34" s="325" customFormat="1" ht="19.5" customHeight="1">
      <c r="I39" s="311"/>
      <c r="J39" s="531" t="s">
        <v>454</v>
      </c>
      <c r="K39" s="360"/>
      <c r="L39" s="361"/>
      <c r="M39" s="361"/>
      <c r="N39" s="815"/>
      <c r="O39" s="323"/>
      <c r="P39" s="396"/>
      <c r="Q39" s="361"/>
      <c r="R39" s="427"/>
      <c r="S39" s="426"/>
      <c r="T39" s="336"/>
      <c r="U39" s="338"/>
      <c r="V39" s="338"/>
      <c r="W39" s="336"/>
      <c r="X39" s="336"/>
      <c r="Y39" s="336"/>
    </row>
    <row r="40" spans="1:34" ht="19.5" customHeight="1">
      <c r="B40" s="375"/>
      <c r="C40" s="375"/>
      <c r="D40" s="376"/>
      <c r="J40" s="348" t="s">
        <v>474</v>
      </c>
      <c r="K40" s="344"/>
      <c r="L40" s="805" t="s">
        <v>463</v>
      </c>
      <c r="M40" s="346"/>
      <c r="N40" s="804"/>
      <c r="O40" s="768"/>
      <c r="P40" s="769"/>
      <c r="Q40" s="769"/>
      <c r="R40" s="768"/>
      <c r="S40" s="778"/>
      <c r="T40" s="311"/>
      <c r="U40" s="311"/>
      <c r="X40" s="321"/>
      <c r="Y40" s="321"/>
      <c r="Z40" s="321"/>
      <c r="AA40" s="321"/>
      <c r="AC40" s="378"/>
      <c r="AD40" s="378"/>
      <c r="AE40" s="378"/>
      <c r="AF40" s="378"/>
    </row>
    <row r="41" spans="1:34" ht="19.5" customHeight="1">
      <c r="A41" s="321"/>
      <c r="B41" s="375"/>
      <c r="C41" s="375"/>
      <c r="D41" s="376"/>
      <c r="J41" s="790" t="s">
        <v>455</v>
      </c>
      <c r="K41" s="793"/>
      <c r="L41" s="806" t="s">
        <v>461</v>
      </c>
      <c r="M41" s="794"/>
      <c r="N41" s="795"/>
      <c r="O41" s="733">
        <f ca="1">VLOOKUP($O$33,scatterfactoren!$A$17:$I$27,5)</f>
        <v>1.39E-3</v>
      </c>
      <c r="P41" s="733">
        <f ca="1">VLOOKUP($P$33,scatterfactoren!$A$17:$I$27,5)</f>
        <v>1.3500000000000001E-3</v>
      </c>
      <c r="Q41" s="733">
        <f ca="1">VLOOKUP($Q$33,scatterfactoren!$A$17:$I$27,5)</f>
        <v>1.0499999999999999E-3</v>
      </c>
      <c r="R41" s="733">
        <f ca="1">VLOOKUP($R$33,scatterfactoren!$A$17:$I$27,5)</f>
        <v>1.2999999999999999E-3</v>
      </c>
      <c r="S41" s="735">
        <f ca="1">VLOOKUP($S$33,scatterfactoren!$A$17:$I$27,5)</f>
        <v>1.1999999999999999E-3</v>
      </c>
      <c r="T41" s="311"/>
      <c r="U41" s="311"/>
      <c r="X41" s="321"/>
      <c r="Y41" s="321"/>
      <c r="Z41" s="321"/>
      <c r="AA41" s="378"/>
      <c r="AB41" s="378"/>
      <c r="AC41" s="379"/>
      <c r="AD41" s="379"/>
      <c r="AE41" s="379"/>
      <c r="AF41" s="378"/>
      <c r="AG41" s="378"/>
      <c r="AH41" s="378"/>
    </row>
    <row r="42" spans="1:34" ht="19.5" customHeight="1">
      <c r="A42" s="321"/>
      <c r="B42" s="375"/>
      <c r="C42" s="375"/>
      <c r="D42" s="376"/>
      <c r="J42" s="796" t="s">
        <v>458</v>
      </c>
      <c r="K42" s="797"/>
      <c r="L42" s="807" t="s">
        <v>459</v>
      </c>
      <c r="M42" s="467"/>
      <c r="N42" s="798"/>
      <c r="O42" s="737">
        <f ca="1">VLOOKUP($O$33,scatterfactoren!$A$17:$I$27,7)</f>
        <v>4.26E-4</v>
      </c>
      <c r="P42" s="737">
        <f ca="1">VLOOKUP($P$33,scatterfactoren!$A$17:$I$27,7)</f>
        <v>3.8099999999999999E-4</v>
      </c>
      <c r="Q42" s="737">
        <f ca="1">VLOOKUP($Q$33,scatterfactoren!$A$17:$I$27,7)</f>
        <v>2.61E-4</v>
      </c>
      <c r="R42" s="737">
        <f ca="1">VLOOKUP($R$33,scatterfactoren!$A$17:$I$27,7)</f>
        <v>4.46E-4</v>
      </c>
      <c r="S42" s="739">
        <f ca="1">VLOOKUP($S$33,scatterfactoren!$A$17:$I$27,7)</f>
        <v>4.0299999999999998E-4</v>
      </c>
      <c r="T42" s="311"/>
      <c r="U42" s="311"/>
      <c r="X42" s="321"/>
      <c r="Y42" s="321"/>
      <c r="Z42" s="321"/>
      <c r="AA42" s="378"/>
      <c r="AB42" s="378"/>
      <c r="AC42" s="379"/>
      <c r="AD42" s="379"/>
      <c r="AE42" s="379"/>
      <c r="AF42" s="378"/>
      <c r="AG42" s="378"/>
      <c r="AH42" s="378"/>
    </row>
    <row r="43" spans="1:34" ht="19.5" customHeight="1" thickBot="1">
      <c r="A43" s="321"/>
      <c r="B43" s="375"/>
      <c r="C43" s="375"/>
      <c r="D43" s="376"/>
      <c r="J43" s="799" t="s">
        <v>460</v>
      </c>
      <c r="K43" s="800"/>
      <c r="L43" s="808" t="s">
        <v>462</v>
      </c>
      <c r="M43" s="534"/>
      <c r="N43" s="801"/>
      <c r="O43" s="737">
        <f ca="1">VLOOKUP($O$33,scatterfactoren!$A$17:$I$27,8)</f>
        <v>2.9999999999999997E-4</v>
      </c>
      <c r="P43" s="737">
        <f ca="1">VLOOKUP($P$33,scatterfactoren!$A$17:$I$27,8)</f>
        <v>3.0200000000000002E-4</v>
      </c>
      <c r="Q43" s="803">
        <f ca="1">VLOOKUP($Q$33,scatterfactoren!$A$17:$I$27,8)</f>
        <v>1.9100000000000001E-4</v>
      </c>
      <c r="R43" s="803">
        <f ca="1">VLOOKUP($R$33,scatterfactoren!$A$17:$I$27,8)</f>
        <v>3.4200000000000002E-4</v>
      </c>
      <c r="S43" s="743">
        <f ca="1">VLOOKUP($S$33,scatterfactoren!$A$17:$I$27,8)</f>
        <v>3.8200000000000002E-4</v>
      </c>
      <c r="T43" s="311"/>
      <c r="U43" s="311"/>
      <c r="X43" s="321"/>
      <c r="Y43" s="321"/>
      <c r="Z43" s="321"/>
      <c r="AA43" s="378"/>
      <c r="AB43" s="378"/>
      <c r="AC43" s="379"/>
      <c r="AD43" s="379"/>
      <c r="AE43" s="379"/>
      <c r="AF43" s="378"/>
      <c r="AG43" s="378"/>
      <c r="AH43" s="378"/>
    </row>
    <row r="44" spans="1:34" ht="19.5" customHeight="1">
      <c r="A44" s="321"/>
      <c r="B44" s="375"/>
      <c r="C44" s="375"/>
      <c r="D44" s="376"/>
      <c r="J44" s="365" t="s">
        <v>399</v>
      </c>
      <c r="K44" s="345"/>
      <c r="L44" s="345"/>
      <c r="M44" s="442"/>
      <c r="N44" s="762"/>
      <c r="O44" s="340"/>
      <c r="P44" s="341"/>
      <c r="Q44" s="325"/>
      <c r="R44" s="325"/>
      <c r="S44" s="336"/>
      <c r="T44" s="311"/>
      <c r="U44" s="311"/>
      <c r="X44" s="321"/>
      <c r="Y44" s="321"/>
      <c r="Z44" s="321"/>
      <c r="AA44" s="378"/>
      <c r="AB44" s="378"/>
      <c r="AC44" s="379"/>
      <c r="AD44" s="379"/>
      <c r="AE44" s="379"/>
      <c r="AF44" s="378"/>
      <c r="AG44" s="378"/>
      <c r="AH44" s="378"/>
    </row>
    <row r="45" spans="1:34" ht="19.5" customHeight="1">
      <c r="A45" s="321"/>
      <c r="B45" s="375"/>
      <c r="C45" s="375"/>
      <c r="D45" s="376"/>
      <c r="J45" s="409" t="s">
        <v>396</v>
      </c>
      <c r="K45" s="374"/>
      <c r="L45" s="336"/>
      <c r="M45" s="336"/>
      <c r="N45" s="336"/>
      <c r="O45" s="336"/>
      <c r="P45" s="1114">
        <v>0.5</v>
      </c>
      <c r="Q45" s="325"/>
      <c r="R45" s="325"/>
      <c r="S45" s="336"/>
      <c r="T45" s="311"/>
      <c r="U45" s="311"/>
      <c r="X45" s="321"/>
      <c r="Y45" s="321"/>
      <c r="Z45" s="321"/>
      <c r="AA45" s="378"/>
      <c r="AB45" s="378"/>
      <c r="AC45" s="379"/>
      <c r="AD45" s="379"/>
      <c r="AE45" s="379"/>
      <c r="AF45" s="378"/>
      <c r="AG45" s="378"/>
      <c r="AH45" s="378"/>
    </row>
    <row r="46" spans="1:34" ht="19.5" customHeight="1" thickBot="1">
      <c r="A46" s="321"/>
      <c r="B46" s="375"/>
      <c r="C46" s="375"/>
      <c r="D46" s="376"/>
      <c r="J46" s="536" t="s">
        <v>397</v>
      </c>
      <c r="K46" s="537"/>
      <c r="L46" s="537"/>
      <c r="M46" s="537"/>
      <c r="N46" s="537"/>
      <c r="O46" s="537"/>
      <c r="P46" s="1115">
        <v>0.32</v>
      </c>
      <c r="Q46" s="325"/>
      <c r="R46" s="325"/>
      <c r="S46" s="336"/>
      <c r="T46" s="311"/>
      <c r="U46" s="311"/>
      <c r="X46" s="321"/>
      <c r="Y46" s="321"/>
      <c r="Z46" s="321"/>
      <c r="AA46" s="378"/>
      <c r="AB46" s="378"/>
      <c r="AC46" s="379"/>
      <c r="AD46" s="379"/>
      <c r="AE46" s="379"/>
      <c r="AF46" s="378"/>
      <c r="AG46" s="378"/>
      <c r="AH46" s="378"/>
    </row>
    <row r="47" spans="1:34" ht="19.5" customHeight="1">
      <c r="A47" s="321"/>
      <c r="B47" s="375"/>
      <c r="C47" s="375"/>
      <c r="D47" s="376"/>
      <c r="J47" s="535" t="s">
        <v>268</v>
      </c>
      <c r="K47" s="327"/>
      <c r="L47" s="1681" t="s">
        <v>295</v>
      </c>
      <c r="M47" s="367" t="s">
        <v>49</v>
      </c>
      <c r="N47" s="368" t="s">
        <v>267</v>
      </c>
      <c r="O47" s="325"/>
      <c r="P47" s="325"/>
      <c r="Q47" s="325"/>
      <c r="R47" s="325"/>
      <c r="S47" s="336"/>
      <c r="T47" s="311"/>
      <c r="U47" s="311"/>
      <c r="X47" s="321"/>
      <c r="Y47" s="321"/>
      <c r="Z47" s="321"/>
      <c r="AA47" s="378"/>
      <c r="AB47" s="378"/>
      <c r="AC47" s="379"/>
      <c r="AD47" s="379"/>
      <c r="AE47" s="379"/>
      <c r="AF47" s="378"/>
      <c r="AG47" s="378"/>
      <c r="AH47" s="378"/>
    </row>
    <row r="48" spans="1:34" ht="19.5" customHeight="1">
      <c r="A48" s="321"/>
      <c r="B48" s="375"/>
      <c r="C48" s="375"/>
      <c r="D48" s="376"/>
      <c r="J48" s="444" t="s">
        <v>336</v>
      </c>
      <c r="K48" s="336"/>
      <c r="L48" s="1693"/>
      <c r="M48" s="454" t="s">
        <v>44</v>
      </c>
      <c r="N48" s="778" t="s">
        <v>400</v>
      </c>
      <c r="O48" s="325"/>
      <c r="P48" s="325"/>
      <c r="Q48" s="325"/>
      <c r="R48" s="325"/>
      <c r="S48" s="336"/>
      <c r="T48" s="311"/>
      <c r="U48" s="311"/>
      <c r="X48" s="321"/>
      <c r="Y48" s="321"/>
      <c r="Z48" s="321"/>
      <c r="AA48" s="378"/>
      <c r="AB48" s="378"/>
      <c r="AC48" s="379"/>
      <c r="AD48" s="379"/>
      <c r="AE48" s="379"/>
      <c r="AF48" s="378"/>
      <c r="AG48" s="378"/>
      <c r="AH48" s="378"/>
    </row>
    <row r="49" spans="1:52" ht="19.5" customHeight="1">
      <c r="A49" s="321"/>
      <c r="B49" s="375"/>
      <c r="C49" s="375"/>
      <c r="D49" s="376"/>
      <c r="J49" s="369"/>
      <c r="K49" s="370" t="s">
        <v>70</v>
      </c>
      <c r="L49" s="363">
        <f>N33</f>
        <v>0.5</v>
      </c>
      <c r="M49" s="767">
        <v>0.1</v>
      </c>
      <c r="N49" s="371">
        <v>3.6</v>
      </c>
      <c r="O49" s="325"/>
      <c r="P49" s="325"/>
      <c r="Q49" s="325"/>
      <c r="R49" s="325"/>
      <c r="S49" s="336"/>
      <c r="T49" s="311"/>
      <c r="U49" s="311"/>
      <c r="X49" s="321"/>
      <c r="Y49" s="321"/>
      <c r="Z49" s="321"/>
      <c r="AA49" s="378"/>
      <c r="AB49" s="378"/>
      <c r="AC49" s="379"/>
      <c r="AD49" s="379"/>
      <c r="AE49" s="379"/>
      <c r="AF49" s="378"/>
      <c r="AG49" s="378"/>
      <c r="AH49" s="378"/>
    </row>
    <row r="50" spans="1:52" ht="19.5" customHeight="1">
      <c r="A50" s="321"/>
      <c r="B50" s="375"/>
      <c r="C50" s="375"/>
      <c r="D50" s="376"/>
      <c r="J50" s="369"/>
      <c r="K50" s="342" t="s">
        <v>3</v>
      </c>
      <c r="L50" s="724">
        <f ca="1">VLOOKUP($L$49,'TVT''s afscherming'!$A$11:$J$23,2)</f>
        <v>11.9</v>
      </c>
      <c r="M50" s="767"/>
      <c r="N50" s="371"/>
      <c r="O50" s="325"/>
      <c r="P50" s="325"/>
      <c r="Q50" s="325"/>
      <c r="R50" s="325"/>
      <c r="S50" s="336"/>
      <c r="T50" s="311"/>
      <c r="U50" s="311"/>
      <c r="X50" s="321"/>
      <c r="Y50" s="321"/>
      <c r="Z50" s="321"/>
      <c r="AA50" s="378"/>
      <c r="AB50" s="378"/>
      <c r="AC50" s="379"/>
      <c r="AD50" s="379"/>
      <c r="AE50" s="379"/>
      <c r="AF50" s="378"/>
      <c r="AG50" s="378"/>
      <c r="AH50" s="378"/>
    </row>
    <row r="51" spans="1:52" ht="19.5" customHeight="1">
      <c r="A51" s="321"/>
      <c r="B51" s="375"/>
      <c r="C51" s="375"/>
      <c r="D51" s="376"/>
      <c r="J51" s="446"/>
      <c r="K51" s="336" t="s">
        <v>96</v>
      </c>
      <c r="L51" s="727">
        <f ca="1">VLOOKUP($L$49,'TVT''s afscherming'!$A$11:$J$23,4)</f>
        <v>9.4</v>
      </c>
      <c r="M51" s="768"/>
      <c r="N51" s="778"/>
      <c r="O51" s="325"/>
      <c r="P51" s="325"/>
      <c r="Q51" s="325"/>
      <c r="R51" s="325"/>
      <c r="S51" s="336"/>
      <c r="T51" s="311"/>
      <c r="U51" s="311"/>
      <c r="X51" s="321"/>
      <c r="Y51" s="321"/>
      <c r="Z51" s="321"/>
      <c r="AA51" s="378"/>
      <c r="AB51" s="378"/>
      <c r="AC51" s="379"/>
      <c r="AD51" s="379"/>
      <c r="AE51" s="379"/>
      <c r="AF51" s="378"/>
      <c r="AG51" s="378"/>
      <c r="AH51" s="378"/>
    </row>
    <row r="52" spans="1:52" ht="19.5" customHeight="1">
      <c r="A52" s="321"/>
      <c r="B52" s="375"/>
      <c r="C52" s="375"/>
      <c r="D52" s="376"/>
      <c r="J52" s="348"/>
      <c r="K52" s="336" t="s">
        <v>4</v>
      </c>
      <c r="L52" s="727">
        <f ca="1">VLOOKUP($L$49,'TVT''s afscherming'!$A$11:$J$23,5)</f>
        <v>3.2</v>
      </c>
      <c r="M52" s="744">
        <f ca="1">'TVT''s afscherming'!C28</f>
        <v>37</v>
      </c>
      <c r="N52" s="745">
        <f ca="1">'TVT''s afscherming'!C30</f>
        <v>13.5</v>
      </c>
      <c r="O52" s="325"/>
      <c r="P52" s="325"/>
      <c r="Q52" s="325"/>
      <c r="R52" s="325"/>
      <c r="S52" s="336"/>
      <c r="T52" s="311"/>
      <c r="U52" s="311"/>
      <c r="X52" s="321"/>
      <c r="Y52" s="321"/>
      <c r="Z52" s="321"/>
      <c r="AA52" s="378"/>
      <c r="AB52" s="378"/>
      <c r="AC52" s="379"/>
      <c r="AD52" s="379"/>
      <c r="AE52" s="379"/>
      <c r="AF52" s="378"/>
      <c r="AG52" s="378"/>
      <c r="AH52" s="378"/>
    </row>
    <row r="53" spans="1:52" ht="19.5" customHeight="1">
      <c r="A53" s="321"/>
      <c r="B53" s="375"/>
      <c r="C53" s="375"/>
      <c r="D53" s="376"/>
      <c r="J53" s="348"/>
      <c r="K53" s="336" t="s">
        <v>27</v>
      </c>
      <c r="L53" s="727">
        <f ca="1">VLOOKUP($L$49,'TVT''s afscherming'!$A$11:$J$23,6)</f>
        <v>1.03</v>
      </c>
      <c r="M53" s="744">
        <f ca="1">'TVT''s afscherming'!C28</f>
        <v>37</v>
      </c>
      <c r="N53" s="745">
        <f ca="1">IF(P20&gt;5,'TVT''s afscherming'!D31,'TVT''s afscherming'!D30)</f>
        <v>0.6</v>
      </c>
      <c r="O53" s="325"/>
      <c r="P53" s="325"/>
      <c r="Q53" s="325"/>
      <c r="R53" s="325"/>
      <c r="S53" s="336"/>
      <c r="T53" s="311"/>
      <c r="U53" s="311"/>
      <c r="X53" s="321"/>
      <c r="Y53" s="321"/>
      <c r="Z53" s="321"/>
      <c r="AA53" s="378"/>
      <c r="AB53" s="378"/>
      <c r="AC53" s="379"/>
      <c r="AD53" s="379"/>
      <c r="AE53" s="379"/>
      <c r="AF53" s="378"/>
      <c r="AG53" s="378"/>
      <c r="AH53" s="378"/>
    </row>
    <row r="54" spans="1:52" ht="19.5" customHeight="1" thickBot="1">
      <c r="A54" s="321"/>
      <c r="B54" s="375"/>
      <c r="C54" s="375"/>
      <c r="D54" s="376"/>
      <c r="J54" s="373"/>
      <c r="K54" s="353" t="s">
        <v>52</v>
      </c>
      <c r="L54" s="816"/>
      <c r="M54" s="746">
        <f ca="1">'TVT''s afscherming'!E28</f>
        <v>4.5</v>
      </c>
      <c r="N54" s="817"/>
      <c r="O54" s="325"/>
      <c r="P54" s="325"/>
      <c r="Q54" s="325"/>
      <c r="R54" s="325"/>
      <c r="S54" s="336"/>
      <c r="T54" s="311"/>
      <c r="U54" s="311"/>
      <c r="X54" s="321"/>
      <c r="Y54" s="321"/>
      <c r="Z54" s="321"/>
      <c r="AA54" s="378"/>
      <c r="AB54" s="378"/>
      <c r="AC54" s="379"/>
      <c r="AD54" s="379"/>
      <c r="AE54" s="379"/>
      <c r="AF54" s="378"/>
      <c r="AG54" s="378"/>
      <c r="AH54" s="378"/>
    </row>
    <row r="55" spans="1:52" ht="19.5" customHeight="1">
      <c r="A55" s="321"/>
      <c r="B55" s="375"/>
      <c r="C55" s="375"/>
      <c r="D55" s="376"/>
      <c r="Q55" s="311"/>
      <c r="R55" s="311"/>
      <c r="S55" s="311"/>
      <c r="T55" s="311"/>
      <c r="U55" s="311"/>
      <c r="X55" s="321"/>
      <c r="Y55" s="321"/>
      <c r="Z55" s="321"/>
      <c r="AA55" s="378"/>
      <c r="AB55" s="378"/>
      <c r="AC55" s="379"/>
      <c r="AD55" s="379"/>
      <c r="AE55" s="379"/>
      <c r="AF55" s="378"/>
      <c r="AG55" s="378"/>
      <c r="AH55" s="378"/>
    </row>
    <row r="56" spans="1:52" ht="19.5" customHeight="1">
      <c r="A56" s="321"/>
      <c r="B56" s="375"/>
      <c r="C56" s="375"/>
      <c r="D56" s="376"/>
      <c r="Q56" s="311"/>
      <c r="R56" s="311"/>
      <c r="S56" s="311"/>
      <c r="T56" s="311"/>
      <c r="U56" s="311"/>
      <c r="X56" s="321"/>
      <c r="Y56" s="321"/>
      <c r="Z56" s="321"/>
      <c r="AA56" s="378"/>
      <c r="AB56" s="378"/>
      <c r="AC56" s="379"/>
      <c r="AD56" s="379"/>
      <c r="AE56" s="379"/>
      <c r="AF56" s="378"/>
      <c r="AG56" s="378"/>
      <c r="AH56" s="378"/>
    </row>
    <row r="57" spans="1:52" ht="19.5" customHeight="1">
      <c r="A57" s="321"/>
      <c r="B57" s="375"/>
      <c r="C57" s="375"/>
      <c r="D57" s="376"/>
      <c r="Q57" s="311"/>
      <c r="R57" s="311"/>
      <c r="S57" s="311"/>
      <c r="T57" s="311"/>
      <c r="U57" s="311"/>
      <c r="X57" s="321"/>
      <c r="Y57" s="321"/>
      <c r="Z57" s="321"/>
      <c r="AA57" s="378"/>
      <c r="AB57" s="378"/>
      <c r="AC57" s="379"/>
      <c r="AD57" s="379"/>
      <c r="AE57" s="379"/>
      <c r="AF57" s="378"/>
      <c r="AG57" s="378"/>
      <c r="AH57" s="378"/>
    </row>
    <row r="58" spans="1:52" ht="19.5" customHeight="1">
      <c r="A58" s="321"/>
      <c r="B58" s="375"/>
      <c r="C58" s="375"/>
      <c r="D58" s="376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11"/>
      <c r="U58" s="311"/>
      <c r="X58" s="321"/>
      <c r="Y58" s="321"/>
      <c r="Z58" s="321"/>
      <c r="AA58" s="378"/>
      <c r="AB58" s="378"/>
      <c r="AC58" s="379"/>
      <c r="AD58" s="379"/>
      <c r="AE58" s="379"/>
      <c r="AF58" s="378"/>
      <c r="AG58" s="378"/>
      <c r="AH58" s="378"/>
    </row>
    <row r="59" spans="1:52" ht="19.5" customHeight="1">
      <c r="A59" s="332" t="s">
        <v>421</v>
      </c>
      <c r="B59" s="638"/>
      <c r="C59" s="375"/>
      <c r="D59" s="376"/>
      <c r="J59" s="321"/>
      <c r="K59" s="321"/>
      <c r="L59" s="321"/>
      <c r="M59" s="321"/>
      <c r="N59" s="321"/>
      <c r="O59" s="321"/>
      <c r="P59" s="321"/>
      <c r="Q59" s="325"/>
      <c r="R59" s="325"/>
      <c r="S59" s="336"/>
      <c r="T59" s="311"/>
      <c r="U59" s="311"/>
      <c r="X59" s="321"/>
      <c r="Y59" s="321"/>
      <c r="Z59" s="321"/>
      <c r="AA59" s="378"/>
      <c r="AB59" s="378"/>
      <c r="AC59" s="379"/>
      <c r="AD59" s="379"/>
      <c r="AE59" s="379"/>
      <c r="AF59" s="378"/>
      <c r="AG59" s="378"/>
      <c r="AH59" s="378"/>
    </row>
    <row r="60" spans="1:52" ht="19.5" customHeight="1">
      <c r="A60" s="332"/>
      <c r="B60" s="375"/>
      <c r="C60" s="375"/>
      <c r="D60" s="376"/>
      <c r="J60" s="336"/>
      <c r="K60" s="336"/>
      <c r="L60" s="359"/>
      <c r="M60" s="325"/>
      <c r="N60" s="325"/>
      <c r="Q60" s="311"/>
      <c r="R60" s="311"/>
      <c r="S60" s="311"/>
      <c r="T60" s="311"/>
      <c r="U60" s="311"/>
      <c r="X60" s="321"/>
      <c r="Y60" s="321"/>
      <c r="Z60" s="321"/>
      <c r="AA60" s="378"/>
      <c r="AB60" s="378"/>
      <c r="AC60" s="379"/>
      <c r="AD60" s="379"/>
      <c r="AE60" s="379"/>
      <c r="AF60" s="378"/>
      <c r="AG60" s="378"/>
      <c r="AH60" s="378"/>
    </row>
    <row r="61" spans="1:52" ht="19.5" customHeight="1">
      <c r="A61" s="906" t="s">
        <v>511</v>
      </c>
      <c r="B61" s="639"/>
      <c r="C61" s="375"/>
      <c r="D61" s="376"/>
      <c r="M61" s="518"/>
      <c r="N61" s="1672"/>
      <c r="O61" s="1672"/>
      <c r="P61" s="1672"/>
      <c r="Q61" s="1672"/>
      <c r="R61" s="1672"/>
      <c r="S61" s="1672"/>
      <c r="T61" s="840"/>
      <c r="U61" s="840"/>
      <c r="V61" s="840"/>
      <c r="W61" s="1672"/>
      <c r="X61" s="1672"/>
      <c r="Y61" s="1672"/>
      <c r="AB61" s="311"/>
      <c r="AC61" s="311"/>
      <c r="AG61" s="378"/>
      <c r="AH61" s="378"/>
      <c r="AI61" s="379"/>
      <c r="AJ61" s="379"/>
    </row>
    <row r="62" spans="1:52" ht="19.5" customHeight="1" thickBot="1">
      <c r="A62" s="332"/>
      <c r="B62" s="391" t="s">
        <v>26</v>
      </c>
      <c r="C62" s="375"/>
      <c r="D62" s="376"/>
      <c r="M62" s="437"/>
      <c r="N62" s="929"/>
      <c r="O62" s="929"/>
      <c r="P62" s="929"/>
      <c r="Q62" s="929"/>
      <c r="R62" s="929"/>
      <c r="S62" s="929"/>
      <c r="T62" s="840"/>
      <c r="U62" s="840"/>
      <c r="V62" s="840"/>
      <c r="W62" s="840"/>
      <c r="X62" s="840"/>
      <c r="Y62" s="840"/>
      <c r="AB62" s="311"/>
      <c r="AC62" s="311"/>
      <c r="AG62" s="378"/>
      <c r="AH62" s="378"/>
      <c r="AI62" s="379"/>
      <c r="AJ62" s="379"/>
    </row>
    <row r="63" spans="1:52" s="325" customFormat="1" ht="19.5" customHeight="1">
      <c r="A63" s="1633" t="s">
        <v>65</v>
      </c>
      <c r="B63" s="1653" t="s">
        <v>19</v>
      </c>
      <c r="C63" s="1692" t="s">
        <v>31</v>
      </c>
      <c r="D63" s="1692" t="s">
        <v>270</v>
      </c>
      <c r="E63" s="1633" t="s">
        <v>0</v>
      </c>
      <c r="F63" s="1692" t="s">
        <v>103</v>
      </c>
      <c r="G63" s="1694" t="s">
        <v>113</v>
      </c>
      <c r="H63" s="1695"/>
      <c r="I63" s="1653"/>
      <c r="J63" s="1673">
        <f>$C$6</f>
        <v>6</v>
      </c>
      <c r="K63" s="1674"/>
      <c r="L63" s="1675"/>
      <c r="M63" s="1673">
        <f>$D$6</f>
        <v>10</v>
      </c>
      <c r="N63" s="1674"/>
      <c r="O63" s="1675"/>
      <c r="P63" s="1673">
        <f>$E$6</f>
        <v>15</v>
      </c>
      <c r="Q63" s="1674"/>
      <c r="R63" s="1675"/>
      <c r="S63" s="1673" t="str">
        <f>$F$6</f>
        <v>6 FFF</v>
      </c>
      <c r="T63" s="1674"/>
      <c r="U63" s="1675"/>
      <c r="V63" s="1673" t="str">
        <f>$G$6</f>
        <v>10 FFF</v>
      </c>
      <c r="W63" s="1674"/>
      <c r="X63" s="1676"/>
      <c r="Y63" s="1683" t="s">
        <v>20</v>
      </c>
      <c r="Z63" s="1684"/>
      <c r="AA63" s="1685"/>
      <c r="AB63" s="441"/>
      <c r="AC63" s="345"/>
      <c r="AG63" s="436"/>
      <c r="AH63" s="436"/>
      <c r="AI63" s="436"/>
      <c r="AJ63" s="436"/>
      <c r="AK63" s="436"/>
      <c r="AL63" s="436"/>
      <c r="AP63" s="336"/>
      <c r="AQ63" s="442"/>
      <c r="AR63" s="346"/>
      <c r="AS63" s="336"/>
      <c r="AT63" s="381"/>
      <c r="AU63" s="381"/>
      <c r="AV63" s="381"/>
      <c r="AW63" s="381"/>
      <c r="AX63" s="381"/>
      <c r="AY63" s="355"/>
      <c r="AZ63" s="355"/>
    </row>
    <row r="64" spans="1:52" s="325" customFormat="1" ht="19.5" customHeight="1">
      <c r="A64" s="1634"/>
      <c r="B64" s="1654"/>
      <c r="C64" s="1682"/>
      <c r="D64" s="1682"/>
      <c r="E64" s="1634"/>
      <c r="F64" s="1682"/>
      <c r="G64" s="1696"/>
      <c r="H64" s="1697"/>
      <c r="I64" s="1654"/>
      <c r="J64" s="328" t="s">
        <v>170</v>
      </c>
      <c r="K64" s="328" t="s">
        <v>329</v>
      </c>
      <c r="L64" s="328" t="s">
        <v>20</v>
      </c>
      <c r="M64" s="328" t="s">
        <v>170</v>
      </c>
      <c r="N64" s="328" t="s">
        <v>329</v>
      </c>
      <c r="O64" s="328" t="s">
        <v>20</v>
      </c>
      <c r="P64" s="328" t="s">
        <v>170</v>
      </c>
      <c r="Q64" s="328" t="s">
        <v>329</v>
      </c>
      <c r="R64" s="328" t="s">
        <v>20</v>
      </c>
      <c r="S64" s="328" t="s">
        <v>170</v>
      </c>
      <c r="T64" s="328" t="s">
        <v>329</v>
      </c>
      <c r="U64" s="328" t="s">
        <v>20</v>
      </c>
      <c r="V64" s="328" t="s">
        <v>170</v>
      </c>
      <c r="W64" s="328" t="s">
        <v>329</v>
      </c>
      <c r="X64" s="328" t="s">
        <v>20</v>
      </c>
      <c r="Y64" s="547" t="s">
        <v>29</v>
      </c>
      <c r="Z64" s="548" t="s">
        <v>15</v>
      </c>
      <c r="AA64" s="549" t="s">
        <v>15</v>
      </c>
      <c r="AG64" s="766"/>
      <c r="AH64" s="766"/>
      <c r="AI64" s="766"/>
      <c r="AJ64" s="766"/>
      <c r="AK64" s="766"/>
      <c r="AL64" s="766"/>
      <c r="AP64" s="336"/>
      <c r="AQ64" s="442"/>
      <c r="AR64" s="337"/>
      <c r="AS64" s="336"/>
      <c r="AT64" s="345"/>
      <c r="AU64" s="345"/>
      <c r="AV64" s="351"/>
      <c r="AW64" s="345"/>
      <c r="AX64" s="345"/>
      <c r="AY64" s="355"/>
      <c r="AZ64" s="355"/>
    </row>
    <row r="65" spans="1:52" s="325" customFormat="1" ht="19.5" customHeight="1" thickBot="1">
      <c r="A65" s="1652"/>
      <c r="B65" s="1655"/>
      <c r="C65" s="1693"/>
      <c r="D65" s="1693"/>
      <c r="E65" s="1652"/>
      <c r="F65" s="1693"/>
      <c r="G65" s="354" t="s">
        <v>2</v>
      </c>
      <c r="H65" s="354" t="s">
        <v>96</v>
      </c>
      <c r="I65" s="354" t="s">
        <v>4</v>
      </c>
      <c r="J65" s="763" t="s">
        <v>331</v>
      </c>
      <c r="K65" s="763" t="s">
        <v>330</v>
      </c>
      <c r="L65" s="439" t="s">
        <v>291</v>
      </c>
      <c r="M65" s="763" t="s">
        <v>331</v>
      </c>
      <c r="N65" s="763" t="s">
        <v>330</v>
      </c>
      <c r="O65" s="439" t="s">
        <v>291</v>
      </c>
      <c r="P65" s="764" t="s">
        <v>331</v>
      </c>
      <c r="Q65" s="764" t="s">
        <v>330</v>
      </c>
      <c r="R65" s="372" t="s">
        <v>291</v>
      </c>
      <c r="S65" s="764" t="s">
        <v>331</v>
      </c>
      <c r="T65" s="764" t="s">
        <v>330</v>
      </c>
      <c r="U65" s="372" t="s">
        <v>291</v>
      </c>
      <c r="V65" s="764" t="s">
        <v>331</v>
      </c>
      <c r="W65" s="764" t="s">
        <v>330</v>
      </c>
      <c r="X65" s="372" t="s">
        <v>291</v>
      </c>
      <c r="Y65" s="550" t="s">
        <v>290</v>
      </c>
      <c r="Z65" s="551" t="s">
        <v>290</v>
      </c>
      <c r="AA65" s="549" t="s">
        <v>279</v>
      </c>
      <c r="AG65" s="766"/>
      <c r="AH65" s="766"/>
      <c r="AI65" s="766"/>
      <c r="AJ65" s="766"/>
      <c r="AK65" s="766"/>
      <c r="AL65" s="766"/>
      <c r="AP65" s="336"/>
      <c r="AQ65" s="442"/>
      <c r="AR65" s="336"/>
      <c r="AS65" s="336"/>
      <c r="AT65" s="345"/>
      <c r="AU65" s="345"/>
      <c r="AV65" s="345"/>
      <c r="AW65" s="345"/>
      <c r="AX65" s="345"/>
      <c r="AY65" s="355"/>
      <c r="AZ65" s="355"/>
    </row>
    <row r="66" spans="1:52" s="325" customFormat="1" ht="19.5" customHeight="1">
      <c r="A66" s="1638" t="str">
        <f ca="1">'Linac 1'!A$66</f>
        <v>B1</v>
      </c>
      <c r="B66" s="1006"/>
      <c r="C66" s="1623" t="s">
        <v>333</v>
      </c>
      <c r="D66" s="1625">
        <v>1</v>
      </c>
      <c r="E66" s="1625">
        <v>0</v>
      </c>
      <c r="F66" s="1627" t="s">
        <v>12</v>
      </c>
      <c r="G66" s="1627">
        <v>250</v>
      </c>
      <c r="H66" s="1627">
        <v>0</v>
      </c>
      <c r="I66" s="1627">
        <v>0</v>
      </c>
      <c r="J66" s="1656">
        <f>IF($G66=0,0,IF($F66="recht",1+($G66-$C$17)/$C$18,1+($G66-$C$17-0.301*$C$18)/$C$18))+IF($H66=0,0,IF($F66="recht",$H66/$C$19,($H66-0.301*$C$19)/$C$19))+$I66/$C$20</f>
        <v>7.4545454545454541</v>
      </c>
      <c r="K66" s="1663">
        <f>10^(-J66)</f>
        <v>3.5111917342151263E-8</v>
      </c>
      <c r="L66" s="1656">
        <f>($C$7*$C$11*$E66/$D66/$D66*K66*1000000)</f>
        <v>0</v>
      </c>
      <c r="M66" s="1656">
        <f>IF($G66=0,0,IF($F$66="recht",1+($G66-$D$17)/$D$18,1+($G66-$D$17-0.301*$D$18)/$D$18))+IF($H66=0,0,IF($F66="recht",$H66/$D$19,($H66-0.301*$D$19)/$D$19))+$I66/$D$20</f>
        <v>6.6486486486486482</v>
      </c>
      <c r="N66" s="1663">
        <f>10^(-M66)</f>
        <v>2.2456979955397711E-7</v>
      </c>
      <c r="O66" s="1656">
        <f>($C$7*$D$11*$E66/$D66/$D66*N66*1000000)</f>
        <v>0</v>
      </c>
      <c r="P66" s="1656">
        <f>IF($G$66=0,0,IF($F66="recht",1+($G66-$E$17)/$E$18,1+($G66-$E$17-0.301*$E$18)/$E$18))+IF($H66=0,0,IF($F66="recht",$H66/$E$19,($H66-0.301*$E$19)/$E$19))+$I66/$E$20</f>
        <v>6.024390243902439</v>
      </c>
      <c r="Q66" s="1663">
        <f>10^(-P66)</f>
        <v>9.4538728313079291E-7</v>
      </c>
      <c r="R66" s="1656">
        <f>($C$7*$E$11*$E66/$D66/$D66*Q66*1000000)</f>
        <v>0</v>
      </c>
      <c r="S66" s="1656">
        <f>IF($G66=0,0,IF($F66="recht",1+($G66-$F$17)/$F$18,1+($G66-$F$17-0.301*$F$18)/$F$18))+IF($H66=0,0,IF($F66="recht",$H66/$F$19,($H66-0.301*$F$19)/$F$19))+$I66/$F$20</f>
        <v>9.1481481481481488</v>
      </c>
      <c r="T66" s="1663">
        <f>10^(-S66)</f>
        <v>7.1097094323124171E-10</v>
      </c>
      <c r="U66" s="1656">
        <f>($C$7*$F$11*$E66/$D66/$D66*T66*1000000)</f>
        <v>0</v>
      </c>
      <c r="V66" s="1656">
        <f>IF($G66=0,0,IF($F66="recht",1+($G66-$G$17)/$G$18,1+($G66-$G$17-0.301*$G$18)/$G$18))+IF($H66=0,0,IF($F66="recht",$H66/$G$19,($H66-0.301*$G$19)/$G$19))+$I66/$G$20</f>
        <v>6.9444444444444446</v>
      </c>
      <c r="W66" s="1663">
        <f>10^(-V66)</f>
        <v>1.136463666385722E-7</v>
      </c>
      <c r="X66" s="1677">
        <f>($C$7*$G$11*$E66/$D66/$D66*W66*1000000)</f>
        <v>0</v>
      </c>
      <c r="Y66" s="1679">
        <f>SUM(L66,O66,R66,U66,X66)</f>
        <v>0</v>
      </c>
      <c r="Z66" s="1179">
        <f>SUM(Y66:Y68)</f>
        <v>1.4937465351460337E-2</v>
      </c>
      <c r="AA66" s="552">
        <f>Z66*52/1000</f>
        <v>7.7674819827593751E-4</v>
      </c>
      <c r="AG66" s="428"/>
      <c r="AI66" s="428"/>
      <c r="AJ66" s="428"/>
      <c r="AK66" s="428"/>
      <c r="AL66" s="428"/>
      <c r="AP66" s="336"/>
      <c r="AQ66" s="442"/>
      <c r="AR66" s="336"/>
      <c r="AS66" s="336"/>
      <c r="AT66" s="345"/>
      <c r="AU66" s="345"/>
      <c r="AV66" s="345"/>
      <c r="AW66" s="345"/>
      <c r="AX66" s="345"/>
      <c r="AY66" s="355"/>
      <c r="AZ66" s="355"/>
    </row>
    <row r="67" spans="1:52" s="325" customFormat="1" ht="19.5" customHeight="1">
      <c r="A67" s="1639"/>
      <c r="B67" s="1130" t="s">
        <v>26</v>
      </c>
      <c r="C67" s="1624"/>
      <c r="D67" s="1626"/>
      <c r="E67" s="1626"/>
      <c r="F67" s="1628"/>
      <c r="G67" s="1628"/>
      <c r="H67" s="1628"/>
      <c r="I67" s="1628"/>
      <c r="J67" s="1659"/>
      <c r="K67" s="1662"/>
      <c r="L67" s="1657"/>
      <c r="M67" s="1657"/>
      <c r="N67" s="1662"/>
      <c r="O67" s="1657"/>
      <c r="P67" s="1657"/>
      <c r="Q67" s="1662"/>
      <c r="R67" s="1657"/>
      <c r="S67" s="1657"/>
      <c r="T67" s="1662"/>
      <c r="U67" s="1657"/>
      <c r="V67" s="1657"/>
      <c r="W67" s="1662"/>
      <c r="X67" s="1678"/>
      <c r="Y67" s="1680"/>
      <c r="Z67" s="553"/>
      <c r="AA67" s="554"/>
      <c r="AG67" s="428"/>
      <c r="AI67" s="428"/>
      <c r="AJ67" s="428"/>
      <c r="AK67" s="428"/>
      <c r="AL67" s="428"/>
      <c r="AP67" s="336"/>
      <c r="AQ67" s="442"/>
      <c r="AR67" s="336"/>
      <c r="AS67" s="336"/>
      <c r="AT67" s="345"/>
      <c r="AU67" s="345"/>
      <c r="AV67" s="345"/>
      <c r="AW67" s="345"/>
      <c r="AX67" s="345"/>
      <c r="AY67" s="355"/>
      <c r="AZ67" s="355"/>
    </row>
    <row r="68" spans="1:52" s="325" customFormat="1" ht="19.5" customHeight="1">
      <c r="A68" s="1639"/>
      <c r="B68" s="1007" t="str">
        <f ca="1">'Linac 1'!C$3</f>
        <v>Linac 1</v>
      </c>
      <c r="C68" s="1687" t="s">
        <v>334</v>
      </c>
      <c r="D68" s="1626">
        <v>5</v>
      </c>
      <c r="E68" s="1690">
        <v>1</v>
      </c>
      <c r="F68" s="1628"/>
      <c r="G68" s="1628"/>
      <c r="H68" s="1628"/>
      <c r="I68" s="1628"/>
      <c r="J68" s="1658">
        <f>IF($G66=0,0,IF($F66="recht",$G66/$C$24,($G66-0.301*$C$24)/$C$24))+IF($H66=0,0,IF($F66="recht",$H66/$C$25,($H66-0.301*$C$25)/$C$25))+$I66/$C$26</f>
        <v>7.3529411764705879</v>
      </c>
      <c r="K68" s="1661">
        <f>10^(-J68)</f>
        <v>4.4366873309786093E-8</v>
      </c>
      <c r="L68" s="1658">
        <f>($C$7*$C$8*$C$11*($C$12+$C$13*$C$14)*$E68/$D68/$D68*K68*1000000)</f>
        <v>1.0648049594348663E-3</v>
      </c>
      <c r="M68" s="1658">
        <f>IF($G66=0,0,IF($F66="recht",$G66/$D$24,($G66-0.301*$D$24)/$D$24))+IF($H66=0,0,IF($F66="recht",$H66/$D$25,($H66-0.301*$D$25)/$D$25))+$I66/$D$26</f>
        <v>6.5789473684210522</v>
      </c>
      <c r="N68" s="1661">
        <f>10^(-M68)</f>
        <v>2.636650898730358E-7</v>
      </c>
      <c r="O68" s="1658">
        <f>($C$7*$C$8*$D$11*($D$12+$D$13*$D$14)*$E68/$D68/$D68*N68*1000000)</f>
        <v>6.3279621569528599E-3</v>
      </c>
      <c r="P68" s="1658">
        <f>IF($G$66=0,0,IF($F66="recht",$G66/$E$24,($G66-0.301*$E$24)/$E$24))+IF($H66=0,0,IF($F66="recht",$H66/$E$25,($H66-0.301*$E$25)/$E$25))+$I66/$E$26*1</f>
        <v>6.5616797900262469</v>
      </c>
      <c r="Q68" s="1661">
        <f>10^(-P68)</f>
        <v>2.7435963093132793E-7</v>
      </c>
      <c r="R68" s="1658">
        <f>($C$7*$C$8*$E$11*($E$12+$E$13*$E$14)*$E68/$D68/$D68*Q68*1000000)</f>
        <v>6.5846311423518713E-3</v>
      </c>
      <c r="S68" s="1658">
        <f>IF($G66=0,0,IF($F66="recht",$G66/$F$24,($G66-0.301*$F$24)/$F$24))+IF($H66=0,0,IF($F66="recht",$H66/$F$25,($H66-0.301*$F$25)/$F$25))+$I66/$F$26</f>
        <v>8.1967213114754092</v>
      </c>
      <c r="T68" s="1661">
        <f>10^(-S68)</f>
        <v>6.3573875711648393E-9</v>
      </c>
      <c r="U68" s="1658">
        <f>($C$7*$C$8*$F$11*($F$12+$F$13*$F$14)*$E68/$D68/$D68*T68*1000000)</f>
        <v>8.6460470967841829E-5</v>
      </c>
      <c r="V68" s="1658">
        <f>IF($G66=0,0,IF($F66="recht",$G66/$G$24,($G66-0.301*$G$24)/$G$24))+IF($H66=0,0,IF($F66="recht",$H66/$G$25,($H66-0.301*$G$25)/$G$25))+$I66/$G$26</f>
        <v>7.0224719101123592</v>
      </c>
      <c r="W68" s="1661">
        <f>10^(-V68)</f>
        <v>9.4957241494880226E-8</v>
      </c>
      <c r="X68" s="1664">
        <f>($C$7*$C$8*$G$11*($G$12+$G$13*$G$14)*$E68/$D68/$D68*W68*1000000)</f>
        <v>8.7360662175289805E-4</v>
      </c>
      <c r="Y68" s="1666">
        <f>SUM(L68,O68,R68,U68,X68)</f>
        <v>1.4937465351460337E-2</v>
      </c>
      <c r="Z68" s="555"/>
      <c r="AA68" s="556"/>
      <c r="AG68" s="428"/>
      <c r="AH68" s="428"/>
      <c r="AI68" s="428"/>
      <c r="AJ68" s="428"/>
      <c r="AK68" s="428"/>
      <c r="AL68" s="428"/>
      <c r="AP68" s="336"/>
      <c r="AQ68" s="442"/>
      <c r="AR68" s="336"/>
      <c r="AS68" s="336"/>
      <c r="AT68" s="345"/>
      <c r="AU68" s="345"/>
      <c r="AV68" s="345"/>
      <c r="AW68" s="345"/>
      <c r="AX68" s="345"/>
      <c r="AY68" s="355"/>
      <c r="AZ68" s="355"/>
    </row>
    <row r="69" spans="1:52" s="325" customFormat="1" ht="19.5" customHeight="1" thickBot="1">
      <c r="A69" s="1640"/>
      <c r="B69" s="1009"/>
      <c r="C69" s="1688"/>
      <c r="D69" s="1689"/>
      <c r="E69" s="1691"/>
      <c r="F69" s="1629"/>
      <c r="G69" s="1629"/>
      <c r="H69" s="1629"/>
      <c r="I69" s="1629"/>
      <c r="J69" s="1660"/>
      <c r="K69" s="1662"/>
      <c r="L69" s="1657"/>
      <c r="M69" s="1659"/>
      <c r="N69" s="1662"/>
      <c r="O69" s="1657"/>
      <c r="P69" s="1660"/>
      <c r="Q69" s="1668"/>
      <c r="R69" s="1660"/>
      <c r="S69" s="1660"/>
      <c r="T69" s="1668"/>
      <c r="U69" s="1660"/>
      <c r="V69" s="1660"/>
      <c r="W69" s="1668"/>
      <c r="X69" s="1665"/>
      <c r="Y69" s="1667"/>
      <c r="Z69" s="557"/>
      <c r="AA69" s="558"/>
      <c r="AG69" s="428"/>
      <c r="AH69" s="428"/>
      <c r="AI69" s="428"/>
      <c r="AJ69" s="428"/>
      <c r="AK69" s="428"/>
      <c r="AL69" s="428"/>
      <c r="AP69" s="336"/>
      <c r="AQ69" s="442"/>
      <c r="AR69" s="336"/>
      <c r="AS69" s="336"/>
      <c r="AT69" s="345"/>
      <c r="AU69" s="345"/>
      <c r="AV69" s="345"/>
      <c r="AW69" s="345"/>
      <c r="AX69" s="345"/>
      <c r="AY69" s="355"/>
      <c r="AZ69" s="355"/>
    </row>
    <row r="70" spans="1:52" s="325" customFormat="1" ht="19.5" customHeight="1">
      <c r="A70" s="1635" t="s">
        <v>299</v>
      </c>
      <c r="B70" s="1008"/>
      <c r="C70" s="1623" t="s">
        <v>333</v>
      </c>
      <c r="D70" s="1625">
        <v>6</v>
      </c>
      <c r="E70" s="1625">
        <v>0</v>
      </c>
      <c r="F70" s="1627" t="s">
        <v>12</v>
      </c>
      <c r="G70" s="1627">
        <v>250</v>
      </c>
      <c r="H70" s="1627">
        <v>0</v>
      </c>
      <c r="I70" s="1627">
        <v>0</v>
      </c>
      <c r="J70" s="1656">
        <f>IF($G70=0,0,IF($F70="recht",1+($G70-$C$17)/$C$18,1+($G70-$C$17-0.301*$C$18)/$C$18))+IF($H70=0,0,IF($F70="recht",$H70/$C$19,($H70-0.301*$C$19)/$C$19))+$I70/$C$20</f>
        <v>7.4545454545454541</v>
      </c>
      <c r="K70" s="1663">
        <f>10^(-J70)</f>
        <v>3.5111917342151263E-8</v>
      </c>
      <c r="L70" s="1656">
        <f>($C$7*$C$11*$E70/$D70/$D70*K70*1000000)</f>
        <v>0</v>
      </c>
      <c r="M70" s="1656">
        <f>IF($G70=0,0,IF($F$70="recht",1+($G70-$D$17)/$D$18,1+($G70-$D$17-0.301*$D$18)/$D$18))+IF($H70=0,0,IF($F70="recht",$H70/$D$19,($H70-0.301*$D$19)/$D$19))+$I70/$D$20</f>
        <v>6.6486486486486482</v>
      </c>
      <c r="N70" s="1663">
        <f>10^(-M70)</f>
        <v>2.2456979955397711E-7</v>
      </c>
      <c r="O70" s="1656">
        <f>($C$7*$D$11*$E70/$D70/$D70*N70*1000000)</f>
        <v>0</v>
      </c>
      <c r="P70" s="1656">
        <f>IF($G$70=0,0,IF($F70="recht",1+($G70-$E$17)/$E$18,1+($G70-$E$17-0.301*$E$18)/$E$18))+IF($H70=0,0,IF($F70="recht",$H70/$E$19,($H70-0.301*$E$19)/$E$19))+$I70/$E$20</f>
        <v>6.024390243902439</v>
      </c>
      <c r="Q70" s="1663">
        <f>10^(-P70)</f>
        <v>9.4538728313079291E-7</v>
      </c>
      <c r="R70" s="1656">
        <f>($C$7*$E$11*$E70/$D70/$D70*Q70*1000000)</f>
        <v>0</v>
      </c>
      <c r="S70" s="1656">
        <f>IF($G70=0,0,IF($F70="recht",1+($G70-$F$17)/$F$18,1+($G70-$F$17-0.301*$F$18)/$F$18))+IF($H70=0,0,IF($F70="recht",$H70/$F$19,($H70-0.301*$F$19)/$F$19))+$I70/$F$20</f>
        <v>9.1481481481481488</v>
      </c>
      <c r="T70" s="1663">
        <f>10^(-S70)</f>
        <v>7.1097094323124171E-10</v>
      </c>
      <c r="U70" s="1656">
        <f>($C$7*$F$11*$E70/$D70/$D70*T70*1000000)</f>
        <v>0</v>
      </c>
      <c r="V70" s="1656">
        <f>IF($G70=0,0,IF($F70="recht",1+($G70-$G$17)/$G$18,1+($G70-$G$17-0.301*$G$18)/$G$18))+IF($H70=0,0,IF($F70="recht",$H70/$G$19,($H70-0.301*$G$19)/$G$19))+$I70/$G$20</f>
        <v>6.9444444444444446</v>
      </c>
      <c r="W70" s="1663">
        <f>10^(-V70)</f>
        <v>1.136463666385722E-7</v>
      </c>
      <c r="X70" s="1677">
        <f>($C$7*$G$11*$E70/$D70/$D70*W70*1000000)</f>
        <v>0</v>
      </c>
      <c r="Y70" s="1679">
        <f>SUM(L70,O70,R70,U70,X70)</f>
        <v>0</v>
      </c>
      <c r="Z70" s="1179">
        <f>SUM(Y70:Y72)</f>
        <v>1.4937465351460337E-2</v>
      </c>
      <c r="AA70" s="552">
        <f>Z70*52/1000</f>
        <v>7.7674819827593751E-4</v>
      </c>
      <c r="AG70" s="428"/>
      <c r="AI70" s="428"/>
      <c r="AJ70" s="428"/>
      <c r="AK70" s="428"/>
      <c r="AL70" s="428"/>
      <c r="AP70" s="336"/>
      <c r="AQ70" s="442"/>
      <c r="AR70" s="336"/>
      <c r="AS70" s="336"/>
      <c r="AT70" s="345"/>
      <c r="AU70" s="345"/>
      <c r="AV70" s="345"/>
      <c r="AW70" s="345"/>
      <c r="AX70" s="345"/>
      <c r="AY70" s="355"/>
      <c r="AZ70" s="355"/>
    </row>
    <row r="71" spans="1:52" s="325" customFormat="1" ht="19.5" customHeight="1">
      <c r="A71" s="1636"/>
      <c r="B71" s="1008" t="s">
        <v>26</v>
      </c>
      <c r="C71" s="1624"/>
      <c r="D71" s="1626"/>
      <c r="E71" s="1626"/>
      <c r="F71" s="1628"/>
      <c r="G71" s="1628"/>
      <c r="H71" s="1628"/>
      <c r="I71" s="1628"/>
      <c r="J71" s="1659"/>
      <c r="K71" s="1662"/>
      <c r="L71" s="1657"/>
      <c r="M71" s="1657"/>
      <c r="N71" s="1662"/>
      <c r="O71" s="1657"/>
      <c r="P71" s="1657"/>
      <c r="Q71" s="1662"/>
      <c r="R71" s="1657"/>
      <c r="S71" s="1657"/>
      <c r="T71" s="1662"/>
      <c r="U71" s="1657"/>
      <c r="V71" s="1657"/>
      <c r="W71" s="1662"/>
      <c r="X71" s="1678"/>
      <c r="Y71" s="1686"/>
      <c r="Z71" s="553"/>
      <c r="AA71" s="554"/>
      <c r="AG71" s="428"/>
      <c r="AI71" s="428"/>
      <c r="AJ71" s="428"/>
      <c r="AK71" s="428"/>
      <c r="AL71" s="428"/>
      <c r="AP71" s="336"/>
      <c r="AQ71" s="442"/>
      <c r="AR71" s="336"/>
      <c r="AS71" s="336"/>
      <c r="AT71" s="345"/>
      <c r="AU71" s="345"/>
      <c r="AV71" s="345"/>
      <c r="AW71" s="345"/>
      <c r="AX71" s="345"/>
      <c r="AY71" s="355"/>
      <c r="AZ71" s="355"/>
    </row>
    <row r="72" spans="1:52" s="325" customFormat="1" ht="19.5" customHeight="1">
      <c r="A72" s="1636"/>
      <c r="B72" s="1008" t="str">
        <f>C$3</f>
        <v>Linac 2</v>
      </c>
      <c r="C72" s="1687" t="s">
        <v>334</v>
      </c>
      <c r="D72" s="1626">
        <v>5</v>
      </c>
      <c r="E72" s="1690">
        <v>1</v>
      </c>
      <c r="F72" s="1628"/>
      <c r="G72" s="1628"/>
      <c r="H72" s="1628"/>
      <c r="I72" s="1628"/>
      <c r="J72" s="1658">
        <f>IF($G70=0,0,IF($F70="recht",$G70/$C$24,($G70-0.301*$C$24)/$C$24))+IF($H70=0,0,IF($F70="recht",$H70/$C$25,($H70-0.301*$C$25)/$C$25))+$I70/$C$26</f>
        <v>7.3529411764705879</v>
      </c>
      <c r="K72" s="1661">
        <f>10^(-J72)</f>
        <v>4.4366873309786093E-8</v>
      </c>
      <c r="L72" s="1658">
        <f>($C$7*$C$8*$C$11*($C$12+$C$13*$C$14)*$E72/$D72/$D72*K72*1000000)</f>
        <v>1.0648049594348663E-3</v>
      </c>
      <c r="M72" s="1658">
        <f>IF($G70=0,0,IF($F70="recht",$G70/$D$24,($G70-0.301*$D$24)/$D$24))+IF($H70=0,0,IF($F70="recht",$H70/$D$25,($H70-0.301*$D$25)/$D$25))+$I70/$D$26</f>
        <v>6.5789473684210522</v>
      </c>
      <c r="N72" s="1661">
        <f>10^(-M72)</f>
        <v>2.636650898730358E-7</v>
      </c>
      <c r="O72" s="1658">
        <f>($C$7*$C$8*$D$11*($D$12+$D$13*$D$14)*$E72/$D72/$D72*N72*1000000)</f>
        <v>6.3279621569528599E-3</v>
      </c>
      <c r="P72" s="1658">
        <f>IF($G$70=0,0,IF($F70="recht",$G70/$E$24,($G70-0.301*$E$24)/$E$24))+IF($H70=0,0,IF($F70="recht",$H70/$E$25,($H70-0.301*$E$25)/$E$25))+$I70/$E$26*1</f>
        <v>6.5616797900262469</v>
      </c>
      <c r="Q72" s="1661">
        <f>10^(-P72)</f>
        <v>2.7435963093132793E-7</v>
      </c>
      <c r="R72" s="1658">
        <f>($C$7*$C$8*$E$11*($E$12+$E$13*$E$14)*$E72/$D72/$D72*Q72*1000000)</f>
        <v>6.5846311423518713E-3</v>
      </c>
      <c r="S72" s="1658">
        <f>IF($G70=0,0,IF($F70="recht",$G70/$F$24,($G70-0.301*$F$24)/$F$24))+IF($H70=0,0,IF($F70="recht",$H70/$F$25,($H70-0.301*$F$25)/$F$25))+$I70/$F$26</f>
        <v>8.1967213114754092</v>
      </c>
      <c r="T72" s="1661">
        <f>10^(-S72)</f>
        <v>6.3573875711648393E-9</v>
      </c>
      <c r="U72" s="1658">
        <f>($C$7*$C$8*$F$11*($F$12+$F$13*$F$14)*$E72/$D72/$D72*T72*1000000)</f>
        <v>8.6460470967841829E-5</v>
      </c>
      <c r="V72" s="1658">
        <f>IF($G70=0,0,IF($F70="recht",$G70/$G$24,($G70-0.301*$G$24)/$G$24))+IF($H70=0,0,IF($F70="recht",$H70/$G$25,($H70-0.301*$G$25)/$G$25))+$I70/$G$26</f>
        <v>7.0224719101123592</v>
      </c>
      <c r="W72" s="1661">
        <f>10^(-V72)</f>
        <v>9.4957241494880226E-8</v>
      </c>
      <c r="X72" s="1664">
        <f>($C$7*$C$8*$G$11*($G$12+$G$13*$G$14)*$E72/$D72/$D72*W72*1000000)</f>
        <v>8.7360662175289805E-4</v>
      </c>
      <c r="Y72" s="1680">
        <f>SUM(L72,O72,R72,U72,X72)</f>
        <v>1.4937465351460337E-2</v>
      </c>
      <c r="Z72" s="555"/>
      <c r="AA72" s="556"/>
      <c r="AG72" s="428"/>
      <c r="AH72" s="428"/>
      <c r="AI72" s="428"/>
      <c r="AJ72" s="428"/>
      <c r="AK72" s="428"/>
      <c r="AL72" s="428"/>
      <c r="AP72" s="336"/>
      <c r="AQ72" s="442"/>
      <c r="AR72" s="336"/>
      <c r="AS72" s="336"/>
      <c r="AT72" s="345"/>
      <c r="AU72" s="345"/>
      <c r="AV72" s="345"/>
      <c r="AW72" s="345"/>
      <c r="AX72" s="345"/>
      <c r="AY72" s="355"/>
      <c r="AZ72" s="355"/>
    </row>
    <row r="73" spans="1:52" s="325" customFormat="1" ht="19.5" customHeight="1" thickBot="1">
      <c r="A73" s="1637"/>
      <c r="B73" s="1008"/>
      <c r="C73" s="1688"/>
      <c r="D73" s="1689"/>
      <c r="E73" s="1691"/>
      <c r="F73" s="1629"/>
      <c r="G73" s="1629"/>
      <c r="H73" s="1629"/>
      <c r="I73" s="1629"/>
      <c r="J73" s="1660"/>
      <c r="K73" s="1662"/>
      <c r="L73" s="1657"/>
      <c r="M73" s="1659"/>
      <c r="N73" s="1662"/>
      <c r="O73" s="1657"/>
      <c r="P73" s="1660"/>
      <c r="Q73" s="1668"/>
      <c r="R73" s="1660"/>
      <c r="S73" s="1660"/>
      <c r="T73" s="1668"/>
      <c r="U73" s="1660"/>
      <c r="V73" s="1660"/>
      <c r="W73" s="1668"/>
      <c r="X73" s="1665"/>
      <c r="Y73" s="1667"/>
      <c r="Z73" s="557"/>
      <c r="AA73" s="558"/>
      <c r="AG73" s="428"/>
      <c r="AH73" s="428"/>
      <c r="AI73" s="428"/>
      <c r="AJ73" s="428"/>
      <c r="AK73" s="428"/>
      <c r="AL73" s="428"/>
      <c r="AP73" s="336"/>
      <c r="AQ73" s="442"/>
      <c r="AR73" s="336"/>
      <c r="AS73" s="336"/>
      <c r="AT73" s="345"/>
      <c r="AU73" s="345"/>
      <c r="AV73" s="345"/>
      <c r="AW73" s="345"/>
      <c r="AX73" s="345"/>
      <c r="AY73" s="355"/>
      <c r="AZ73" s="355"/>
    </row>
    <row r="74" spans="1:52" s="325" customFormat="1" ht="19.5" customHeight="1">
      <c r="A74" s="1638" t="str">
        <f ca="1">'Linac 3'!A$74</f>
        <v>B3</v>
      </c>
      <c r="B74" s="1011"/>
      <c r="C74" s="1623" t="s">
        <v>333</v>
      </c>
      <c r="D74" s="1625">
        <v>1</v>
      </c>
      <c r="E74" s="1625">
        <v>0</v>
      </c>
      <c r="F74" s="1627" t="s">
        <v>12</v>
      </c>
      <c r="G74" s="1627">
        <v>250</v>
      </c>
      <c r="H74" s="1627">
        <v>0</v>
      </c>
      <c r="I74" s="1627">
        <v>0</v>
      </c>
      <c r="J74" s="1656">
        <f>IF($G74=0,0,IF($F74="recht",1+($G74-$C$17)/$C$18,1+($G74-$C$17-0.301*$C$18)/$C$18))+IF($H74=0,0,IF($F74="recht",$H74/$C$19,($H74-0.301*$C$19)/$C$19))+$I74/$C$20</f>
        <v>7.4545454545454541</v>
      </c>
      <c r="K74" s="1663">
        <f>10^(-J74)</f>
        <v>3.5111917342151263E-8</v>
      </c>
      <c r="L74" s="1656">
        <f>($C$7*$C$11*$E74/$D74/$D74*K74*1000000)</f>
        <v>0</v>
      </c>
      <c r="M74" s="1656">
        <f>IF($G74=0,0,IF($F$74="recht",1+($G74-$D$17)/$D$18,1+($G74-$D$17-0.301*$D$18)/$D$18))+IF($H74=0,0,IF($F74="recht",$H74/$D$19,($H74-0.301*$D$19)/$D$19))+$I74/$D$20</f>
        <v>6.6486486486486482</v>
      </c>
      <c r="N74" s="1663">
        <f>10^(-M74)</f>
        <v>2.2456979955397711E-7</v>
      </c>
      <c r="O74" s="1656">
        <f>($C$7*$D$11*$E74/$D74/$D74*N74*1000000)</f>
        <v>0</v>
      </c>
      <c r="P74" s="1656">
        <f>IF($G$74=0,0,IF($F74="recht",1+($G74-$E$17)/$E$18,1+($G74-$E$17-0.301*$E$18)/$E$18))+IF($H74=0,0,IF($F74="recht",$H74/$E$19,($H74-0.301*$E$19)/$E$19))+$I74/$E$20</f>
        <v>6.024390243902439</v>
      </c>
      <c r="Q74" s="1663">
        <f>10^(-P74)</f>
        <v>9.4538728313079291E-7</v>
      </c>
      <c r="R74" s="1656">
        <f>($C$7*$E$11*$E74/$D74/$D74*Q74*1000000)</f>
        <v>0</v>
      </c>
      <c r="S74" s="1656">
        <f>IF($G74=0,0,IF($F74="recht",1+($G74-$F$17)/$F$18,1+($G74-$F$17-0.301*$F$18)/$F$18))+IF($H74=0,0,IF($F74="recht",$H74/$F$19,($H74-0.301*$F$19)/$F$19))+$I74/$F$20</f>
        <v>9.1481481481481488</v>
      </c>
      <c r="T74" s="1699">
        <f>10^(-S74)</f>
        <v>7.1097094323124171E-10</v>
      </c>
      <c r="U74" s="1659">
        <f>($C$7*$F$11*$E74/$D74/$D74*T74*1000000)</f>
        <v>0</v>
      </c>
      <c r="V74" s="1656">
        <f>IF($G74=0,0,IF($F74="recht",1+($G74-$G$17)/$G$18,1+($G74-$G$17-0.301*$G$18)/$G$18))+IF($H74=0,0,IF($F74="recht",$H74/$G$19,($H74-0.301*$G$19)/$G$19))+$I74/$G$20</f>
        <v>6.9444444444444446</v>
      </c>
      <c r="W74" s="1699">
        <f>10^(-V74)</f>
        <v>1.136463666385722E-7</v>
      </c>
      <c r="X74" s="1698">
        <f>($C$7*$G$11*$E74/$D74/$D74*W74*1000000)</f>
        <v>0</v>
      </c>
      <c r="Y74" s="1679">
        <f>SUM(L74,O74,R74,U74,X74)</f>
        <v>0</v>
      </c>
      <c r="Z74" s="1179">
        <f>SUM(Y74:Y76)</f>
        <v>1.4937465351460337E-2</v>
      </c>
      <c r="AA74" s="552">
        <f>Z74*52/1000</f>
        <v>7.7674819827593751E-4</v>
      </c>
      <c r="AG74" s="428"/>
      <c r="AI74" s="428"/>
      <c r="AJ74" s="428"/>
      <c r="AK74" s="428"/>
      <c r="AL74" s="428"/>
      <c r="AP74" s="336"/>
      <c r="AQ74" s="442"/>
      <c r="AR74" s="336"/>
      <c r="AS74" s="336"/>
      <c r="AT74" s="345"/>
      <c r="AU74" s="345"/>
      <c r="AV74" s="345"/>
      <c r="AW74" s="345"/>
      <c r="AX74" s="345"/>
      <c r="AY74" s="355"/>
      <c r="AZ74" s="355"/>
    </row>
    <row r="75" spans="1:52" s="325" customFormat="1" ht="19.5" customHeight="1">
      <c r="A75" s="1639"/>
      <c r="B75" s="1010" t="s">
        <v>26</v>
      </c>
      <c r="C75" s="1624"/>
      <c r="D75" s="1626"/>
      <c r="E75" s="1626"/>
      <c r="F75" s="1628"/>
      <c r="G75" s="1628"/>
      <c r="H75" s="1628"/>
      <c r="I75" s="1628"/>
      <c r="J75" s="1659"/>
      <c r="K75" s="1662"/>
      <c r="L75" s="1657"/>
      <c r="M75" s="1657"/>
      <c r="N75" s="1662"/>
      <c r="O75" s="1657"/>
      <c r="P75" s="1657"/>
      <c r="Q75" s="1662"/>
      <c r="R75" s="1657"/>
      <c r="S75" s="1657"/>
      <c r="T75" s="1662"/>
      <c r="U75" s="1657"/>
      <c r="V75" s="1657"/>
      <c r="W75" s="1662"/>
      <c r="X75" s="1678"/>
      <c r="Y75" s="1680"/>
      <c r="Z75" s="553"/>
      <c r="AA75" s="554"/>
      <c r="AG75" s="428"/>
      <c r="AI75" s="428"/>
      <c r="AJ75" s="428"/>
      <c r="AK75" s="428"/>
      <c r="AL75" s="428"/>
      <c r="AP75" s="336"/>
      <c r="AQ75" s="442"/>
      <c r="AR75" s="336"/>
      <c r="AS75" s="336"/>
      <c r="AT75" s="345"/>
      <c r="AU75" s="345"/>
      <c r="AV75" s="345"/>
      <c r="AW75" s="345"/>
      <c r="AX75" s="345"/>
      <c r="AY75" s="355"/>
      <c r="AZ75" s="355"/>
    </row>
    <row r="76" spans="1:52" s="325" customFormat="1" ht="19.5" customHeight="1">
      <c r="A76" s="1639"/>
      <c r="B76" s="1008" t="str">
        <f ca="1">'Linac 3'!C$3</f>
        <v>Linac 3</v>
      </c>
      <c r="C76" s="1687" t="s">
        <v>334</v>
      </c>
      <c r="D76" s="1626">
        <v>5</v>
      </c>
      <c r="E76" s="1690">
        <v>1</v>
      </c>
      <c r="F76" s="1628"/>
      <c r="G76" s="1628"/>
      <c r="H76" s="1628"/>
      <c r="I76" s="1628"/>
      <c r="J76" s="1658">
        <f>IF($G74=0,0,IF($F74="recht",$G74/$C$24,($G74-0.301*$C$24)/$C$24))+IF($H74=0,0,IF($F74="recht",$H74/$C$25,($H74-0.301*$C$25)/$C$25))+$I74/$C$26</f>
        <v>7.3529411764705879</v>
      </c>
      <c r="K76" s="1661">
        <f>10^(-J76)</f>
        <v>4.4366873309786093E-8</v>
      </c>
      <c r="L76" s="1658">
        <f>($C$7*$C$8*$C$11*($C$12+$C$13*$C$14)*$E76/$D76/$D76*K76*1000000)</f>
        <v>1.0648049594348663E-3</v>
      </c>
      <c r="M76" s="1658">
        <f>IF($G74=0,0,IF($F74="recht",$G74/$D$24,($G74-0.301*$D$24)/$D$24))+IF($H74=0,0,IF($F74="recht",$H74/$D$25,($H74-0.301*$D$25)/$D$25))+$I74/$D$26</f>
        <v>6.5789473684210522</v>
      </c>
      <c r="N76" s="1661">
        <f>10^(-M76)</f>
        <v>2.636650898730358E-7</v>
      </c>
      <c r="O76" s="1658">
        <f>($C$7*$C$8*$D$11*($D$12+$D$13*$D$14)*$E76/$D76/$D76*N76*1000000)</f>
        <v>6.3279621569528599E-3</v>
      </c>
      <c r="P76" s="1658">
        <f>IF($G$74=0,0,IF($F74="recht",$G74/$E$24,($G74-0.301*$E$24)/$E$24))+IF($H74=0,0,IF($F74="recht",$H74/$E$25,($H74-0.301*$E$25)/$E$25))+$I74/$E$26*1</f>
        <v>6.5616797900262469</v>
      </c>
      <c r="Q76" s="1661">
        <f>10^(-P76)</f>
        <v>2.7435963093132793E-7</v>
      </c>
      <c r="R76" s="1658">
        <f>($C$7*$C$8*$E$11*($E$12+$E$13*$E$14)*$E76/$D76/$D76*Q76*1000000)</f>
        <v>6.5846311423518713E-3</v>
      </c>
      <c r="S76" s="1658">
        <f>IF($G74=0,0,IF($F74="recht",$G74/$F$24,($G74-0.301*$F$24)/$F$24))+IF($H74=0,0,IF($F74="recht",$H74/$F$25,($H74-0.301*$F$25)/$F$25))+$I74/$F$26</f>
        <v>8.1967213114754092</v>
      </c>
      <c r="T76" s="1661">
        <f>10^(-S76)</f>
        <v>6.3573875711648393E-9</v>
      </c>
      <c r="U76" s="1658">
        <f>($C$7*$C$8*$F$11*($F$12+$F$13*$F$14)*$E76/$D76/$D76*T76*1000000)</f>
        <v>8.6460470967841829E-5</v>
      </c>
      <c r="V76" s="1658">
        <f>IF($G74=0,0,IF($F74="recht",$G74/$G$24,($G74-0.301*$G$24)/$G$24))+IF($H74=0,0,IF($F74="recht",$H74/$G$25,($H74-0.301*$G$25)/$G$25))+$I74/$G$26</f>
        <v>7.0224719101123592</v>
      </c>
      <c r="W76" s="1661">
        <f>10^(-V76)</f>
        <v>9.4957241494880226E-8</v>
      </c>
      <c r="X76" s="1664">
        <f>($C$7*$C$8*$G$11*($G$12+$G$13*$G$14)*$E76/$D76/$D76*W76*1000000)</f>
        <v>8.7360662175289805E-4</v>
      </c>
      <c r="Y76" s="1666">
        <f>SUM(L76,O76,R76,U76,X76)</f>
        <v>1.4937465351460337E-2</v>
      </c>
      <c r="Z76" s="555"/>
      <c r="AA76" s="556"/>
      <c r="AG76" s="428"/>
      <c r="AH76" s="428"/>
      <c r="AI76" s="428"/>
      <c r="AJ76" s="428"/>
      <c r="AK76" s="428"/>
      <c r="AL76" s="428"/>
      <c r="AP76" s="336"/>
      <c r="AQ76" s="442"/>
      <c r="AR76" s="336"/>
      <c r="AS76" s="336"/>
      <c r="AT76" s="345"/>
      <c r="AU76" s="345"/>
      <c r="AV76" s="345"/>
      <c r="AW76" s="345"/>
      <c r="AX76" s="345"/>
      <c r="AY76" s="355"/>
      <c r="AZ76" s="355"/>
    </row>
    <row r="77" spans="1:52" s="325" customFormat="1" ht="19.5" customHeight="1" thickBot="1">
      <c r="A77" s="1640"/>
      <c r="B77" s="1009"/>
      <c r="C77" s="1688"/>
      <c r="D77" s="1689"/>
      <c r="E77" s="1691"/>
      <c r="F77" s="1629"/>
      <c r="G77" s="1629"/>
      <c r="H77" s="1629"/>
      <c r="I77" s="1629"/>
      <c r="J77" s="1660"/>
      <c r="K77" s="1662"/>
      <c r="L77" s="1657"/>
      <c r="M77" s="1659"/>
      <c r="N77" s="1662"/>
      <c r="O77" s="1657"/>
      <c r="P77" s="1660"/>
      <c r="Q77" s="1668"/>
      <c r="R77" s="1660"/>
      <c r="S77" s="1660"/>
      <c r="T77" s="1699"/>
      <c r="U77" s="1659"/>
      <c r="V77" s="1660"/>
      <c r="W77" s="1699"/>
      <c r="X77" s="1698"/>
      <c r="Y77" s="1667"/>
      <c r="Z77" s="557"/>
      <c r="AA77" s="558"/>
      <c r="AG77" s="428"/>
      <c r="AH77" s="428"/>
      <c r="AI77" s="428"/>
      <c r="AJ77" s="428"/>
      <c r="AK77" s="428"/>
      <c r="AL77" s="428"/>
      <c r="AP77" s="336"/>
      <c r="AQ77" s="442"/>
      <c r="AR77" s="336"/>
      <c r="AS77" s="336"/>
      <c r="AT77" s="345"/>
      <c r="AU77" s="345"/>
      <c r="AV77" s="345"/>
      <c r="AW77" s="345"/>
      <c r="AX77" s="345"/>
      <c r="AY77" s="355"/>
      <c r="AZ77" s="355"/>
    </row>
    <row r="78" spans="1:52" s="325" customFormat="1" ht="19.5" customHeight="1">
      <c r="A78" s="1638" t="str">
        <f ca="1">'Linac 4'!A$78</f>
        <v>B4</v>
      </c>
      <c r="B78" s="1008"/>
      <c r="C78" s="1623" t="s">
        <v>333</v>
      </c>
      <c r="D78" s="1625">
        <v>1</v>
      </c>
      <c r="E78" s="1625">
        <v>0</v>
      </c>
      <c r="F78" s="1627" t="s">
        <v>12</v>
      </c>
      <c r="G78" s="1627">
        <v>250</v>
      </c>
      <c r="H78" s="1627">
        <v>0</v>
      </c>
      <c r="I78" s="1627">
        <v>0</v>
      </c>
      <c r="J78" s="1656">
        <f>IF($G78=0,0,IF($F78="recht",1+($G78-$C$17)/$C$18,1+($G78-$C$17-0.301*$C$18)/$C$18))+IF($H78=0,0,IF($F78="recht",$H78/$C$19,($H78-0.301*$C$19)/$C$19))+$I78/$C$20</f>
        <v>7.4545454545454541</v>
      </c>
      <c r="K78" s="1663">
        <f>10^(-J78)</f>
        <v>3.5111917342151263E-8</v>
      </c>
      <c r="L78" s="1656">
        <f>($C$7*$C$11*$E78/$D78/$D78*K78*1000000)</f>
        <v>0</v>
      </c>
      <c r="M78" s="1656">
        <f>IF($G78=0,0,IF($F$78="recht",1+($G78-$D$17)/$D$18,1+($G78-$D$17-0.301*$D$18)/$D$18))+IF($H78=0,0,IF($F78="recht",$H78/$D$19,($H78-0.301*$D$19)/$D$19))+$I78/$D$20</f>
        <v>6.6486486486486482</v>
      </c>
      <c r="N78" s="1663">
        <f>10^(-M78)</f>
        <v>2.2456979955397711E-7</v>
      </c>
      <c r="O78" s="1656">
        <f>($C$7*$D$11*$E78/$D78/$D78*N78*1000000)</f>
        <v>0</v>
      </c>
      <c r="P78" s="1656">
        <f>IF($G$78=0,0,IF($F78="recht",1+($G78-$E$17)/$E$18,1+($G78-$E$17-0.301*$E$18)/$E$18))+IF($H78=0,0,IF($F78="recht",$H78/$E$19,($H78-0.301*$E$19)/$E$19))+$I78/$E$20</f>
        <v>6.024390243902439</v>
      </c>
      <c r="Q78" s="1663">
        <f>10^(-P78)</f>
        <v>9.4538728313079291E-7</v>
      </c>
      <c r="R78" s="1656">
        <f>($C$7*$E$11*$E78/$D78/$D78*Q78*1000000)</f>
        <v>0</v>
      </c>
      <c r="S78" s="1656">
        <f>IF($G78=0,0,IF($F78="recht",1+($G78-$F$17)/$F$18,1+($G78-$F$17-0.301*$F$18)/$F$18))+IF($H78=0,0,IF($F78="recht",$H78/$F$19,($H78-0.301*$F$19)/$F$19))+$I78/$F$20</f>
        <v>9.1481481481481488</v>
      </c>
      <c r="T78" s="1663">
        <f>10^(-S78)</f>
        <v>7.1097094323124171E-10</v>
      </c>
      <c r="U78" s="1656">
        <f>($C$7*$F$11*$E78/$D78/$D78*T78*1000000)</f>
        <v>0</v>
      </c>
      <c r="V78" s="1656">
        <f>IF($G78=0,0,IF($F78="recht",1+($G78-$G$17)/$G$18,1+($G78-$G$17-0.301*$G$18)/$G$18))+IF($H78=0,0,IF($F78="recht",$H78/$G$19,($H78-0.301*$G$19)/$G$19))+$I78/$G$20</f>
        <v>6.9444444444444446</v>
      </c>
      <c r="W78" s="1663">
        <f>10^(-V78)</f>
        <v>1.136463666385722E-7</v>
      </c>
      <c r="X78" s="1677">
        <f>($C$7*$G$11*$E78/$D78/$D78*W78*1000000)</f>
        <v>0</v>
      </c>
      <c r="Y78" s="1679">
        <f>SUM(L78,O78,R78,U78,X78)</f>
        <v>0</v>
      </c>
      <c r="Z78" s="1179">
        <f>SUM(Y78:Y80)</f>
        <v>1.4937465351460337E-2</v>
      </c>
      <c r="AA78" s="552">
        <f>Z78*52/1000</f>
        <v>7.7674819827593751E-4</v>
      </c>
      <c r="AG78" s="428"/>
      <c r="AI78" s="428"/>
      <c r="AJ78" s="428"/>
      <c r="AK78" s="428"/>
      <c r="AL78" s="428"/>
      <c r="AP78" s="336"/>
      <c r="AQ78" s="442"/>
      <c r="AR78" s="336"/>
      <c r="AS78" s="336"/>
      <c r="AT78" s="345"/>
      <c r="AU78" s="345"/>
      <c r="AV78" s="345"/>
      <c r="AW78" s="345"/>
      <c r="AX78" s="345"/>
      <c r="AY78" s="355"/>
      <c r="AZ78" s="355"/>
    </row>
    <row r="79" spans="1:52" s="325" customFormat="1" ht="19.5" customHeight="1">
      <c r="A79" s="1639"/>
      <c r="B79" s="1008" t="s">
        <v>26</v>
      </c>
      <c r="C79" s="1624"/>
      <c r="D79" s="1626"/>
      <c r="E79" s="1626"/>
      <c r="F79" s="1628"/>
      <c r="G79" s="1628"/>
      <c r="H79" s="1628"/>
      <c r="I79" s="1628"/>
      <c r="J79" s="1659"/>
      <c r="K79" s="1662"/>
      <c r="L79" s="1657"/>
      <c r="M79" s="1657"/>
      <c r="N79" s="1662"/>
      <c r="O79" s="1657"/>
      <c r="P79" s="1657"/>
      <c r="Q79" s="1662"/>
      <c r="R79" s="1657"/>
      <c r="S79" s="1657"/>
      <c r="T79" s="1662"/>
      <c r="U79" s="1657"/>
      <c r="V79" s="1657"/>
      <c r="W79" s="1662"/>
      <c r="X79" s="1678"/>
      <c r="Y79" s="1686"/>
      <c r="Z79" s="553"/>
      <c r="AA79" s="554"/>
      <c r="AG79" s="428"/>
      <c r="AI79" s="428"/>
      <c r="AJ79" s="428"/>
      <c r="AK79" s="428"/>
      <c r="AL79" s="428"/>
      <c r="AP79" s="336"/>
      <c r="AQ79" s="442"/>
      <c r="AR79" s="336"/>
      <c r="AS79" s="336"/>
      <c r="AT79" s="345"/>
      <c r="AU79" s="345"/>
      <c r="AV79" s="345"/>
      <c r="AW79" s="345"/>
      <c r="AX79" s="345"/>
      <c r="AY79" s="355"/>
      <c r="AZ79" s="355"/>
    </row>
    <row r="80" spans="1:52" s="325" customFormat="1" ht="19.5" customHeight="1">
      <c r="A80" s="1639"/>
      <c r="B80" s="1008" t="str">
        <f ca="1">'Linac 4'!C$3</f>
        <v>Linac 4</v>
      </c>
      <c r="C80" s="1687" t="s">
        <v>334</v>
      </c>
      <c r="D80" s="1626">
        <v>5</v>
      </c>
      <c r="E80" s="1690">
        <v>1</v>
      </c>
      <c r="F80" s="1628"/>
      <c r="G80" s="1628"/>
      <c r="H80" s="1628"/>
      <c r="I80" s="1628"/>
      <c r="J80" s="1658">
        <f>IF($G78=0,0,IF($F78="recht",$G78/$C$24,($G78-0.301*$C$24)/$C$24))+IF($H78=0,0,IF($F78="recht",$H78/$C$25,($H78-0.301*$C$25)/$C$25))+$I78/$C$26</f>
        <v>7.3529411764705879</v>
      </c>
      <c r="K80" s="1661">
        <f>10^(-J80)</f>
        <v>4.4366873309786093E-8</v>
      </c>
      <c r="L80" s="1658">
        <f>($C$7*$C$8*$C$11*($C$12+$C$13*$C$14)*$E80/$D80/$D80*K80*1000000)</f>
        <v>1.0648049594348663E-3</v>
      </c>
      <c r="M80" s="1658">
        <f>IF($G78=0,0,IF($F78="recht",$G78/$D$24,($G78-0.301*$D$24)/$D$24))+IF($H78=0,0,IF($F78="recht",$H78/$D$25,($H78-0.301*$D$25)/$D$25))+$I78/$D$26</f>
        <v>6.5789473684210522</v>
      </c>
      <c r="N80" s="1661">
        <f>10^(-M80)</f>
        <v>2.636650898730358E-7</v>
      </c>
      <c r="O80" s="1658">
        <f>($C$7*$C$8*$D$11*($D$12+$D$13*$D$14)*$E80/$D80/$D80*N80*1000000)</f>
        <v>6.3279621569528599E-3</v>
      </c>
      <c r="P80" s="1658">
        <f>IF($G$78=0,0,IF($F78="recht",$G78/$E$24,($G78-0.301*$E$24)/$E$24))+IF($H78=0,0,IF($F78="recht",$H78/$E$25,($H78-0.301*$E$25)/$E$25))+$I78/$E$26*1</f>
        <v>6.5616797900262469</v>
      </c>
      <c r="Q80" s="1661">
        <f>10^(-P80)</f>
        <v>2.7435963093132793E-7</v>
      </c>
      <c r="R80" s="1658">
        <f>($C$7*$C$8*$E$11*($E$12+$E$13*$E$14)*$E80/$D80/$D80*Q80*1000000)</f>
        <v>6.5846311423518713E-3</v>
      </c>
      <c r="S80" s="1658">
        <f>IF($G78=0,0,IF($F78="recht",$G78/$F$24,($G78-0.301*$F$24)/$F$24))+IF($H78=0,0,IF($F78="recht",$H78/$F$25,($H78-0.301*$F$25)/$F$25))+$I78/$F$26</f>
        <v>8.1967213114754092</v>
      </c>
      <c r="T80" s="1661">
        <f>10^(-S80)</f>
        <v>6.3573875711648393E-9</v>
      </c>
      <c r="U80" s="1658">
        <f>($C$7*$C$8*$F$11*($F$12+$F$13*$F$14)*$E80/$D80/$D80*T80*1000000)</f>
        <v>8.6460470967841829E-5</v>
      </c>
      <c r="V80" s="1658">
        <f>IF($G78=0,0,IF($F78="recht",$G78/$G$24,($G78-0.301*$G$24)/$G$24))+IF($H78=0,0,IF($F78="recht",$H78/$G$25,($H78-0.301*$G$25)/$G$25))+$I78/$G$26</f>
        <v>7.0224719101123592</v>
      </c>
      <c r="W80" s="1661">
        <f>10^(-V80)</f>
        <v>9.4957241494880226E-8</v>
      </c>
      <c r="X80" s="1664">
        <f>($C$7*$C$8*$G$11*($G$12+$G$13*$G$14)*$E80/$D80/$D80*W80*1000000)</f>
        <v>8.7360662175289805E-4</v>
      </c>
      <c r="Y80" s="1680">
        <f>SUM(L80,O80,R80,U80,X80)</f>
        <v>1.4937465351460337E-2</v>
      </c>
      <c r="Z80" s="555"/>
      <c r="AA80" s="556"/>
      <c r="AG80" s="428"/>
      <c r="AH80" s="428"/>
      <c r="AI80" s="428"/>
      <c r="AJ80" s="428"/>
      <c r="AK80" s="428"/>
      <c r="AL80" s="428"/>
      <c r="AP80" s="336"/>
      <c r="AQ80" s="442"/>
      <c r="AR80" s="336"/>
      <c r="AS80" s="336"/>
      <c r="AT80" s="345"/>
      <c r="AU80" s="345"/>
      <c r="AV80" s="345"/>
      <c r="AW80" s="345"/>
      <c r="AX80" s="345"/>
      <c r="AY80" s="355"/>
      <c r="AZ80" s="355"/>
    </row>
    <row r="81" spans="1:62" s="325" customFormat="1" ht="19.5" customHeight="1" thickBot="1">
      <c r="A81" s="1640"/>
      <c r="B81" s="1013"/>
      <c r="C81" s="1688"/>
      <c r="D81" s="1689"/>
      <c r="E81" s="1691"/>
      <c r="F81" s="1629"/>
      <c r="G81" s="1629"/>
      <c r="H81" s="1629"/>
      <c r="I81" s="1629"/>
      <c r="J81" s="1660"/>
      <c r="K81" s="1668"/>
      <c r="L81" s="1660"/>
      <c r="M81" s="1660"/>
      <c r="N81" s="1668"/>
      <c r="O81" s="1660"/>
      <c r="P81" s="1660"/>
      <c r="Q81" s="1668"/>
      <c r="R81" s="1660"/>
      <c r="S81" s="1660"/>
      <c r="T81" s="1668"/>
      <c r="U81" s="1660"/>
      <c r="V81" s="1660"/>
      <c r="W81" s="1668"/>
      <c r="X81" s="1665"/>
      <c r="Y81" s="1667"/>
      <c r="Z81" s="557"/>
      <c r="AA81" s="558"/>
      <c r="AG81" s="428"/>
      <c r="AH81" s="428"/>
      <c r="AI81" s="428"/>
      <c r="AJ81" s="428"/>
      <c r="AK81" s="428"/>
      <c r="AL81" s="428"/>
      <c r="AP81" s="336"/>
      <c r="AQ81" s="442"/>
      <c r="AR81" s="336"/>
      <c r="AS81" s="336"/>
      <c r="AT81" s="345"/>
      <c r="AU81" s="345"/>
      <c r="AV81" s="345"/>
      <c r="AW81" s="345"/>
      <c r="AX81" s="345"/>
      <c r="AY81" s="355"/>
      <c r="AZ81" s="355"/>
    </row>
    <row r="82" spans="1:62" s="345" customFormat="1" ht="19.5" customHeight="1">
      <c r="A82" s="336"/>
      <c r="B82" s="336"/>
      <c r="C82" s="499"/>
      <c r="D82" s="895"/>
      <c r="E82" s="895"/>
      <c r="F82" s="895"/>
      <c r="G82" s="895"/>
      <c r="H82" s="895"/>
      <c r="I82" s="895"/>
      <c r="J82" s="896"/>
      <c r="K82" s="897"/>
      <c r="L82" s="896"/>
      <c r="M82" s="896"/>
      <c r="N82" s="897"/>
      <c r="O82" s="896"/>
      <c r="P82" s="896"/>
      <c r="Q82" s="897"/>
      <c r="R82" s="896"/>
      <c r="S82" s="896"/>
      <c r="T82" s="897"/>
      <c r="U82" s="896"/>
      <c r="V82" s="896"/>
      <c r="W82" s="897"/>
      <c r="X82" s="896"/>
      <c r="Y82" s="896"/>
      <c r="Z82" s="338"/>
      <c r="AA82" s="338"/>
      <c r="AG82" s="428"/>
      <c r="AH82" s="428"/>
      <c r="AI82" s="428"/>
      <c r="AJ82" s="428"/>
      <c r="AK82" s="428"/>
      <c r="AL82" s="428"/>
      <c r="AP82" s="336"/>
      <c r="AQ82" s="442"/>
      <c r="AR82" s="336"/>
      <c r="AS82" s="336"/>
      <c r="AY82" s="355"/>
      <c r="AZ82" s="355"/>
    </row>
    <row r="83" spans="1:62" s="325" customFormat="1" ht="19.5" customHeight="1">
      <c r="A83" s="336"/>
      <c r="B83" s="336"/>
      <c r="C83" s="442"/>
      <c r="D83" s="442"/>
      <c r="E83" s="762"/>
      <c r="F83" s="966"/>
      <c r="G83" s="967"/>
      <c r="H83" s="967"/>
      <c r="I83" s="966"/>
      <c r="J83" s="966"/>
      <c r="K83" s="966"/>
      <c r="L83" s="968"/>
      <c r="M83" s="968"/>
      <c r="N83" s="908"/>
      <c r="O83" s="908"/>
      <c r="P83" s="908"/>
      <c r="Q83" s="908"/>
      <c r="R83" s="428"/>
      <c r="S83" s="384"/>
      <c r="T83" s="336"/>
      <c r="U83" s="336"/>
      <c r="V83" s="311"/>
      <c r="W83" s="311"/>
      <c r="X83" s="336"/>
      <c r="Y83" s="442"/>
      <c r="Z83" s="336"/>
      <c r="AA83" s="336"/>
      <c r="AB83" s="345"/>
      <c r="AC83" s="345"/>
      <c r="AD83" s="345"/>
      <c r="AE83" s="345"/>
      <c r="AF83" s="345"/>
    </row>
    <row r="84" spans="1:62" ht="19.5" customHeight="1">
      <c r="A84" s="903" t="s">
        <v>512</v>
      </c>
      <c r="B84" s="894"/>
      <c r="C84" s="375"/>
      <c r="D84" s="376"/>
      <c r="L84" s="377"/>
      <c r="M84" s="377"/>
      <c r="S84" s="380"/>
      <c r="V84" s="331"/>
      <c r="W84" s="331"/>
      <c r="X84" s="331"/>
      <c r="Y84" s="331"/>
      <c r="Z84" s="331"/>
      <c r="AB84" s="440"/>
      <c r="AC84" s="311"/>
      <c r="AD84" s="311"/>
      <c r="AE84" s="311"/>
      <c r="AF84" s="311"/>
      <c r="AJ84" s="378"/>
      <c r="AK84" s="378"/>
      <c r="AL84" s="379"/>
      <c r="AM84" s="379"/>
      <c r="AN84" s="379"/>
      <c r="AO84" s="378"/>
      <c r="AP84" s="378"/>
      <c r="AQ84" s="378"/>
    </row>
    <row r="85" spans="1:62" ht="19.5" customHeight="1">
      <c r="A85" s="907"/>
      <c r="B85" s="391" t="s">
        <v>533</v>
      </c>
      <c r="C85" s="375"/>
      <c r="D85" s="376"/>
      <c r="L85" s="377"/>
      <c r="M85" s="377"/>
      <c r="S85" s="380"/>
      <c r="V85" s="331"/>
      <c r="W85" s="331"/>
      <c r="X85" s="331"/>
      <c r="Y85" s="331"/>
      <c r="Z85" s="331"/>
      <c r="AB85" s="440"/>
      <c r="AC85" s="311"/>
      <c r="AD85" s="311"/>
      <c r="AE85" s="311"/>
      <c r="AF85" s="311"/>
      <c r="AJ85" s="378"/>
      <c r="AK85" s="378"/>
      <c r="AL85" s="379"/>
      <c r="AM85" s="379"/>
      <c r="AN85" s="379"/>
      <c r="AO85" s="378"/>
      <c r="AP85" s="378"/>
      <c r="AQ85" s="378"/>
    </row>
    <row r="86" spans="1:62" ht="19.5" customHeight="1">
      <c r="A86" s="907"/>
      <c r="B86" s="1340" t="s">
        <v>577</v>
      </c>
      <c r="C86" s="1341"/>
      <c r="D86" s="1342">
        <v>5</v>
      </c>
      <c r="L86" s="377"/>
      <c r="M86" s="377"/>
      <c r="S86" s="380"/>
      <c r="V86" s="331"/>
      <c r="W86" s="331"/>
      <c r="X86" s="331"/>
      <c r="Y86" s="331"/>
      <c r="Z86" s="331"/>
      <c r="AB86" s="440"/>
      <c r="AC86" s="311"/>
      <c r="AD86" s="311"/>
      <c r="AE86" s="311"/>
      <c r="AF86" s="311"/>
      <c r="AJ86" s="378"/>
      <c r="AK86" s="378"/>
      <c r="AL86" s="379"/>
      <c r="AM86" s="379"/>
      <c r="AN86" s="379"/>
      <c r="AO86" s="378"/>
      <c r="AP86" s="378"/>
      <c r="AQ86" s="378"/>
    </row>
    <row r="87" spans="1:62" ht="19.5" customHeight="1" thickBot="1">
      <c r="A87" s="907"/>
      <c r="B87" s="1340" t="s">
        <v>578</v>
      </c>
      <c r="C87" s="1341"/>
      <c r="D87" s="1342">
        <v>5</v>
      </c>
      <c r="L87" s="377"/>
      <c r="M87" s="377"/>
      <c r="S87" s="380"/>
      <c r="V87" s="331"/>
      <c r="W87" s="331"/>
      <c r="X87" s="331"/>
      <c r="Y87" s="331"/>
      <c r="Z87" s="331"/>
      <c r="AB87" s="440"/>
      <c r="AC87" s="311"/>
      <c r="AD87" s="311"/>
      <c r="AE87" s="311"/>
      <c r="AF87" s="311"/>
      <c r="AJ87" s="378"/>
      <c r="AK87" s="378"/>
      <c r="AL87" s="379"/>
      <c r="AM87" s="379"/>
      <c r="AN87" s="379"/>
      <c r="AO87" s="378"/>
      <c r="AP87" s="378"/>
      <c r="AQ87" s="378"/>
    </row>
    <row r="88" spans="1:62" s="325" customFormat="1" ht="19.5" customHeight="1">
      <c r="A88" s="1633" t="s">
        <v>65</v>
      </c>
      <c r="B88" s="1700" t="s">
        <v>19</v>
      </c>
      <c r="C88" s="1692" t="s">
        <v>31</v>
      </c>
      <c r="D88" s="1692" t="s">
        <v>270</v>
      </c>
      <c r="E88" s="1633" t="s">
        <v>0</v>
      </c>
      <c r="F88" s="1692" t="s">
        <v>103</v>
      </c>
      <c r="G88" s="1721" t="s">
        <v>113</v>
      </c>
      <c r="H88" s="1722"/>
      <c r="I88" s="1723"/>
      <c r="J88" s="1721" t="s">
        <v>570</v>
      </c>
      <c r="K88" s="1722"/>
      <c r="L88" s="1723"/>
      <c r="M88" s="1673">
        <f>$C$6</f>
        <v>6</v>
      </c>
      <c r="N88" s="1674"/>
      <c r="O88" s="1675"/>
      <c r="P88" s="1673">
        <f>$D$6</f>
        <v>10</v>
      </c>
      <c r="Q88" s="1674"/>
      <c r="R88" s="1675"/>
      <c r="S88" s="1673">
        <f>$E$6</f>
        <v>15</v>
      </c>
      <c r="T88" s="1674"/>
      <c r="U88" s="1675"/>
      <c r="V88" s="1673" t="str">
        <f>$F$6</f>
        <v>6 FFF</v>
      </c>
      <c r="W88" s="1674"/>
      <c r="X88" s="1675"/>
      <c r="Y88" s="1673" t="str">
        <f>$G$6</f>
        <v>10 FFF</v>
      </c>
      <c r="Z88" s="1674"/>
      <c r="AA88" s="1675"/>
      <c r="AB88" s="1643" t="s">
        <v>20</v>
      </c>
      <c r="AC88" s="1644"/>
      <c r="AD88" s="1645"/>
      <c r="AE88" s="533"/>
      <c r="AF88" s="336"/>
      <c r="AG88" s="345"/>
      <c r="AH88" s="345"/>
      <c r="AI88" s="345"/>
      <c r="AJ88" s="345"/>
      <c r="AK88" s="345"/>
    </row>
    <row r="89" spans="1:62" s="325" customFormat="1" ht="19.5" customHeight="1">
      <c r="A89" s="1634"/>
      <c r="B89" s="1701"/>
      <c r="C89" s="1682"/>
      <c r="D89" s="1682"/>
      <c r="E89" s="1634"/>
      <c r="F89" s="1682"/>
      <c r="G89" s="311"/>
      <c r="H89" s="336"/>
      <c r="I89" s="327"/>
      <c r="M89" s="328" t="s">
        <v>170</v>
      </c>
      <c r="N89" s="328" t="s">
        <v>329</v>
      </c>
      <c r="O89" s="328" t="s">
        <v>20</v>
      </c>
      <c r="P89" s="328" t="s">
        <v>170</v>
      </c>
      <c r="Q89" s="328" t="s">
        <v>329</v>
      </c>
      <c r="R89" s="328" t="s">
        <v>20</v>
      </c>
      <c r="S89" s="328" t="s">
        <v>170</v>
      </c>
      <c r="T89" s="328" t="s">
        <v>329</v>
      </c>
      <c r="U89" s="328" t="s">
        <v>20</v>
      </c>
      <c r="V89" s="328" t="s">
        <v>170</v>
      </c>
      <c r="W89" s="328" t="s">
        <v>329</v>
      </c>
      <c r="X89" s="328" t="s">
        <v>20</v>
      </c>
      <c r="Y89" s="328" t="s">
        <v>170</v>
      </c>
      <c r="Z89" s="328" t="s">
        <v>329</v>
      </c>
      <c r="AA89" s="328" t="s">
        <v>20</v>
      </c>
      <c r="AB89" s="444"/>
      <c r="AC89" s="1641" t="s">
        <v>579</v>
      </c>
      <c r="AD89" s="1848"/>
      <c r="AE89" s="444"/>
      <c r="AF89" s="336"/>
      <c r="AG89" s="345"/>
      <c r="AH89" s="345"/>
      <c r="AI89" s="345"/>
      <c r="AJ89" s="345"/>
      <c r="AK89" s="345"/>
    </row>
    <row r="90" spans="1:62" s="325" customFormat="1" ht="19.5" customHeight="1" thickBot="1">
      <c r="A90" s="1634"/>
      <c r="B90" s="386"/>
      <c r="C90" s="1682"/>
      <c r="D90" s="1682"/>
      <c r="E90" s="1634"/>
      <c r="F90" s="1682"/>
      <c r="G90" s="513" t="s">
        <v>2</v>
      </c>
      <c r="H90" s="454" t="s">
        <v>96</v>
      </c>
      <c r="I90" s="424" t="s">
        <v>4</v>
      </c>
      <c r="J90" s="454" t="s">
        <v>4</v>
      </c>
      <c r="K90" s="764" t="s">
        <v>27</v>
      </c>
      <c r="L90" s="428" t="s">
        <v>52</v>
      </c>
      <c r="M90" s="763" t="s">
        <v>331</v>
      </c>
      <c r="N90" s="763" t="s">
        <v>330</v>
      </c>
      <c r="O90" s="439" t="s">
        <v>291</v>
      </c>
      <c r="P90" s="763" t="s">
        <v>331</v>
      </c>
      <c r="Q90" s="763" t="s">
        <v>330</v>
      </c>
      <c r="R90" s="439" t="s">
        <v>291</v>
      </c>
      <c r="S90" s="764" t="s">
        <v>331</v>
      </c>
      <c r="T90" s="764" t="s">
        <v>330</v>
      </c>
      <c r="U90" s="372" t="s">
        <v>291</v>
      </c>
      <c r="V90" s="764" t="s">
        <v>331</v>
      </c>
      <c r="W90" s="764" t="s">
        <v>330</v>
      </c>
      <c r="X90" s="372" t="s">
        <v>291</v>
      </c>
      <c r="Y90" s="764" t="s">
        <v>331</v>
      </c>
      <c r="Z90" s="764" t="s">
        <v>330</v>
      </c>
      <c r="AA90" s="372" t="s">
        <v>291</v>
      </c>
      <c r="AB90" s="1348" t="s">
        <v>291</v>
      </c>
      <c r="AC90" s="1349" t="s">
        <v>574</v>
      </c>
      <c r="AD90" s="941" t="s">
        <v>279</v>
      </c>
      <c r="AE90" s="1043"/>
      <c r="AF90" s="336"/>
      <c r="AG90" s="345"/>
      <c r="AH90" s="345"/>
      <c r="AI90" s="345"/>
      <c r="AJ90" s="345"/>
      <c r="AK90" s="345"/>
    </row>
    <row r="91" spans="1:62" s="325" customFormat="1" ht="19.5" customHeight="1">
      <c r="A91" s="1638" t="str">
        <f ca="1">'Linac 1'!A$91</f>
        <v>L1</v>
      </c>
      <c r="B91" s="1011"/>
      <c r="C91" s="1623" t="s">
        <v>333</v>
      </c>
      <c r="D91" s="1627">
        <v>1</v>
      </c>
      <c r="E91" s="1627">
        <v>0</v>
      </c>
      <c r="F91" s="1627" t="s">
        <v>12</v>
      </c>
      <c r="G91" s="1627">
        <v>250</v>
      </c>
      <c r="H91" s="1627">
        <v>0</v>
      </c>
      <c r="I91" s="1627">
        <v>0</v>
      </c>
      <c r="J91" s="1765"/>
      <c r="K91" s="1765"/>
      <c r="L91" s="1768"/>
      <c r="M91" s="1656">
        <f>IF($G91=0,0,IF($F91="recht",1+($G91-$C$17)/$C$18,1+($G91-$C$17-0.301*$C$18)/$C$18))+IF($H91=0,0,IF($F91="recht",$H91/$C$19,($H91-0.301*$C$19)/$C$19))+$I91/$C$20</f>
        <v>7.4545454545454541</v>
      </c>
      <c r="N91" s="1663">
        <f>10^(-M91)</f>
        <v>3.5111917342151263E-8</v>
      </c>
      <c r="O91" s="1656">
        <f>($C$7*$C$11*$E91/$D91/$D91*N91*1000000)</f>
        <v>0</v>
      </c>
      <c r="P91" s="1656">
        <f>IF($G91=0,0,IF($F91="recht",1+($G91-$D$17)/$D$18,1+($G91-$D$17-0.301*$D$18)/$D$18))+IF($H91=0,0,IF($F91="recht",$H91/$D$19,($H91-0.301*$D$19)/$D$19))+$I91/$D$20</f>
        <v>6.6486486486486482</v>
      </c>
      <c r="Q91" s="1663">
        <f>10^(-P91)</f>
        <v>2.2456979955397711E-7</v>
      </c>
      <c r="R91" s="1656">
        <f>($C$7*$D$11*$E91/$D91/$D91*Q91*1000000)</f>
        <v>0</v>
      </c>
      <c r="S91" s="1656">
        <f>IF($G91=0,0,IF($F91="recht",1+($G91-$E$17)/$E$18,1+($G91-$E$17-0.301*$E$18)/$E$18))+IF($H91=0,0,IF($F91="recht",$H91/$E$19,($H91-0.301*$E$19)/$E$19))+$I91/$E$20</f>
        <v>6.024390243902439</v>
      </c>
      <c r="T91" s="1663">
        <f>10^(-S91)</f>
        <v>9.4538728313079291E-7</v>
      </c>
      <c r="U91" s="1656">
        <f>($C$7*$E$11*$E91/$D91/$D91*T91*1000000)</f>
        <v>0</v>
      </c>
      <c r="V91" s="1656">
        <f>IF($G91=0,0,IF($F91="recht",1+($G91-$F$17)/$F$18,1+($G91-$F$17-0.301*$F$18)/$F$18))+IF($H91=0,0,IF($F91="recht",$H91/$F$19,($H91-0.301*$F$19)/$F$19))+$I91/$F$20</f>
        <v>9.1481481481481488</v>
      </c>
      <c r="W91" s="1661">
        <f>10^(-V91)</f>
        <v>7.1097094323124171E-10</v>
      </c>
      <c r="X91" s="1658">
        <f>($C$7*$F$11*$E91/$D91/$D91*W91*1000000)</f>
        <v>0</v>
      </c>
      <c r="Y91" s="1656">
        <f>IF($G91=0,0,IF($F91="recht",1+($G91-$G$17)/$G$18,1+($G91-$G$17-0.301*$G$18)/$G$18))+IF($H91=0,0,IF($F91="recht",$H91/$G$19,($H91-0.301*$G$19)/$G$19))+$I91/$G$20</f>
        <v>6.9444444444444446</v>
      </c>
      <c r="Z91" s="1661">
        <f>10^(-Y91)</f>
        <v>1.136463666385722E-7</v>
      </c>
      <c r="AA91" s="1658">
        <f>($C$7*$G$11*$E91/$D91/$D91*Z91*1000000)</f>
        <v>0</v>
      </c>
      <c r="AB91" s="1708">
        <f>SUM(O91,R91,U91,X91,AA91)</f>
        <v>0</v>
      </c>
      <c r="AC91" s="1180">
        <f>SUM(AB91:AB94)*$D$86/2400/1000</f>
        <v>7.7799298705522589E-7</v>
      </c>
      <c r="AD91" s="942">
        <f>AC91*$D$87</f>
        <v>3.8899649352761298E-6</v>
      </c>
      <c r="AE91" s="1233"/>
      <c r="AF91" s="336"/>
      <c r="AG91" s="345"/>
      <c r="AH91" s="345"/>
      <c r="AI91" s="345"/>
      <c r="AJ91" s="345"/>
      <c r="AK91" s="345"/>
      <c r="AL91" s="345"/>
      <c r="AM91" s="345"/>
      <c r="AN91" s="345"/>
      <c r="AO91" s="345"/>
      <c r="AP91" s="345"/>
      <c r="AQ91" s="345"/>
      <c r="AR91" s="345"/>
      <c r="AS91" s="345"/>
      <c r="AT91" s="345"/>
      <c r="AU91" s="345"/>
      <c r="AV91" s="345"/>
      <c r="AW91" s="345"/>
      <c r="AX91" s="345"/>
      <c r="AY91" s="345"/>
      <c r="AZ91" s="345"/>
      <c r="BA91" s="345"/>
      <c r="BB91" s="345"/>
      <c r="BC91" s="345"/>
      <c r="BD91" s="345"/>
      <c r="BE91" s="345"/>
      <c r="BF91" s="345"/>
      <c r="BG91" s="345"/>
      <c r="BH91" s="345"/>
      <c r="BI91" s="345"/>
      <c r="BJ91" s="345"/>
    </row>
    <row r="92" spans="1:62" s="325" customFormat="1" ht="19.5" customHeight="1">
      <c r="A92" s="1639"/>
      <c r="B92" s="1010" t="s">
        <v>168</v>
      </c>
      <c r="C92" s="1624"/>
      <c r="D92" s="1720"/>
      <c r="E92" s="1720"/>
      <c r="F92" s="1628"/>
      <c r="G92" s="1628"/>
      <c r="H92" s="1628"/>
      <c r="I92" s="1628"/>
      <c r="J92" s="1766"/>
      <c r="K92" s="1766"/>
      <c r="L92" s="1769"/>
      <c r="M92" s="1659"/>
      <c r="N92" s="1662"/>
      <c r="O92" s="1657"/>
      <c r="P92" s="1657"/>
      <c r="Q92" s="1662"/>
      <c r="R92" s="1657"/>
      <c r="S92" s="1657"/>
      <c r="T92" s="1662"/>
      <c r="U92" s="1657"/>
      <c r="V92" s="1657"/>
      <c r="W92" s="1662"/>
      <c r="X92" s="1657"/>
      <c r="Y92" s="1657"/>
      <c r="Z92" s="1662"/>
      <c r="AA92" s="1657"/>
      <c r="AB92" s="1709"/>
      <c r="AC92" s="1181"/>
      <c r="AD92" s="943"/>
      <c r="AE92" s="348"/>
      <c r="AF92" s="336"/>
      <c r="AG92" s="345"/>
      <c r="AH92" s="345"/>
      <c r="AI92" s="345"/>
      <c r="AJ92" s="345"/>
      <c r="AK92" s="345"/>
      <c r="AL92" s="345"/>
      <c r="AM92" s="345"/>
      <c r="AN92" s="345"/>
      <c r="AO92" s="345"/>
      <c r="AP92" s="345"/>
      <c r="AQ92" s="345"/>
      <c r="AR92" s="345"/>
      <c r="AS92" s="345"/>
      <c r="AT92" s="345"/>
      <c r="AU92" s="345"/>
      <c r="AV92" s="345"/>
      <c r="AW92" s="345"/>
      <c r="AX92" s="345"/>
      <c r="AY92" s="345"/>
      <c r="AZ92" s="345"/>
      <c r="BA92" s="345"/>
      <c r="BB92" s="345"/>
      <c r="BC92" s="345"/>
      <c r="BD92" s="345"/>
      <c r="BE92" s="345"/>
      <c r="BF92" s="345"/>
      <c r="BG92" s="345"/>
      <c r="BH92" s="345"/>
      <c r="BI92" s="345"/>
      <c r="BJ92" s="345"/>
    </row>
    <row r="93" spans="1:62" s="325" customFormat="1" ht="19.5" customHeight="1">
      <c r="A93" s="1639"/>
      <c r="B93" s="1012" t="str">
        <f ca="1">'Linac 1'!C$3</f>
        <v>Linac 1</v>
      </c>
      <c r="C93" s="1687" t="s">
        <v>334</v>
      </c>
      <c r="D93" s="1770">
        <v>1</v>
      </c>
      <c r="E93" s="1712">
        <v>1</v>
      </c>
      <c r="F93" s="1628"/>
      <c r="G93" s="1628"/>
      <c r="H93" s="1628"/>
      <c r="I93" s="1628"/>
      <c r="J93" s="1766"/>
      <c r="K93" s="1766"/>
      <c r="L93" s="1769"/>
      <c r="M93" s="1714">
        <f>IF($G91=0,0,IF($F91="recht",$G91/$C$24,($G91-0.301*$C$24)/$C$24))+IF($H91=0,0,IF($F91="recht",$H91/$C$25,($H91-0.301*$C$25)/$C$25))+$I91/$C$26</f>
        <v>7.3529411764705879</v>
      </c>
      <c r="N93" s="1661">
        <f>10^(-M93)</f>
        <v>4.4366873309786093E-8</v>
      </c>
      <c r="O93" s="1658">
        <f>($C$7*$C$8*$C$11*($C$12+$C$13*$C$14)*$E93/$D93/$D93*N93*1000000)</f>
        <v>2.6620123985871658E-2</v>
      </c>
      <c r="P93" s="1658">
        <f>IF($G91=0,0,IF($F91="recht",$G91/$D$24,($G91-0.301*$D$24)/$D$24))+IF($H91=0,0,IF($F91="recht",$H91/$D$25,($H91-0.301*$D$25)/$D$25))+$I91/$D$26</f>
        <v>6.5789473684210522</v>
      </c>
      <c r="Q93" s="1661">
        <f>10^(-P93)</f>
        <v>2.636650898730358E-7</v>
      </c>
      <c r="R93" s="1658">
        <f>($C$7*$C$8*$D$11*($D$12+$D$13*$D$14)*$E93/$D93/$D93*Q93*1000000)</f>
        <v>0.1581990539238215</v>
      </c>
      <c r="S93" s="1658">
        <f>IF($G91=0,0,IF($F91="recht",$G91/$E$24,($G91-0.301*$E$24)/$E$24))+IF($H91=0,0,IF($F91="recht",$H91/$E$25,($H91-0.301*$E$25)/$E$25))+$I91/$E$26</f>
        <v>6.5616797900262469</v>
      </c>
      <c r="T93" s="1661">
        <f>10^(-S93)</f>
        <v>2.7435963093132793E-7</v>
      </c>
      <c r="U93" s="1658">
        <f>($C$7*$C$8*$E$11*($E$12+$E$13*$E$14)*$E93/$D93/$D93*T93*1000000)</f>
        <v>0.16461577855879678</v>
      </c>
      <c r="V93" s="1658">
        <f>IF($G91=0,0,IF($F91="recht",$G91/$F$24,($G91-0.301*$F$24)/$F$24))+IF($H91=0,0,IF($F91="recht",$H91/$F$25,($H91-0.301*$F$25)/$F$25))+$I91/$F$26</f>
        <v>8.1967213114754092</v>
      </c>
      <c r="W93" s="1661">
        <f>10^(-V93)</f>
        <v>6.3573875711648393E-9</v>
      </c>
      <c r="X93" s="1658">
        <f>($C$7*$C$8*$F$11*($F$12+$F$13*$F$14)*$E93/$D93/$D93*W93*1000000)</f>
        <v>2.1615117741960455E-3</v>
      </c>
      <c r="Y93" s="1658">
        <f>IF($G91=0,0,IF($F91="recht",$G91/$G$24,($G91-0.301*$G$24)/$G$24))+IF($H91=0,0,IF($F91="recht",$H91/$G$25,($H91-0.301*$G$25)/$G$25))+$I91/$G$26</f>
        <v>7.0224719101123592</v>
      </c>
      <c r="Z93" s="1661">
        <f>10^(-Y93)</f>
        <v>9.4957241494880226E-8</v>
      </c>
      <c r="AA93" s="1658">
        <f>($C$7*$C$8*$G$11*($G$12+$G$13*$G$14)*$E93/$D93/$D93*Z93*1000000)</f>
        <v>2.1840165543822451E-2</v>
      </c>
      <c r="AB93" s="1716">
        <f>SUM(O93,R93,U93,X93,AA93)</f>
        <v>0.37343663378650843</v>
      </c>
      <c r="AC93" s="1181"/>
      <c r="AD93" s="944"/>
      <c r="AE93" s="348"/>
      <c r="AF93" s="336"/>
      <c r="AG93" s="345"/>
      <c r="AH93" s="345"/>
      <c r="AI93" s="345"/>
      <c r="AJ93" s="345"/>
      <c r="AK93" s="345"/>
      <c r="AL93" s="345"/>
      <c r="AM93" s="345"/>
      <c r="AN93" s="345"/>
      <c r="AO93" s="345"/>
      <c r="AP93" s="345"/>
      <c r="AQ93" s="345"/>
      <c r="AR93" s="345"/>
      <c r="AS93" s="345"/>
      <c r="AT93" s="345"/>
      <c r="AU93" s="345"/>
      <c r="AV93" s="345"/>
      <c r="AW93" s="345"/>
      <c r="AX93" s="345"/>
      <c r="AY93" s="345"/>
      <c r="AZ93" s="345"/>
      <c r="BA93" s="345"/>
      <c r="BB93" s="345"/>
      <c r="BC93" s="345"/>
      <c r="BD93" s="345"/>
      <c r="BE93" s="345"/>
      <c r="BF93" s="345"/>
      <c r="BG93" s="345"/>
      <c r="BH93" s="345"/>
      <c r="BI93" s="345"/>
      <c r="BJ93" s="345"/>
    </row>
    <row r="94" spans="1:62" s="325" customFormat="1" ht="19.5" customHeight="1" thickBot="1">
      <c r="A94" s="1640"/>
      <c r="B94" s="1012"/>
      <c r="C94" s="1688"/>
      <c r="D94" s="1629"/>
      <c r="E94" s="1743"/>
      <c r="F94" s="1629"/>
      <c r="G94" s="1629"/>
      <c r="H94" s="1629"/>
      <c r="I94" s="1629"/>
      <c r="J94" s="1767"/>
      <c r="K94" s="1767"/>
      <c r="L94" s="1769"/>
      <c r="M94" s="1715"/>
      <c r="N94" s="1668"/>
      <c r="O94" s="1660"/>
      <c r="P94" s="1660"/>
      <c r="Q94" s="1668"/>
      <c r="R94" s="1660"/>
      <c r="S94" s="1660"/>
      <c r="T94" s="1668"/>
      <c r="U94" s="1660"/>
      <c r="V94" s="1660"/>
      <c r="W94" s="1668"/>
      <c r="X94" s="1660"/>
      <c r="Y94" s="1660"/>
      <c r="Z94" s="1668"/>
      <c r="AA94" s="1660"/>
      <c r="AB94" s="1717"/>
      <c r="AC94" s="1181"/>
      <c r="AD94" s="944"/>
      <c r="AE94" s="348"/>
      <c r="AF94" s="336"/>
      <c r="AG94" s="345"/>
      <c r="AH94" s="345"/>
      <c r="AI94" s="345"/>
      <c r="AJ94" s="345"/>
      <c r="AK94" s="345"/>
      <c r="AL94" s="345"/>
      <c r="AM94" s="345"/>
      <c r="AN94" s="345"/>
      <c r="AO94" s="345"/>
      <c r="AP94" s="345"/>
      <c r="AQ94" s="345"/>
      <c r="AR94" s="345"/>
      <c r="AS94" s="345"/>
      <c r="AT94" s="345"/>
      <c r="AU94" s="345"/>
      <c r="AV94" s="345"/>
      <c r="AW94" s="345"/>
      <c r="AX94" s="345"/>
      <c r="AY94" s="345"/>
      <c r="AZ94" s="345"/>
      <c r="BA94" s="345"/>
      <c r="BB94" s="345"/>
      <c r="BC94" s="345"/>
      <c r="BD94" s="345"/>
      <c r="BE94" s="345"/>
      <c r="BF94" s="345"/>
      <c r="BG94" s="345"/>
      <c r="BH94" s="345"/>
      <c r="BI94" s="345"/>
      <c r="BJ94" s="345"/>
    </row>
    <row r="95" spans="1:62" s="325" customFormat="1" ht="19.5" customHeight="1">
      <c r="A95" s="1120" t="s">
        <v>303</v>
      </c>
      <c r="B95" s="1011" t="s">
        <v>168</v>
      </c>
      <c r="C95" s="1623" t="s">
        <v>333</v>
      </c>
      <c r="D95" s="1718">
        <f>P9</f>
        <v>1</v>
      </c>
      <c r="E95" s="1627">
        <v>0</v>
      </c>
      <c r="F95" s="1627" t="s">
        <v>12</v>
      </c>
      <c r="G95" s="1627">
        <v>250</v>
      </c>
      <c r="H95" s="1627">
        <v>0</v>
      </c>
      <c r="I95" s="1627">
        <v>0</v>
      </c>
      <c r="J95" s="1702">
        <v>0</v>
      </c>
      <c r="K95" s="1702">
        <v>0</v>
      </c>
      <c r="L95" s="1705"/>
      <c r="M95" s="1656">
        <f>IF($G95=0,0,IF($F95="recht",1+($G95-$C$17)/$C$18,1+($G95-$C$17-0.301*$C$18)/$C$18))+IF($H95=0,0,IF($F95="recht",$H95/$C$19,($H95-0.301*$C$19)/$C$19))+$I95/$C$20</f>
        <v>7.4545454545454541</v>
      </c>
      <c r="N95" s="1663">
        <f>10^(-M95)</f>
        <v>3.5111917342151263E-8</v>
      </c>
      <c r="O95" s="1656">
        <f>($C$7*$C$11*$E95/$D95/$D95*N95*1000000)</f>
        <v>0</v>
      </c>
      <c r="P95" s="1656">
        <f>IF($G95=0,0,IF($F95="recht",1+($G95-$D$17)/$D$18,1+($G95-$D$17-0.301*$D$18)/$D$18))+IF($H95=0,0,IF($F95="recht",$H95/$D$19,($H95-0.301*$D$19)/$D$19))+$I95/$D$20</f>
        <v>6.6486486486486482</v>
      </c>
      <c r="Q95" s="1663">
        <f>10^(-P95)</f>
        <v>2.2456979955397711E-7</v>
      </c>
      <c r="R95" s="1656">
        <f>($C$7*$D$11*$E95/$D95/$D95*Q95*1000000)</f>
        <v>0</v>
      </c>
      <c r="S95" s="1656">
        <f>IF($G95=0,0,IF($F95="recht",1+($G95-$E$17)/$E$18,1+($G95-$E$17-0.301*$E$18)/$E$18))+IF($H95=0,0,IF($F95="recht",$H95/$E$19,($H95-0.301*$E$19)/$E$19))+$I95/$E$20</f>
        <v>6.024390243902439</v>
      </c>
      <c r="T95" s="1663">
        <f>10^(-S95)</f>
        <v>9.4538728313079291E-7</v>
      </c>
      <c r="U95" s="1656">
        <f>($C$7*$E$11*$E95/$D95/$D95*T95*1000000)</f>
        <v>0</v>
      </c>
      <c r="V95" s="1656">
        <f>IF($G95=0,0,IF($F95="recht",1+($G95-$F$17)/$F$18,1+($G95-$F$17-0.301*$F$18)/$F$18))+IF($H95=0,0,IF($F95="recht",$H95/$F$19,($H95-0.301*$F$19)/$F$19))+$I95/$F$20</f>
        <v>9.1481481481481488</v>
      </c>
      <c r="W95" s="1661">
        <f>10^(-V95)</f>
        <v>7.1097094323124171E-10</v>
      </c>
      <c r="X95" s="1658">
        <f>($C$7*$F$11*$E95/$D95/$D95*W95*1000000)</f>
        <v>0</v>
      </c>
      <c r="Y95" s="1656">
        <f>IF($G95=0,0,IF($F95="recht",1+($G95-$G$17)/$G$18,1+($G95-$G$17-0.301*$G$18)/$G$18))+IF($H95=0,0,IF($F95="recht",$H95/$G$19,($H95-0.301*$G$19)/$G$19))+$I95/$G$20</f>
        <v>6.9444444444444446</v>
      </c>
      <c r="Z95" s="1661">
        <f>10^(-Y95)</f>
        <v>1.136463666385722E-7</v>
      </c>
      <c r="AA95" s="1658">
        <f>($C$7*$G$11*$E95/$D95/$D95*Z95*1000000)</f>
        <v>0</v>
      </c>
      <c r="AB95" s="1708">
        <f>SUM(O95,R95,U95,X95,AA95)</f>
        <v>0</v>
      </c>
      <c r="AC95" s="1180">
        <f>SUM(AB95:AB114)*$D$86/2400/1000</f>
        <v>3.4549245040549982E-4</v>
      </c>
      <c r="AD95" s="942">
        <f>AC95*$D$87</f>
        <v>1.7274622520274991E-3</v>
      </c>
      <c r="AE95" s="1233"/>
      <c r="AF95" s="336"/>
      <c r="AG95" s="345"/>
      <c r="AH95" s="345"/>
      <c r="AI95" s="345"/>
      <c r="AJ95" s="345"/>
      <c r="AK95" s="345"/>
    </row>
    <row r="96" spans="1:62" s="325" customFormat="1" ht="19.5" customHeight="1">
      <c r="A96" s="1104"/>
      <c r="B96" s="1012" t="str">
        <f>C$3</f>
        <v>Linac 2</v>
      </c>
      <c r="C96" s="1624"/>
      <c r="D96" s="1719"/>
      <c r="E96" s="1720"/>
      <c r="F96" s="1628"/>
      <c r="G96" s="1628"/>
      <c r="H96" s="1628"/>
      <c r="I96" s="1628"/>
      <c r="J96" s="1703"/>
      <c r="K96" s="1703"/>
      <c r="L96" s="1706"/>
      <c r="M96" s="1659"/>
      <c r="N96" s="1662"/>
      <c r="O96" s="1657"/>
      <c r="P96" s="1657"/>
      <c r="Q96" s="1662"/>
      <c r="R96" s="1657"/>
      <c r="S96" s="1657"/>
      <c r="T96" s="1662"/>
      <c r="U96" s="1657"/>
      <c r="V96" s="1657"/>
      <c r="W96" s="1662"/>
      <c r="X96" s="1657"/>
      <c r="Y96" s="1657"/>
      <c r="Z96" s="1662"/>
      <c r="AA96" s="1657"/>
      <c r="AB96" s="1709"/>
      <c r="AC96" s="1182"/>
      <c r="AD96" s="944"/>
      <c r="AE96" s="348"/>
      <c r="AF96" s="336"/>
      <c r="AG96" s="345"/>
      <c r="AH96" s="345"/>
      <c r="AI96" s="345"/>
      <c r="AJ96" s="345"/>
      <c r="AK96" s="345"/>
    </row>
    <row r="97" spans="1:62" s="325" customFormat="1" ht="19.5" customHeight="1">
      <c r="A97" s="1121"/>
      <c r="B97" s="1005"/>
      <c r="C97" s="1687" t="s">
        <v>334</v>
      </c>
      <c r="D97" s="1710">
        <f>P12</f>
        <v>5</v>
      </c>
      <c r="E97" s="1712">
        <v>1</v>
      </c>
      <c r="F97" s="1628"/>
      <c r="G97" s="1628"/>
      <c r="H97" s="1628"/>
      <c r="I97" s="1628"/>
      <c r="J97" s="1703"/>
      <c r="K97" s="1703"/>
      <c r="L97" s="1706"/>
      <c r="M97" s="1714">
        <f>IF($G95=0,0,IF($F95="recht",$G95/$C$24,($G95-0.301*$C$24)/$C$24))+IF($H95=0,0,IF($F95="recht",$H95/$C$25,($H95-0.301*$C$25)/$C$25))+$I95/$C$26+$J95/$C$26+$K95/$C$27</f>
        <v>7.3529411764705879</v>
      </c>
      <c r="N97" s="1661">
        <f>10^(-M97)</f>
        <v>4.4366873309786093E-8</v>
      </c>
      <c r="O97" s="1658">
        <f>($C$7*$C$8*$C$11*($C$12+$C$13*$C$14)*$E97/$D97/$D97*N97*1000000)</f>
        <v>1.0648049594348663E-3</v>
      </c>
      <c r="P97" s="1658">
        <f>IF($G95=0,0,IF($F95="recht",$G95/$D$24,($G95-0.301*$D$24)/$D$24))+IF($H95=0,0,IF($F95="recht",$H95/$D$25,($H95-0.301*$D$25)/$D$25))+$I95/$D$26+$J95/$D$26+$K95/$D$27</f>
        <v>6.5789473684210522</v>
      </c>
      <c r="Q97" s="1661">
        <f>10^(-P97)</f>
        <v>2.636650898730358E-7</v>
      </c>
      <c r="R97" s="1658">
        <f>($C$7*$C$8*$D$11*($D$12+$D$13*$D$14)*$E97/$D97/$D97*Q97*1000000)</f>
        <v>6.3279621569528599E-3</v>
      </c>
      <c r="S97" s="1658">
        <f>IF($G95=0,0,IF($F95="recht",$G95/$E$24,($G95-0.301*$E$24)/$E$24))+IF($H95=0,0,IF($F95="recht",$H95/$E$25,($H95-0.301*$E$25)/$E$25))+$I95/$E$26*1+$J95/$E$26+$K95/$E$27</f>
        <v>6.5616797900262469</v>
      </c>
      <c r="T97" s="1661">
        <f>10^(-S97)</f>
        <v>2.7435963093132793E-7</v>
      </c>
      <c r="U97" s="1658">
        <f>($C$7*$C$8*$E$11*($E$12+$E$13*$E$14)*$E97/$D97/$D97*T97*1000000)</f>
        <v>6.5846311423518713E-3</v>
      </c>
      <c r="V97" s="1658">
        <f>IF($G95=0,0,IF($F95="recht",$G95/$F$24,($G95-0.301*$F$24)/$F$24))+IF($H95=0,0,IF($F95="recht",$H95/$F$25,($H95-0.301*$F$25)/$F$25))+$I95/$F$26+$J95/$F$26+$K95/$F$27</f>
        <v>8.1967213114754092</v>
      </c>
      <c r="W97" s="1661">
        <f>10^(-V97)</f>
        <v>6.3573875711648393E-9</v>
      </c>
      <c r="X97" s="1658">
        <f>($C$7*$C$8*$F$11*($F$12+$F$13*$F$14)*$E97/$D97/$D97*W97*1000000)</f>
        <v>8.6460470967841829E-5</v>
      </c>
      <c r="Y97" s="1658">
        <f>IF($G95=0,0,IF($F95="recht",$G95/$G$24,($G95-0.301*$G$24)/$G$24))+IF($H95=0,0,IF($F95="recht",$H95/$G$25,($H95-0.301*$G$25)/$G$25))+$I95/$G$26+$J95/$G$26+$K95/$G$27</f>
        <v>7.0224719101123592</v>
      </c>
      <c r="Z97" s="1661">
        <f>10^(-Y97)</f>
        <v>9.4957241494880226E-8</v>
      </c>
      <c r="AA97" s="1658">
        <f>($C$7*$C$8*$G$11*($G$12+$G$13*$G$14)*$E97/$D97/$D97*Z97*1000000)</f>
        <v>8.7360662175289805E-4</v>
      </c>
      <c r="AB97" s="1716">
        <f>SUM(O97,R97,U97,X97,AA97)</f>
        <v>1.4937465351460337E-2</v>
      </c>
      <c r="AC97" s="1182"/>
      <c r="AD97" s="944"/>
      <c r="AE97" s="348"/>
      <c r="AF97" s="336"/>
      <c r="AG97" s="345"/>
      <c r="AH97" s="345"/>
      <c r="AI97" s="345"/>
      <c r="AJ97" s="345"/>
      <c r="AK97" s="345"/>
    </row>
    <row r="98" spans="1:62" s="325" customFormat="1" ht="19.5" customHeight="1">
      <c r="A98" s="1121"/>
      <c r="B98" s="1005"/>
      <c r="C98" s="1688"/>
      <c r="D98" s="1711"/>
      <c r="E98" s="1713"/>
      <c r="F98" s="1629"/>
      <c r="G98" s="1629"/>
      <c r="H98" s="1629"/>
      <c r="I98" s="1629"/>
      <c r="J98" s="1704"/>
      <c r="K98" s="1704"/>
      <c r="L98" s="1707"/>
      <c r="M98" s="1715"/>
      <c r="N98" s="1668"/>
      <c r="O98" s="1660"/>
      <c r="P98" s="1660"/>
      <c r="Q98" s="1668"/>
      <c r="R98" s="1660"/>
      <c r="S98" s="1660"/>
      <c r="T98" s="1668"/>
      <c r="U98" s="1660"/>
      <c r="V98" s="1660"/>
      <c r="W98" s="1668"/>
      <c r="X98" s="1660"/>
      <c r="Y98" s="1660"/>
      <c r="Z98" s="1668"/>
      <c r="AA98" s="1660"/>
      <c r="AB98" s="1717"/>
      <c r="AC98" s="1182"/>
      <c r="AD98" s="944"/>
      <c r="AE98" s="348"/>
      <c r="AF98" s="336"/>
      <c r="AG98" s="345"/>
      <c r="AH98" s="345"/>
      <c r="AI98" s="345"/>
      <c r="AJ98" s="345"/>
      <c r="AK98" s="345"/>
    </row>
    <row r="99" spans="1:62" s="325" customFormat="1" ht="19.5" customHeight="1">
      <c r="A99" s="1122"/>
      <c r="B99" s="1008"/>
      <c r="C99" s="1692" t="s">
        <v>322</v>
      </c>
      <c r="D99" s="1694"/>
      <c r="E99" s="1737">
        <v>0</v>
      </c>
      <c r="F99" s="1739" t="s">
        <v>12</v>
      </c>
      <c r="G99" s="1724">
        <v>0</v>
      </c>
      <c r="H99" s="1724">
        <v>0</v>
      </c>
      <c r="I99" s="1702">
        <v>0</v>
      </c>
      <c r="J99" s="1751">
        <v>0</v>
      </c>
      <c r="K99" s="1627">
        <v>0</v>
      </c>
      <c r="L99" s="1731">
        <v>0</v>
      </c>
      <c r="M99" s="1735">
        <f>IF($G99=0,0,IF($F99="recht",1+($G99-$C$17)/$C$18,1+($G99-$C$17-0.301*$C$18)/$C$18))+IF($H99=0,0,IF($F99="recht",$H99/$C$19,($H99-0.301*$C$19)/$C$19))+$I99/$C$20+$J99/$L$52+$K99/$L$53</f>
        <v>0</v>
      </c>
      <c r="N99" s="1663">
        <f>10^(-M99)</f>
        <v>1</v>
      </c>
      <c r="O99" s="1656">
        <f>$C$7*$C$11*$E$99/$P$11/$P$11*$P$23*$O$35/$P$15/$P$15*$P$26*$N$38/$P$18/$P$18*N99*1000000</f>
        <v>0</v>
      </c>
      <c r="P99" s="1656">
        <f>IF($G99=0,0,IF($F99="recht",1+($G99-$D$17)/$D$18,1+($G99-$D$17-0.301*$D$18)/$D$18))+IF($H99=0,0,IF($F99="recht",$H99/$D$19,($H99-0.301*$D$19)/$D$19))+$I99/$D$20+$J99/$L$52+$K99/$L$53</f>
        <v>0</v>
      </c>
      <c r="Q99" s="1663">
        <f>10^(-P99)</f>
        <v>1</v>
      </c>
      <c r="R99" s="1656">
        <f>$C$7*$D$11*$E$99/$P$11/$P$11*$P$23*$P$35/$P$15/$P$15*$P$26*$N$38/$P$18/$P$18*Q99*1000000</f>
        <v>0</v>
      </c>
      <c r="S99" s="1656">
        <f>IF($G99=0,0,IF($F99="recht",1+($G99-$E$17)/$E$18,1+($G99-$E$17-0.301*$E$18)/$E$18))+IF($H99=0,0,IF($F99="recht",$H99/$E$19,($H99-0.301*$E$19)/$E$19))+$I99/$E$20+$J99/$L$52+$K99/$L$53</f>
        <v>0</v>
      </c>
      <c r="T99" s="1663">
        <f>10^(-S99)</f>
        <v>1</v>
      </c>
      <c r="U99" s="1656">
        <f>$C$7*$E$11*$E$99/$P$11/$P$11*$P$23*$Q$35/$P$15/$P$15*$P$26*$N$38/$P$18/$P$18*T99*1000000</f>
        <v>0</v>
      </c>
      <c r="V99" s="1656">
        <f>IF($G99=0,0,IF($F99="recht",1+($G99-$F$17)/$F$18,1+($G99-$F$17-0.301*$F$18)/$F$18))+IF($H99=0,0,IF($F99="recht",$H99/$F$19,($H99-0.301*$F$19)/$F$19))+$I99/$F$20+$J99/$L$52+$K99/$L$53</f>
        <v>0</v>
      </c>
      <c r="W99" s="1663">
        <f>10^(-V99)</f>
        <v>1</v>
      </c>
      <c r="X99" s="1656">
        <f>$C$7*$F$11*$E$99/$P$11/$P$11*$P$23*$R$35/$P$15/$P$15*$P$26*$N$38/$P$18/$P$18*W99*1000000</f>
        <v>0</v>
      </c>
      <c r="Y99" s="1656">
        <f>IF($G99=0,0,IF($F99="recht",1+($G99-$G$17)/$G$18,1+($G99-$G$17-0.301*$G$18)/$G$18))+IF($H99=0,0,IF($F99="recht",$H99/$G$19,($H99-0.301*$G$19)/$G$19))+$I99/$G$20+$J99/$L$52+$K99/$L$53</f>
        <v>0</v>
      </c>
      <c r="Z99" s="1663">
        <f>10^(-Y99)</f>
        <v>1</v>
      </c>
      <c r="AA99" s="1656">
        <f>$C$7*$G$11*$E$99/$P$11/$P$11*$P$23*$S$35/$P$15/$P$15*$P$26*$N$38/$P$18/$P$18*Z99*1000000</f>
        <v>0</v>
      </c>
      <c r="AB99" s="1745">
        <f>SUM(O99,R99,U99,X99,AA99)</f>
        <v>0</v>
      </c>
      <c r="AC99" s="1182"/>
      <c r="AD99" s="944"/>
      <c r="AE99" s="348"/>
      <c r="AF99" s="410"/>
      <c r="AG99" s="336"/>
      <c r="AH99" s="442"/>
      <c r="AI99" s="336"/>
      <c r="AJ99" s="336"/>
      <c r="AK99" s="345"/>
    </row>
    <row r="100" spans="1:62" s="325" customFormat="1" ht="19.5" customHeight="1">
      <c r="A100" s="1122"/>
      <c r="B100" s="1008"/>
      <c r="C100" s="1693"/>
      <c r="D100" s="1734"/>
      <c r="E100" s="1738"/>
      <c r="F100" s="1740"/>
      <c r="G100" s="1725"/>
      <c r="H100" s="1725"/>
      <c r="I100" s="1703"/>
      <c r="J100" s="1752"/>
      <c r="K100" s="1628"/>
      <c r="L100" s="1732"/>
      <c r="M100" s="1736"/>
      <c r="N100" s="1668"/>
      <c r="O100" s="1660"/>
      <c r="P100" s="1660"/>
      <c r="Q100" s="1668"/>
      <c r="R100" s="1660"/>
      <c r="S100" s="1660"/>
      <c r="T100" s="1668"/>
      <c r="U100" s="1660"/>
      <c r="V100" s="1660"/>
      <c r="W100" s="1668"/>
      <c r="X100" s="1660"/>
      <c r="Y100" s="1660"/>
      <c r="Z100" s="1668"/>
      <c r="AA100" s="1660"/>
      <c r="AB100" s="1717"/>
      <c r="AC100" s="1182"/>
      <c r="AD100" s="944"/>
      <c r="AE100" s="348"/>
      <c r="AF100" s="410"/>
      <c r="AG100" s="336"/>
      <c r="AH100" s="442"/>
      <c r="AI100" s="336"/>
      <c r="AJ100" s="336"/>
      <c r="AK100" s="345"/>
    </row>
    <row r="101" spans="1:62" s="325" customFormat="1" ht="19.5" customHeight="1">
      <c r="A101" s="1122"/>
      <c r="B101" s="1008"/>
      <c r="C101" s="1692" t="s">
        <v>323</v>
      </c>
      <c r="D101" s="1694"/>
      <c r="E101" s="1727">
        <v>0</v>
      </c>
      <c r="F101" s="1737" t="s">
        <v>12</v>
      </c>
      <c r="G101" s="1746">
        <v>0</v>
      </c>
      <c r="H101" s="1746">
        <v>0</v>
      </c>
      <c r="I101" s="1748">
        <v>0</v>
      </c>
      <c r="J101" s="1753"/>
      <c r="K101" s="1628"/>
      <c r="L101" s="1732"/>
      <c r="M101" s="1735">
        <f>IF($G101=0,0,IF($F$101="recht",$G101/$C$30,($G101-0.301*$C$30)/$C$30))+IF($H101=0,0,IF($F101="recht",$H101/$C$31,($H101-0.301*$C$31)/$C$31))+$I101/$C$32+$J99/$L$52+$K99/$L$53</f>
        <v>0</v>
      </c>
      <c r="N101" s="1663">
        <f>10^(-M101)</f>
        <v>1</v>
      </c>
      <c r="O101" s="1656">
        <f>$C$7*$C$11*$E$101/$P$10/$P$10*$P$22*$O$34/$P$14/$P$14*$P$24*$N$36/$P$16/$P$16*$P$26*$N$38/$P$18/$P$18*N101*1000000</f>
        <v>0</v>
      </c>
      <c r="P101" s="1656">
        <f>IF($G101=0,0,IF($F101="recht",$G101/$C$30,($G101-0.301*$C$30)/$C$30))+IF($H101=0,0,IF(F101="recht",$H101/$C$31,($H101-0.301*$C$31)/$C$31))+$I101/$C$32+$J99/$L$52+$K$99/$L$53</f>
        <v>0</v>
      </c>
      <c r="Q101" s="1663">
        <f>10^(-P101)</f>
        <v>1</v>
      </c>
      <c r="R101" s="1656">
        <f>$C$7*$D$11*$E$101/$P$10/$P$10*$P$22*$P$34/$P$14/$P$14*$P$24*$N$36/$P$16/$P$16*$P$26*$N$38/$P$18/$P$18*Q101*1000000</f>
        <v>0</v>
      </c>
      <c r="S101" s="1656">
        <f>IF($G101=0,0,IF($F101="recht",$G101/$C$30,($G101-0.301*$C$30)/$C$30))+IF($H101=0,0,IF($F101="recht",$H101/$C$31,($H101-0.301*$C$31)/$C$31))+$I101/$C$32+$J99/$L$52+$K99/$L$53</f>
        <v>0</v>
      </c>
      <c r="T101" s="1663">
        <f>10^(-S101)</f>
        <v>1</v>
      </c>
      <c r="U101" s="1656">
        <f>$C$7*$E$11*$E$101/$P$10/$P$10*$P$22*$Q$34/$P$14/$P$14*$P$24*$N$36/$P$16/$P$16*$P$26*$N$38/$P$18/$P$18*T101*1000000</f>
        <v>0</v>
      </c>
      <c r="V101" s="1656">
        <f>IF($G101=0,0,IF($F101="recht",$G101/$C$30,($G101-0.301*$C$30)/$C$30))+IF($H101=0,0,IF($F101="recht",$H101/$C$31,($H101-0.301*$C$31)/$C$31))+$I101/$C$32+$J99/$L$52+$K99/$L$53</f>
        <v>0</v>
      </c>
      <c r="W101" s="1663">
        <f>10^(-V101)</f>
        <v>1</v>
      </c>
      <c r="X101" s="1656">
        <f>$C$7*$F$11*$E$101/$P$10/$P$10*$P$22*$R$34/$P$14/$P$14*$P$24*$N$36/$P$16/$P$16*$P$26*$N$38/$P$18/$P$18*W101*1000000</f>
        <v>0</v>
      </c>
      <c r="Y101" s="1656">
        <f>IF($G101=0,0,IF($F101="recht",$G101/$C$30,($G101-0.301*$C$30)/$C$30))+IF($H101=0,0,IF($F101="recht",$H101/$C$31,($H101-0.301*$C$31)/$C$31))+$I101/$C$32+$J99/$L$52+$K99/$L$53</f>
        <v>0</v>
      </c>
      <c r="Z101" s="1663">
        <f>10^(-Y101)</f>
        <v>1</v>
      </c>
      <c r="AA101" s="1656">
        <f>$C$7*$G$11*$E$101/$P$10/$P$10*$P$22*$S$34/$P$14/$P$14*$P$24*$N$36/$P$16/$P$16*$P$26*$N$38/$P$18/$P$18*Z101*1000000</f>
        <v>0</v>
      </c>
      <c r="AB101" s="1745">
        <f>SUM(O101,R101,U101,X101,AA101)</f>
        <v>0</v>
      </c>
      <c r="AC101" s="1182"/>
      <c r="AD101" s="944"/>
      <c r="AE101" s="348"/>
      <c r="AF101" s="410"/>
      <c r="AG101" s="336"/>
      <c r="AH101" s="442"/>
      <c r="AI101" s="336"/>
      <c r="AJ101" s="336"/>
      <c r="AK101" s="345"/>
      <c r="AL101" s="345"/>
      <c r="AM101" s="345"/>
      <c r="AN101" s="345"/>
      <c r="AO101" s="345"/>
      <c r="AP101" s="355"/>
      <c r="AQ101" s="355"/>
      <c r="AR101" s="355"/>
      <c r="AS101" s="382"/>
      <c r="AT101" s="382"/>
      <c r="AU101" s="382"/>
    </row>
    <row r="102" spans="1:62" s="325" customFormat="1" ht="19.5" customHeight="1">
      <c r="A102" s="1122"/>
      <c r="B102" s="1008"/>
      <c r="C102" s="1682"/>
      <c r="D102" s="1734"/>
      <c r="E102" s="1728"/>
      <c r="F102" s="1738"/>
      <c r="G102" s="1747"/>
      <c r="H102" s="1747"/>
      <c r="I102" s="1749"/>
      <c r="J102" s="1753"/>
      <c r="K102" s="1628"/>
      <c r="L102" s="1732"/>
      <c r="M102" s="1736"/>
      <c r="N102" s="1668"/>
      <c r="O102" s="1660"/>
      <c r="P102" s="1660"/>
      <c r="Q102" s="1668"/>
      <c r="R102" s="1660"/>
      <c r="S102" s="1660"/>
      <c r="T102" s="1668"/>
      <c r="U102" s="1660"/>
      <c r="V102" s="1660"/>
      <c r="W102" s="1668"/>
      <c r="X102" s="1660"/>
      <c r="Y102" s="1660"/>
      <c r="Z102" s="1668"/>
      <c r="AA102" s="1660"/>
      <c r="AB102" s="1717"/>
      <c r="AC102" s="1182"/>
      <c r="AD102" s="944"/>
      <c r="AE102" s="348"/>
      <c r="AF102" s="311"/>
      <c r="AG102" s="336"/>
      <c r="AH102" s="442"/>
      <c r="AI102" s="336"/>
      <c r="AJ102" s="336"/>
      <c r="AK102" s="345"/>
      <c r="AL102" s="345"/>
      <c r="AM102" s="345"/>
      <c r="AN102" s="345"/>
      <c r="AO102" s="345"/>
      <c r="AP102" s="355"/>
      <c r="AQ102" s="355"/>
      <c r="AR102" s="355"/>
      <c r="AS102" s="382"/>
      <c r="AT102" s="382"/>
      <c r="AU102" s="382"/>
    </row>
    <row r="103" spans="1:62" s="325" customFormat="1" ht="19.5" customHeight="1">
      <c r="A103" s="1123"/>
      <c r="B103" s="1022"/>
      <c r="C103" s="1692" t="s">
        <v>321</v>
      </c>
      <c r="D103" s="1633"/>
      <c r="E103" s="1729">
        <v>1</v>
      </c>
      <c r="F103" s="1737" t="s">
        <v>12</v>
      </c>
      <c r="G103" s="1746">
        <v>0</v>
      </c>
      <c r="H103" s="1746">
        <v>0</v>
      </c>
      <c r="I103" s="1748">
        <v>0</v>
      </c>
      <c r="J103" s="1753"/>
      <c r="K103" s="1628"/>
      <c r="L103" s="1732"/>
      <c r="M103" s="1656">
        <f>IF($G103=0,0,IF($F103="recht",$G103/$C$24,($G103-0.301*$C$24)/$C$24))+IF($H103=0,0,IF($F103="recht",$H103/$C$25,($H103-0.301*$C$25)/$C$25))+$I103/$C$26+$J99/$L$52+$K99/$L$53</f>
        <v>0</v>
      </c>
      <c r="N103" s="1663">
        <f>10^(-M103)</f>
        <v>1</v>
      </c>
      <c r="O103" s="1656">
        <f>$C$7*$C$8*$C$11*($C$12+$C$13*$C$14)*$E$103/$P$13/$P$13*$P$25*$O$37/$P$17/$P$17*$P$26*$N$38/$P$18/$P$18*N103*1000000</f>
        <v>21.000000000000007</v>
      </c>
      <c r="P103" s="1656">
        <f>IF($G103=0,0,IF($F103="recht",$G103/$D$24,($G103-0.301*$D$24)/$D$24))+IF($H103=0,0,IF($F103="recht",$H103/$D$25,($H103-0.301*$D$25)/$D$25))+$I103/$D$26+$J99/$L$52+$K99/$L$53</f>
        <v>0</v>
      </c>
      <c r="Q103" s="1663">
        <f>10^(-P103)</f>
        <v>1</v>
      </c>
      <c r="R103" s="1656">
        <f>$C$7*$C$8*$D$11*($D$12+$D$13*$D$14)*$E$103/$P$13/$P$13*$P$25*$P$37/$P$17/$P$17*$P$26*$N$38/$P$18/$P$18*Q103*1000000</f>
        <v>27.000000000000007</v>
      </c>
      <c r="S103" s="1656">
        <f>IF($G103=0,0,IF($F103="recht",$G103/$E$24,($G103-0.301*$E$24)/$E$24))+IF($H103=0,0,IF($F103="recht",$H103/$E$25,($H103-0.301*$E$25)/$E$25))+$I103/$E$26+$J99/$L$52+$K99/$L$53</f>
        <v>0</v>
      </c>
      <c r="T103" s="1663">
        <f>10^(-S103)</f>
        <v>1</v>
      </c>
      <c r="U103" s="1656">
        <f>$C$7*$C$8*$E$11*($E$12+$E$13*$E$14)*$E$103/$P$13/$P$13*$P$25*$Q$37/$P$17/$P$17*$P$26*$N$38/$P$18/$P$18*T103*1000000</f>
        <v>39.000000000000007</v>
      </c>
      <c r="V103" s="1656">
        <f>IF($G103=0,0,IF($F103="recht",$G103/$F$24,($G103-0.301*$F$24)/$F$24))+IF($H103=0,0,IF($F103="recht",$H103/$F$25,($H103-0.301*$F$25)/$F$25))+$I103/$F$26+$J99/$L$52+$K99/$L$53</f>
        <v>0</v>
      </c>
      <c r="W103" s="1663">
        <f>10^(-V103)</f>
        <v>1</v>
      </c>
      <c r="X103" s="1656">
        <f>$C$7*$C$8*$F$11*($F$12+$F$13*$F$14)*$E$103/$P$13/$P$13*$P$25*$R$37/$P$17/$P$17*$P$26*$N$38/$P$18/$P$18*W103*1000000</f>
        <v>10.200000000000001</v>
      </c>
      <c r="Y103" s="1656">
        <f>IF($G103=0,0,IF($F103="recht",$G103/$G$24,($G103-0.301*$G$24)/$G$24))+IF($H103=0,0,IF($F103="recht",$H103/$G$25,($H103-0.301*$G$25)/$G$25))+$I103/$G$26+$J99/$L$52+$K99/$L$53</f>
        <v>0</v>
      </c>
      <c r="Z103" s="1663">
        <f>10^(-Y103)</f>
        <v>1</v>
      </c>
      <c r="AA103" s="1656">
        <f>$C$7*$C$8*$G$11*($G$12+$G$13*$G$14)*$E$103/$P$13/$P$13*$P$25*$S$37/$P$17/$P$17*$P$26*$N$38/$P$18/$P$18*Z103*1000000</f>
        <v>6.8539999999999992</v>
      </c>
      <c r="AB103" s="1750">
        <f>SUM(O103,R103,U103,X103,AA103)</f>
        <v>104.05400000000003</v>
      </c>
      <c r="AC103" s="1182"/>
      <c r="AD103" s="944"/>
      <c r="AE103" s="348"/>
      <c r="AF103" s="410"/>
      <c r="AG103" s="336"/>
      <c r="AH103" s="442"/>
      <c r="AI103" s="345"/>
      <c r="AJ103" s="345"/>
      <c r="AK103" s="345"/>
    </row>
    <row r="104" spans="1:62" s="325" customFormat="1" ht="19.5" customHeight="1">
      <c r="A104" s="1123"/>
      <c r="B104" s="1022"/>
      <c r="C104" s="1693"/>
      <c r="D104" s="1634"/>
      <c r="E104" s="1730"/>
      <c r="F104" s="1835"/>
      <c r="G104" s="1836"/>
      <c r="H104" s="1836"/>
      <c r="I104" s="1837"/>
      <c r="J104" s="1753"/>
      <c r="K104" s="1628"/>
      <c r="L104" s="1732"/>
      <c r="M104" s="1659"/>
      <c r="N104" s="1699"/>
      <c r="O104" s="1659"/>
      <c r="P104" s="1659"/>
      <c r="Q104" s="1699"/>
      <c r="R104" s="1659"/>
      <c r="S104" s="1659"/>
      <c r="T104" s="1699"/>
      <c r="U104" s="1659"/>
      <c r="V104" s="1659"/>
      <c r="W104" s="1699"/>
      <c r="X104" s="1659"/>
      <c r="Y104" s="1659"/>
      <c r="Z104" s="1699"/>
      <c r="AA104" s="1659"/>
      <c r="AB104" s="1750"/>
      <c r="AC104" s="1182"/>
      <c r="AD104" s="944"/>
      <c r="AE104" s="348"/>
      <c r="AF104" s="410"/>
      <c r="AG104" s="336"/>
      <c r="AH104" s="442"/>
      <c r="AI104" s="345"/>
      <c r="AJ104" s="345"/>
      <c r="AK104" s="345"/>
    </row>
    <row r="105" spans="1:62" s="325" customFormat="1" ht="19.5" customHeight="1">
      <c r="A105" s="1122"/>
      <c r="B105" s="1008"/>
      <c r="C105" s="1623" t="s">
        <v>475</v>
      </c>
      <c r="D105" s="586"/>
      <c r="E105" s="1727">
        <v>0.25</v>
      </c>
      <c r="F105" s="1835"/>
      <c r="G105" s="1836"/>
      <c r="H105" s="1836"/>
      <c r="I105" s="1837"/>
      <c r="J105" s="1753"/>
      <c r="K105" s="1628"/>
      <c r="L105" s="1732"/>
      <c r="M105" s="1714">
        <f>IF($G103=0,0,IF($F103="recht",$G103/$C$30,($G103-0.301*$C$30)/$C$30))+IF($H103=0,0,IF($F103="recht",$H103/$C$31,($H103-0.301*$C$31)/$C$31))+$I103/$C$32+$J99/$L$52+$K99/$L$53</f>
        <v>0</v>
      </c>
      <c r="N105" s="1663">
        <f>10^(-M105)</f>
        <v>1</v>
      </c>
      <c r="O105" s="1656">
        <f>$C$7*$C$11*$E$105*$O$41*$P$27/400*$N$36*$N$38*$P$25*$P$26/1/1/$P$13/$P$13/$P$17/$P$17/$P$18/$P$18*N105*1000000</f>
        <v>3.3012499999999996</v>
      </c>
      <c r="P105" s="1714">
        <f>IF($G103=0,0,IF($F103="recht",$G103/$C$30,($G103-0.301*$C$30)/$C30))+IF($H103=0,0,IF($F103="recht",$H103/$C$31,($H103-0.301*$C$31)/$C$31))+$I103/$C$32+$J99/$L$52+$K99/$L$53</f>
        <v>0</v>
      </c>
      <c r="Q105" s="1663">
        <f>10^(-P105)</f>
        <v>1</v>
      </c>
      <c r="R105" s="1656">
        <f>$C$7*$D$11*$E$105*$P$41*$P$27/400*$N$36*$N$38*$P$25*$P$26/1/1/$P$13/$P$13/$P$17/$P$17/$P$18/$P$18*Q105*1000000</f>
        <v>3.2062499999999998</v>
      </c>
      <c r="S105" s="1714">
        <f>IF($G103=0,0,IF($F103="recht",$G103/$C$30,($G103-0.301*$C$30)/$C$30))+IF($H103=0,0,IF($F103="recht",$H103/$C$31,($H103-0.301*$C$31)/$C$31))+$I103/$C$32+$J99/$L$52+$K99/$L$53</f>
        <v>0</v>
      </c>
      <c r="T105" s="1663">
        <f>10^(-S105)</f>
        <v>1</v>
      </c>
      <c r="U105" s="1656">
        <f>$C$7*$E$11*$E$105*$Q$41*$P$27/400*$N$36*$N$38*$P$25*$P$26/1/1/$P$13/$P$13/$P$17/$P$17/$P$18/$P$18*T105*1000000</f>
        <v>2.4937499999999995</v>
      </c>
      <c r="V105" s="1714">
        <f>IF($G103=0,0,IF($F103="recht",$G103/$C$30,($G103-0.301*$C$30)/$C$30))+IF($H103=0,0,IF($F103="recht",$H103/$C$31,($H103-0.301*$C$31)/$C$31))+$I103/$C$32+$J99/$L$52+$K99/$L$53</f>
        <v>0</v>
      </c>
      <c r="W105" s="1663">
        <f>10^(-V105)</f>
        <v>1</v>
      </c>
      <c r="X105" s="1656">
        <f>$C$7*$F$11*$E$105*$R$41*$P$27/400*$N$36*$N$38*$P$26*$P$25/1/1/$P$13/$P$13/$P$17/$P$17/$P$18/$P$18*W105*1000000</f>
        <v>3.0874999999999995</v>
      </c>
      <c r="Y105" s="1714">
        <f>IF($G103=0,0,IF($F103="recht",$G103/$C$30,($G103-0.301*$C$30)/$C$30))+IF($H103=0,0,IF($F103="recht",$H103/$C$31,($H103-0.301*$C$31)/$C$31))+$I103/$C$32+$J99/$L$52+$K99/$L$53</f>
        <v>0</v>
      </c>
      <c r="Z105" s="1663">
        <f>10^(-Y105)</f>
        <v>1</v>
      </c>
      <c r="AA105" s="1656">
        <f>$C$7*$G$11*$E$105*$S$41*$P$27/400*$N$36*$N$38*$P$25*$P$26/1/1/$P$13/$P$13/$P$17/$P$17/$P$18/$P$18*Z105*1000000</f>
        <v>2.8499999999999996</v>
      </c>
      <c r="AB105" s="1745">
        <f>SUM(O105,R105,U105,X105,AA105)</f>
        <v>14.938749999999997</v>
      </c>
      <c r="AC105" s="1182"/>
      <c r="AD105" s="944"/>
      <c r="AE105" s="348"/>
      <c r="AF105" s="311"/>
      <c r="AG105" s="336"/>
      <c r="AH105" s="442"/>
      <c r="AI105" s="336"/>
      <c r="AJ105" s="336"/>
      <c r="AK105" s="345"/>
      <c r="AL105" s="345"/>
      <c r="AM105" s="345"/>
      <c r="AN105" s="345"/>
      <c r="AO105" s="345"/>
      <c r="AP105" s="355"/>
      <c r="AQ105" s="355"/>
      <c r="AR105" s="355"/>
      <c r="AS105" s="382"/>
      <c r="AT105" s="382"/>
      <c r="AU105" s="382"/>
    </row>
    <row r="106" spans="1:62" s="325" customFormat="1" ht="19.5" customHeight="1">
      <c r="A106" s="1122"/>
      <c r="B106" s="1008"/>
      <c r="C106" s="1726"/>
      <c r="D106" s="586"/>
      <c r="E106" s="1728"/>
      <c r="F106" s="1835"/>
      <c r="G106" s="1836"/>
      <c r="H106" s="1836"/>
      <c r="I106" s="1837"/>
      <c r="J106" s="1753"/>
      <c r="K106" s="1628"/>
      <c r="L106" s="1732"/>
      <c r="M106" s="1715"/>
      <c r="N106" s="1668"/>
      <c r="O106" s="1660"/>
      <c r="P106" s="1715"/>
      <c r="Q106" s="1668"/>
      <c r="R106" s="1660"/>
      <c r="S106" s="1715"/>
      <c r="T106" s="1668"/>
      <c r="U106" s="1660"/>
      <c r="V106" s="1715"/>
      <c r="W106" s="1668"/>
      <c r="X106" s="1660"/>
      <c r="Y106" s="1715"/>
      <c r="Z106" s="1668"/>
      <c r="AA106" s="1660"/>
      <c r="AB106" s="1717"/>
      <c r="AC106" s="1182"/>
      <c r="AD106" s="944"/>
      <c r="AE106" s="348"/>
      <c r="AF106" s="311"/>
      <c r="AG106" s="336"/>
      <c r="AH106" s="442"/>
      <c r="AI106" s="336"/>
      <c r="AJ106" s="336"/>
      <c r="AK106" s="345"/>
      <c r="AL106" s="345"/>
      <c r="AM106" s="345"/>
      <c r="AN106" s="345"/>
      <c r="AO106" s="345"/>
      <c r="AP106" s="355"/>
      <c r="AQ106" s="355"/>
      <c r="AR106" s="355"/>
      <c r="AS106" s="382"/>
      <c r="AT106" s="382"/>
      <c r="AU106" s="382"/>
    </row>
    <row r="107" spans="1:62" s="325" customFormat="1" ht="19.5" customHeight="1">
      <c r="A107" s="1122"/>
      <c r="B107" s="1008"/>
      <c r="C107" s="1623" t="s">
        <v>476</v>
      </c>
      <c r="D107" s="586"/>
      <c r="E107" s="1727">
        <v>0.5</v>
      </c>
      <c r="F107" s="1835"/>
      <c r="G107" s="1836"/>
      <c r="H107" s="1836"/>
      <c r="I107" s="1837"/>
      <c r="J107" s="1753"/>
      <c r="K107" s="1628"/>
      <c r="L107" s="1732"/>
      <c r="M107" s="1714">
        <f>IF($G103=0,0,IF($F103="recht",$G103/$C$30,($G103-0.301*$C$30)/$C30))+IF($H103=0,0,IF($F103="recht",$H103/$C$31,($H103-0.301*$C$31)/$C$31))+$I103/$C$32+$J99/$L$52+$K99/$L$53</f>
        <v>0</v>
      </c>
      <c r="N107" s="1663">
        <f>10^(-M107)</f>
        <v>1</v>
      </c>
      <c r="O107" s="1656">
        <f>$C$7*$C$11*$E$107*$O$42*$P$27/400*$N$36*$N$38*$P$25*$P$26/1/1/$P$13/$P$13/$P$17/$P$17/$P$18/$P$18*N107*1000000</f>
        <v>2.0235000000000003</v>
      </c>
      <c r="P107" s="1714">
        <f>IF($G103=0,0,IF(F103="recht",$G103/$C$30,($G103-0.301*$C$30)/$C$30))+IF($H103=0,0,IF($F103="recht",$H103/$C$31,($H103-0.301*$C$31)/$C$31))+$I103/$C$32+$J99/$L$52+$K99/$L$53</f>
        <v>0</v>
      </c>
      <c r="Q107" s="1663">
        <f>10^(-P107)</f>
        <v>1</v>
      </c>
      <c r="R107" s="1656">
        <f>$C$7*$D$11*$E$107*$P$42*$P$27/400*$N$36*$N$38*$P$25*$P$26/1/1/$P$13/$P$13/$P$17/$P$17/$P$18/$P$18*Q107*1000000</f>
        <v>1.8097500000000002</v>
      </c>
      <c r="S107" s="1714">
        <f>IF($G103=0,0,IF(I103="recht",$G103/$C$30,($G103-0.301*$C$30)/$C$30))+IF($H103=0,0,IF($F103="recht",$H103/$C$31,($H103-0.301*$C$31)/$C$31))+$I103/$C$32+$J99/$L$52+$K99/$L$53</f>
        <v>0</v>
      </c>
      <c r="T107" s="1663">
        <f>10^(-S107)</f>
        <v>1</v>
      </c>
      <c r="U107" s="1656">
        <f>$C$7*$E$11*$E$107*$Q$42*$P$27/400*$N$36*$N$38*$P$25*$P$26/1/1/$P$13/$P$13/$P$17/$P$17/$P$18/$P$18*T107*1000000</f>
        <v>1.2397500000000001</v>
      </c>
      <c r="V107" s="1714">
        <f>IF($G103=0,0,IF(L103="recht",$G103/$C$30,($G103-0.301*$C$30)/$C$30))+IF($H103=0,0,IF($F103="recht",$H103/$C$31,($H103-0.301*$C$31)/$C$31))+$I103/$C$32+$J99/$L$52+$K99/$L$53</f>
        <v>0</v>
      </c>
      <c r="W107" s="1663">
        <f>10^(-V107)</f>
        <v>1</v>
      </c>
      <c r="X107" s="1656">
        <f>$C$7*$F$11*$E$107*$R$42*$P$27/400*$N$36*$N$38*$P$25*$P$26/1/1/$P$13/$P$13/$P$17/$P$17/$P$18/$P$18*W107*1000000</f>
        <v>2.1185</v>
      </c>
      <c r="Y107" s="1714">
        <f>IF($G103=0,0,IF(O103="recht",$G103/$C$30,($G103-0.301*$C$30)/$C$30))+IF($H103=0,0,IF($F103="recht",$H103/$C$31,($H103-0.301*$C$31)/$C$31))+$I103/$C$32+$J99/$L$52+$K99/$L$53</f>
        <v>0</v>
      </c>
      <c r="Z107" s="1663">
        <f>10^(-Y107)</f>
        <v>1</v>
      </c>
      <c r="AA107" s="1656">
        <f>$C$7*$G$11*$E$107*$S$42*$P$27/400*$N$36*$N$38*$P$25*$P$26/1/1/$P$13/$P$13/$P$17/$P$17/$P$18/$P$18*Z107*1000000</f>
        <v>1.91425</v>
      </c>
      <c r="AB107" s="1745">
        <f>SUM(O107,R107,U107,X107,AA107)</f>
        <v>9.1057500000000005</v>
      </c>
      <c r="AC107" s="1182"/>
      <c r="AD107" s="944"/>
      <c r="AE107" s="348"/>
      <c r="AF107" s="311"/>
      <c r="AG107" s="336"/>
      <c r="AH107" s="442"/>
      <c r="AI107" s="336"/>
      <c r="AJ107" s="336"/>
      <c r="AK107" s="345"/>
      <c r="AL107" s="345"/>
      <c r="AM107" s="345"/>
      <c r="AN107" s="345"/>
      <c r="AO107" s="345"/>
      <c r="AP107" s="355"/>
      <c r="AQ107" s="355"/>
      <c r="AR107" s="355"/>
      <c r="AS107" s="382"/>
      <c r="AT107" s="382"/>
      <c r="AU107" s="382"/>
    </row>
    <row r="108" spans="1:62" s="325" customFormat="1" ht="19.5" customHeight="1">
      <c r="A108" s="1122"/>
      <c r="B108" s="1008"/>
      <c r="C108" s="1726"/>
      <c r="D108" s="586"/>
      <c r="E108" s="1728"/>
      <c r="F108" s="1835"/>
      <c r="G108" s="1836"/>
      <c r="H108" s="1836"/>
      <c r="I108" s="1837"/>
      <c r="J108" s="1753"/>
      <c r="K108" s="1628"/>
      <c r="L108" s="1732"/>
      <c r="M108" s="1715"/>
      <c r="N108" s="1668"/>
      <c r="O108" s="1660"/>
      <c r="P108" s="1715"/>
      <c r="Q108" s="1668"/>
      <c r="R108" s="1660"/>
      <c r="S108" s="1715"/>
      <c r="T108" s="1668"/>
      <c r="U108" s="1660"/>
      <c r="V108" s="1715"/>
      <c r="W108" s="1668"/>
      <c r="X108" s="1660"/>
      <c r="Y108" s="1715"/>
      <c r="Z108" s="1668"/>
      <c r="AA108" s="1660"/>
      <c r="AB108" s="1717"/>
      <c r="AC108" s="1182"/>
      <c r="AD108" s="944"/>
      <c r="AE108" s="348"/>
      <c r="AF108" s="311"/>
      <c r="AG108" s="336"/>
      <c r="AH108" s="442"/>
      <c r="AI108" s="336"/>
      <c r="AJ108" s="336"/>
      <c r="AK108" s="345"/>
      <c r="AL108" s="345"/>
      <c r="AM108" s="345"/>
      <c r="AN108" s="345"/>
      <c r="AO108" s="345"/>
      <c r="AP108" s="355"/>
      <c r="AQ108" s="355"/>
      <c r="AR108" s="355"/>
      <c r="AS108" s="382"/>
      <c r="AT108" s="382"/>
      <c r="AU108" s="382"/>
    </row>
    <row r="109" spans="1:62" s="325" customFormat="1" ht="19.5" customHeight="1">
      <c r="A109" s="1122"/>
      <c r="B109" s="1008"/>
      <c r="C109" s="1623" t="s">
        <v>477</v>
      </c>
      <c r="D109" s="586"/>
      <c r="E109" s="1727">
        <v>0.25</v>
      </c>
      <c r="F109" s="1835"/>
      <c r="G109" s="1836"/>
      <c r="H109" s="1836"/>
      <c r="I109" s="1837"/>
      <c r="J109" s="1753"/>
      <c r="K109" s="1628"/>
      <c r="L109" s="1732"/>
      <c r="M109" s="1714">
        <f>IF($G103=0,0,IF($F103="recht",$G103/$C$30,($G103-0.301*$C$30)/$C$30))+IF($H103=0,0,IF($F103="recht",$H103/$C$31,($H103-0.301*$C$31)/$C$31))+$I103/$C$32+$J99/$L$52+$K99/$L$53</f>
        <v>0</v>
      </c>
      <c r="N109" s="1663">
        <f>10^(-M109)</f>
        <v>1</v>
      </c>
      <c r="O109" s="1656">
        <f>$C$7*$C$11*$E$109*$O$43*$P$27/400*$N$36*$N$38*$P$25*$P$26/1/1/$P$13/$P$13/$P$17/$P$17/$P$18/$P$18*N109*1000000</f>
        <v>0.71249999999999991</v>
      </c>
      <c r="P109" s="1714">
        <f>IF($G103=0,0,IF($F103="recht",$G103/$C$30,($G103-0.301*$C$30)/$C$30))+IF($H103=0,0,IF($F103="recht",$H103/$C$31,($H103-0.301*$C$31)/$C$31))+$I103/$C$32+$J99/$L$52+$K99/$L$53</f>
        <v>0</v>
      </c>
      <c r="Q109" s="1663">
        <f>10^(-P109)</f>
        <v>1</v>
      </c>
      <c r="R109" s="1656">
        <f>$C$7*$D$11*$E$109*$P$43*$P$27/400*$N$36*$N$38*$P$25*$P$26/1/1/$P$13/$P$13/$P$17/$P$17/$P$18/$P$18*Q109*1000000</f>
        <v>0.71724999999999994</v>
      </c>
      <c r="S109" s="1714">
        <f>IF($G103=0,0,IF($F103="recht",$G103/$C$30,($G103-0.301*$C$30)/$C$30))+IF($H103=0,0,IF($F103="recht",$H103/$C$31,($H103-0.301*$C$31)/$C$31))+$I103/$C$32+$J99/$L$52+$K99/$L$53</f>
        <v>0</v>
      </c>
      <c r="T109" s="1663">
        <f>10^(-S109)</f>
        <v>1</v>
      </c>
      <c r="U109" s="1656">
        <f>$C$7*$E$11*$E$109*$Q$43*$P$27/400*$N$36*$N$38*$P$25*$P$26/1/1/$P$13/$P$13/$P$17/$P$17/$P$18/$P$18*T109*1000000</f>
        <v>0.45362500000000011</v>
      </c>
      <c r="V109" s="1714">
        <f>IF($G103=0,0,IF($F103="recht",$G103/$C$30,($G103-0.301*$C$30)/$C$30))+IF($H103=0,0,IF($F103="recht",$H103/$C$31,($H103-0.301*$C$31)/$C$31))+$I103/$C$32+$J99/$L$52+$K99/$L$53</f>
        <v>0</v>
      </c>
      <c r="W109" s="1663">
        <f>10^(-V109)</f>
        <v>1</v>
      </c>
      <c r="X109" s="1656">
        <f>$C$7*$F$11*$E$109*$R$43*$P$27/400*$N$36*$N$38*$P$25*$P$26/1/1/$P$13/$P$13/$P$17/$P$17/$P$18/$P$18*W109*1000000</f>
        <v>0.81225000000000003</v>
      </c>
      <c r="Y109" s="1714">
        <f>IF($G103=0,0,IF($F103="recht",$G103/$C$30,($G103-0.301*$C$30)/$C$30))+IF($H103=0,0,IF($F103="recht",$H103/$C$31,($H103-0.301*$C$31)/$C$31))+$I103/$C$32+$J99/$L$52+$K99/$L$53</f>
        <v>0</v>
      </c>
      <c r="Z109" s="1663">
        <f>10^(-Y109)</f>
        <v>1</v>
      </c>
      <c r="AA109" s="1656">
        <f>$C$7*$G$11*$E$109*$S$43*$P$27/400*$N$36*$N$38*$P$25*$P$26/1/1/$P$13/$P$13/$P$17/$P$17/$P$18/$P$18*Z109*1000000</f>
        <v>0.90725000000000022</v>
      </c>
      <c r="AB109" s="1745">
        <f>SUM(O109,R109,U109,X109,AA109)</f>
        <v>3.6028750000000005</v>
      </c>
      <c r="AC109" s="1182"/>
      <c r="AD109" s="944"/>
      <c r="AE109" s="348"/>
      <c r="AF109" s="311"/>
      <c r="AG109" s="336"/>
      <c r="AH109" s="442"/>
      <c r="AI109" s="336"/>
      <c r="AJ109" s="336"/>
      <c r="AK109" s="345"/>
      <c r="AL109" s="345"/>
      <c r="AM109" s="345"/>
      <c r="AN109" s="345"/>
      <c r="AO109" s="345"/>
      <c r="AP109" s="355"/>
      <c r="AQ109" s="355"/>
      <c r="AR109" s="355"/>
      <c r="AS109" s="382"/>
      <c r="AT109" s="382"/>
      <c r="AU109" s="382"/>
    </row>
    <row r="110" spans="1:62" s="325" customFormat="1" ht="19.5" customHeight="1">
      <c r="A110" s="1122"/>
      <c r="B110" s="1008"/>
      <c r="C110" s="1726"/>
      <c r="D110" s="586"/>
      <c r="E110" s="1728"/>
      <c r="F110" s="1738"/>
      <c r="G110" s="1747"/>
      <c r="H110" s="1747"/>
      <c r="I110" s="1749"/>
      <c r="J110" s="1753"/>
      <c r="K110" s="1628"/>
      <c r="L110" s="1732"/>
      <c r="M110" s="1715"/>
      <c r="N110" s="1668"/>
      <c r="O110" s="1660"/>
      <c r="P110" s="1715"/>
      <c r="Q110" s="1668"/>
      <c r="R110" s="1660"/>
      <c r="S110" s="1715"/>
      <c r="T110" s="1668"/>
      <c r="U110" s="1660"/>
      <c r="V110" s="1715"/>
      <c r="W110" s="1668"/>
      <c r="X110" s="1660"/>
      <c r="Y110" s="1715"/>
      <c r="Z110" s="1668"/>
      <c r="AA110" s="1660"/>
      <c r="AB110" s="1750"/>
      <c r="AC110" s="1182"/>
      <c r="AD110" s="944"/>
      <c r="AE110" s="348"/>
      <c r="AF110" s="311"/>
      <c r="AG110" s="336"/>
      <c r="AH110" s="442"/>
      <c r="AI110" s="336"/>
      <c r="AJ110" s="336"/>
      <c r="AK110" s="345"/>
      <c r="AL110" s="345"/>
      <c r="AM110" s="345"/>
      <c r="AN110" s="345"/>
      <c r="AO110" s="345"/>
      <c r="AP110" s="355"/>
      <c r="AQ110" s="355"/>
      <c r="AR110" s="355"/>
      <c r="AS110" s="382"/>
      <c r="AT110" s="382"/>
      <c r="AU110" s="382"/>
    </row>
    <row r="111" spans="1:62" s="325" customFormat="1" ht="19.5" customHeight="1">
      <c r="A111" s="1122"/>
      <c r="B111" s="1008"/>
      <c r="C111" s="1744" t="s">
        <v>44</v>
      </c>
      <c r="D111" s="1633"/>
      <c r="E111" s="1634"/>
      <c r="F111" s="1713"/>
      <c r="G111" s="1706"/>
      <c r="H111" s="1741"/>
      <c r="I111" s="1713"/>
      <c r="J111" s="1752"/>
      <c r="K111" s="1628"/>
      <c r="L111" s="1732"/>
      <c r="M111" s="1656">
        <f>$J99/$M$52+$K99/$M$53+$L99/$M$54</f>
        <v>0</v>
      </c>
      <c r="N111" s="1663">
        <f>10^(-M111)</f>
        <v>1</v>
      </c>
      <c r="O111" s="1656">
        <f>$C$7*$C$11*($C$12+$C$13*$C$14)*0.0000000000000024*($C$10)*(SQRT($P$29/$P$30)*((1.64*10^(-$P$20/1.9)+10^(-$P$20/(2.06*SQRT($P$30))))*(1-$P$45)*$N$111*1000000))</f>
        <v>0</v>
      </c>
      <c r="P111" s="1656">
        <f>$J99/$M$52+$K99/$M$53+$L99/$M$54</f>
        <v>0</v>
      </c>
      <c r="Q111" s="1663">
        <f>10^(-P111)</f>
        <v>1</v>
      </c>
      <c r="R111" s="1656">
        <f>$C$7*$D$11*($D$12+$D$13*$D$14)*0.0000000000000024*($D$10)*(SQRT($P$29/$P$30)*((1.64*10^(-$P$20/1.9)+10^(-$P$20/(2.06*SQRT($P$30))))*(1-$P$45)*$Q$111*1000000))</f>
        <v>0</v>
      </c>
      <c r="S111" s="1656">
        <f>$J99/$M$52+$K99/$M$53+$L99/$M$54</f>
        <v>0</v>
      </c>
      <c r="T111" s="1663">
        <f>10^(-S111)</f>
        <v>1</v>
      </c>
      <c r="U111" s="1656">
        <f>$C$7*$E$11*($E$12+$E$13*$E$14)*0.0000000000000024*($E$10)*(SQRT($P$29/$P$30)*((1.64*10^(-$P$20/1.9)+10^(-$P$20/(2.06*SQRT($P$30))))*(1-$P$45)*$T$111*1000000))</f>
        <v>9.9054452546101235E-2</v>
      </c>
      <c r="V111" s="1656">
        <f>$J99/$M$52+$K99/$M$53+$L99/$M$54</f>
        <v>0</v>
      </c>
      <c r="W111" s="1663">
        <f>10^(-V111)</f>
        <v>1</v>
      </c>
      <c r="X111" s="1656">
        <f>$C$7*$F$11*($F$12+$F$13*$F$14)*0.0000000000000024*($F$10)*(SQRT($P$29/$P$30)*((1.64*10^(-$P$20/1.9)+10^(-$P$20/(2.06*SQRT($P$30))))*(1-$P$45)*$W$111*1000000))</f>
        <v>0</v>
      </c>
      <c r="Y111" s="1656">
        <f>$J99/$M$52+$K99/$M$53+$L99/$M$54</f>
        <v>0</v>
      </c>
      <c r="Z111" s="1663">
        <f>10^(-Y111)</f>
        <v>1</v>
      </c>
      <c r="AA111" s="1656">
        <f>$C$7*$G$11*($G$12+$G$13*$G$14)*0.0000000000000024*($G$10)*(SQRT($P$29/$P$30)*((1.64*10^(-$P$20/1.9)+10^(-$P$20/(2.06*SQRT($P$30))))*(1-$P$45)*$Z$111*1000000))</f>
        <v>0</v>
      </c>
      <c r="AB111" s="1750">
        <f>SUM(O111,R111,U111,X111,AA111)</f>
        <v>9.9054452546101235E-2</v>
      </c>
      <c r="AC111" s="1181"/>
      <c r="AD111" s="1351"/>
      <c r="AE111" s="348"/>
      <c r="AF111" s="311"/>
      <c r="AG111" s="336"/>
      <c r="AH111" s="442"/>
      <c r="AI111" s="336"/>
      <c r="AJ111" s="336"/>
      <c r="AK111" s="345"/>
      <c r="AL111" s="345"/>
      <c r="AM111" s="345"/>
      <c r="AN111" s="345"/>
      <c r="AO111" s="345"/>
      <c r="AP111" s="355"/>
      <c r="AQ111" s="355"/>
      <c r="AR111" s="355"/>
      <c r="AS111" s="355"/>
      <c r="AT111" s="355"/>
      <c r="AU111" s="355"/>
      <c r="AV111" s="345"/>
      <c r="AW111" s="345"/>
      <c r="AX111" s="345"/>
      <c r="AY111" s="345"/>
      <c r="AZ111" s="345"/>
      <c r="BA111" s="345"/>
      <c r="BB111" s="345"/>
      <c r="BC111" s="345"/>
      <c r="BD111" s="345"/>
      <c r="BE111" s="345"/>
      <c r="BF111" s="345"/>
      <c r="BG111" s="345"/>
      <c r="BH111" s="345"/>
      <c r="BI111" s="345"/>
      <c r="BJ111" s="345"/>
    </row>
    <row r="112" spans="1:62" s="325" customFormat="1" ht="19.5" customHeight="1">
      <c r="A112" s="1122"/>
      <c r="B112" s="1008"/>
      <c r="C112" s="1742"/>
      <c r="D112" s="1652"/>
      <c r="E112" s="1652"/>
      <c r="F112" s="1743"/>
      <c r="G112" s="1707"/>
      <c r="H112" s="1742"/>
      <c r="I112" s="1743"/>
      <c r="J112" s="1752"/>
      <c r="K112" s="1628"/>
      <c r="L112" s="1732"/>
      <c r="M112" s="1660"/>
      <c r="N112" s="1668"/>
      <c r="O112" s="1660"/>
      <c r="P112" s="1660"/>
      <c r="Q112" s="1668"/>
      <c r="R112" s="1660"/>
      <c r="S112" s="1660"/>
      <c r="T112" s="1668"/>
      <c r="U112" s="1660"/>
      <c r="V112" s="1660"/>
      <c r="W112" s="1668"/>
      <c r="X112" s="1660"/>
      <c r="Y112" s="1660"/>
      <c r="Z112" s="1668"/>
      <c r="AA112" s="1660"/>
      <c r="AB112" s="1717"/>
      <c r="AC112" s="1181"/>
      <c r="AD112" s="1351"/>
      <c r="AE112" s="348"/>
      <c r="AF112" s="311"/>
      <c r="AG112" s="336"/>
      <c r="AH112" s="442"/>
      <c r="AI112" s="336"/>
      <c r="AJ112" s="336"/>
      <c r="AK112" s="345"/>
      <c r="AL112" s="345"/>
      <c r="AM112" s="345"/>
      <c r="AN112" s="345"/>
      <c r="AO112" s="345"/>
      <c r="AP112" s="355"/>
      <c r="AQ112" s="355"/>
      <c r="AR112" s="355"/>
      <c r="AS112" s="355"/>
      <c r="AT112" s="355"/>
      <c r="AU112" s="355"/>
      <c r="AV112" s="345"/>
      <c r="AW112" s="345"/>
      <c r="AX112" s="345"/>
      <c r="AY112" s="345"/>
      <c r="AZ112" s="345"/>
      <c r="BA112" s="345"/>
      <c r="BB112" s="345"/>
      <c r="BC112" s="345"/>
      <c r="BD112" s="345"/>
      <c r="BE112" s="345"/>
      <c r="BF112" s="345"/>
      <c r="BG112" s="345"/>
      <c r="BH112" s="345"/>
      <c r="BI112" s="345"/>
      <c r="BJ112" s="345"/>
    </row>
    <row r="113" spans="1:82" s="325" customFormat="1" ht="19.5" customHeight="1">
      <c r="A113" s="1122"/>
      <c r="B113" s="1008"/>
      <c r="C113" s="1755" t="s">
        <v>269</v>
      </c>
      <c r="D113" s="1633"/>
      <c r="E113" s="1633"/>
      <c r="F113" s="1757"/>
      <c r="G113" s="1758"/>
      <c r="H113" s="1744"/>
      <c r="I113" s="1757"/>
      <c r="J113" s="1752"/>
      <c r="K113" s="1628"/>
      <c r="L113" s="1732"/>
      <c r="M113" s="1656">
        <f>$J99/$N$52+$K99/$N$53</f>
        <v>0</v>
      </c>
      <c r="N113" s="1663">
        <f>10^(-M113)</f>
        <v>1</v>
      </c>
      <c r="O113" s="1761">
        <f>$C$7*$C$11*($C$12+$C$13*$C$14)*0.00000000000000057*$C$10*10^-($P$20/6.2)*(1-$P$46)*N113*1000000</f>
        <v>0</v>
      </c>
      <c r="P113" s="1656">
        <f>$J99/$N$52+$K99/$N$53</f>
        <v>0</v>
      </c>
      <c r="Q113" s="1663">
        <f>10^(-P113)</f>
        <v>1</v>
      </c>
      <c r="R113" s="1760">
        <f>$C$7*$D$11*($D$12+$D$13*$D$14)*0.00000000000000057*$D$10*10^-($P$20/6.2)*(1-$P$46)*Q113*1000000</f>
        <v>0</v>
      </c>
      <c r="S113" s="1763">
        <f>$J99/$N$52+$K99/$N$53</f>
        <v>0</v>
      </c>
      <c r="T113" s="1663">
        <f>10^(-S113)</f>
        <v>1</v>
      </c>
      <c r="U113" s="1760">
        <f>$C$7*$E$11*($E$12+$E$13*$E$14)*0.00000000000000057*$E$10*10^-($P$20/6.2)*(1-$P$46)*T113*1000000</f>
        <v>34.021009276742291</v>
      </c>
      <c r="V113" s="1656">
        <f>$J99/$N$52+$K99/$N$53</f>
        <v>0</v>
      </c>
      <c r="W113" s="1663">
        <f>10^(-V113)</f>
        <v>1</v>
      </c>
      <c r="X113" s="1760">
        <f>$C$7*$F$11*($F$12+$F$13*$F$14)*0.00000000000000057*$F$10*10^-($P$20/6.2)*(1-$P$46)*W113*1000000</f>
        <v>0</v>
      </c>
      <c r="Y113" s="1656">
        <f>$J99/$N$52+$K99/$N$53</f>
        <v>0</v>
      </c>
      <c r="Z113" s="1663">
        <f>10^(-Y113)</f>
        <v>1</v>
      </c>
      <c r="AA113" s="1760">
        <f>$C$7*$G$11*($G$12+$G$13*$G$14)*0.00000000000000057*$G$10*10^-($P$20/6.2)*(1-$P$46)*Z113*1000000</f>
        <v>0</v>
      </c>
      <c r="AB113" s="1745">
        <f>SUM(O113,R113,U113,X113,AA113)</f>
        <v>34.021009276742291</v>
      </c>
      <c r="AC113" s="1181"/>
      <c r="AD113" s="1352"/>
      <c r="AE113" s="348"/>
      <c r="AF113" s="311"/>
      <c r="AG113" s="336"/>
      <c r="AH113" s="442"/>
      <c r="AI113" s="336"/>
      <c r="AJ113" s="336"/>
      <c r="AK113" s="345"/>
      <c r="AL113" s="345"/>
      <c r="AM113" s="345"/>
      <c r="AN113" s="345"/>
      <c r="AO113" s="345"/>
      <c r="AP113" s="355"/>
      <c r="AQ113" s="355"/>
      <c r="AR113" s="355"/>
      <c r="AS113" s="355"/>
      <c r="AT113" s="355"/>
      <c r="AU113" s="355"/>
      <c r="AV113" s="345"/>
      <c r="AW113" s="345"/>
      <c r="AX113" s="345"/>
      <c r="AY113" s="345"/>
      <c r="AZ113" s="345"/>
      <c r="BA113" s="345"/>
      <c r="BB113" s="345"/>
      <c r="BC113" s="345"/>
      <c r="BD113" s="345"/>
      <c r="BE113" s="345"/>
      <c r="BF113" s="345"/>
      <c r="BG113" s="345"/>
      <c r="BH113" s="345"/>
      <c r="BI113" s="345"/>
      <c r="BJ113" s="345"/>
    </row>
    <row r="114" spans="1:82" s="325" customFormat="1" ht="19.5" customHeight="1" thickBot="1">
      <c r="A114" s="1122"/>
      <c r="B114" s="1008"/>
      <c r="C114" s="1756"/>
      <c r="D114" s="1652"/>
      <c r="E114" s="1652"/>
      <c r="F114" s="1743"/>
      <c r="G114" s="1759"/>
      <c r="H114" s="1742"/>
      <c r="I114" s="1743"/>
      <c r="J114" s="1754"/>
      <c r="K114" s="1629"/>
      <c r="L114" s="1733"/>
      <c r="M114" s="1660"/>
      <c r="N114" s="1668"/>
      <c r="O114" s="1762"/>
      <c r="P114" s="1660"/>
      <c r="Q114" s="1668"/>
      <c r="R114" s="1715"/>
      <c r="S114" s="1764"/>
      <c r="T114" s="1668"/>
      <c r="U114" s="1715"/>
      <c r="V114" s="1660"/>
      <c r="W114" s="1668"/>
      <c r="X114" s="1715"/>
      <c r="Y114" s="1660"/>
      <c r="Z114" s="1668"/>
      <c r="AA114" s="1715"/>
      <c r="AB114" s="1781"/>
      <c r="AC114" s="1183"/>
      <c r="AD114" s="1353"/>
      <c r="AE114" s="348"/>
      <c r="AF114" s="311"/>
      <c r="AG114" s="336"/>
      <c r="AH114" s="442"/>
      <c r="AI114" s="336"/>
      <c r="AJ114" s="336"/>
      <c r="AK114" s="345"/>
      <c r="AL114" s="345"/>
      <c r="AM114" s="345"/>
      <c r="AN114" s="345"/>
      <c r="AO114" s="345"/>
      <c r="AP114" s="355"/>
      <c r="AQ114" s="355"/>
      <c r="AR114" s="355"/>
      <c r="AS114" s="355"/>
      <c r="AT114" s="355"/>
      <c r="AU114" s="355"/>
      <c r="AV114" s="345"/>
      <c r="AW114" s="345"/>
      <c r="AX114" s="345"/>
      <c r="AY114" s="345"/>
      <c r="AZ114" s="345"/>
      <c r="BA114" s="345"/>
      <c r="BB114" s="345"/>
      <c r="BC114" s="345"/>
      <c r="BD114" s="345"/>
      <c r="BE114" s="345"/>
      <c r="BF114" s="345"/>
      <c r="BG114" s="345"/>
      <c r="BH114" s="345"/>
      <c r="BI114" s="345"/>
      <c r="BJ114" s="345"/>
    </row>
    <row r="115" spans="1:82" s="325" customFormat="1" ht="19.5" customHeight="1">
      <c r="A115" s="1638" t="str">
        <f ca="1">'Linac 3'!A$99</f>
        <v>L3</v>
      </c>
      <c r="B115" s="1011"/>
      <c r="C115" s="1623" t="s">
        <v>333</v>
      </c>
      <c r="D115" s="1627">
        <v>1</v>
      </c>
      <c r="E115" s="1627">
        <v>0</v>
      </c>
      <c r="F115" s="1627" t="s">
        <v>12</v>
      </c>
      <c r="G115" s="1627">
        <v>250</v>
      </c>
      <c r="H115" s="1627">
        <v>0</v>
      </c>
      <c r="I115" s="1627">
        <v>0</v>
      </c>
      <c r="J115" s="1765"/>
      <c r="K115" s="1765"/>
      <c r="L115" s="1768"/>
      <c r="M115" s="1656">
        <f>IF($G115=0,0,IF($F115="recht",1+($G115-$C$17)/$C$18,1+($G115-$C$17-0.301*$C$18)/$C$18))+IF($H115=0,0,IF($F115="recht",$H115/$C$19,($H115-0.301*$C$19)/$C$19))+$I115/$C$20</f>
        <v>7.4545454545454541</v>
      </c>
      <c r="N115" s="1663">
        <f>10^(-M115)</f>
        <v>3.5111917342151263E-8</v>
      </c>
      <c r="O115" s="1656">
        <f>($C$7*$C$11*$E115/$D115/$D115*N115*1000000)</f>
        <v>0</v>
      </c>
      <c r="P115" s="1656">
        <f>IF($G115=0,0,IF($F115="recht",1+($G115-$D$17)/$D$18,1+($G115-$D$17-0.301*$D$18)/$D$18))+IF($H115=0,0,IF($F115="recht",$H115/$D$19,($H115-0.301*$D$19)/$D$19))+$I115/$D$20</f>
        <v>6.6486486486486482</v>
      </c>
      <c r="Q115" s="1663">
        <f>10^(-P115)</f>
        <v>2.2456979955397711E-7</v>
      </c>
      <c r="R115" s="1656">
        <f>($C$7*$D$11*$E115/$D115/$D115*Q115*1000000)</f>
        <v>0</v>
      </c>
      <c r="S115" s="1656">
        <f>IF($G115=0,0,IF($F115="recht",1+($G115-$E$17)/$E$18,1+($G115-$E$17-0.301*$E$18)/$E$18))+IF($H115=0,0,IF($F115="recht",$H115/$E$19,($H115-0.301*$E$19)/$E$19))+$I115/$E$20</f>
        <v>6.024390243902439</v>
      </c>
      <c r="T115" s="1663">
        <f>10^(-S115)</f>
        <v>9.4538728313079291E-7</v>
      </c>
      <c r="U115" s="1656">
        <f>($C$7*$E$11*$E115/$D115/$D115*T115*1000000)</f>
        <v>0</v>
      </c>
      <c r="V115" s="1656">
        <f>IF($G115=0,0,IF($F115="recht",1+($G115-$F$17)/$F$18,1+($G115-$F$17-0.301*$F$18)/$F$18))+IF($H115=0,0,IF($F115="recht",$H115/$F$19,($H115-0.301*$F$19)/$F$19))+$I115/$F$20</f>
        <v>9.1481481481481488</v>
      </c>
      <c r="W115" s="1661">
        <f>10^(-V115)</f>
        <v>7.1097094323124171E-10</v>
      </c>
      <c r="X115" s="1658">
        <f>($C$7*$F$11*$E115/$D115/$D115*W115*1000000)</f>
        <v>0</v>
      </c>
      <c r="Y115" s="1656">
        <f>IF($G115=0,0,IF($F115="recht",1+($G115-$G$17)/$G$18,1+($G115-$G$17-0.301*$G$18)/$G$18))+IF($H115=0,0,IF($F115="recht",$H115/$G$19,($H115-0.301*$G$19)/$G$19))+$I115/$G$20</f>
        <v>6.9444444444444446</v>
      </c>
      <c r="Z115" s="1661">
        <f>10^(-Y115)</f>
        <v>1.136463666385722E-7</v>
      </c>
      <c r="AA115" s="1658">
        <f>($C$7*$G$11*$E115/$D115/$D115*Z115*1000000)</f>
        <v>0</v>
      </c>
      <c r="AB115" s="1708">
        <f>SUM(O115,R115,U115,X115,AA115)</f>
        <v>0</v>
      </c>
      <c r="AC115" s="1180">
        <f>SUM(AB115:AB118)*$D$86/2400/1000</f>
        <v>7.7799298705522589E-7</v>
      </c>
      <c r="AD115" s="942">
        <f>AC115*$D$87</f>
        <v>3.8899649352761298E-6</v>
      </c>
      <c r="AE115" s="1233"/>
      <c r="AF115" s="336"/>
      <c r="AG115" s="345"/>
      <c r="AH115" s="345"/>
      <c r="AI115" s="345"/>
      <c r="AJ115" s="345"/>
      <c r="AK115" s="345"/>
      <c r="AL115" s="345"/>
      <c r="AM115" s="345"/>
      <c r="AN115" s="345"/>
      <c r="AO115" s="345"/>
      <c r="AP115" s="345"/>
      <c r="AQ115" s="345"/>
      <c r="AR115" s="345"/>
      <c r="AS115" s="345"/>
      <c r="AT115" s="345"/>
      <c r="AU115" s="345"/>
      <c r="AV115" s="345"/>
      <c r="AW115" s="345"/>
      <c r="AX115" s="345"/>
      <c r="AY115" s="345"/>
      <c r="AZ115" s="345"/>
      <c r="BA115" s="345"/>
      <c r="BB115" s="345"/>
      <c r="BC115" s="345"/>
      <c r="BD115" s="345"/>
      <c r="BE115" s="345"/>
      <c r="BF115" s="345"/>
      <c r="BG115" s="345"/>
      <c r="BH115" s="345"/>
      <c r="BI115" s="345"/>
      <c r="BJ115" s="345"/>
    </row>
    <row r="116" spans="1:82" s="325" customFormat="1" ht="19.5" customHeight="1">
      <c r="A116" s="1639"/>
      <c r="B116" s="1010" t="s">
        <v>168</v>
      </c>
      <c r="C116" s="1624"/>
      <c r="D116" s="1720"/>
      <c r="E116" s="1720"/>
      <c r="F116" s="1628"/>
      <c r="G116" s="1628"/>
      <c r="H116" s="1628"/>
      <c r="I116" s="1628"/>
      <c r="J116" s="1766"/>
      <c r="K116" s="1766"/>
      <c r="L116" s="1769"/>
      <c r="M116" s="1659"/>
      <c r="N116" s="1662"/>
      <c r="O116" s="1657"/>
      <c r="P116" s="1657"/>
      <c r="Q116" s="1662"/>
      <c r="R116" s="1657"/>
      <c r="S116" s="1657"/>
      <c r="T116" s="1662"/>
      <c r="U116" s="1657"/>
      <c r="V116" s="1657"/>
      <c r="W116" s="1662"/>
      <c r="X116" s="1657"/>
      <c r="Y116" s="1657"/>
      <c r="Z116" s="1662"/>
      <c r="AA116" s="1657"/>
      <c r="AB116" s="1709"/>
      <c r="AC116" s="1181"/>
      <c r="AD116" s="943"/>
      <c r="AE116" s="348"/>
      <c r="AF116" s="336"/>
      <c r="AG116" s="345"/>
      <c r="AH116" s="345"/>
      <c r="AI116" s="345"/>
      <c r="AJ116" s="345"/>
      <c r="AK116" s="345"/>
      <c r="AL116" s="345"/>
      <c r="AM116" s="345"/>
      <c r="AN116" s="345"/>
      <c r="AO116" s="345"/>
      <c r="AP116" s="345"/>
      <c r="AQ116" s="345"/>
      <c r="AR116" s="345"/>
      <c r="AS116" s="345"/>
      <c r="AT116" s="345"/>
      <c r="AU116" s="345"/>
      <c r="AV116" s="345"/>
      <c r="AW116" s="345"/>
      <c r="AX116" s="345"/>
      <c r="AY116" s="345"/>
      <c r="AZ116" s="345"/>
      <c r="BA116" s="345"/>
      <c r="BB116" s="345"/>
      <c r="BC116" s="345"/>
      <c r="BD116" s="345"/>
      <c r="BE116" s="345"/>
      <c r="BF116" s="345"/>
      <c r="BG116" s="345"/>
      <c r="BH116" s="345"/>
      <c r="BI116" s="345"/>
      <c r="BJ116" s="345"/>
    </row>
    <row r="117" spans="1:82" s="325" customFormat="1" ht="19.5" customHeight="1">
      <c r="A117" s="1639"/>
      <c r="B117" s="1012" t="str">
        <f ca="1">'Linac 3'!C$3</f>
        <v>Linac 3</v>
      </c>
      <c r="C117" s="1687" t="s">
        <v>334</v>
      </c>
      <c r="D117" s="1770">
        <v>1</v>
      </c>
      <c r="E117" s="1712">
        <v>1</v>
      </c>
      <c r="F117" s="1628"/>
      <c r="G117" s="1628"/>
      <c r="H117" s="1628"/>
      <c r="I117" s="1628"/>
      <c r="J117" s="1766"/>
      <c r="K117" s="1766"/>
      <c r="L117" s="1769"/>
      <c r="M117" s="1714">
        <f>IF($G115=0,0,IF($F115="recht",$G115/$C$24,($G115-0.301*$C$24)/$C$24))+IF($H115=0,0,IF($F115="recht",$H115/$C$25,($H115-0.301*$C$25)/$C$25))+$I115/$C$26</f>
        <v>7.3529411764705879</v>
      </c>
      <c r="N117" s="1661">
        <f>10^(-M117)</f>
        <v>4.4366873309786093E-8</v>
      </c>
      <c r="O117" s="1658">
        <f>($C$7*$C$8*$C$11*($C$12+$C$13*$C$14)*$E117/$D117/$D117*N117*1000000)</f>
        <v>2.6620123985871658E-2</v>
      </c>
      <c r="P117" s="1658">
        <f>IF($G115=0,0,IF($F115="recht",$G115/$D$24,($G115-0.301*$D$24)/$D$24))+IF($H115=0,0,IF($F115="recht",$H115/$D$25,($H115-0.301*$D$25)/$D$25))+$I115/$D$26</f>
        <v>6.5789473684210522</v>
      </c>
      <c r="Q117" s="1661">
        <f>10^(-P117)</f>
        <v>2.636650898730358E-7</v>
      </c>
      <c r="R117" s="1658">
        <f>($C$7*$C$8*$D$11*($D$12+$D$13*$D$14)*$E117/$D117/$D117*Q117*1000000)</f>
        <v>0.1581990539238215</v>
      </c>
      <c r="S117" s="1658">
        <f>IF($G115=0,0,IF($F115="recht",$G115/$E$24,($G115-0.301*$E$24)/$E$24))+IF($H115=0,0,IF($F115="recht",$H115/$E$25,($H115-0.301*$E$25)/$E$25))+$I115/$E$26</f>
        <v>6.5616797900262469</v>
      </c>
      <c r="T117" s="1661">
        <f>10^(-S117)</f>
        <v>2.7435963093132793E-7</v>
      </c>
      <c r="U117" s="1658">
        <f>($C$7*$C$8*$E$11*($E$12+$E$13*$E$14)*$E117/$D117/$D117*T117*1000000)</f>
        <v>0.16461577855879678</v>
      </c>
      <c r="V117" s="1658">
        <f>IF($G115=0,0,IF($F115="recht",$G115/$F$24,($G115-0.301*$F$24)/$F$24))+IF($H115=0,0,IF($F115="recht",$H115/$F$25,($H115-0.301*$F$25)/$F$25))+$I115/$F$26+$J115/$F$26+$K115/$F$27</f>
        <v>8.1967213114754092</v>
      </c>
      <c r="W117" s="1661">
        <f>10^(-V117)</f>
        <v>6.3573875711648393E-9</v>
      </c>
      <c r="X117" s="1658">
        <f>($C$7*$C$8*$F$11*($F$12+$F$13*$F$14)*$E117/$D117/$D117*W117*1000000)</f>
        <v>2.1615117741960455E-3</v>
      </c>
      <c r="Y117" s="1658">
        <f>IF($G115=0,0,IF($F115="recht",$G115/$G$24,($G115-0.301*$G$24)/$G$24))+IF($H115=0,0,IF($F115="recht",$H115/$G$25,($H115-0.301*$G$25)/$G$25))+$I115/$G$26+$J115/$G$26+$K115/$G$27</f>
        <v>7.0224719101123592</v>
      </c>
      <c r="Z117" s="1661">
        <f>10^(-Y117)</f>
        <v>9.4957241494880226E-8</v>
      </c>
      <c r="AA117" s="1658">
        <f>($C$7*$C$8*$G$11*($G$12+$G$13*$G$14)*$E117/$D117/$D117*Z117*1000000)</f>
        <v>2.1840165543822451E-2</v>
      </c>
      <c r="AB117" s="1716">
        <f>SUM(O117,R117,U117,X117,AA117)</f>
        <v>0.37343663378650843</v>
      </c>
      <c r="AC117" s="1181"/>
      <c r="AD117" s="944"/>
      <c r="AE117" s="348"/>
      <c r="AF117" s="336"/>
      <c r="AG117" s="345"/>
      <c r="AH117" s="345"/>
      <c r="AI117" s="345"/>
      <c r="AJ117" s="345"/>
      <c r="AK117" s="345"/>
      <c r="AL117" s="345"/>
      <c r="AM117" s="345"/>
      <c r="AN117" s="345"/>
      <c r="AO117" s="345"/>
      <c r="AP117" s="345"/>
      <c r="AQ117" s="345"/>
      <c r="AR117" s="345"/>
      <c r="AS117" s="345"/>
      <c r="AT117" s="345"/>
      <c r="AU117" s="345"/>
      <c r="AV117" s="345"/>
      <c r="AW117" s="345"/>
      <c r="AX117" s="345"/>
      <c r="AY117" s="345"/>
      <c r="AZ117" s="345"/>
      <c r="BA117" s="345"/>
      <c r="BB117" s="345"/>
      <c r="BC117" s="345"/>
      <c r="BD117" s="345"/>
      <c r="BE117" s="345"/>
      <c r="BF117" s="345"/>
      <c r="BG117" s="345"/>
      <c r="BH117" s="345"/>
      <c r="BI117" s="345"/>
      <c r="BJ117" s="345"/>
    </row>
    <row r="118" spans="1:82" s="325" customFormat="1" ht="19.5" customHeight="1" thickBot="1">
      <c r="A118" s="1640"/>
      <c r="B118" s="1012"/>
      <c r="C118" s="1688"/>
      <c r="D118" s="1629"/>
      <c r="E118" s="1743"/>
      <c r="F118" s="1629"/>
      <c r="G118" s="1629"/>
      <c r="H118" s="1629"/>
      <c r="I118" s="1629"/>
      <c r="J118" s="1767"/>
      <c r="K118" s="1767"/>
      <c r="L118" s="1769"/>
      <c r="M118" s="1715"/>
      <c r="N118" s="1668"/>
      <c r="O118" s="1660"/>
      <c r="P118" s="1660"/>
      <c r="Q118" s="1668"/>
      <c r="R118" s="1660"/>
      <c r="S118" s="1660"/>
      <c r="T118" s="1668"/>
      <c r="U118" s="1660"/>
      <c r="V118" s="1660"/>
      <c r="W118" s="1668"/>
      <c r="X118" s="1660"/>
      <c r="Y118" s="1660"/>
      <c r="Z118" s="1668"/>
      <c r="AA118" s="1660"/>
      <c r="AB118" s="1717"/>
      <c r="AC118" s="1181"/>
      <c r="AD118" s="944"/>
      <c r="AE118" s="348"/>
      <c r="AF118" s="336"/>
      <c r="AG118" s="345"/>
      <c r="AH118" s="345"/>
      <c r="AI118" s="345"/>
      <c r="AJ118" s="345"/>
      <c r="AK118" s="345"/>
      <c r="AL118" s="345"/>
      <c r="AM118" s="345"/>
      <c r="AN118" s="345"/>
      <c r="AO118" s="345"/>
      <c r="AP118" s="345"/>
      <c r="AQ118" s="345"/>
      <c r="AR118" s="345"/>
      <c r="AS118" s="345"/>
      <c r="AT118" s="345"/>
      <c r="AU118" s="345"/>
      <c r="AV118" s="345"/>
      <c r="AW118" s="345"/>
      <c r="AX118" s="345"/>
      <c r="AY118" s="345"/>
      <c r="AZ118" s="345"/>
      <c r="BA118" s="345"/>
      <c r="BB118" s="345"/>
      <c r="BC118" s="345"/>
      <c r="BD118" s="345"/>
      <c r="BE118" s="345"/>
      <c r="BF118" s="345"/>
      <c r="BG118" s="345"/>
      <c r="BH118" s="345"/>
      <c r="BI118" s="345"/>
      <c r="BJ118" s="345"/>
    </row>
    <row r="119" spans="1:82" s="325" customFormat="1" ht="19.5" customHeight="1">
      <c r="A119" s="1638" t="str">
        <f ca="1">'Linac 4'!A$103</f>
        <v>L4</v>
      </c>
      <c r="B119" s="1011"/>
      <c r="C119" s="1623" t="s">
        <v>333</v>
      </c>
      <c r="D119" s="1627">
        <v>1</v>
      </c>
      <c r="E119" s="1627">
        <v>0</v>
      </c>
      <c r="F119" s="1627" t="s">
        <v>12</v>
      </c>
      <c r="G119" s="1627">
        <v>250</v>
      </c>
      <c r="H119" s="1627">
        <v>0</v>
      </c>
      <c r="I119" s="1627">
        <v>0</v>
      </c>
      <c r="J119" s="1765"/>
      <c r="K119" s="1765"/>
      <c r="L119" s="1768"/>
      <c r="M119" s="1656">
        <f>IF($G119=0,0,IF($F119="recht",1+($G119-$C$17)/$C$18,1+($G119-$C$17-0.301*$C$18)/$C$18))+IF($H119=0,0,IF($F119="recht",$H119/$C$19,($H119-0.301*$C$19)/$C$19))+$I119/$C$20</f>
        <v>7.4545454545454541</v>
      </c>
      <c r="N119" s="1663">
        <f>10^(-M119)</f>
        <v>3.5111917342151263E-8</v>
      </c>
      <c r="O119" s="1656">
        <f>($C$7*$C$11*$E119/$D119/$D119*N119*1000000)</f>
        <v>0</v>
      </c>
      <c r="P119" s="1656">
        <f>IF($G119=0,0,IF($F119="recht",1+($G119-$D$17)/$D$18,1+($G119-$D$17-0.301*$D$18)/$D$18))+IF($H119=0,0,IF($F119="recht",$H119/$D$19,($H119-0.301*$D$19)/$D$19))+$I119/$D$20</f>
        <v>6.6486486486486482</v>
      </c>
      <c r="Q119" s="1663">
        <f>10^(-P119)</f>
        <v>2.2456979955397711E-7</v>
      </c>
      <c r="R119" s="1656">
        <f>($C$7*$D$11*$E119/$D119/$D119*Q119*1000000)</f>
        <v>0</v>
      </c>
      <c r="S119" s="1656">
        <f>IF($G119=0,0,IF($F119="recht",1+($G119-$E$17)/$E$18,1+($G119-$E$17-0.301*$E$18)/$E$18))+IF($H119=0,0,IF($F119="recht",$H119/$E$19,($H119-0.301*$E$19)/$E$19))+$I119/$E$20</f>
        <v>6.024390243902439</v>
      </c>
      <c r="T119" s="1663">
        <f>10^(-S119)</f>
        <v>9.4538728313079291E-7</v>
      </c>
      <c r="U119" s="1656">
        <f>($C$7*$E$11*$E119/$D119/$D119*T119*1000000)</f>
        <v>0</v>
      </c>
      <c r="V119" s="1656">
        <f>IF($G119=0,0,IF($F119="recht",1+($G119-$F$17)/$F$18,1+($G119-$F$17-0.301*$F$18)/$F$18))+IF($H119=0,0,IF($F119="recht",$H119/$F$19,($H119-0.301*$F$19)/$F$19))+$I119/$F$20</f>
        <v>9.1481481481481488</v>
      </c>
      <c r="W119" s="1661">
        <f>10^(-V119)</f>
        <v>7.1097094323124171E-10</v>
      </c>
      <c r="X119" s="1658">
        <f>($C$7*$F$11*$E119/$D119/$D119*W119*1000000)</f>
        <v>0</v>
      </c>
      <c r="Y119" s="1656">
        <f>IF($G119=0,0,IF($F119="recht",1+($G119-$G$17)/$G$18,1+($G119-$G$17-0.301*$G$18)/$G$18))+IF($H119=0,0,IF($F119="recht",$H119/$G$19,($H119-0.301*$G$19)/$G$19))+$I119/$G$20</f>
        <v>6.9444444444444446</v>
      </c>
      <c r="Z119" s="1661">
        <f>10^(-Y119)</f>
        <v>1.136463666385722E-7</v>
      </c>
      <c r="AA119" s="1658">
        <f>($C$7*$G$11*$E119/$D119/$D119*Z119*1000000)</f>
        <v>0</v>
      </c>
      <c r="AB119" s="1708">
        <f>SUM(O119,R119,U119,X119,AA119)</f>
        <v>0</v>
      </c>
      <c r="AC119" s="1180">
        <f>SUM(AB119:AB122)*$D$86/2400/1000</f>
        <v>7.7799298705522589E-7</v>
      </c>
      <c r="AD119" s="942">
        <f>AC119*$D$87</f>
        <v>3.8899649352761298E-6</v>
      </c>
      <c r="AE119" s="1233"/>
      <c r="AF119" s="336"/>
      <c r="AG119" s="345"/>
      <c r="AH119" s="345"/>
      <c r="AI119" s="345"/>
      <c r="AJ119" s="345"/>
      <c r="AK119" s="345"/>
      <c r="AL119" s="345"/>
      <c r="AM119" s="345"/>
      <c r="AN119" s="345"/>
      <c r="AO119" s="345"/>
      <c r="AP119" s="345"/>
      <c r="AQ119" s="345"/>
      <c r="AR119" s="345"/>
      <c r="AS119" s="345"/>
      <c r="AT119" s="345"/>
      <c r="AU119" s="345"/>
      <c r="AV119" s="345"/>
      <c r="AW119" s="345"/>
      <c r="AX119" s="345"/>
      <c r="AY119" s="345"/>
      <c r="AZ119" s="345"/>
      <c r="BA119" s="345"/>
      <c r="BB119" s="345"/>
      <c r="BC119" s="345"/>
      <c r="BD119" s="345"/>
      <c r="BE119" s="345"/>
      <c r="BF119" s="345"/>
      <c r="BG119" s="345"/>
      <c r="BH119" s="345"/>
      <c r="BI119" s="345"/>
      <c r="BJ119" s="345"/>
    </row>
    <row r="120" spans="1:82" s="325" customFormat="1" ht="19.5" customHeight="1">
      <c r="A120" s="1639"/>
      <c r="B120" s="1010" t="s">
        <v>168</v>
      </c>
      <c r="C120" s="1624"/>
      <c r="D120" s="1720"/>
      <c r="E120" s="1720"/>
      <c r="F120" s="1628"/>
      <c r="G120" s="1628"/>
      <c r="H120" s="1628"/>
      <c r="I120" s="1628"/>
      <c r="J120" s="1766"/>
      <c r="K120" s="1766"/>
      <c r="L120" s="1769"/>
      <c r="M120" s="1659"/>
      <c r="N120" s="1662"/>
      <c r="O120" s="1657"/>
      <c r="P120" s="1657"/>
      <c r="Q120" s="1662"/>
      <c r="R120" s="1657"/>
      <c r="S120" s="1657"/>
      <c r="T120" s="1662"/>
      <c r="U120" s="1657"/>
      <c r="V120" s="1657"/>
      <c r="W120" s="1662"/>
      <c r="X120" s="1657"/>
      <c r="Y120" s="1657"/>
      <c r="Z120" s="1662"/>
      <c r="AA120" s="1657"/>
      <c r="AB120" s="1709"/>
      <c r="AC120" s="1181"/>
      <c r="AD120" s="943"/>
      <c r="AE120" s="348"/>
      <c r="AF120" s="336"/>
      <c r="AG120" s="345"/>
      <c r="AH120" s="345"/>
      <c r="AI120" s="345"/>
      <c r="AJ120" s="345"/>
      <c r="AK120" s="345"/>
      <c r="AL120" s="345"/>
      <c r="AM120" s="345"/>
      <c r="AN120" s="345"/>
      <c r="AO120" s="345"/>
      <c r="AP120" s="345"/>
      <c r="AQ120" s="345"/>
      <c r="AR120" s="345"/>
      <c r="AS120" s="345"/>
      <c r="AT120" s="345"/>
      <c r="AU120" s="345"/>
      <c r="AV120" s="345"/>
      <c r="AW120" s="345"/>
      <c r="AX120" s="345"/>
      <c r="AY120" s="345"/>
      <c r="AZ120" s="345"/>
      <c r="BA120" s="345"/>
      <c r="BB120" s="345"/>
      <c r="BC120" s="345"/>
      <c r="BD120" s="345"/>
      <c r="BE120" s="345"/>
      <c r="BF120" s="345"/>
      <c r="BG120" s="345"/>
      <c r="BH120" s="345"/>
      <c r="BI120" s="345"/>
      <c r="BJ120" s="345"/>
    </row>
    <row r="121" spans="1:82" s="325" customFormat="1" ht="19.5" customHeight="1">
      <c r="A121" s="1639"/>
      <c r="B121" s="1012" t="str">
        <f ca="1">'Linac 4'!C$3</f>
        <v>Linac 4</v>
      </c>
      <c r="C121" s="1687" t="s">
        <v>334</v>
      </c>
      <c r="D121" s="1770">
        <v>1</v>
      </c>
      <c r="E121" s="1712">
        <v>1</v>
      </c>
      <c r="F121" s="1628"/>
      <c r="G121" s="1628"/>
      <c r="H121" s="1628"/>
      <c r="I121" s="1628"/>
      <c r="J121" s="1766"/>
      <c r="K121" s="1766"/>
      <c r="L121" s="1769"/>
      <c r="M121" s="1714">
        <f>IF($G119=0,0,IF($F119="recht",$G119/$C$24,($G119-0.301*$C$24)/$C$24))+IF($H119=0,0,IF($F119="recht",$H119/$C$25,($H119-0.301*$C$25)/$C$25))+$I119/$C$26</f>
        <v>7.3529411764705879</v>
      </c>
      <c r="N121" s="1661">
        <f>10^(-M121)</f>
        <v>4.4366873309786093E-8</v>
      </c>
      <c r="O121" s="1658">
        <f>($C$7*$C$8*$C$11*($C$12+$C$13*$C$14)*$E121/$D121/$D121*N121*1000000)</f>
        <v>2.6620123985871658E-2</v>
      </c>
      <c r="P121" s="1658">
        <f>IF($G119=0,0,IF($F119="recht",$G119/$D$24,($G119-0.301*$D$24)/$D$24))+IF($H119=0,0,IF($F119="recht",$H119/$D$25,($H119-0.301*$D$25)/$D$25))+$I119/$D$26</f>
        <v>6.5789473684210522</v>
      </c>
      <c r="Q121" s="1661">
        <f>10^(-P121)</f>
        <v>2.636650898730358E-7</v>
      </c>
      <c r="R121" s="1658">
        <f>($C$7*$C$8*$D$11*($D$12+$D$13*$D$14)*$E121/$D121/$D121*Q121*1000000)</f>
        <v>0.1581990539238215</v>
      </c>
      <c r="S121" s="1658">
        <f>IF($G119=0,0,IF($F119="recht",$G119/$E$24,($G119-0.301*$E$24)/$E$24))+IF($H119=0,0,IF($F119="recht",$H119/$E$25,($H119-0.301*$E$25)/$E$25))+$I119/$E$26</f>
        <v>6.5616797900262469</v>
      </c>
      <c r="T121" s="1661">
        <f>10^(-S121)</f>
        <v>2.7435963093132793E-7</v>
      </c>
      <c r="U121" s="1658">
        <f>($C$7*$C$8*$E$11*($E$12+$E$13*$E$14)*$E121/$D121/$D121*T121*1000000)</f>
        <v>0.16461577855879678</v>
      </c>
      <c r="V121" s="1658">
        <f>IF($G119=0,0,IF($F119="recht",$G119/$F$24,($G119-0.301*$F$24)/$F$24))+IF($H119=0,0,IF($F119="recht",$H119/$F$25,($H119-0.301*$F$25)/$F$25))+$I119/$F$26</f>
        <v>8.1967213114754092</v>
      </c>
      <c r="W121" s="1661">
        <f>10^(-V121)</f>
        <v>6.3573875711648393E-9</v>
      </c>
      <c r="X121" s="1658">
        <f>($C$7*$C$8*$F$11*($F$12+$F$13*$F$14)*$E121/$D121/$D121*W121*1000000)</f>
        <v>2.1615117741960455E-3</v>
      </c>
      <c r="Y121" s="1658">
        <f>IF($G119=0,0,IF($F119="recht",$G119/$G$24,($G119-0.301*$G$24)/$G$24))+IF($H119=0,0,IF($F119="recht",$H119/$G$25,($H119-0.301*$G$25)/$G$25))+$I119/$G$26</f>
        <v>7.0224719101123592</v>
      </c>
      <c r="Z121" s="1661">
        <f>10^(-Y121)</f>
        <v>9.4957241494880226E-8</v>
      </c>
      <c r="AA121" s="1658">
        <f>($C$7*$C$8*$G$11*($G$12+$G$13*$G$14)*$E121/$D121/$D121*Z121*1000000)</f>
        <v>2.1840165543822451E-2</v>
      </c>
      <c r="AB121" s="1716">
        <f>SUM(O121,R121,U121,X121,AA121)</f>
        <v>0.37343663378650843</v>
      </c>
      <c r="AC121" s="1181"/>
      <c r="AD121" s="944"/>
      <c r="AE121" s="348"/>
      <c r="AF121" s="336"/>
      <c r="AG121" s="345"/>
      <c r="AH121" s="345"/>
      <c r="AI121" s="345"/>
      <c r="AJ121" s="345"/>
      <c r="AK121" s="345"/>
      <c r="AL121" s="345"/>
      <c r="AM121" s="345"/>
      <c r="AN121" s="345"/>
      <c r="AO121" s="345"/>
      <c r="AP121" s="345"/>
      <c r="AQ121" s="345"/>
      <c r="AR121" s="345"/>
      <c r="AS121" s="345"/>
      <c r="AT121" s="345"/>
      <c r="AU121" s="345"/>
      <c r="AV121" s="345"/>
      <c r="AW121" s="345"/>
      <c r="AX121" s="345"/>
      <c r="AY121" s="345"/>
      <c r="AZ121" s="345"/>
      <c r="BA121" s="345"/>
      <c r="BB121" s="345"/>
      <c r="BC121" s="345"/>
      <c r="BD121" s="345"/>
      <c r="BE121" s="345"/>
      <c r="BF121" s="345"/>
      <c r="BG121" s="345"/>
      <c r="BH121" s="345"/>
      <c r="BI121" s="345"/>
      <c r="BJ121" s="345"/>
    </row>
    <row r="122" spans="1:82" s="325" customFormat="1" ht="19.5" customHeight="1" thickBot="1">
      <c r="A122" s="1640"/>
      <c r="B122" s="1021"/>
      <c r="C122" s="1688"/>
      <c r="D122" s="1629"/>
      <c r="E122" s="1743"/>
      <c r="F122" s="1629"/>
      <c r="G122" s="1629"/>
      <c r="H122" s="1629"/>
      <c r="I122" s="1629"/>
      <c r="J122" s="1767"/>
      <c r="K122" s="1767"/>
      <c r="L122" s="1788"/>
      <c r="M122" s="1715"/>
      <c r="N122" s="1668"/>
      <c r="O122" s="1660"/>
      <c r="P122" s="1660"/>
      <c r="Q122" s="1668"/>
      <c r="R122" s="1660"/>
      <c r="S122" s="1660"/>
      <c r="T122" s="1668"/>
      <c r="U122" s="1660"/>
      <c r="V122" s="1660"/>
      <c r="W122" s="1668"/>
      <c r="X122" s="1660"/>
      <c r="Y122" s="1660"/>
      <c r="Z122" s="1668"/>
      <c r="AA122" s="1660"/>
      <c r="AB122" s="1781"/>
      <c r="AC122" s="1183"/>
      <c r="AD122" s="945"/>
      <c r="AE122" s="348"/>
      <c r="AF122" s="336"/>
      <c r="AG122" s="345"/>
      <c r="AH122" s="345"/>
      <c r="AI122" s="345"/>
      <c r="AJ122" s="345"/>
      <c r="AK122" s="345"/>
      <c r="AL122" s="345"/>
      <c r="AM122" s="345"/>
      <c r="AN122" s="345"/>
      <c r="AO122" s="345"/>
      <c r="AP122" s="345"/>
      <c r="AQ122" s="345"/>
      <c r="AR122" s="345"/>
      <c r="AS122" s="345"/>
      <c r="AT122" s="345"/>
      <c r="AU122" s="345"/>
      <c r="AV122" s="345"/>
      <c r="AW122" s="345"/>
      <c r="AX122" s="345"/>
      <c r="AY122" s="345"/>
      <c r="AZ122" s="345"/>
      <c r="BA122" s="345"/>
      <c r="BB122" s="345"/>
      <c r="BC122" s="345"/>
      <c r="BD122" s="345"/>
      <c r="BE122" s="345"/>
      <c r="BF122" s="345"/>
      <c r="BG122" s="345"/>
      <c r="BH122" s="345"/>
      <c r="BI122" s="345"/>
      <c r="BJ122" s="345"/>
    </row>
    <row r="123" spans="1:82" s="325" customFormat="1" ht="19.5" customHeight="1">
      <c r="A123" s="898"/>
      <c r="B123" s="358"/>
      <c r="C123" s="766"/>
      <c r="D123" s="895"/>
      <c r="E123" s="895"/>
      <c r="F123" s="895"/>
      <c r="G123" s="895"/>
      <c r="H123" s="895"/>
      <c r="I123" s="895"/>
      <c r="J123" s="901"/>
      <c r="K123" s="901"/>
      <c r="L123" s="899"/>
      <c r="M123" s="900"/>
      <c r="N123" s="897"/>
      <c r="O123" s="896"/>
      <c r="P123" s="896"/>
      <c r="Q123" s="897"/>
      <c r="R123" s="896"/>
      <c r="S123" s="896"/>
      <c r="T123" s="897"/>
      <c r="U123" s="896"/>
      <c r="V123" s="896"/>
      <c r="W123" s="897"/>
      <c r="X123" s="896"/>
      <c r="Y123" s="896"/>
      <c r="Z123" s="897"/>
      <c r="AA123" s="896"/>
      <c r="AB123" s="896"/>
      <c r="AC123" s="428"/>
      <c r="AD123" s="338"/>
      <c r="AE123" s="336"/>
      <c r="AF123" s="336"/>
      <c r="AG123" s="345"/>
      <c r="AH123" s="345"/>
      <c r="AI123" s="345"/>
      <c r="AJ123" s="345"/>
      <c r="AK123" s="345"/>
      <c r="AL123" s="345"/>
      <c r="AM123" s="345"/>
      <c r="AN123" s="345"/>
      <c r="AO123" s="345"/>
      <c r="AP123" s="345"/>
      <c r="AQ123" s="345"/>
      <c r="AR123" s="345"/>
      <c r="AS123" s="345"/>
      <c r="AT123" s="345"/>
      <c r="AU123" s="345"/>
      <c r="AV123" s="345"/>
      <c r="AW123" s="345"/>
      <c r="AX123" s="345"/>
      <c r="AY123" s="345"/>
      <c r="AZ123" s="345"/>
      <c r="BA123" s="345"/>
      <c r="BB123" s="345"/>
      <c r="BC123" s="345"/>
      <c r="BD123" s="345"/>
      <c r="BE123" s="345"/>
      <c r="BF123" s="345"/>
      <c r="BG123" s="345"/>
      <c r="BH123" s="345"/>
      <c r="BI123" s="345"/>
      <c r="BJ123" s="345"/>
    </row>
    <row r="124" spans="1:82" s="325" customFormat="1" ht="19.5" customHeight="1">
      <c r="A124" s="336"/>
      <c r="B124" s="336"/>
      <c r="C124" s="336"/>
      <c r="D124" s="336"/>
      <c r="E124" s="336"/>
      <c r="F124" s="336"/>
      <c r="G124" s="336"/>
      <c r="H124" s="336"/>
      <c r="I124" s="358"/>
      <c r="J124" s="387"/>
      <c r="K124" s="388"/>
      <c r="L124" s="389"/>
      <c r="M124" s="390"/>
      <c r="N124" s="391"/>
      <c r="O124" s="390"/>
      <c r="P124" s="392"/>
      <c r="Q124" s="331"/>
      <c r="R124" s="331"/>
      <c r="S124" s="331"/>
      <c r="T124" s="331"/>
      <c r="U124" s="331"/>
      <c r="V124" s="311"/>
      <c r="W124" s="393"/>
      <c r="X124" s="393"/>
      <c r="Y124" s="394"/>
      <c r="Z124" s="311"/>
      <c r="AA124" s="311"/>
      <c r="AB124" s="66"/>
      <c r="AC124" s="66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53"/>
      <c r="AQ124" s="428"/>
      <c r="AR124" s="428"/>
      <c r="AS124" s="428"/>
      <c r="AT124" s="428"/>
      <c r="AU124" s="428"/>
      <c r="AV124" s="428"/>
      <c r="AW124" s="428"/>
      <c r="AX124" s="428"/>
      <c r="AY124" s="428"/>
      <c r="AZ124" s="428"/>
      <c r="BA124" s="428"/>
      <c r="BB124" s="428"/>
      <c r="BC124" s="428"/>
      <c r="BD124" s="428"/>
      <c r="BE124" s="428"/>
      <c r="BF124" s="428"/>
      <c r="BG124" s="428"/>
      <c r="BH124" s="428"/>
      <c r="BI124" s="428"/>
      <c r="BJ124" s="428"/>
      <c r="BK124" s="385"/>
      <c r="BL124" s="338"/>
      <c r="BM124" s="338"/>
      <c r="BN124" s="336"/>
      <c r="BO124" s="338"/>
      <c r="BP124" s="336"/>
      <c r="BQ124" s="442"/>
      <c r="BR124" s="336"/>
      <c r="BS124" s="336"/>
      <c r="BT124" s="345"/>
      <c r="BU124" s="345"/>
      <c r="BV124" s="345"/>
      <c r="BW124" s="345"/>
      <c r="BX124" s="345"/>
      <c r="BY124" s="355"/>
      <c r="BZ124" s="355"/>
      <c r="CA124" s="355"/>
      <c r="CB124" s="382"/>
      <c r="CC124" s="382"/>
      <c r="CD124" s="382"/>
    </row>
    <row r="125" spans="1:82" s="345" customFormat="1" ht="19.5" customHeight="1">
      <c r="A125" s="919" t="s">
        <v>513</v>
      </c>
      <c r="B125" s="902"/>
      <c r="C125" s="329"/>
      <c r="D125" s="469"/>
      <c r="E125" s="469"/>
      <c r="F125" s="389"/>
      <c r="G125" s="469"/>
      <c r="H125" s="469"/>
      <c r="I125" s="469"/>
      <c r="J125" s="465"/>
      <c r="K125" s="451"/>
      <c r="L125" s="465"/>
      <c r="M125" s="465"/>
      <c r="N125" s="451"/>
      <c r="O125" s="465"/>
      <c r="P125" s="465"/>
      <c r="Q125" s="451"/>
      <c r="R125" s="465"/>
      <c r="S125" s="465"/>
      <c r="T125" s="451"/>
      <c r="U125" s="465"/>
      <c r="V125" s="465"/>
      <c r="W125" s="451"/>
      <c r="X125" s="465"/>
      <c r="Y125" s="465"/>
      <c r="Z125" s="385"/>
      <c r="AA125" s="385"/>
      <c r="AG125" s="428"/>
      <c r="AI125" s="428"/>
      <c r="AJ125" s="428"/>
      <c r="AK125" s="428"/>
      <c r="AL125" s="428"/>
      <c r="AP125" s="336"/>
      <c r="AQ125" s="442"/>
      <c r="AR125" s="336"/>
      <c r="AS125" s="336"/>
      <c r="AY125" s="355"/>
      <c r="AZ125" s="355"/>
    </row>
    <row r="126" spans="1:82" s="345" customFormat="1" ht="19.5" customHeight="1">
      <c r="B126" s="389" t="s">
        <v>560</v>
      </c>
      <c r="C126" s="329"/>
      <c r="D126" s="469"/>
      <c r="E126" s="469"/>
      <c r="F126" s="389"/>
      <c r="G126" s="469"/>
      <c r="H126" s="469"/>
      <c r="I126" s="469"/>
      <c r="J126" s="465"/>
      <c r="K126" s="451"/>
      <c r="L126" s="465"/>
      <c r="M126" s="465"/>
      <c r="N126" s="451"/>
      <c r="O126" s="465"/>
      <c r="P126" s="465"/>
      <c r="Q126" s="451"/>
      <c r="R126" s="465"/>
      <c r="S126" s="465"/>
      <c r="T126" s="451"/>
      <c r="U126" s="465"/>
      <c r="V126" s="465"/>
      <c r="W126" s="451"/>
      <c r="X126" s="465"/>
      <c r="Y126" s="465"/>
      <c r="Z126" s="385"/>
      <c r="AA126" s="385"/>
      <c r="AG126" s="428"/>
      <c r="AI126" s="428"/>
      <c r="AJ126" s="428"/>
      <c r="AK126" s="428"/>
      <c r="AL126" s="428"/>
      <c r="AP126" s="336"/>
      <c r="AQ126" s="442"/>
      <c r="AR126" s="336"/>
      <c r="AS126" s="336"/>
      <c r="AY126" s="355"/>
      <c r="AZ126" s="355"/>
    </row>
    <row r="127" spans="1:82" s="345" customFormat="1" ht="19.5" customHeight="1">
      <c r="A127" s="1633" t="s">
        <v>65</v>
      </c>
      <c r="B127" s="1653" t="s">
        <v>19</v>
      </c>
      <c r="C127" s="1692" t="s">
        <v>31</v>
      </c>
      <c r="D127" s="1692" t="s">
        <v>270</v>
      </c>
      <c r="E127" s="1694" t="s">
        <v>0</v>
      </c>
      <c r="F127" s="1692" t="s">
        <v>103</v>
      </c>
      <c r="G127" s="1694" t="s">
        <v>113</v>
      </c>
      <c r="H127" s="1695"/>
      <c r="I127" s="1653"/>
      <c r="J127" s="487" t="s">
        <v>363</v>
      </c>
      <c r="K127" s="1250" t="s">
        <v>564</v>
      </c>
      <c r="L127" s="1673">
        <f>$C$6</f>
        <v>6</v>
      </c>
      <c r="M127" s="1674"/>
      <c r="N127" s="1675"/>
      <c r="O127" s="1673">
        <f>$D$6</f>
        <v>10</v>
      </c>
      <c r="P127" s="1674"/>
      <c r="Q127" s="1675"/>
      <c r="R127" s="1673">
        <f>$E$6</f>
        <v>15</v>
      </c>
      <c r="S127" s="1674"/>
      <c r="T127" s="1675"/>
      <c r="U127" s="1673" t="str">
        <f>$F$6</f>
        <v>6 FFF</v>
      </c>
      <c r="V127" s="1674"/>
      <c r="W127" s="1675"/>
      <c r="X127" s="1673" t="str">
        <f>$G$6</f>
        <v>10 FFF</v>
      </c>
      <c r="Y127" s="1674"/>
      <c r="Z127" s="1676"/>
      <c r="AA127" s="1849" t="s">
        <v>20</v>
      </c>
      <c r="AB127" s="1850"/>
      <c r="AH127" s="428"/>
      <c r="AJ127" s="428"/>
      <c r="AK127" s="428"/>
      <c r="AL127" s="428"/>
      <c r="AM127" s="428"/>
      <c r="AQ127" s="336"/>
      <c r="AR127" s="442"/>
      <c r="AS127" s="336"/>
      <c r="AT127" s="336"/>
      <c r="AZ127" s="355"/>
      <c r="BA127" s="355"/>
    </row>
    <row r="128" spans="1:82" s="345" customFormat="1" ht="19.5" customHeight="1">
      <c r="A128" s="1634"/>
      <c r="B128" s="1654"/>
      <c r="C128" s="1682"/>
      <c r="D128" s="1682"/>
      <c r="E128" s="1696"/>
      <c r="F128" s="1682"/>
      <c r="G128" s="1696"/>
      <c r="H128" s="1697"/>
      <c r="I128" s="1654"/>
      <c r="J128" s="641" t="s">
        <v>563</v>
      </c>
      <c r="K128" s="1034" t="s">
        <v>171</v>
      </c>
      <c r="L128" s="328" t="s">
        <v>170</v>
      </c>
      <c r="M128" s="328" t="s">
        <v>329</v>
      </c>
      <c r="N128" s="328" t="s">
        <v>425</v>
      </c>
      <c r="O128" s="328" t="s">
        <v>170</v>
      </c>
      <c r="P128" s="328" t="s">
        <v>329</v>
      </c>
      <c r="Q128" s="328" t="s">
        <v>425</v>
      </c>
      <c r="R128" s="328" t="s">
        <v>170</v>
      </c>
      <c r="S128" s="328" t="s">
        <v>329</v>
      </c>
      <c r="T128" s="328" t="s">
        <v>425</v>
      </c>
      <c r="U128" s="328" t="s">
        <v>170</v>
      </c>
      <c r="V128" s="328" t="s">
        <v>329</v>
      </c>
      <c r="W128" s="328" t="s">
        <v>425</v>
      </c>
      <c r="X128" s="328" t="s">
        <v>170</v>
      </c>
      <c r="Y128" s="328" t="s">
        <v>329</v>
      </c>
      <c r="Z128" s="328" t="s">
        <v>425</v>
      </c>
      <c r="AA128" s="1034"/>
      <c r="AB128" s="641" t="s">
        <v>15</v>
      </c>
      <c r="AH128" s="428"/>
      <c r="AI128" s="428"/>
      <c r="AJ128" s="428"/>
      <c r="AK128" s="428"/>
      <c r="AL128" s="428"/>
      <c r="AM128" s="428"/>
      <c r="AQ128" s="336"/>
      <c r="AR128" s="442"/>
      <c r="AS128" s="336"/>
      <c r="AT128" s="336"/>
      <c r="AZ128" s="355"/>
      <c r="BA128" s="355"/>
    </row>
    <row r="129" spans="1:87" s="345" customFormat="1" ht="19.5" customHeight="1" thickBot="1">
      <c r="A129" s="1652"/>
      <c r="B129" s="1655"/>
      <c r="C129" s="1693"/>
      <c r="D129" s="1693"/>
      <c r="E129" s="1734"/>
      <c r="F129" s="1693"/>
      <c r="G129" s="354" t="s">
        <v>2</v>
      </c>
      <c r="H129" s="354" t="s">
        <v>96</v>
      </c>
      <c r="I129" s="354" t="s">
        <v>4</v>
      </c>
      <c r="J129" s="372" t="s">
        <v>369</v>
      </c>
      <c r="K129" s="372"/>
      <c r="L129" s="763" t="s">
        <v>331</v>
      </c>
      <c r="M129" s="763" t="s">
        <v>330</v>
      </c>
      <c r="N129" s="439" t="s">
        <v>576</v>
      </c>
      <c r="O129" s="763" t="s">
        <v>331</v>
      </c>
      <c r="P129" s="763" t="s">
        <v>330</v>
      </c>
      <c r="Q129" s="439" t="s">
        <v>576</v>
      </c>
      <c r="R129" s="764" t="s">
        <v>331</v>
      </c>
      <c r="S129" s="764" t="s">
        <v>330</v>
      </c>
      <c r="T129" s="439" t="s">
        <v>576</v>
      </c>
      <c r="U129" s="764" t="s">
        <v>331</v>
      </c>
      <c r="V129" s="764" t="s">
        <v>330</v>
      </c>
      <c r="W129" s="439" t="s">
        <v>576</v>
      </c>
      <c r="X129" s="764" t="s">
        <v>331</v>
      </c>
      <c r="Y129" s="764" t="s">
        <v>330</v>
      </c>
      <c r="Z129" s="439" t="s">
        <v>576</v>
      </c>
      <c r="AA129" s="641" t="s">
        <v>582</v>
      </c>
      <c r="AB129" s="641" t="s">
        <v>575</v>
      </c>
      <c r="AH129" s="428"/>
      <c r="AI129" s="428"/>
      <c r="AJ129" s="428"/>
      <c r="AK129" s="428"/>
      <c r="AL129" s="428"/>
      <c r="AM129" s="428"/>
      <c r="AQ129" s="336"/>
      <c r="AR129" s="442"/>
      <c r="AS129" s="336"/>
      <c r="AT129" s="336"/>
      <c r="AZ129" s="355"/>
      <c r="BA129" s="355"/>
    </row>
    <row r="130" spans="1:87" s="381" customFormat="1" ht="19.5" customHeight="1">
      <c r="A130" s="328"/>
      <c r="B130" s="1649" t="s">
        <v>535</v>
      </c>
      <c r="C130" s="1623" t="s">
        <v>333</v>
      </c>
      <c r="D130" s="1625">
        <v>6</v>
      </c>
      <c r="E130" s="1846">
        <v>0.25</v>
      </c>
      <c r="F130" s="1627" t="s">
        <v>12</v>
      </c>
      <c r="G130" s="1627">
        <v>250</v>
      </c>
      <c r="H130" s="1627">
        <v>0</v>
      </c>
      <c r="I130" s="1627">
        <v>0</v>
      </c>
      <c r="J130" s="1826">
        <v>1</v>
      </c>
      <c r="K130" s="1826">
        <v>1</v>
      </c>
      <c r="L130" s="1656">
        <f>IF($G130=0,0,IF($F130="recht",1+($G130-$C$17)/$C$18,1+($G130-$C$17-0.301*$C$18)/$C$18))+IF($H130=0,0,IF($F130="recht",$H130/$C$19,($H130-0.301*$C$19)/$C$19))+$I130/$C$20</f>
        <v>7.4545454545454541</v>
      </c>
      <c r="M130" s="1663">
        <f>10^(-L130)</f>
        <v>3.5111917342151263E-8</v>
      </c>
      <c r="N130" s="1656">
        <f>($C$7*J130/40*$C$11*$E130/$D130/$D130*M130*1000000)</f>
        <v>1.2191637966024744E-3</v>
      </c>
      <c r="O130" s="1656">
        <f>IF($G130=0,0,IF($F130="recht",1+($G130-$D$17)/$D$18,1+($G130-$D$17-0.301*$D$18)/$D$18))+IF($H130=0,0,IF($F130="recht",$H130/$D$19,($H130-0.301*$D$19)/$D$19))+$I130/$D$20</f>
        <v>6.6486486486486482</v>
      </c>
      <c r="P130" s="1663">
        <f>10^(-O130)</f>
        <v>2.2456979955397711E-7</v>
      </c>
      <c r="Q130" s="1656">
        <f>($C$7*J130/40*$D$11*$E130/$D130/$D130*P130*1000000)</f>
        <v>7.7975624845130955E-3</v>
      </c>
      <c r="R130" s="1771">
        <f>IF($G130=0,0,IF($F130="recht",1+($G130-$E$17)/$E$18,1+($G130-$E$17-0.301*$E$18)/$E$18))+IF($H130=0,0,IF($F130="recht",$H130/$E$19,($H130-0.301*$E$19)/$E$19))+$I130/$E$20</f>
        <v>6.024390243902439</v>
      </c>
      <c r="S130" s="1663">
        <f>10^(-R130)</f>
        <v>9.4538728313079291E-7</v>
      </c>
      <c r="T130" s="1656">
        <f>($C$7*J130/40*$E$11*$E130/$D130/$D130*S130*1000000)</f>
        <v>3.2825947330930312E-2</v>
      </c>
      <c r="U130" s="1771">
        <f>IF($G130=0,0,IF($F130="recht",1+($G130-$F$17)/$F$18,1+($G130-$F$17-0.301*$F$18)/$F$18))+IF($H130=0,0,IF($F130="recht",$H130/$F$19,($H130-0.301*$F$19)/$F$19))+$I130/$F$20</f>
        <v>9.1481481481481488</v>
      </c>
      <c r="V130" s="1663">
        <f>10^(-U130)</f>
        <v>7.1097094323124171E-10</v>
      </c>
      <c r="W130" s="1656">
        <f>($C$7*J130/40*$F$11*$E130/$D130/$D130*V130*1000000)</f>
        <v>2.4686491084418116E-5</v>
      </c>
      <c r="X130" s="1771">
        <f>IF($G130=0,0,IF($F130="recht",1+($G130-$G$17)/$G$18,1+($G130-$G$17-0.301*$G$18)/$G$18))+IF($H130=0,0,IF($F130="recht",$H130/$G$19,($H130-0.301*$G$19)/$G$19))+$I130/$G$20</f>
        <v>6.9444444444444446</v>
      </c>
      <c r="Y130" s="1663">
        <f>10^(-X130)</f>
        <v>1.136463666385722E-7</v>
      </c>
      <c r="Z130" s="1677">
        <f>($C$7*J130/40*$G$11*$E130/$D130/$D130*Y130*1000000)</f>
        <v>3.9460543971726455E-3</v>
      </c>
      <c r="AA130" s="1840">
        <f>(SUM(N130,Q130,T130,W130,Z130)+SUM(N132,Q132,T132,W132,Z132))/1000</f>
        <v>4.6186851134089458E-5</v>
      </c>
      <c r="AB130" s="1843">
        <f>AA130*K130</f>
        <v>4.6186851134089458E-5</v>
      </c>
    </row>
    <row r="131" spans="1:87" s="381" customFormat="1" ht="19.5" customHeight="1">
      <c r="A131" s="454"/>
      <c r="B131" s="1650"/>
      <c r="C131" s="1624"/>
      <c r="D131" s="1626"/>
      <c r="E131" s="1847"/>
      <c r="F131" s="1628"/>
      <c r="G131" s="1628"/>
      <c r="H131" s="1628"/>
      <c r="I131" s="1628"/>
      <c r="J131" s="1827"/>
      <c r="K131" s="1827"/>
      <c r="L131" s="1659"/>
      <c r="M131" s="1662"/>
      <c r="N131" s="1657"/>
      <c r="O131" s="1657"/>
      <c r="P131" s="1662"/>
      <c r="Q131" s="1657"/>
      <c r="R131" s="1772"/>
      <c r="S131" s="1662"/>
      <c r="T131" s="1657"/>
      <c r="U131" s="1772"/>
      <c r="V131" s="1662"/>
      <c r="W131" s="1657"/>
      <c r="X131" s="1772"/>
      <c r="Y131" s="1662"/>
      <c r="Z131" s="1678"/>
      <c r="AA131" s="1841"/>
      <c r="AB131" s="1844"/>
    </row>
    <row r="132" spans="1:87" s="381" customFormat="1" ht="19.5" customHeight="1">
      <c r="A132" s="326"/>
      <c r="B132" s="1650"/>
      <c r="C132" s="1687" t="s">
        <v>334</v>
      </c>
      <c r="D132" s="1626">
        <v>5</v>
      </c>
      <c r="E132" s="1824">
        <v>1</v>
      </c>
      <c r="F132" s="1628"/>
      <c r="G132" s="1628"/>
      <c r="H132" s="1628"/>
      <c r="I132" s="1628"/>
      <c r="J132" s="1827"/>
      <c r="K132" s="1827"/>
      <c r="L132" s="1658">
        <f>IF($G130=0,0,IF($F130="recht",$G130/$C$24,($G130-0.301*$C$24)/$C$24))+IF($H130=0,0,IF($F130="recht",$H130/$C$25,($H130-0.301*$C$25)/$C$25))+$I130/$C$26</f>
        <v>7.3529411764705879</v>
      </c>
      <c r="M132" s="1661">
        <f>10^(-L132)</f>
        <v>4.4366873309786093E-8</v>
      </c>
      <c r="N132" s="1658">
        <f>($C$7*J130/40*$C$8*$C$11*($C$12+$C$13*$C$14)*$E132/$D132/$D132*M132*1000000)</f>
        <v>2.6620123985871658E-5</v>
      </c>
      <c r="O132" s="1772">
        <f>IF($G130=0,0,IF(F130="recht",$G130/$D$24,($G130-0.301*$D$24)/$D$24))+IF($H130=0,0,IF($F130="recht",$H130/$D$25,($H130-0.301*$D$25)/$D$25))+$I130/$D$26</f>
        <v>6.5789473684210522</v>
      </c>
      <c r="P132" s="1661">
        <f>10^(-O132)</f>
        <v>2.636650898730358E-7</v>
      </c>
      <c r="Q132" s="1658">
        <f>($C$7*J130/40*$C$8*$D$11*($D$12+$D$13*$D$14)*$E132/$D132/$D132*P132*1000000)</f>
        <v>1.581990539238215E-4</v>
      </c>
      <c r="R132" s="1772">
        <f>IF($G130=0,0,IF($F130="recht",$G130/$E$24,($G130-0.301*$E$24)/$E$24))+IF($H130=0,0,IF($F130="recht",$H130/$E$25,($H130-0.301*$E$25)/$E$25))+$I130/$E$26</f>
        <v>6.5616797900262469</v>
      </c>
      <c r="S132" s="1661">
        <f>10^(-R132)</f>
        <v>2.7435963093132793E-7</v>
      </c>
      <c r="T132" s="1658">
        <f>($C$7*J130/40*$C$8*$E$11*($E$12+$E$13*$E$14)*$E132/$D132/$D132*S132*1000000)</f>
        <v>1.6461577855879676E-4</v>
      </c>
      <c r="U132" s="1772">
        <f>IF($G130=0,0,IF($F130="recht",$G130/$F$24,($G130-0.301*$F$24)/$F$24))+IF($H130=0,0,IF($F130="recht",$H130/$F$25,($H130-0.301*$F$25)/$F$25))+$I130/$F$26</f>
        <v>8.1967213114754092</v>
      </c>
      <c r="V132" s="1661">
        <f>10^(-U132)</f>
        <v>6.3573875711648393E-9</v>
      </c>
      <c r="W132" s="1658">
        <f>($C$7*J130/40*$C$8*$F$11*($F$12+$F$13*$F$14)*$E132/$D132/$D132*V132*1000000)</f>
        <v>2.1615117741960455E-6</v>
      </c>
      <c r="X132" s="1772">
        <f>IF($G130=0,0,IF($F130="recht",$G130/$G$24,($G130-0.301*$G$24)/$G$24))+IF($H130=0,0,IF($F130="recht",$H130/$G$25,($H130-0.301*$G$25)/$G$25))+$I130/$G$26</f>
        <v>7.0224719101123592</v>
      </c>
      <c r="Y132" s="1661">
        <f>10^(-X132)</f>
        <v>9.4957241494880226E-8</v>
      </c>
      <c r="Z132" s="1664">
        <f>($C$7*J130/40*$C$8*$G$11*($G$12+$G$13*$G$14)*$E132/$D132/$D132*Y132*1000000)</f>
        <v>2.1840165543822456E-5</v>
      </c>
      <c r="AA132" s="1841"/>
      <c r="AB132" s="1844"/>
    </row>
    <row r="133" spans="1:87" ht="19.5" customHeight="1" thickBot="1">
      <c r="A133" s="643"/>
      <c r="B133" s="1651"/>
      <c r="C133" s="1688"/>
      <c r="D133" s="1689"/>
      <c r="E133" s="1825"/>
      <c r="F133" s="1629"/>
      <c r="G133" s="1629"/>
      <c r="H133" s="1629"/>
      <c r="I133" s="1629"/>
      <c r="J133" s="1828"/>
      <c r="K133" s="1828"/>
      <c r="L133" s="1660"/>
      <c r="M133" s="1668"/>
      <c r="N133" s="1660"/>
      <c r="O133" s="1773"/>
      <c r="P133" s="1668"/>
      <c r="Q133" s="1660"/>
      <c r="R133" s="1773"/>
      <c r="S133" s="1668"/>
      <c r="T133" s="1660"/>
      <c r="U133" s="1773"/>
      <c r="V133" s="1668"/>
      <c r="W133" s="1660"/>
      <c r="X133" s="1773"/>
      <c r="Y133" s="1668"/>
      <c r="Z133" s="1665"/>
      <c r="AA133" s="1842"/>
      <c r="AB133" s="1845"/>
    </row>
    <row r="134" spans="1:87" ht="19.5" customHeight="1"/>
    <row r="135" spans="1:87" ht="19.5" customHeight="1"/>
    <row r="136" spans="1:87" s="325" customFormat="1" ht="19.5" customHeight="1" thickBot="1">
      <c r="A136" s="905" t="s">
        <v>509</v>
      </c>
      <c r="B136" s="881"/>
      <c r="C136" s="375"/>
      <c r="D136" s="376"/>
      <c r="E136" s="331"/>
      <c r="F136" s="331"/>
      <c r="G136" s="331"/>
      <c r="H136" s="331"/>
      <c r="I136" s="331"/>
      <c r="J136" s="331"/>
      <c r="K136" s="331"/>
      <c r="L136" s="377"/>
      <c r="M136" s="377"/>
      <c r="N136" s="331"/>
      <c r="O136" s="331"/>
      <c r="P136" s="331"/>
      <c r="Q136" s="331"/>
      <c r="R136" s="331"/>
      <c r="S136" s="380"/>
      <c r="T136" s="331"/>
      <c r="U136" s="311"/>
      <c r="V136" s="440"/>
      <c r="W136" s="311"/>
      <c r="X136" s="311"/>
      <c r="Y136" s="311"/>
      <c r="Z136" s="311"/>
      <c r="AA136" s="321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53"/>
      <c r="AQ136" s="428"/>
      <c r="AR136" s="428"/>
      <c r="AS136" s="428"/>
      <c r="AT136" s="428"/>
      <c r="AU136" s="428"/>
      <c r="AV136" s="428"/>
      <c r="AW136" s="428"/>
      <c r="AX136" s="428"/>
      <c r="AY136" s="428"/>
      <c r="AZ136" s="428"/>
      <c r="BA136" s="428"/>
      <c r="BB136" s="428"/>
      <c r="BC136" s="428"/>
      <c r="BD136" s="428"/>
      <c r="BE136" s="428"/>
      <c r="BF136" s="428"/>
      <c r="BG136" s="428"/>
      <c r="BH136" s="428"/>
      <c r="BI136" s="428"/>
      <c r="BJ136" s="428"/>
      <c r="BK136" s="385"/>
      <c r="BL136" s="338"/>
      <c r="BM136" s="338"/>
      <c r="BN136" s="336"/>
      <c r="BO136" s="338"/>
      <c r="BP136" s="336"/>
      <c r="BQ136" s="442"/>
      <c r="BR136" s="336"/>
      <c r="BS136" s="336"/>
      <c r="BT136" s="345"/>
      <c r="BU136" s="345"/>
      <c r="BV136" s="345"/>
      <c r="BW136" s="345"/>
      <c r="BX136" s="345"/>
      <c r="BY136" s="355"/>
      <c r="BZ136" s="355"/>
      <c r="CA136" s="355"/>
      <c r="CB136" s="382"/>
      <c r="CC136" s="382"/>
      <c r="CD136" s="382"/>
    </row>
    <row r="137" spans="1:87" s="325" customFormat="1" ht="19.5" customHeight="1">
      <c r="A137" s="1633" t="s">
        <v>65</v>
      </c>
      <c r="B137" s="1633" t="s">
        <v>19</v>
      </c>
      <c r="C137" s="1623" t="s">
        <v>31</v>
      </c>
      <c r="D137" s="1692" t="s">
        <v>332</v>
      </c>
      <c r="E137" s="1789" t="s">
        <v>0</v>
      </c>
      <c r="F137" s="1623" t="s">
        <v>103</v>
      </c>
      <c r="G137" s="1782" t="s">
        <v>113</v>
      </c>
      <c r="H137" s="1783"/>
      <c r="I137" s="1784"/>
      <c r="J137" s="1673">
        <f>$C$6</f>
        <v>6</v>
      </c>
      <c r="K137" s="1674"/>
      <c r="L137" s="1675"/>
      <c r="M137" s="1673">
        <f>$D$6</f>
        <v>10</v>
      </c>
      <c r="N137" s="1674"/>
      <c r="O137" s="1675"/>
      <c r="P137" s="1673">
        <f>$E$6</f>
        <v>15</v>
      </c>
      <c r="Q137" s="1674"/>
      <c r="R137" s="1675"/>
      <c r="S137" s="1673" t="str">
        <f>$F$6</f>
        <v>6 FFF</v>
      </c>
      <c r="T137" s="1674"/>
      <c r="U137" s="1675"/>
      <c r="V137" s="1673" t="str">
        <f>$G$6</f>
        <v>10 FFF</v>
      </c>
      <c r="W137" s="1674"/>
      <c r="X137" s="1676"/>
      <c r="Y137" s="1778" t="s">
        <v>20</v>
      </c>
      <c r="Z137" s="1779"/>
      <c r="AA137" s="1780"/>
      <c r="AB137" s="45"/>
      <c r="AC137" s="45"/>
      <c r="AD137" s="45"/>
      <c r="AE137" s="45"/>
      <c r="AF137" s="66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53"/>
      <c r="AV137" s="428"/>
      <c r="AW137" s="428"/>
      <c r="AX137" s="428"/>
      <c r="AY137" s="428"/>
      <c r="AZ137" s="428"/>
      <c r="BA137" s="428"/>
      <c r="BB137" s="428"/>
      <c r="BC137" s="428"/>
      <c r="BD137" s="428"/>
      <c r="BE137" s="428"/>
      <c r="BF137" s="428"/>
      <c r="BG137" s="428"/>
      <c r="BH137" s="428"/>
      <c r="BI137" s="428"/>
      <c r="BJ137" s="428"/>
      <c r="BK137" s="428"/>
      <c r="BL137" s="428"/>
      <c r="BM137" s="428"/>
      <c r="BN137" s="428"/>
      <c r="BO137" s="428"/>
      <c r="BP137" s="385"/>
      <c r="BQ137" s="338"/>
      <c r="BR137" s="338"/>
      <c r="BS137" s="336"/>
      <c r="BT137" s="338"/>
      <c r="BU137" s="336"/>
      <c r="BV137" s="442"/>
      <c r="BW137" s="336"/>
      <c r="BX137" s="336"/>
      <c r="BY137" s="345"/>
      <c r="BZ137" s="345"/>
      <c r="CA137" s="345"/>
      <c r="CB137" s="345"/>
      <c r="CC137" s="345"/>
      <c r="CD137" s="355"/>
      <c r="CE137" s="355"/>
      <c r="CF137" s="355"/>
      <c r="CG137" s="382"/>
      <c r="CH137" s="382"/>
      <c r="CI137" s="382"/>
    </row>
    <row r="138" spans="1:87" s="325" customFormat="1" ht="19.5" customHeight="1">
      <c r="A138" s="1634"/>
      <c r="B138" s="1634"/>
      <c r="C138" s="1624"/>
      <c r="D138" s="1682"/>
      <c r="E138" s="1790"/>
      <c r="F138" s="1624"/>
      <c r="G138" s="1785"/>
      <c r="H138" s="1786"/>
      <c r="I138" s="1787"/>
      <c r="J138" s="1692" t="s">
        <v>343</v>
      </c>
      <c r="K138" s="328" t="s">
        <v>329</v>
      </c>
      <c r="L138" s="328" t="s">
        <v>20</v>
      </c>
      <c r="M138" s="1692" t="s">
        <v>343</v>
      </c>
      <c r="N138" s="328" t="s">
        <v>329</v>
      </c>
      <c r="O138" s="328" t="s">
        <v>20</v>
      </c>
      <c r="P138" s="1692" t="s">
        <v>343</v>
      </c>
      <c r="Q138" s="328" t="s">
        <v>329</v>
      </c>
      <c r="R138" s="328" t="s">
        <v>20</v>
      </c>
      <c r="S138" s="1692" t="s">
        <v>343</v>
      </c>
      <c r="T138" s="328" t="s">
        <v>329</v>
      </c>
      <c r="U138" s="328" t="s">
        <v>20</v>
      </c>
      <c r="V138" s="1692" t="s">
        <v>343</v>
      </c>
      <c r="W138" s="328" t="s">
        <v>329</v>
      </c>
      <c r="X138" s="765" t="s">
        <v>20</v>
      </c>
      <c r="Y138" s="882" t="s">
        <v>29</v>
      </c>
      <c r="Z138" s="1776" t="s">
        <v>297</v>
      </c>
      <c r="AA138" s="1777"/>
      <c r="AB138" s="45"/>
      <c r="AC138" s="45"/>
      <c r="AD138" s="45"/>
      <c r="AE138" s="45"/>
      <c r="AF138" s="66"/>
      <c r="AG138" s="66"/>
      <c r="AH138" s="66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53"/>
      <c r="AV138" s="428"/>
      <c r="AW138" s="428"/>
      <c r="AX138" s="428"/>
      <c r="AY138" s="428"/>
      <c r="AZ138" s="428"/>
      <c r="BA138" s="428"/>
      <c r="BB138" s="428"/>
      <c r="BC138" s="428"/>
      <c r="BD138" s="428"/>
      <c r="BE138" s="428"/>
      <c r="BF138" s="428"/>
      <c r="BG138" s="428"/>
      <c r="BH138" s="428"/>
      <c r="BI138" s="428"/>
      <c r="BJ138" s="428"/>
      <c r="BK138" s="428"/>
      <c r="BL138" s="428"/>
      <c r="BM138" s="428"/>
      <c r="BN138" s="428"/>
      <c r="BO138" s="428"/>
      <c r="BP138" s="385"/>
      <c r="BQ138" s="338"/>
      <c r="BR138" s="338"/>
      <c r="BS138" s="336"/>
      <c r="BT138" s="336"/>
      <c r="BU138" s="336"/>
      <c r="BV138" s="442"/>
      <c r="BW138" s="336"/>
      <c r="BX138" s="336"/>
      <c r="BY138" s="345"/>
      <c r="BZ138" s="345"/>
      <c r="CA138" s="345"/>
      <c r="CB138" s="345"/>
      <c r="CC138" s="345"/>
      <c r="CD138" s="355"/>
      <c r="CE138" s="355"/>
      <c r="CF138" s="355"/>
      <c r="CG138" s="382"/>
      <c r="CH138" s="382"/>
      <c r="CI138" s="382"/>
    </row>
    <row r="139" spans="1:87" s="325" customFormat="1" ht="19.5" customHeight="1" thickBot="1">
      <c r="A139" s="1634"/>
      <c r="B139" s="1634"/>
      <c r="C139" s="1726"/>
      <c r="D139" s="1682"/>
      <c r="E139" s="1790"/>
      <c r="F139" s="1624"/>
      <c r="G139" s="79" t="s">
        <v>3</v>
      </c>
      <c r="H139" s="72" t="s">
        <v>96</v>
      </c>
      <c r="I139" s="51" t="s">
        <v>4</v>
      </c>
      <c r="J139" s="1693"/>
      <c r="K139" s="764" t="s">
        <v>330</v>
      </c>
      <c r="L139" s="372" t="s">
        <v>291</v>
      </c>
      <c r="M139" s="1693"/>
      <c r="N139" s="764" t="s">
        <v>330</v>
      </c>
      <c r="O139" s="372" t="s">
        <v>291</v>
      </c>
      <c r="P139" s="1693"/>
      <c r="Q139" s="764" t="s">
        <v>330</v>
      </c>
      <c r="R139" s="372" t="s">
        <v>291</v>
      </c>
      <c r="S139" s="1693"/>
      <c r="T139" s="764" t="s">
        <v>330</v>
      </c>
      <c r="U139" s="372" t="s">
        <v>291</v>
      </c>
      <c r="V139" s="1693"/>
      <c r="W139" s="764" t="s">
        <v>330</v>
      </c>
      <c r="X139" s="347" t="s">
        <v>291</v>
      </c>
      <c r="Y139" s="883" t="s">
        <v>290</v>
      </c>
      <c r="Z139" s="884" t="s">
        <v>290</v>
      </c>
      <c r="AA139" s="885" t="s">
        <v>279</v>
      </c>
      <c r="AB139" s="45"/>
      <c r="AC139" s="45"/>
      <c r="AD139" s="45"/>
      <c r="AE139" s="45"/>
      <c r="AF139" s="78"/>
      <c r="AG139" s="66"/>
      <c r="AH139" s="66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53"/>
      <c r="AV139" s="53"/>
      <c r="AW139" s="53"/>
      <c r="AX139" s="53"/>
      <c r="AY139" s="428"/>
      <c r="AZ139" s="428"/>
      <c r="BA139" s="428"/>
      <c r="BB139" s="428"/>
      <c r="BC139" s="428"/>
      <c r="BD139" s="428"/>
      <c r="BE139" s="428"/>
      <c r="BF139" s="428"/>
      <c r="BG139" s="428"/>
      <c r="BH139" s="428"/>
      <c r="BI139" s="428"/>
      <c r="BJ139" s="428"/>
      <c r="BK139" s="428"/>
      <c r="BL139" s="428"/>
      <c r="BM139" s="428"/>
      <c r="BN139" s="428"/>
      <c r="BO139" s="428"/>
      <c r="BP139" s="385"/>
      <c r="BQ139" s="338"/>
      <c r="BR139" s="338"/>
      <c r="BS139" s="336"/>
      <c r="BT139" s="336"/>
      <c r="BU139" s="336"/>
      <c r="BV139" s="442"/>
      <c r="BW139" s="336"/>
      <c r="BX139" s="336"/>
      <c r="BY139" s="345"/>
      <c r="BZ139" s="345"/>
      <c r="CA139" s="345"/>
      <c r="CB139" s="345"/>
      <c r="CC139" s="345"/>
      <c r="CD139" s="355"/>
      <c r="CE139" s="355"/>
      <c r="CF139" s="355"/>
      <c r="CG139" s="382"/>
      <c r="CH139" s="382"/>
      <c r="CI139" s="382"/>
    </row>
    <row r="140" spans="1:87" s="325" customFormat="1" ht="19.5" customHeight="1">
      <c r="A140" s="1718" t="str">
        <f ca="1">'Linac 1'!A167</f>
        <v>T1</v>
      </c>
      <c r="B140" s="1851" t="str">
        <f ca="1">'Linac 1'!B167</f>
        <v>terreingrens 1</v>
      </c>
      <c r="C140" s="1623" t="s">
        <v>333</v>
      </c>
      <c r="D140" s="1627">
        <v>1</v>
      </c>
      <c r="E140" s="1627">
        <v>0</v>
      </c>
      <c r="F140" s="1627" t="s">
        <v>12</v>
      </c>
      <c r="G140" s="1627">
        <v>250</v>
      </c>
      <c r="H140" s="1627">
        <v>0</v>
      </c>
      <c r="I140" s="1627">
        <v>0</v>
      </c>
      <c r="J140" s="1656">
        <f>IF($G140=0,0,IF($F140="recht",1+($G140-$C$17)/$C$18,1+($G140-$C$17-0.301*$C$18)/$C$18))+IF($H140=0,0,IF($F140="recht",$H140/$C$19,($H140-0.301*$C$19)/$C$19))+$I140/$C$20</f>
        <v>7.4545454545454541</v>
      </c>
      <c r="K140" s="1791">
        <f>10^(-J140)</f>
        <v>3.5111917342151263E-8</v>
      </c>
      <c r="L140" s="1771">
        <f>$C$7*$C$11*$E140/$D140/$D140*K140*1000000</f>
        <v>0</v>
      </c>
      <c r="M140" s="1656">
        <f>IF($G140=0,0,IF($F140="recht",1+($G140-$D$17)/$D$18,1+($G140-$D$17-0.301*$D$18)/$D$18))+IF($H140=0,0,IF($F140="recht",$H140/$D$19,($H140-0.301*$D$19)/$D$19))+$I140/$D$20</f>
        <v>6.6486486486486482</v>
      </c>
      <c r="N140" s="1791">
        <f>10^(-M140)</f>
        <v>2.2456979955397711E-7</v>
      </c>
      <c r="O140" s="1771">
        <f>$C$7*$D$11*$E140/$D140/$D140*$N140*1000000</f>
        <v>0</v>
      </c>
      <c r="P140" s="1771">
        <f>IF($G140=0,0,IF($F140="recht",1+(G140-$E$17)/$E$18,1+(G140-$E$17-0.301*$E$18)/$E$18))+IF($H140=0,0,IF($F140="recht",$H140/$E$19,($H140-0.301*$E$19)/$E$19))+I140/$E$20</f>
        <v>6.024390243902439</v>
      </c>
      <c r="Q140" s="1791">
        <f>10^(-P140)</f>
        <v>9.4538728313079291E-7</v>
      </c>
      <c r="R140" s="1771">
        <f>$C$7*$E$11*$E140/$D140/$D140*$Q140*1000000</f>
        <v>0</v>
      </c>
      <c r="S140" s="1771">
        <f>IF($G140=0,0,IF($F140="recht",1+(G140-$F$17)/$F$18,1+(G140-$F$17-0.301*$F$18)/$F$18))+IF($H140=0,0,IF($F140="recht",$H140/$F$19,($H140-0.301*$F$19)/$F$19))+I140/$F$20</f>
        <v>9.1481481481481488</v>
      </c>
      <c r="T140" s="1791">
        <f>10^(-S140)</f>
        <v>7.1097094323124171E-10</v>
      </c>
      <c r="U140" s="1771">
        <f>$C$7*$F$11*$E140/$D140/$D140*$T140*1000000</f>
        <v>0</v>
      </c>
      <c r="V140" s="1771">
        <f>IF($G140=0,0,IF(F140="recht",1+(G140-$G$17)/$G$18,1+(G140-$G$17-0.301*$G$18)/$G$18))+IF($H140=0,0,IF($F140="recht",$H140/$G$19,($H140-0.301*$G$19)/$G$19))+I140/$G$20</f>
        <v>6.9444444444444446</v>
      </c>
      <c r="W140" s="1791">
        <f>10^(-V140)</f>
        <v>1.136463666385722E-7</v>
      </c>
      <c r="X140" s="1817">
        <f>$C$7*$G$11*$E140/$D140/$D140*$W140*1000000</f>
        <v>0</v>
      </c>
      <c r="Y140" s="1774">
        <f>SUM(L140,O140,R140,U140,X140)</f>
        <v>0</v>
      </c>
      <c r="Z140" s="886">
        <f>SUM(Y140:Y147)</f>
        <v>2.0415508389015229E-2</v>
      </c>
      <c r="AA140" s="887">
        <f>Z140*52/1000</f>
        <v>1.0616064362287919E-3</v>
      </c>
      <c r="AB140" s="45"/>
      <c r="AC140" s="45"/>
      <c r="AD140" s="45"/>
      <c r="AE140" s="821"/>
      <c r="AF140" s="78"/>
      <c r="AG140" s="53"/>
      <c r="AH140" s="53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53"/>
      <c r="AV140" s="53"/>
      <c r="AW140" s="53"/>
      <c r="AX140" s="53"/>
      <c r="AY140" s="428"/>
      <c r="AZ140" s="428"/>
      <c r="BA140" s="428"/>
      <c r="BB140" s="428"/>
      <c r="BC140" s="428"/>
      <c r="BD140" s="428"/>
      <c r="BE140" s="428"/>
      <c r="BF140" s="428"/>
      <c r="BG140" s="428"/>
      <c r="BH140" s="428"/>
      <c r="BI140" s="428"/>
      <c r="BJ140" s="428"/>
      <c r="BK140" s="428"/>
      <c r="BL140" s="428"/>
      <c r="BM140" s="428"/>
      <c r="BN140" s="428"/>
      <c r="BO140" s="428"/>
      <c r="BP140" s="385"/>
      <c r="BQ140" s="338"/>
      <c r="BR140" s="338"/>
      <c r="BS140" s="336"/>
      <c r="BT140" s="336"/>
      <c r="BU140" s="336"/>
      <c r="BV140" s="442"/>
      <c r="BW140" s="336"/>
      <c r="BX140" s="336"/>
      <c r="BY140" s="345"/>
      <c r="BZ140" s="345"/>
      <c r="CA140" s="345"/>
      <c r="CB140" s="345"/>
      <c r="CC140" s="345"/>
      <c r="CD140" s="355"/>
      <c r="CE140" s="355"/>
      <c r="CF140" s="355"/>
      <c r="CG140" s="382"/>
      <c r="CH140" s="382"/>
      <c r="CI140" s="382"/>
    </row>
    <row r="141" spans="1:87" s="325" customFormat="1" ht="19.5" customHeight="1">
      <c r="A141" s="1800"/>
      <c r="B141" s="1852"/>
      <c r="C141" s="1624"/>
      <c r="D141" s="1628"/>
      <c r="E141" s="1628"/>
      <c r="F141" s="1628"/>
      <c r="G141" s="1628"/>
      <c r="H141" s="1628"/>
      <c r="I141" s="1628"/>
      <c r="J141" s="1659"/>
      <c r="K141" s="1792"/>
      <c r="L141" s="1772"/>
      <c r="M141" s="1657"/>
      <c r="N141" s="1792"/>
      <c r="O141" s="1772"/>
      <c r="P141" s="1772"/>
      <c r="Q141" s="1792"/>
      <c r="R141" s="1772"/>
      <c r="S141" s="1772"/>
      <c r="T141" s="1792"/>
      <c r="U141" s="1772"/>
      <c r="V141" s="1772"/>
      <c r="W141" s="1792"/>
      <c r="X141" s="1808"/>
      <c r="Y141" s="1775"/>
      <c r="Z141" s="888"/>
      <c r="AA141" s="889"/>
      <c r="AB141" s="45"/>
      <c r="AC141" s="45"/>
      <c r="AD141" s="819"/>
      <c r="AE141" s="821"/>
      <c r="AF141" s="78"/>
      <c r="AG141" s="53"/>
      <c r="AH141" s="53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53"/>
      <c r="AV141" s="53"/>
      <c r="AW141" s="53"/>
      <c r="AX141" s="53"/>
      <c r="AY141" s="428"/>
      <c r="AZ141" s="428"/>
      <c r="BA141" s="428"/>
      <c r="BB141" s="428"/>
      <c r="BC141" s="428"/>
      <c r="BD141" s="428"/>
      <c r="BE141" s="428"/>
      <c r="BF141" s="428"/>
      <c r="BG141" s="428"/>
      <c r="BH141" s="428"/>
      <c r="BI141" s="428"/>
      <c r="BJ141" s="428"/>
      <c r="BK141" s="428"/>
      <c r="BL141" s="428"/>
      <c r="BM141" s="428"/>
      <c r="BN141" s="428"/>
      <c r="BO141" s="428"/>
      <c r="BP141" s="385"/>
      <c r="BQ141" s="338"/>
      <c r="BR141" s="338"/>
      <c r="BS141" s="336"/>
      <c r="BT141" s="336"/>
      <c r="BU141" s="336"/>
      <c r="BV141" s="442"/>
      <c r="BW141" s="336"/>
      <c r="BX141" s="336"/>
      <c r="BY141" s="345"/>
      <c r="BZ141" s="345"/>
      <c r="CA141" s="345"/>
      <c r="CB141" s="345"/>
      <c r="CC141" s="345"/>
      <c r="CD141" s="355"/>
      <c r="CE141" s="355"/>
      <c r="CF141" s="355"/>
      <c r="CG141" s="382"/>
      <c r="CH141" s="382"/>
      <c r="CI141" s="382"/>
    </row>
    <row r="142" spans="1:87" s="45" customFormat="1" ht="19.5" customHeight="1">
      <c r="A142" s="1800"/>
      <c r="B142" s="1852"/>
      <c r="C142" s="1687" t="s">
        <v>334</v>
      </c>
      <c r="D142" s="1626">
        <v>10</v>
      </c>
      <c r="E142" s="1815">
        <v>1</v>
      </c>
      <c r="F142" s="1628"/>
      <c r="G142" s="1628"/>
      <c r="H142" s="1628"/>
      <c r="I142" s="1628"/>
      <c r="J142" s="1772">
        <f>IF($G140=0,0,IF($F140="recht",$G140/$C$24,(G140-0.301*$C$24)/$C$24))+IF($H140=0,0,IF($F140="recht",$H140/$C$25,($H140-0.301*$C$25)/$C$25))+I140/$C$26</f>
        <v>7.3529411764705879</v>
      </c>
      <c r="K142" s="1792">
        <f>10^(-J142)</f>
        <v>4.4366873309786093E-8</v>
      </c>
      <c r="L142" s="1772">
        <f>$C$7*$C$8*$C$11*($C$12+$C$13*$C$14)*$E$142/$D142/$D142*$K142*1000000</f>
        <v>2.6620123985871658E-4</v>
      </c>
      <c r="M142" s="1772">
        <f>IF($G140=0,0,IF(F140="recht",$G140/$D$24,($G140-0.301*$D$24)/$D$24))+IF($H140=0,0,IF($F140="recht",$H140/$D$25,($H140-0.301*$D$25)/$D$25))+I140/$D$26</f>
        <v>6.5789473684210522</v>
      </c>
      <c r="N142" s="1792">
        <f>10^(-M142)</f>
        <v>2.636650898730358E-7</v>
      </c>
      <c r="O142" s="1772">
        <f>$C$7*$C$8*$D$11*($D$12+$D$13*$D$14)*$E$142/$D142/$D142*$N142*1000000</f>
        <v>1.581990539238215E-3</v>
      </c>
      <c r="P142" s="1772">
        <f>IF($G140=0,0,IF($F140="recht",$G140/$E$24,($G140-0.301*$E$24)/$E$24))+IF($H140=0,0,IF($F140="recht",$H140/$E$25,($H140-0.301*$E$25)/$E$25))+I140/$E$26</f>
        <v>6.5616797900262469</v>
      </c>
      <c r="Q142" s="1792">
        <f>10^(-P142)</f>
        <v>2.7435963093132793E-7</v>
      </c>
      <c r="R142" s="1772">
        <f>$C$7*$C$8*$E$11*($E$12+$E$13*$E$14)*$E142/$D142/$D142*$Q142*1000000</f>
        <v>1.6461577855879678E-3</v>
      </c>
      <c r="S142" s="1772">
        <f>IF($G140=0,0,IF($F140="recht",$G140/$F$24,(G140-0.301*$F$24)/$F$24))+IF($H140=0,0,IF($F140="recht",$H140/$F$25,($H140-0.301*$F$25)/$F$25))+I140/$F$26</f>
        <v>8.1967213114754092</v>
      </c>
      <c r="T142" s="1792">
        <f>10^(-S142)</f>
        <v>6.3573875711648393E-9</v>
      </c>
      <c r="U142" s="1772">
        <f>$C$7*$C$8*$F$11*($F$12+$F$13*$F$14)*$E$142/$D142/$D142*$T142*1000000</f>
        <v>2.1615117741960457E-5</v>
      </c>
      <c r="V142" s="1772">
        <f>IF($G140=0,0,IF($F140="recht",$G140/$G$24,($G140-0.301*$G$24)/$G$24))+IF($H140=0,0,IF($F140="recht",$H140/$G$25,($H140-0.301*$G$25)/$G$25))+I140/$G$26</f>
        <v>7.0224719101123592</v>
      </c>
      <c r="W142" s="1792">
        <f>10^(-V142)</f>
        <v>9.4957241494880226E-8</v>
      </c>
      <c r="X142" s="1808">
        <f>$C$7*$C$8*$G$11*($G$12+$G$13*$G$14)*$E$142/$D142/$D142*$W142*1000000</f>
        <v>2.1840165543822451E-4</v>
      </c>
      <c r="Y142" s="1805">
        <f>SUM(L142,O142,R142,U142,X142)</f>
        <v>3.7343663378650842E-3</v>
      </c>
      <c r="Z142" s="888"/>
      <c r="AA142" s="889"/>
      <c r="AE142" s="821"/>
      <c r="AF142" s="822"/>
      <c r="AG142" s="78"/>
      <c r="AH142" s="66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</row>
    <row r="143" spans="1:87" s="45" customFormat="1" ht="19.5" customHeight="1">
      <c r="A143" s="1800"/>
      <c r="B143" s="1852"/>
      <c r="C143" s="1688"/>
      <c r="D143" s="1689"/>
      <c r="E143" s="1816"/>
      <c r="F143" s="1628"/>
      <c r="G143" s="1628"/>
      <c r="H143" s="1628"/>
      <c r="I143" s="1628"/>
      <c r="J143" s="1773"/>
      <c r="K143" s="1793"/>
      <c r="L143" s="1773"/>
      <c r="M143" s="1773"/>
      <c r="N143" s="1793"/>
      <c r="O143" s="1773"/>
      <c r="P143" s="1773"/>
      <c r="Q143" s="1793"/>
      <c r="R143" s="1773"/>
      <c r="S143" s="1773"/>
      <c r="T143" s="1793"/>
      <c r="U143" s="1773"/>
      <c r="V143" s="1773"/>
      <c r="W143" s="1793"/>
      <c r="X143" s="1809"/>
      <c r="Y143" s="1805"/>
      <c r="Z143" s="888"/>
      <c r="AA143" s="889"/>
      <c r="AD143" s="824"/>
      <c r="AF143" s="53"/>
      <c r="AG143" s="66"/>
      <c r="AH143" s="66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</row>
    <row r="144" spans="1:87" s="45" customFormat="1" ht="19.5" customHeight="1">
      <c r="A144" s="1800"/>
      <c r="B144" s="1852"/>
      <c r="C144" s="1623" t="s">
        <v>34</v>
      </c>
      <c r="D144" s="1718">
        <f>D142</f>
        <v>10</v>
      </c>
      <c r="E144" s="1627">
        <v>0</v>
      </c>
      <c r="F144" s="1798" t="s">
        <v>12</v>
      </c>
      <c r="G144" s="1718">
        <f>X$10</f>
        <v>250</v>
      </c>
      <c r="H144" s="1718">
        <f>Y$10</f>
        <v>0</v>
      </c>
      <c r="I144" s="1718">
        <f>Z$10</f>
        <v>0</v>
      </c>
      <c r="J144" s="1801">
        <f>IF($G144=0,0,IF($F144="recht",1+(G144-$C$17)/$C$18,1+(G144-$C$17-0.301*$C$18)/$C$18))+IF($H144=0,0,IF($F144="recht",$H144/$C$19,($H144-0.301*$C$19)/$C$17))+I144/$C$20</f>
        <v>7.4545454545454541</v>
      </c>
      <c r="K144" s="1794">
        <f>10^(-J144)</f>
        <v>3.5111917342151263E-8</v>
      </c>
      <c r="L144" s="1796">
        <f>2.5*0.01*$C$7*$C$11*E$144*K144/U$10/U$10*$W$10^1.3/$D$144/$D$144*1000000</f>
        <v>0</v>
      </c>
      <c r="M144" s="1656">
        <f>IF($G144=0,0,IF($F144="recht",1+($G144-$D$17)/$D$18,1+($G144-$D$17-0.301*$D$18)/$D$18))+IF($H144=0,0,IF($F144="recht",$H144/$D$19,($H144-0.301*$D$19)/$D$19))+$I144/$D$20</f>
        <v>6.6486486486486482</v>
      </c>
      <c r="N144" s="1794">
        <f>10^(-M144)</f>
        <v>2.2456979955397711E-7</v>
      </c>
      <c r="O144" s="1796">
        <f>2.5*0.01*$C$7*$D$11*E$144*N144/U$10/U$10*$W$10^1.3/$D$144/$D$144*1000000</f>
        <v>0</v>
      </c>
      <c r="P144" s="1771">
        <f>IF($G144=0,0,IF($F144="recht",1+($G144-$E$17)/$E$18,1+($G144-$E$17-0.301*$E$18)/$E$18))+IF($H144=0,0,IF($F144="recht",$H144/$E$19,($H144-0.301*$E$19)/$E$19))+I144/$E$20</f>
        <v>6.024390243902439</v>
      </c>
      <c r="Q144" s="1794">
        <f>10^(-P144)</f>
        <v>9.4538728313079291E-7</v>
      </c>
      <c r="R144" s="1796">
        <f>2.5*0.01*$C$7*$E$11*E$144*Q144/U$10/U$10*$W$10^1.3/$D$144/$D$144*1000000</f>
        <v>0</v>
      </c>
      <c r="S144" s="1771">
        <f>IF($G144=0,0,IF(F144="recht",1+(G144-$F$17)/$F$18,1+(G144-$F$17-0.301*$F$18)/$F$18))+IF($H144=0,0,IF($F144="recht",$H144/$F$19,($H144-0.301*$F$19)/$F$19))+I144/$F$20</f>
        <v>9.1481481481481488</v>
      </c>
      <c r="T144" s="1794">
        <f>10^(-S144)</f>
        <v>7.1097094323124171E-10</v>
      </c>
      <c r="U144" s="1796">
        <f>2.5*0.01*$C$7*$F$11*E$144*T144/U$10/U$10*$W$10^1.3/$D$144/$D$144*1000000</f>
        <v>0</v>
      </c>
      <c r="V144" s="1771">
        <f>IF($G144=0,0,IF($F144="recht",1+(G144-$G$17)/$G$18,1+(G144-$G$17-0.301*$G$18)/$G$18))+IF($H144=0,0,IF($F144="recht",$H144/$G$19,($H144-0.301*$G$19)/$G$19))+I144/$G$20</f>
        <v>6.9444444444444446</v>
      </c>
      <c r="W144" s="1794">
        <f>10^(-V144)</f>
        <v>1.136463666385722E-7</v>
      </c>
      <c r="X144" s="1819">
        <f>2.5*0.01*$C$7*$G$11*E$144*W144/U$10/U$10*$W$10^1.3/$D$144/$D$144*1000000</f>
        <v>0</v>
      </c>
      <c r="Y144" s="1805">
        <f>SUM(L144,O144,R144,U144,X144)</f>
        <v>0</v>
      </c>
      <c r="Z144" s="890"/>
      <c r="AA144" s="891"/>
      <c r="AD144" s="824"/>
    </row>
    <row r="145" spans="1:87" s="45" customFormat="1" ht="19.5" customHeight="1">
      <c r="A145" s="1800"/>
      <c r="B145" s="1852"/>
      <c r="C145" s="1624"/>
      <c r="D145" s="1800"/>
      <c r="E145" s="1628"/>
      <c r="F145" s="1799"/>
      <c r="G145" s="1800"/>
      <c r="H145" s="1800"/>
      <c r="I145" s="1800"/>
      <c r="J145" s="1802"/>
      <c r="K145" s="1795"/>
      <c r="L145" s="1797"/>
      <c r="M145" s="1657"/>
      <c r="N145" s="1795"/>
      <c r="O145" s="1797"/>
      <c r="P145" s="1772"/>
      <c r="Q145" s="1795"/>
      <c r="R145" s="1797"/>
      <c r="S145" s="1772"/>
      <c r="T145" s="1812"/>
      <c r="U145" s="1818"/>
      <c r="V145" s="1772"/>
      <c r="W145" s="1812"/>
      <c r="X145" s="1820"/>
      <c r="Y145" s="1805"/>
      <c r="Z145" s="890"/>
      <c r="AA145" s="891"/>
      <c r="AE145" s="821"/>
    </row>
    <row r="146" spans="1:87" s="45" customFormat="1" ht="19.5" customHeight="1">
      <c r="A146" s="1800"/>
      <c r="B146" s="1852"/>
      <c r="C146" s="1623" t="s">
        <v>35</v>
      </c>
      <c r="D146" s="1800"/>
      <c r="E146" s="1798">
        <v>1</v>
      </c>
      <c r="F146" s="1798" t="s">
        <v>116</v>
      </c>
      <c r="G146" s="1718">
        <f>X$11</f>
        <v>200</v>
      </c>
      <c r="H146" s="1718">
        <f>Y$11</f>
        <v>0</v>
      </c>
      <c r="I146" s="1718">
        <f>Z$11</f>
        <v>0</v>
      </c>
      <c r="J146" s="1801">
        <f>IF($G146=0,0,IF($F146="recht",$GG146/$C$24,($G146-0.301*$C$24)/$C$24))+IF($H146=0,0,IF($F146="recht",$H146/$C$25,($H146-0.301*$C$25)/$C$25))+I146/$C$26</f>
        <v>5.58135294117647</v>
      </c>
      <c r="K146" s="1794">
        <f>10^(-J146)</f>
        <v>2.6220867674308296E-6</v>
      </c>
      <c r="L146" s="1796">
        <f>2.5*0.01*$C$7*$C$8*$C$11*($C$12+$C$13*$C$14)*E$146/U$11/U$11*K146*$W$11^1.3/$D$144/$D$144*1000000</f>
        <v>1.7419398413490567E-3</v>
      </c>
      <c r="M146" s="1801">
        <f>IF($G146=0,0,IF($F146="recht",$G146/$D$24,($G146-0.301*$D$24)/$D$24))+IF($H146=0,0,IF($F146="recht",$H146/$D$25,($H146-0.301*$D$25)/$D$25))+I146/$D$26</f>
        <v>4.9621578947368423</v>
      </c>
      <c r="N146" s="1794">
        <f>10^(-M146)</f>
        <v>1.0910435979026304E-5</v>
      </c>
      <c r="O146" s="1796">
        <f>2.5*0.01*$C$7*$C$8*$D$11*($D$12+$D$13*$D$14)*E$146/U$11/U$11*N146*$W$11^1.3/$D$144/$D$144*1000000</f>
        <v>7.2481671294866799E-3</v>
      </c>
      <c r="P146" s="1801">
        <f>IF($G146=0,0,IF($F146="recht",$G146/$E$24,(G146-0.301*$E$24)/$E$24))+IF($H146=0,0,IF($F146="recht",$H146/$E$25,($H146-0.301*$E$25)/$E$25))+I146/$E$26</f>
        <v>4.9483438320209974</v>
      </c>
      <c r="Q146" s="1794">
        <f>10^(-P146)</f>
        <v>1.1263054043136272E-5</v>
      </c>
      <c r="R146" s="1796">
        <f>2.5*0.01*$C$7*$C$8*$E$11*($E$12+$E$13*$E$14)*E$146/U$11/U$11*Q146*$W$11^1.3/$D$144/$D$144*1000000</f>
        <v>7.4824230901520735E-3</v>
      </c>
      <c r="S146" s="1806">
        <f>IF(G$146=0,0,IF(F146="recht",$G146/$F$146,($G146-0.301*$F$24)/$F$24))+IF($H146=0,0,IF($F146="recht",$H146/$F$25,($H146-0.301*$F$25)/$F$25))+I146/$F$26</f>
        <v>6.2563770491803279</v>
      </c>
      <c r="T146" s="1811">
        <f>10^(-S146)</f>
        <v>5.5414440263229426E-7</v>
      </c>
      <c r="U146" s="1796">
        <f>2.5*0.01*$C$7*$C$8*$F$11*($F$12+$F$13*$F$14)*E$146/U$11/U$11*T146*$W$11^1.3/$D$144/$D$144*1000000</f>
        <v>2.0861076276506701E-4</v>
      </c>
      <c r="V146" s="1806">
        <f>IF($G146=0,0,IF($F146="recht",$G146/$G$24,($G146-0.301*$G$24)/$G$24))+IF($H146=0,0,IF($F146="recht",$H146/$G$25,($H146-0.301*$G$25)/$G$25))+I146/$G$26</f>
        <v>5.3169775280898879</v>
      </c>
      <c r="W146" s="1811">
        <f>10^(-V146)</f>
        <v>4.8197273592906954E-6</v>
      </c>
      <c r="X146" s="1819">
        <f>2.5*0.01*$C$7*$C$8*$G$11*($G$12+$G$13*$G$14)*E$146/U$11/U$11*W146*$W$11^1.3/$D$144/$D$144</f>
        <v>1.2273972646840874E-9</v>
      </c>
      <c r="Y146" s="1775">
        <f>SUM(L146,O146,R146,U146,X146)</f>
        <v>1.6681142051150143E-2</v>
      </c>
      <c r="Z146" s="890"/>
      <c r="AA146" s="891"/>
      <c r="AE146" s="819"/>
      <c r="AF146" s="819"/>
    </row>
    <row r="147" spans="1:87" s="45" customFormat="1" ht="19.5" customHeight="1" thickBot="1">
      <c r="A147" s="1711"/>
      <c r="B147" s="1853"/>
      <c r="C147" s="1624"/>
      <c r="D147" s="1800"/>
      <c r="E147" s="1799"/>
      <c r="F147" s="1799"/>
      <c r="G147" s="1800"/>
      <c r="H147" s="1800"/>
      <c r="I147" s="1800"/>
      <c r="J147" s="1802"/>
      <c r="K147" s="1795"/>
      <c r="L147" s="1797"/>
      <c r="M147" s="1802"/>
      <c r="N147" s="1795"/>
      <c r="O147" s="1797"/>
      <c r="P147" s="1802"/>
      <c r="Q147" s="1795"/>
      <c r="R147" s="1797"/>
      <c r="S147" s="1802"/>
      <c r="T147" s="1795"/>
      <c r="U147" s="1797"/>
      <c r="V147" s="1802"/>
      <c r="W147" s="1795"/>
      <c r="X147" s="1823"/>
      <c r="Y147" s="1807"/>
      <c r="Z147" s="892"/>
      <c r="AA147" s="893"/>
      <c r="AD147" s="818"/>
      <c r="AE147" s="819"/>
      <c r="AF147" s="819"/>
    </row>
    <row r="148" spans="1:87" s="325" customFormat="1" ht="19.5" customHeight="1">
      <c r="A148" s="1718" t="str">
        <f ca="1">'Linac 1'!A175</f>
        <v>T2</v>
      </c>
      <c r="B148" s="1851" t="str">
        <f ca="1">'Linac 1'!B175</f>
        <v>terreingrens 2</v>
      </c>
      <c r="C148" s="1623" t="s">
        <v>333</v>
      </c>
      <c r="D148" s="1627">
        <v>1</v>
      </c>
      <c r="E148" s="1627">
        <v>0</v>
      </c>
      <c r="F148" s="1627" t="s">
        <v>12</v>
      </c>
      <c r="G148" s="1627">
        <v>250</v>
      </c>
      <c r="H148" s="1627">
        <v>0</v>
      </c>
      <c r="I148" s="1627">
        <v>0</v>
      </c>
      <c r="J148" s="1656">
        <f>IF($G148=0,0,IF($F148="recht",1+($G148-$C$17)/$C$18,1+($G148-$C$17-0.301*$C$18)/$C$18))+IF($H148=0,0,IF($F148="recht",$H148/$C$19,($H148-0.301*$C$19)/$C$19))+$I148/$C$20</f>
        <v>7.4545454545454541</v>
      </c>
      <c r="K148" s="1791">
        <f>10^(-J148)</f>
        <v>3.5111917342151263E-8</v>
      </c>
      <c r="L148" s="1771">
        <f>$C$7*$C$11*$E148/$D148/$D148*K148*1000000</f>
        <v>0</v>
      </c>
      <c r="M148" s="1656">
        <f>IF($G148=0,0,IF($F148="recht",1+($G148-$D$17)/$D$18,1+($G148-$D$17-0.301*$D$18)/$D$18))+IF($H148=0,0,IF($F148="recht",$H148/$D$19,($H148-0.301*$D$19)/$D$19))+$I148/$D$20</f>
        <v>6.6486486486486482</v>
      </c>
      <c r="N148" s="1791">
        <f>10^(-M148)</f>
        <v>2.2456979955397711E-7</v>
      </c>
      <c r="O148" s="1771">
        <f>$C$7*$D$11*$E148/$D148/$D148*$N148*1000000</f>
        <v>0</v>
      </c>
      <c r="P148" s="1771">
        <f>IF($G148=0,0,IF($F148="recht",1+(G148-$E$17)/$E$18,1+(G148-$E$17-0.301*$E$18)/$E$18))+IF($H148=0,0,IF($F148="recht",$H148/$E$19,($H148-0.301*$E$19)/$E$19))+I148/$E$20</f>
        <v>6.024390243902439</v>
      </c>
      <c r="Q148" s="1791">
        <f>10^(-P148)</f>
        <v>9.4538728313079291E-7</v>
      </c>
      <c r="R148" s="1771">
        <f>$C$7*$E$11*$E148/$D148/$D148*$Q148*1000000</f>
        <v>0</v>
      </c>
      <c r="S148" s="1771">
        <f>IF($G148=0,0,IF($F148="recht",1+(G148-$F$17)/$F$18,1+(G148-$F$17-0.301*$F$18)/$F$18))+IF($H148=0,0,IF($F148="recht",$H148/$F$19,($H148-0.301*$F$19)/$F$19))+I148/$F$20</f>
        <v>9.1481481481481488</v>
      </c>
      <c r="T148" s="1791">
        <f>10^(-S148)</f>
        <v>7.1097094323124171E-10</v>
      </c>
      <c r="U148" s="1771">
        <f>$C$7*$F$11*$E148/$D148/$D148*$T148*1000000</f>
        <v>0</v>
      </c>
      <c r="V148" s="1771">
        <f>IF($G148=0,0,IF(F148="recht",1+(G148-$G$17)/$G$18,1+(G148-$G$17-0.301*$G$18)/$G$18))+IF($H148=0,0,IF($F148="recht",$H148/$G$19,($H148-0.301*$G$19)/$G$19))+I148/$G$20</f>
        <v>6.9444444444444446</v>
      </c>
      <c r="W148" s="1791">
        <f>10^(-V148)</f>
        <v>1.136463666385722E-7</v>
      </c>
      <c r="X148" s="1817">
        <f>$C$7*$G$11*$E148/$D148/$D148*$W148*1000000</f>
        <v>0</v>
      </c>
      <c r="Y148" s="1813">
        <f>SUM(L148,O148,R148,U148,X148)</f>
        <v>0</v>
      </c>
      <c r="Z148" s="886">
        <f>SUM(Y148:Y155)</f>
        <v>2.0415508389015229E-2</v>
      </c>
      <c r="AA148" s="887">
        <f>Z148*52/1000</f>
        <v>1.0616064362287919E-3</v>
      </c>
      <c r="AB148" s="45"/>
      <c r="AC148" s="45"/>
      <c r="AD148" s="818"/>
      <c r="AE148" s="819"/>
      <c r="AF148" s="66"/>
      <c r="AG148" s="53"/>
      <c r="AH148" s="53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53"/>
      <c r="AV148" s="53"/>
      <c r="AW148" s="53"/>
      <c r="AX148" s="53"/>
      <c r="AY148" s="428"/>
      <c r="AZ148" s="428"/>
      <c r="BA148" s="428"/>
      <c r="BB148" s="428"/>
      <c r="BC148" s="428"/>
      <c r="BD148" s="428"/>
      <c r="BE148" s="428"/>
      <c r="BF148" s="428"/>
      <c r="BG148" s="428"/>
      <c r="BH148" s="428"/>
      <c r="BI148" s="428"/>
      <c r="BJ148" s="428"/>
      <c r="BK148" s="428"/>
      <c r="BL148" s="428"/>
      <c r="BM148" s="428"/>
      <c r="BN148" s="428"/>
      <c r="BO148" s="428"/>
      <c r="BP148" s="385"/>
      <c r="BQ148" s="338"/>
      <c r="BR148" s="338"/>
      <c r="BS148" s="336"/>
      <c r="BT148" s="336"/>
      <c r="BU148" s="336"/>
      <c r="BV148" s="442"/>
      <c r="BW148" s="336"/>
      <c r="BX148" s="336"/>
      <c r="BY148" s="345"/>
      <c r="BZ148" s="345"/>
      <c r="CA148" s="345"/>
      <c r="CB148" s="345"/>
      <c r="CC148" s="345"/>
      <c r="CD148" s="355"/>
      <c r="CE148" s="355"/>
      <c r="CF148" s="355"/>
      <c r="CG148" s="382"/>
      <c r="CH148" s="382"/>
      <c r="CI148" s="382"/>
    </row>
    <row r="149" spans="1:87" s="325" customFormat="1" ht="19.5" customHeight="1">
      <c r="A149" s="1800"/>
      <c r="B149" s="1852"/>
      <c r="C149" s="1624"/>
      <c r="D149" s="1628"/>
      <c r="E149" s="1628"/>
      <c r="F149" s="1628"/>
      <c r="G149" s="1628"/>
      <c r="H149" s="1628"/>
      <c r="I149" s="1628"/>
      <c r="J149" s="1659"/>
      <c r="K149" s="1792"/>
      <c r="L149" s="1772"/>
      <c r="M149" s="1657"/>
      <c r="N149" s="1792"/>
      <c r="O149" s="1772"/>
      <c r="P149" s="1772"/>
      <c r="Q149" s="1792"/>
      <c r="R149" s="1772"/>
      <c r="S149" s="1772"/>
      <c r="T149" s="1792"/>
      <c r="U149" s="1772"/>
      <c r="V149" s="1772"/>
      <c r="W149" s="1792"/>
      <c r="X149" s="1808"/>
      <c r="Y149" s="1814"/>
      <c r="Z149" s="888"/>
      <c r="AA149" s="889"/>
      <c r="AB149" s="45"/>
      <c r="AC149" s="45"/>
      <c r="AD149" s="45"/>
      <c r="AE149" s="820"/>
      <c r="AF149" s="823"/>
      <c r="AG149" s="53"/>
      <c r="AH149" s="53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53"/>
      <c r="AV149" s="53"/>
      <c r="AW149" s="53"/>
      <c r="AX149" s="53"/>
      <c r="AY149" s="428"/>
      <c r="AZ149" s="428"/>
      <c r="BA149" s="428"/>
      <c r="BB149" s="428"/>
      <c r="BC149" s="428"/>
      <c r="BD149" s="428"/>
      <c r="BE149" s="428"/>
      <c r="BF149" s="428"/>
      <c r="BG149" s="428"/>
      <c r="BH149" s="428"/>
      <c r="BI149" s="428"/>
      <c r="BJ149" s="428"/>
      <c r="BK149" s="428"/>
      <c r="BL149" s="428"/>
      <c r="BM149" s="428"/>
      <c r="BN149" s="428"/>
      <c r="BO149" s="428"/>
      <c r="BP149" s="385"/>
      <c r="BQ149" s="338"/>
      <c r="BR149" s="338"/>
      <c r="BS149" s="336"/>
      <c r="BT149" s="336"/>
      <c r="BU149" s="336"/>
      <c r="BV149" s="442"/>
      <c r="BW149" s="336"/>
      <c r="BX149" s="336"/>
      <c r="BY149" s="345"/>
      <c r="BZ149" s="345"/>
      <c r="CA149" s="345"/>
      <c r="CB149" s="345"/>
      <c r="CC149" s="345"/>
      <c r="CD149" s="355"/>
      <c r="CE149" s="355"/>
      <c r="CF149" s="355"/>
      <c r="CG149" s="382"/>
      <c r="CH149" s="382"/>
      <c r="CI149" s="382"/>
    </row>
    <row r="150" spans="1:87" s="45" customFormat="1" ht="19.5" customHeight="1">
      <c r="A150" s="1800"/>
      <c r="B150" s="1852"/>
      <c r="C150" s="1687" t="s">
        <v>334</v>
      </c>
      <c r="D150" s="1626">
        <v>10</v>
      </c>
      <c r="E150" s="1815">
        <v>1</v>
      </c>
      <c r="F150" s="1628"/>
      <c r="G150" s="1628"/>
      <c r="H150" s="1628"/>
      <c r="I150" s="1628"/>
      <c r="J150" s="1772">
        <f>IF($G148=0,0,IF($F148="recht",$G148/$C$24,(G148-0.301*$C$24)/$C$24))+IF($H148=0,0,IF($F148="recht",$H148/$C$25,($H148-0.301*$C$25)/$C$25))+I148/$C$26</f>
        <v>7.3529411764705879</v>
      </c>
      <c r="K150" s="1792">
        <f>10^(-J150)</f>
        <v>4.4366873309786093E-8</v>
      </c>
      <c r="L150" s="1772">
        <f>$C$7*$C$8*$C$11*($C$12+$C$13*$C$14)*$E150/$D150/$D150*$K150*1000000</f>
        <v>2.6620123985871658E-4</v>
      </c>
      <c r="M150" s="1772">
        <f>IF($G148=0,0,IF(F148="recht",$G148/$D$24,($G148-0.301*$D$24)/$D$24))+IF($H148=0,0,IF($F148="recht",$H148/$D$25,($H148-0.301*$D$25)/$D$25))+I148/$D$26</f>
        <v>6.5789473684210522</v>
      </c>
      <c r="N150" s="1792">
        <f>10^(-M150)</f>
        <v>2.636650898730358E-7</v>
      </c>
      <c r="O150" s="1772">
        <f>$C$7*$C$8*$D$11*($D$12+$D$13*$D$14)*$E150/$D150/$D150*$N150*1000000</f>
        <v>1.581990539238215E-3</v>
      </c>
      <c r="P150" s="1772">
        <f>IF($G148=0,0,IF($F148="recht",$G148/$E$24,($G148-0.301*$E$24)/$E$24))+IF($H148=0,0,IF($F148="recht",$H148/$E$25,($H148-0.301*$E$25)/$E$25))+I148/$E$26</f>
        <v>6.5616797900262469</v>
      </c>
      <c r="Q150" s="1792">
        <f>10^(-P150)</f>
        <v>2.7435963093132793E-7</v>
      </c>
      <c r="R150" s="1772">
        <f>$C$7*$C$8*$E$11*($E$12+$E$13*$E$14)*$E150/$D150/$D150*$Q150*1000000</f>
        <v>1.6461577855879678E-3</v>
      </c>
      <c r="S150" s="1772">
        <f>IF($G148=0,0,IF($F148="recht",$G148/$F$24,(G148-0.301*$F$24)/$F$24))+IF($H148=0,0,IF($F148="recht",$H148/$F$25,($H148-0.301*$F$25)/$F$25))+I148/$F$26</f>
        <v>8.1967213114754092</v>
      </c>
      <c r="T150" s="1792">
        <f>10^(-S150)</f>
        <v>6.3573875711648393E-9</v>
      </c>
      <c r="U150" s="1772">
        <f>$C$7*$C$8*$F$11*($F$12+$F$13*$F$14)*$E150/$D150/$D150*$T150*1000000</f>
        <v>2.1615117741960457E-5</v>
      </c>
      <c r="V150" s="1772">
        <f>IF($G148=0,0,IF($F148="recht",$G148/$G$24,($G148-0.301*$G$24)/$G$24))+IF($H148=0,0,IF($F148="recht",$H148/$G$25,($H148-0.301*$G$25)/$G$25))+I148/$G$26</f>
        <v>7.0224719101123592</v>
      </c>
      <c r="W150" s="1792">
        <f>10^(-V150)</f>
        <v>9.4957241494880226E-8</v>
      </c>
      <c r="X150" s="1808">
        <f>$C$7*$C$8*$G$11*($G$12+$G$13*$G$14)*$E150/$D150/$D150*$W150*1000000</f>
        <v>2.1840165543822451E-4</v>
      </c>
      <c r="Y150" s="1810">
        <f>SUM(L150,O150,R150,U150,X150)</f>
        <v>3.7343663378650842E-3</v>
      </c>
      <c r="Z150" s="888"/>
      <c r="AA150" s="889"/>
      <c r="AD150" s="325"/>
      <c r="AF150" s="53"/>
      <c r="AG150" s="66"/>
      <c r="AH150" s="66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</row>
    <row r="151" spans="1:87" s="45" customFormat="1" ht="19.5" customHeight="1">
      <c r="A151" s="1800"/>
      <c r="B151" s="1852"/>
      <c r="C151" s="1688"/>
      <c r="D151" s="1689"/>
      <c r="E151" s="1816"/>
      <c r="F151" s="1628"/>
      <c r="G151" s="1628"/>
      <c r="H151" s="1628"/>
      <c r="I151" s="1628"/>
      <c r="J151" s="1773"/>
      <c r="K151" s="1793"/>
      <c r="L151" s="1773"/>
      <c r="M151" s="1773"/>
      <c r="N151" s="1793"/>
      <c r="O151" s="1773"/>
      <c r="P151" s="1773"/>
      <c r="Q151" s="1793"/>
      <c r="R151" s="1773"/>
      <c r="S151" s="1773"/>
      <c r="T151" s="1793"/>
      <c r="U151" s="1773"/>
      <c r="V151" s="1773"/>
      <c r="W151" s="1793"/>
      <c r="X151" s="1809"/>
      <c r="Y151" s="1810"/>
      <c r="Z151" s="888"/>
      <c r="AA151" s="889"/>
      <c r="AF151" s="53"/>
      <c r="AG151" s="66"/>
      <c r="AH151" s="66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</row>
    <row r="152" spans="1:87" s="45" customFormat="1" ht="19.5" customHeight="1">
      <c r="A152" s="1800"/>
      <c r="B152" s="1852"/>
      <c r="C152" s="1623" t="s">
        <v>34</v>
      </c>
      <c r="D152" s="1718">
        <f>D150</f>
        <v>10</v>
      </c>
      <c r="E152" s="1718">
        <f>E144</f>
        <v>0</v>
      </c>
      <c r="F152" s="1798" t="s">
        <v>12</v>
      </c>
      <c r="G152" s="1718">
        <f>X$10</f>
        <v>250</v>
      </c>
      <c r="H152" s="1718">
        <f>Y$10</f>
        <v>0</v>
      </c>
      <c r="I152" s="1718">
        <f>Z$10</f>
        <v>0</v>
      </c>
      <c r="J152" s="1801">
        <f>IF($G152=0,0,IF($F152="recht",1+(G152-$C$17)/$C$18,1+(G152-$C$17-0.301*$C$18)/$C$18))+IF($H152=0,0,IF($F152="recht",$H152/$C$19,($H152-0.301*$C$19)/$C$17))+I152/$C$20</f>
        <v>7.4545454545454541</v>
      </c>
      <c r="K152" s="1794">
        <f>10^(-J152)</f>
        <v>3.5111917342151263E-8</v>
      </c>
      <c r="L152" s="1796">
        <f>2.5*0.01*$C$7*$C$11*E152*K152/U$10/U$10*$W$10^1.3/$D152/$D152*1000000</f>
        <v>0</v>
      </c>
      <c r="M152" s="1656">
        <f>IF($G152=0,0,IF($F152="recht",1+($G152-$D$17)/$D$18,1+($G152-$D$17-0.301*$D$18)/$D$18))+IF($H152=0,0,IF($F152="recht",$H152/$D$19,($H152-0.301*$D$19)/$D$19))+$I152/$D$20</f>
        <v>6.6486486486486482</v>
      </c>
      <c r="N152" s="1794">
        <f>10^(-M152)</f>
        <v>2.2456979955397711E-7</v>
      </c>
      <c r="O152" s="1796">
        <f>2.5*0.01*$C$7*$D$11*E$152*N152/U$10/U$10*$W$10^1.3/$D152/$D152*1000000</f>
        <v>0</v>
      </c>
      <c r="P152" s="1771">
        <f>IF($G152=0,0,IF($F152="recht",1+($G152-$E$17)/$E$18,1+($G152-$E$17-0.301*$E$18)/$E$18))+IF($H152=0,0,IF($F152="recht",$H152/$E$19,($H152-0.301*$E$19)/$E$19))+I152/$E$20</f>
        <v>6.024390243902439</v>
      </c>
      <c r="Q152" s="1794">
        <f>10^(-P152)</f>
        <v>9.4538728313079291E-7</v>
      </c>
      <c r="R152" s="1796">
        <f>2.5*0.01*$C$7*$E$11*E152*Q152/U$10/U$10*$W$10^1.3/$D152/$D152*1000000</f>
        <v>0</v>
      </c>
      <c r="S152" s="1771">
        <f>IF($G152=0,0,IF(F152="recht",1+(G152-$F$17)/$F$18,1+(G152-$F$17-0.301*$F$18)/$F$18))+IF($H152=0,0,IF($F152="recht",$H152/$F$19,($H152-0.301*$F$19)/$F$19))+I152/$F$20</f>
        <v>9.1481481481481488</v>
      </c>
      <c r="T152" s="1794">
        <f>10^(-S152)</f>
        <v>7.1097094323124171E-10</v>
      </c>
      <c r="U152" s="1796">
        <f>2.5*0.01*$C$7*$F$11*E152*T152/U$10/U$10*$W$10^1.3/$D152/$D152*1000000</f>
        <v>0</v>
      </c>
      <c r="V152" s="1771">
        <f>IF($G152=0,0,IF($F152="recht",1+(G152-$G$17)/$G$18,1+(G152-$G$17-0.301*$G$18)/$G$18))+IF($H152=0,0,IF($F152="recht",$H152/$G$19,($H152-0.301*$G$19)/$G$19))+I152/$G$20</f>
        <v>6.9444444444444446</v>
      </c>
      <c r="W152" s="1794">
        <f>10^(-V152)</f>
        <v>1.136463666385722E-7</v>
      </c>
      <c r="X152" s="1819">
        <f>2.5*0.01*$C$7*$G$11*E152*W152/U$10/U$10*$W$10^1.3/$D152/$D152*1000000</f>
        <v>0</v>
      </c>
      <c r="Y152" s="1810">
        <f>SUM(L152,O152,R152,U152,X152)</f>
        <v>0</v>
      </c>
      <c r="Z152" s="890"/>
      <c r="AA152" s="891"/>
    </row>
    <row r="153" spans="1:87" s="45" customFormat="1" ht="19.5" customHeight="1">
      <c r="A153" s="1800"/>
      <c r="B153" s="1852"/>
      <c r="C153" s="1624"/>
      <c r="D153" s="1800"/>
      <c r="E153" s="1800"/>
      <c r="F153" s="1799"/>
      <c r="G153" s="1800"/>
      <c r="H153" s="1800"/>
      <c r="I153" s="1800"/>
      <c r="J153" s="1802"/>
      <c r="K153" s="1795"/>
      <c r="L153" s="1797"/>
      <c r="M153" s="1657"/>
      <c r="N153" s="1795"/>
      <c r="O153" s="1797"/>
      <c r="P153" s="1772"/>
      <c r="Q153" s="1795"/>
      <c r="R153" s="1797"/>
      <c r="S153" s="1772"/>
      <c r="T153" s="1812"/>
      <c r="U153" s="1818"/>
      <c r="V153" s="1772"/>
      <c r="W153" s="1812"/>
      <c r="X153" s="1820"/>
      <c r="Y153" s="1810"/>
      <c r="Z153" s="890"/>
      <c r="AA153" s="891"/>
    </row>
    <row r="154" spans="1:87" s="45" customFormat="1" ht="19.5" customHeight="1">
      <c r="A154" s="1800"/>
      <c r="B154" s="1852"/>
      <c r="C154" s="1623" t="s">
        <v>35</v>
      </c>
      <c r="D154" s="1800"/>
      <c r="E154" s="1798">
        <v>1</v>
      </c>
      <c r="F154" s="1798" t="s">
        <v>116</v>
      </c>
      <c r="G154" s="1718">
        <f>X$11</f>
        <v>200</v>
      </c>
      <c r="H154" s="1718">
        <f>Y$11</f>
        <v>0</v>
      </c>
      <c r="I154" s="1718">
        <f>Z$11</f>
        <v>0</v>
      </c>
      <c r="J154" s="1801">
        <f>IF($G154=0,0,IF($F154="recht",$GG154/$C$24,($G154-0.301*$C$24)/$C$24))+IF($H154=0,0,IF($F154="recht",$H154/$C$25,($H154-0.301*$C$25)/$C$25))+I154/$C$26</f>
        <v>5.58135294117647</v>
      </c>
      <c r="K154" s="1794">
        <f>10^(-J154)</f>
        <v>2.6220867674308296E-6</v>
      </c>
      <c r="L154" s="1796">
        <f>2.5*0.01*$C$7*$C$8*$C$11*($C$12+$C$13*$C$14)*E154/U$11/U$11*K154*$W$11^1.3/$D152/$D152*1000000</f>
        <v>1.7419398413490567E-3</v>
      </c>
      <c r="M154" s="1801">
        <f>IF($G154=0,0,IF($F154="recht",$G154/$D$24,($G154-0.301*$D$24)/$D$24))+IF($H154=0,0,IF($F154="recht",$H154/$D$25,($H154-0.301*$D$25)/$D$25))+I154/$D$26</f>
        <v>4.9621578947368423</v>
      </c>
      <c r="N154" s="1794">
        <f>10^(-M154)</f>
        <v>1.0910435979026304E-5</v>
      </c>
      <c r="O154" s="1796">
        <f>2.5*0.01*$C$7*$C$8*$D$11*($D$12+$D$13*$D$14)*E154/U$11/U$11*N154*$W$11^1.3/$D152/$D152*1000000</f>
        <v>7.2481671294866799E-3</v>
      </c>
      <c r="P154" s="1801">
        <f>IF($G154=0,0,IF($F154="recht",$G154/$E$24,(G154-0.301*$E$24)/$E$24))+IF($H154=0,0,IF($F154="recht",$H154/$E$25,($H154-0.301*$E$25)/$E$25))+I154/$E$26</f>
        <v>4.9483438320209974</v>
      </c>
      <c r="Q154" s="1794">
        <f>10^(-P154)</f>
        <v>1.1263054043136272E-5</v>
      </c>
      <c r="R154" s="1796">
        <f>2.5*0.01*$C$7*$C$8*$E$11*($E$12+$E$13*$E$14)*E154/U$11/U$11*Q154*$W$11^1.3/$D152/$D152*1000000</f>
        <v>7.4824230901520735E-3</v>
      </c>
      <c r="S154" s="1806">
        <f>IF(G$146=0,0,IF(F154="recht",$G154/$F$146,($G154-0.301*$F$24)/$F$24))+IF($H154=0,0,IF($F154="recht",$H154/$F$25,($H154-0.301*$F$25)/$F$25))+I154/$F$26</f>
        <v>6.2563770491803279</v>
      </c>
      <c r="T154" s="1811">
        <f>10^(-S154)</f>
        <v>5.5414440263229426E-7</v>
      </c>
      <c r="U154" s="1796">
        <f>2.5*0.01*$C$7*$C$8*$F$11*($F$12+$F$13*$F$14)*E154/U$11/U$11*T154*$W$11^1.3/$D152/$D152*1000000</f>
        <v>2.0861076276506701E-4</v>
      </c>
      <c r="V154" s="1806">
        <f>IF($G154=0,0,IF($F154="recht",$G154/$G$24,($G154-0.301*$G$24)/$G$24))+IF($H154=0,0,IF($F154="recht",$H154/$G$25,($H154-0.301*$G$25)/$G$25))+I154/$G$26</f>
        <v>5.3169775280898879</v>
      </c>
      <c r="W154" s="1811">
        <f>10^(-V154)</f>
        <v>4.8197273592906954E-6</v>
      </c>
      <c r="X154" s="1819">
        <f>2.5*0.01*$C$7*$C$8*$G$11*($G$12+$G$13*$G$14)*E154/U$11/U$11*W154*$W$11^1.3/$D152/$D152</f>
        <v>1.2273972646840874E-9</v>
      </c>
      <c r="Y154" s="1814">
        <f>SUM(L154,O154,R154,U154,X154)</f>
        <v>1.6681142051150143E-2</v>
      </c>
      <c r="Z154" s="890"/>
      <c r="AA154" s="891"/>
    </row>
    <row r="155" spans="1:87" s="45" customFormat="1" ht="19.5" customHeight="1" thickBot="1">
      <c r="A155" s="1711"/>
      <c r="B155" s="1853"/>
      <c r="C155" s="1624"/>
      <c r="D155" s="1800"/>
      <c r="E155" s="1799"/>
      <c r="F155" s="1799"/>
      <c r="G155" s="1800"/>
      <c r="H155" s="1800"/>
      <c r="I155" s="1800"/>
      <c r="J155" s="1802"/>
      <c r="K155" s="1795"/>
      <c r="L155" s="1797"/>
      <c r="M155" s="1802"/>
      <c r="N155" s="1795"/>
      <c r="O155" s="1797"/>
      <c r="P155" s="1802"/>
      <c r="Q155" s="1795"/>
      <c r="R155" s="1797"/>
      <c r="S155" s="1802"/>
      <c r="T155" s="1795"/>
      <c r="U155" s="1797"/>
      <c r="V155" s="1802"/>
      <c r="W155" s="1795"/>
      <c r="X155" s="1823"/>
      <c r="Y155" s="1821"/>
      <c r="Z155" s="892"/>
      <c r="AA155" s="893"/>
    </row>
    <row r="156" spans="1:87" s="325" customFormat="1" ht="19.5" customHeight="1">
      <c r="A156" s="1718" t="str">
        <f ca="1">'Linac 1'!A183</f>
        <v>T3</v>
      </c>
      <c r="B156" s="1851" t="str">
        <f ca="1">'Linac 1'!B183</f>
        <v>terreingrens 3</v>
      </c>
      <c r="C156" s="1623" t="s">
        <v>333</v>
      </c>
      <c r="D156" s="1627">
        <v>1</v>
      </c>
      <c r="E156" s="1627">
        <v>0</v>
      </c>
      <c r="F156" s="1627" t="s">
        <v>12</v>
      </c>
      <c r="G156" s="1627">
        <v>250</v>
      </c>
      <c r="H156" s="1627">
        <v>0</v>
      </c>
      <c r="I156" s="1627">
        <v>0</v>
      </c>
      <c r="J156" s="1656">
        <f>IF($G156=0,0,IF($F156="recht",1+($G156-$C$17)/$C$18,1+($G156-$C$17-0.301*$C$18)/$C$18))+IF($H156=0,0,IF($F156="recht",$H156/$C$19,($H156-0.301*$C$19)/$C$19))+$I156/$C$20</f>
        <v>7.4545454545454541</v>
      </c>
      <c r="K156" s="1791">
        <f>10^(-J156)</f>
        <v>3.5111917342151263E-8</v>
      </c>
      <c r="L156" s="1771">
        <f>$C$7*$C$11*$E156/$D156/$D156*K156*1000000</f>
        <v>0</v>
      </c>
      <c r="M156" s="1656">
        <f>IF($G156=0,0,IF($F156="recht",1+($G156-$D$17)/$D$18,1+($G156-$D$17-0.301*$D$18)/$D$18))+IF($H156=0,0,IF($F156="recht",$H156/$D$19,($H156-0.301*$D$19)/$D$19))+$I156/$D$20</f>
        <v>6.6486486486486482</v>
      </c>
      <c r="N156" s="1791">
        <f>10^(-M156)</f>
        <v>2.2456979955397711E-7</v>
      </c>
      <c r="O156" s="1771">
        <f>$C$7*$D$11*$E156/$D156/$D156*$N156*1000000</f>
        <v>0</v>
      </c>
      <c r="P156" s="1771">
        <f>IF($G156=0,0,IF($F156="recht",1+(G156-$E$17)/$E$18,1+(G156-$E$17-0.301*$E$18)/$E$18))+IF($H156=0,0,IF($F156="recht",$H156/$E$19,($H156-0.301*$E$19)/$E$19))+I156/$E$20</f>
        <v>6.024390243902439</v>
      </c>
      <c r="Q156" s="1791">
        <f>10^(-P156)</f>
        <v>9.4538728313079291E-7</v>
      </c>
      <c r="R156" s="1771">
        <f>$C$7*$E$11*$E156/$D156/$D156*$Q156*1000000</f>
        <v>0</v>
      </c>
      <c r="S156" s="1771">
        <f>IF($G156=0,0,IF($F156="recht",1+(G156-$F$17)/$F$18,1+(G156-$F$17-0.301*$F$18)/$F$18))+IF($H156=0,0,IF($F156="recht",$H156/$F$19,($H156-0.301*$F$19)/$F$19))+I156/$F$20</f>
        <v>9.1481481481481488</v>
      </c>
      <c r="T156" s="1791">
        <f>10^(-S156)</f>
        <v>7.1097094323124171E-10</v>
      </c>
      <c r="U156" s="1771">
        <f>$C$7*$F$11*$E156/$D156/$D156*$T156*1000000</f>
        <v>0</v>
      </c>
      <c r="V156" s="1771">
        <f>IF($G156=0,0,IF(F156="recht",1+(G156-$G$17)/$G$18,1+(G156-$G$17-0.301*$G$18)/$G$18))+IF($H156=0,0,IF($F156="recht",$H156/$G$19,($H156-0.301*$G$19)/$G$19))+I156/$G$20</f>
        <v>6.9444444444444446</v>
      </c>
      <c r="W156" s="1791">
        <f>10^(-V156)</f>
        <v>1.136463666385722E-7</v>
      </c>
      <c r="X156" s="1817">
        <f>$C$7*$G$11*$E156/$D156/$D156*$W156*1000000</f>
        <v>0</v>
      </c>
      <c r="Y156" s="1813">
        <f>SUM(L156,O156,R156,U156,X156)</f>
        <v>0</v>
      </c>
      <c r="Z156" s="886">
        <f>SUM(Y156:Y163)</f>
        <v>2.0415508389015229E-2</v>
      </c>
      <c r="AA156" s="887">
        <f>Z156*52/1000</f>
        <v>1.0616064362287919E-3</v>
      </c>
      <c r="AB156" s="45"/>
      <c r="AC156" s="45"/>
      <c r="AD156" s="45"/>
      <c r="AE156" s="45"/>
      <c r="AF156" s="66"/>
      <c r="AG156" s="53"/>
      <c r="AH156" s="53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53"/>
      <c r="AV156" s="53"/>
      <c r="AW156" s="53"/>
      <c r="AX156" s="53"/>
      <c r="AY156" s="428"/>
      <c r="AZ156" s="428"/>
      <c r="BA156" s="428"/>
      <c r="BB156" s="428"/>
      <c r="BC156" s="428"/>
      <c r="BD156" s="428"/>
      <c r="BE156" s="428"/>
      <c r="BF156" s="428"/>
      <c r="BG156" s="428"/>
      <c r="BH156" s="428"/>
      <c r="BI156" s="428"/>
      <c r="BJ156" s="428"/>
      <c r="BK156" s="428"/>
      <c r="BL156" s="428"/>
      <c r="BM156" s="428"/>
      <c r="BN156" s="428"/>
      <c r="BO156" s="428"/>
      <c r="BP156" s="385"/>
      <c r="BQ156" s="338"/>
      <c r="BR156" s="338"/>
      <c r="BS156" s="336"/>
      <c r="BT156" s="336"/>
      <c r="BU156" s="336"/>
      <c r="BV156" s="442"/>
      <c r="BW156" s="336"/>
      <c r="BX156" s="336"/>
      <c r="BY156" s="345"/>
      <c r="BZ156" s="345"/>
      <c r="CA156" s="345"/>
      <c r="CB156" s="345"/>
      <c r="CC156" s="345"/>
      <c r="CD156" s="355"/>
      <c r="CE156" s="355"/>
      <c r="CF156" s="355"/>
      <c r="CG156" s="382"/>
      <c r="CH156" s="382"/>
      <c r="CI156" s="382"/>
    </row>
    <row r="157" spans="1:87" s="325" customFormat="1" ht="19.5" customHeight="1">
      <c r="A157" s="1800"/>
      <c r="B157" s="1852"/>
      <c r="C157" s="1624"/>
      <c r="D157" s="1628"/>
      <c r="E157" s="1628"/>
      <c r="F157" s="1628"/>
      <c r="G157" s="1628"/>
      <c r="H157" s="1628"/>
      <c r="I157" s="1628"/>
      <c r="J157" s="1659"/>
      <c r="K157" s="1792"/>
      <c r="L157" s="1772"/>
      <c r="M157" s="1657"/>
      <c r="N157" s="1792"/>
      <c r="O157" s="1772"/>
      <c r="P157" s="1772"/>
      <c r="Q157" s="1792"/>
      <c r="R157" s="1772"/>
      <c r="S157" s="1772"/>
      <c r="T157" s="1792"/>
      <c r="U157" s="1772"/>
      <c r="V157" s="1772"/>
      <c r="W157" s="1792"/>
      <c r="X157" s="1808"/>
      <c r="Y157" s="1814"/>
      <c r="Z157" s="888"/>
      <c r="AA157" s="889"/>
      <c r="AB157" s="45"/>
      <c r="AC157" s="45"/>
      <c r="AD157" s="45"/>
      <c r="AE157" s="45"/>
      <c r="AF157" s="66"/>
      <c r="AG157" s="53"/>
      <c r="AH157" s="53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53"/>
      <c r="AV157" s="53"/>
      <c r="AW157" s="53"/>
      <c r="AX157" s="53"/>
      <c r="AY157" s="428"/>
      <c r="AZ157" s="428"/>
      <c r="BA157" s="428"/>
      <c r="BB157" s="428"/>
      <c r="BC157" s="428"/>
      <c r="BD157" s="428"/>
      <c r="BE157" s="428"/>
      <c r="BF157" s="428"/>
      <c r="BG157" s="428"/>
      <c r="BH157" s="428"/>
      <c r="BI157" s="428"/>
      <c r="BJ157" s="428"/>
      <c r="BK157" s="428"/>
      <c r="BL157" s="428"/>
      <c r="BM157" s="428"/>
      <c r="BN157" s="428"/>
      <c r="BO157" s="428"/>
      <c r="BP157" s="385"/>
      <c r="BQ157" s="338"/>
      <c r="BR157" s="338"/>
      <c r="BS157" s="336"/>
      <c r="BT157" s="336"/>
      <c r="BU157" s="336"/>
      <c r="BV157" s="442"/>
      <c r="BW157" s="336"/>
      <c r="BX157" s="336"/>
      <c r="BY157" s="345"/>
      <c r="BZ157" s="345"/>
      <c r="CA157" s="345"/>
      <c r="CB157" s="345"/>
      <c r="CC157" s="345"/>
      <c r="CD157" s="355"/>
      <c r="CE157" s="355"/>
      <c r="CF157" s="355"/>
      <c r="CG157" s="382"/>
      <c r="CH157" s="382"/>
      <c r="CI157" s="382"/>
    </row>
    <row r="158" spans="1:87" s="45" customFormat="1" ht="19.5" customHeight="1">
      <c r="A158" s="1800"/>
      <c r="B158" s="1852"/>
      <c r="C158" s="1687" t="s">
        <v>334</v>
      </c>
      <c r="D158" s="1626">
        <v>10</v>
      </c>
      <c r="E158" s="1815">
        <v>1</v>
      </c>
      <c r="F158" s="1628"/>
      <c r="G158" s="1628"/>
      <c r="H158" s="1628"/>
      <c r="I158" s="1628"/>
      <c r="J158" s="1772">
        <f>IF($G156=0,0,IF($F156="recht",$G156/$C$24,(G156-0.301*$C$24)/$C$24))+IF($H156=0,0,IF($F156="recht",$H156/$C$25,($H156-0.301*$C$25)/$C$25))+I156/$C$26</f>
        <v>7.3529411764705879</v>
      </c>
      <c r="K158" s="1792">
        <f>10^(-J158)</f>
        <v>4.4366873309786093E-8</v>
      </c>
      <c r="L158" s="1772">
        <f>$C$7*$C$8*$C$11*($C$12+$C$13*$C$14)*$E158/$D158/$D158*$K158*1000000</f>
        <v>2.6620123985871658E-4</v>
      </c>
      <c r="M158" s="1772">
        <f>IF($G156=0,0,IF(F156="recht",$G156/$D$24,($G156-0.301*$D$24)/$D$24))+IF($H156=0,0,IF($F156="recht",$H156/$D$25,($H156-0.301*$D$25)/$D$25))+I156/$D$26</f>
        <v>6.5789473684210522</v>
      </c>
      <c r="N158" s="1792">
        <f>10^(-M158)</f>
        <v>2.636650898730358E-7</v>
      </c>
      <c r="O158" s="1772">
        <f>$C$7*$C$8*$D$11*($D$12+$D$13*$D$14)*$E158/$D158/$D158*$N158*1000000</f>
        <v>1.581990539238215E-3</v>
      </c>
      <c r="P158" s="1772">
        <f>IF($G156=0,0,IF($F156="recht",$G156/$E$24,($G156-0.301*$E$24)/$E$24))+IF($H156=0,0,IF($F156="recht",$H156/$E$25,($H156-0.301*$E$25)/$E$25))+I156/$E$26</f>
        <v>6.5616797900262469</v>
      </c>
      <c r="Q158" s="1792">
        <f>10^(-P158)</f>
        <v>2.7435963093132793E-7</v>
      </c>
      <c r="R158" s="1772">
        <f>$C$7*$C$8*$E$11*($E$12+$E$13*$E$14)*$E158/$D158/$D158*$Q158*1000000</f>
        <v>1.6461577855879678E-3</v>
      </c>
      <c r="S158" s="1772">
        <f>IF($G156=0,0,IF($F156="recht",$G156/$F$24,(G156-0.301*$F$24)/$F$24))+IF($H156=0,0,IF($F156="recht",$H156/$F$25,($H156-0.301*$F$25)/$F$25))+I156/$F$26</f>
        <v>8.1967213114754092</v>
      </c>
      <c r="T158" s="1792">
        <f>10^(-S158)</f>
        <v>6.3573875711648393E-9</v>
      </c>
      <c r="U158" s="1772">
        <f>$C$7*$C$8*$F$11*($F$12+$F$13*$F$14)*$E158/$D158/$D158*$T158*1000000</f>
        <v>2.1615117741960457E-5</v>
      </c>
      <c r="V158" s="1772">
        <f>IF($G156=0,0,IF($F156="recht",$G156/$G$24,($G156-0.301*$G$24)/$G$24))+IF($H156=0,0,IF($F156="recht",$H156/$G$25,($H156-0.301*$G$25)/$G$25))+I156/$G$26</f>
        <v>7.0224719101123592</v>
      </c>
      <c r="W158" s="1792">
        <f>10^(-V158)</f>
        <v>9.4957241494880226E-8</v>
      </c>
      <c r="X158" s="1808">
        <f>$C$7*$C$8*$G$11*($G$12+$G$13*$G$14)*$E158/$D158/$D158*$W158*1000000</f>
        <v>2.1840165543822451E-4</v>
      </c>
      <c r="Y158" s="1810">
        <f>SUM(L158,O158,R158,U158,X158)</f>
        <v>3.7343663378650842E-3</v>
      </c>
      <c r="Z158" s="888"/>
      <c r="AA158" s="889"/>
      <c r="AF158" s="53"/>
      <c r="AG158" s="66"/>
      <c r="AH158" s="66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</row>
    <row r="159" spans="1:87" s="45" customFormat="1" ht="19.5" customHeight="1">
      <c r="A159" s="1800"/>
      <c r="B159" s="1852"/>
      <c r="C159" s="1688"/>
      <c r="D159" s="1689"/>
      <c r="E159" s="1816"/>
      <c r="F159" s="1628"/>
      <c r="G159" s="1628"/>
      <c r="H159" s="1628"/>
      <c r="I159" s="1628"/>
      <c r="J159" s="1773"/>
      <c r="K159" s="1793"/>
      <c r="L159" s="1773"/>
      <c r="M159" s="1773"/>
      <c r="N159" s="1793"/>
      <c r="O159" s="1773"/>
      <c r="P159" s="1773"/>
      <c r="Q159" s="1793"/>
      <c r="R159" s="1773"/>
      <c r="S159" s="1773"/>
      <c r="T159" s="1793"/>
      <c r="U159" s="1773"/>
      <c r="V159" s="1773"/>
      <c r="W159" s="1793"/>
      <c r="X159" s="1809"/>
      <c r="Y159" s="1810"/>
      <c r="Z159" s="888"/>
      <c r="AA159" s="889"/>
      <c r="AF159" s="53"/>
      <c r="AG159" s="66"/>
      <c r="AH159" s="66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</row>
    <row r="160" spans="1:87" s="45" customFormat="1" ht="19.5" customHeight="1">
      <c r="A160" s="1800"/>
      <c r="B160" s="1852"/>
      <c r="C160" s="1623" t="s">
        <v>34</v>
      </c>
      <c r="D160" s="1718">
        <f>D158</f>
        <v>10</v>
      </c>
      <c r="E160" s="1718">
        <f>E144</f>
        <v>0</v>
      </c>
      <c r="F160" s="1798" t="s">
        <v>12</v>
      </c>
      <c r="G160" s="1718">
        <f>X$10</f>
        <v>250</v>
      </c>
      <c r="H160" s="1718">
        <f>Y$10</f>
        <v>0</v>
      </c>
      <c r="I160" s="1718">
        <f>Z$10</f>
        <v>0</v>
      </c>
      <c r="J160" s="1801">
        <f>IF($G160=0,0,IF($F160="recht",1+(G160-$C$17)/$C$18,1+(G160-$C$17-0.301*$C$18)/$C$18))+IF($H160=0,0,IF($F160="recht",$H160/$C$19,($H160-0.301*$C$19)/$C$17))+I160/$C$20</f>
        <v>7.4545454545454541</v>
      </c>
      <c r="K160" s="1794">
        <f>10^(-J160)</f>
        <v>3.5111917342151263E-8</v>
      </c>
      <c r="L160" s="1796">
        <f>2.5*0.01*$C$7*$C$11*E160*K160/U$10/U$10*$W$10^1.3/$D160/$D160*1000000</f>
        <v>0</v>
      </c>
      <c r="M160" s="1656">
        <f>IF($G160=0,0,IF($F160="recht",1+($G160-$D$17)/$D$18,1+($G160-$D$17-0.301*$D$18)/$D$18))+IF($H160=0,0,IF($F160="recht",$H160/$D$19,($H160-0.301*$D$19)/$D$19))+$I160/$D$20</f>
        <v>6.6486486486486482</v>
      </c>
      <c r="N160" s="1794">
        <f>10^(-M160)</f>
        <v>2.2456979955397711E-7</v>
      </c>
      <c r="O160" s="1796">
        <f>2.5*0.01*$C$7*$D$11*E160*N160/U$10/U$10*$W$10^1.3/$D160/$D160*1000000</f>
        <v>0</v>
      </c>
      <c r="P160" s="1771">
        <f>IF($G160=0,0,IF($F160="recht",1+($G160-$E$17)/$E$18,1+($G160-$E$17-0.301*$E$18)/$E$18))+IF($H160=0,0,IF($F160="recht",$H160/$E$19,($H160-0.301*$E$19)/$E$19))+I160/$E$20</f>
        <v>6.024390243902439</v>
      </c>
      <c r="Q160" s="1794">
        <f>10^(-P160)</f>
        <v>9.4538728313079291E-7</v>
      </c>
      <c r="R160" s="1796">
        <f>2.5*0.01*$C$7*$E$11*E160*Q160/U$10/U$10*$W$10^1.3/$D160/$D160*1000000</f>
        <v>0</v>
      </c>
      <c r="S160" s="1771">
        <f>IF($G160=0,0,IF(F160="recht",1+(G160-$F$17)/$F$18,1+(G160-$F$17-0.301*$F$18)/$F$18))+IF($H160=0,0,IF($F160="recht",$H160/$F$19,($H160-0.301*$F$19)/$F$19))+I160/$F$20</f>
        <v>9.1481481481481488</v>
      </c>
      <c r="T160" s="1794">
        <f>10^(-S160)</f>
        <v>7.1097094323124171E-10</v>
      </c>
      <c r="U160" s="1796">
        <f>2.5*0.01*$C$7*$F$11*E160*T160/U$10/U$10*$W$10^1.3/$D160/$D160*1000000</f>
        <v>0</v>
      </c>
      <c r="V160" s="1771">
        <f>IF($G160=0,0,IF($F160="recht",1+(G160-$G$17)/$G$18,1+(G160-$G$17-0.301*$G$18)/$G$18))+IF($H160=0,0,IF($F160="recht",$H160/$G$19,($H160-0.301*$G$19)/$G$19))+I160/$G$20</f>
        <v>6.9444444444444446</v>
      </c>
      <c r="W160" s="1794">
        <f>10^(-V160)</f>
        <v>1.136463666385722E-7</v>
      </c>
      <c r="X160" s="1819">
        <f>2.5*0.01*$C$7*$G$11*E160*W160/U$10/U$10*$W$10^1.3/$D160/$D160*1000000</f>
        <v>0</v>
      </c>
      <c r="Y160" s="1810">
        <f>SUM(L160,O160,R160,U160,X160)</f>
        <v>0</v>
      </c>
      <c r="Z160" s="890"/>
      <c r="AA160" s="891"/>
    </row>
    <row r="161" spans="1:87" s="45" customFormat="1" ht="19.5" customHeight="1">
      <c r="A161" s="1800"/>
      <c r="B161" s="1852"/>
      <c r="C161" s="1624"/>
      <c r="D161" s="1800"/>
      <c r="E161" s="1800"/>
      <c r="F161" s="1799"/>
      <c r="G161" s="1800"/>
      <c r="H161" s="1800"/>
      <c r="I161" s="1800"/>
      <c r="J161" s="1802"/>
      <c r="K161" s="1795"/>
      <c r="L161" s="1797"/>
      <c r="M161" s="1657"/>
      <c r="N161" s="1795"/>
      <c r="O161" s="1797"/>
      <c r="P161" s="1772"/>
      <c r="Q161" s="1795"/>
      <c r="R161" s="1797"/>
      <c r="S161" s="1772"/>
      <c r="T161" s="1812"/>
      <c r="U161" s="1818"/>
      <c r="V161" s="1772"/>
      <c r="W161" s="1812"/>
      <c r="X161" s="1820"/>
      <c r="Y161" s="1810"/>
      <c r="Z161" s="890"/>
      <c r="AA161" s="891"/>
    </row>
    <row r="162" spans="1:87" s="45" customFormat="1" ht="19.5" customHeight="1">
      <c r="A162" s="1800"/>
      <c r="B162" s="1852"/>
      <c r="C162" s="1623" t="s">
        <v>35</v>
      </c>
      <c r="D162" s="1800"/>
      <c r="E162" s="1798">
        <v>1</v>
      </c>
      <c r="F162" s="1798" t="s">
        <v>116</v>
      </c>
      <c r="G162" s="1718">
        <f>X$11</f>
        <v>200</v>
      </c>
      <c r="H162" s="1718">
        <f>Y$11</f>
        <v>0</v>
      </c>
      <c r="I162" s="1718">
        <f>Z$11</f>
        <v>0</v>
      </c>
      <c r="J162" s="1801">
        <f>IF($G162=0,0,IF($F162="recht",$GG162/$C$24,($G162-0.301*$C$24)/$C$24))+IF($H162=0,0,IF($F162="recht",$H162/$C$25,($H162-0.301*$C$25)/$C$25))+I162/$C$26</f>
        <v>5.58135294117647</v>
      </c>
      <c r="K162" s="1794">
        <f>10^(-J162)</f>
        <v>2.6220867674308296E-6</v>
      </c>
      <c r="L162" s="1796">
        <f>2.5*0.01*$C$7*$C$8*$C$11*($C$12+$C$13*$C$14)*E162/U$11/U$11*K162*$W$11^1.3/$D160/$D160*1000000</f>
        <v>1.7419398413490567E-3</v>
      </c>
      <c r="M162" s="1801">
        <f>IF($G162=0,0,IF($F162="recht",$G162/$D$24,($G162-0.301*$D$24)/$D$24))+IF($H162=0,0,IF($F162="recht",$H162/$D$25,($H162-0.301*$D$25)/$D$25))+I162/$D$26</f>
        <v>4.9621578947368423</v>
      </c>
      <c r="N162" s="1794">
        <f>10^(-M162)</f>
        <v>1.0910435979026304E-5</v>
      </c>
      <c r="O162" s="1796">
        <f>2.5*0.01*$C$7*$C$8*$D$11*($D$12+$D$13*$D$14)*E162/U$11/U$11*N162*$W$11^1.3/$D160/$D160*1000000</f>
        <v>7.2481671294866799E-3</v>
      </c>
      <c r="P162" s="1801">
        <f>IF($G162=0,0,IF($F162="recht",$G162/$E$24,(G162-0.301*$E$24)/$E$24))+IF($H162=0,0,IF($F162="recht",$H162/$E$25,($H162-0.301*$E$25)/$E$25))+I162/$E$26</f>
        <v>4.9483438320209974</v>
      </c>
      <c r="Q162" s="1794">
        <f>10^(-P162)</f>
        <v>1.1263054043136272E-5</v>
      </c>
      <c r="R162" s="1796">
        <f>2.5*0.01*$C$7*$C$8*$E$11*($E$12+$E$13*$E$14)*E162/U$11/U$11*Q162*$W$11^1.3/$D160/$D160*1000000</f>
        <v>7.4824230901520735E-3</v>
      </c>
      <c r="S162" s="1806">
        <f>IF(G$146=0,0,IF(F162="recht",$G162/$F$146,($G162-0.301*$F$24)/$F$24))+IF($H162=0,0,IF($F162="recht",$H162/$F$25,($H162-0.301*$F$25)/$F$25))+I162/$F$26</f>
        <v>6.2563770491803279</v>
      </c>
      <c r="T162" s="1811">
        <f>10^(-S162)</f>
        <v>5.5414440263229426E-7</v>
      </c>
      <c r="U162" s="1796">
        <f>2.5*0.01*$C$7*$C$8*$F$11*($F$12+$F$13*$F$14)*E162/U$11/U$11*T162*$W$11^1.3/$D160/$D160*1000000</f>
        <v>2.0861076276506701E-4</v>
      </c>
      <c r="V162" s="1806">
        <f>IF($G162=0,0,IF($F162="recht",$G162/$G$24,($G162-0.301*$G$24)/$G$24))+IF($H162=0,0,IF($F162="recht",$H162/$G$25,($H162-0.301*$G$25)/$G$25))+I162/$G$26</f>
        <v>5.3169775280898879</v>
      </c>
      <c r="W162" s="1811">
        <f>10^(-V162)</f>
        <v>4.8197273592906954E-6</v>
      </c>
      <c r="X162" s="1819">
        <f>2.5*0.01*$C$7*$C$8*$G$11*($G$12+$G$13*$G$14)*E162/U$11/U$11*W162*$W$11^1.3/$D160/$D160</f>
        <v>1.2273972646840874E-9</v>
      </c>
      <c r="Y162" s="1814">
        <f>SUM(L162,O162,R162,U162,X162)</f>
        <v>1.6681142051150143E-2</v>
      </c>
      <c r="Z162" s="890"/>
      <c r="AA162" s="891"/>
    </row>
    <row r="163" spans="1:87" s="45" customFormat="1" ht="19.5" customHeight="1" thickBot="1">
      <c r="A163" s="1711"/>
      <c r="B163" s="1853"/>
      <c r="C163" s="1624"/>
      <c r="D163" s="1800"/>
      <c r="E163" s="1799"/>
      <c r="F163" s="1799"/>
      <c r="G163" s="1800"/>
      <c r="H163" s="1800"/>
      <c r="I163" s="1800"/>
      <c r="J163" s="1802"/>
      <c r="K163" s="1795"/>
      <c r="L163" s="1797"/>
      <c r="M163" s="1802"/>
      <c r="N163" s="1795"/>
      <c r="O163" s="1797"/>
      <c r="P163" s="1802"/>
      <c r="Q163" s="1795"/>
      <c r="R163" s="1797"/>
      <c r="S163" s="1802"/>
      <c r="T163" s="1795"/>
      <c r="U163" s="1797"/>
      <c r="V163" s="1802"/>
      <c r="W163" s="1795"/>
      <c r="X163" s="1823"/>
      <c r="Y163" s="1821"/>
      <c r="Z163" s="892"/>
      <c r="AA163" s="893"/>
    </row>
    <row r="164" spans="1:87" s="325" customFormat="1" ht="19.5" customHeight="1">
      <c r="A164" s="1718" t="str">
        <f ca="1">'Linac 1'!A$191</f>
        <v>T4</v>
      </c>
      <c r="B164" s="1851" t="str">
        <f ca="1">'Linac 1'!B191</f>
        <v>terreingrens 4</v>
      </c>
      <c r="C164" s="1623" t="s">
        <v>333</v>
      </c>
      <c r="D164" s="1627">
        <v>1</v>
      </c>
      <c r="E164" s="1627">
        <v>0</v>
      </c>
      <c r="F164" s="1627" t="s">
        <v>12</v>
      </c>
      <c r="G164" s="1627">
        <v>250</v>
      </c>
      <c r="H164" s="1627">
        <v>0</v>
      </c>
      <c r="I164" s="1627">
        <v>0</v>
      </c>
      <c r="J164" s="1656">
        <f>IF($G164=0,0,IF($F164="recht",1+($G164-$C$17)/$C$18,1+($G164-$C$17-0.301*$C$18)/$C$18))+IF($H164=0,0,IF($F164="recht",$H164/$C$19,($H164-0.301*$C$19)/$C$19))+$I164/$C$20</f>
        <v>7.4545454545454541</v>
      </c>
      <c r="K164" s="1791">
        <f>10^(-J164)</f>
        <v>3.5111917342151263E-8</v>
      </c>
      <c r="L164" s="1771">
        <f>$C$7*$C$11*$E164/$D164/$D164*K164*1000000</f>
        <v>0</v>
      </c>
      <c r="M164" s="1656">
        <f>IF($G164=0,0,IF($F164="recht",1+($G164-$D$17)/$D$18,1+($G164-$D$17-0.301*$D$18)/$D$18))+IF($H164=0,0,IF($F164="recht",$H164/$D$19,($H164-0.301*$D$19)/$D$19))+$I164/$D$20</f>
        <v>6.6486486486486482</v>
      </c>
      <c r="N164" s="1791">
        <f>10^(-M164)</f>
        <v>2.2456979955397711E-7</v>
      </c>
      <c r="O164" s="1771">
        <f>$C$7*$D$11*$E164/$D164/$D164*$N164*1000000</f>
        <v>0</v>
      </c>
      <c r="P164" s="1771">
        <f>IF($G164=0,0,IF($F164="recht",1+(G164-$E$17)/$E$18,1+(G164-$E$17-0.301*$E$18)/$E$18))+IF($H164=0,0,IF($F164="recht",$H164/$E$19,($H164-0.301*$E$19)/$E$19))+I164/$E$20</f>
        <v>6.024390243902439</v>
      </c>
      <c r="Q164" s="1791">
        <f>10^(-P164)</f>
        <v>9.4538728313079291E-7</v>
      </c>
      <c r="R164" s="1771">
        <f>$C$7*$E$11*$E164/$D164/$D164*$Q164*1000000</f>
        <v>0</v>
      </c>
      <c r="S164" s="1771">
        <f>IF($G164=0,0,IF($F164="recht",1+(G164-$F$17)/$F$18,1+(G164-$F$17-0.301*$F$18)/$F$18))+IF($H164=0,0,IF($F164="recht",$H164/$F$19,($H164-0.301*$F$19)/$F$19))+I164/$F$20</f>
        <v>9.1481481481481488</v>
      </c>
      <c r="T164" s="1791">
        <f>10^(-S164)</f>
        <v>7.1097094323124171E-10</v>
      </c>
      <c r="U164" s="1771">
        <f>$C$7*$F$11*$E164/$D164/$D164*$T164*1000000</f>
        <v>0</v>
      </c>
      <c r="V164" s="1771">
        <f>IF($G164=0,0,IF(F164="recht",1+(G164-$G$17)/$G$18,1+(G164-$G$17-0.301*$G$18)/$G$18))+IF($H164=0,0,IF($F164="recht",$H164/$G$19,($H164-0.301*$G$19)/$G$19))+I164/$G$20</f>
        <v>6.9444444444444446</v>
      </c>
      <c r="W164" s="1791">
        <f>10^(-V164)</f>
        <v>1.136463666385722E-7</v>
      </c>
      <c r="X164" s="1817">
        <f>$C$7*$G$11*$E164/$D164/$D164*$W164*1000000</f>
        <v>0</v>
      </c>
      <c r="Y164" s="1813">
        <f>SUM(L164,O164,R164,U164,X164)</f>
        <v>0</v>
      </c>
      <c r="Z164" s="886">
        <f>SUM(Y164:Y171)</f>
        <v>2.0415508389015229E-2</v>
      </c>
      <c r="AA164" s="887">
        <f>Z164*52/1000</f>
        <v>1.0616064362287919E-3</v>
      </c>
      <c r="AB164" s="45"/>
      <c r="AC164" s="45"/>
      <c r="AD164" s="45"/>
      <c r="AE164" s="45"/>
      <c r="AF164" s="66"/>
      <c r="AG164" s="53"/>
      <c r="AH164" s="53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53"/>
      <c r="AV164" s="53"/>
      <c r="AW164" s="53"/>
      <c r="AX164" s="53"/>
      <c r="AY164" s="428"/>
      <c r="AZ164" s="428"/>
      <c r="BA164" s="428"/>
      <c r="BB164" s="428"/>
      <c r="BC164" s="428"/>
      <c r="BD164" s="428"/>
      <c r="BE164" s="428"/>
      <c r="BF164" s="428"/>
      <c r="BG164" s="428"/>
      <c r="BH164" s="428"/>
      <c r="BI164" s="428"/>
      <c r="BJ164" s="428"/>
      <c r="BK164" s="428"/>
      <c r="BL164" s="428"/>
      <c r="BM164" s="428"/>
      <c r="BN164" s="428"/>
      <c r="BO164" s="428"/>
      <c r="BP164" s="385"/>
      <c r="BQ164" s="338"/>
      <c r="BR164" s="338"/>
      <c r="BS164" s="336"/>
      <c r="BT164" s="336"/>
      <c r="BU164" s="336"/>
      <c r="BV164" s="442"/>
      <c r="BW164" s="336"/>
      <c r="BX164" s="336"/>
      <c r="BY164" s="345"/>
      <c r="BZ164" s="345"/>
      <c r="CA164" s="345"/>
      <c r="CB164" s="345"/>
      <c r="CC164" s="345"/>
      <c r="CD164" s="355"/>
      <c r="CE164" s="355"/>
      <c r="CF164" s="355"/>
      <c r="CG164" s="382"/>
      <c r="CH164" s="382"/>
      <c r="CI164" s="382"/>
    </row>
    <row r="165" spans="1:87" s="325" customFormat="1" ht="19.5" customHeight="1">
      <c r="A165" s="1800"/>
      <c r="B165" s="1852"/>
      <c r="C165" s="1624"/>
      <c r="D165" s="1628"/>
      <c r="E165" s="1628"/>
      <c r="F165" s="1628"/>
      <c r="G165" s="1628"/>
      <c r="H165" s="1628"/>
      <c r="I165" s="1628"/>
      <c r="J165" s="1659"/>
      <c r="K165" s="1792"/>
      <c r="L165" s="1772"/>
      <c r="M165" s="1657"/>
      <c r="N165" s="1792"/>
      <c r="O165" s="1772"/>
      <c r="P165" s="1772"/>
      <c r="Q165" s="1792"/>
      <c r="R165" s="1772"/>
      <c r="S165" s="1772"/>
      <c r="T165" s="1792"/>
      <c r="U165" s="1772"/>
      <c r="V165" s="1772"/>
      <c r="W165" s="1792"/>
      <c r="X165" s="1808"/>
      <c r="Y165" s="1814"/>
      <c r="Z165" s="888"/>
      <c r="AA165" s="889"/>
      <c r="AB165" s="45"/>
      <c r="AC165" s="45"/>
      <c r="AD165" s="45"/>
      <c r="AE165" s="45"/>
      <c r="AF165" s="66"/>
      <c r="AG165" s="53"/>
      <c r="AH165" s="53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53"/>
      <c r="AV165" s="53"/>
      <c r="AW165" s="53"/>
      <c r="AX165" s="53"/>
      <c r="AY165" s="428"/>
      <c r="AZ165" s="428"/>
      <c r="BA165" s="428"/>
      <c r="BB165" s="428"/>
      <c r="BC165" s="428"/>
      <c r="BD165" s="428"/>
      <c r="BE165" s="428"/>
      <c r="BF165" s="428"/>
      <c r="BG165" s="428"/>
      <c r="BH165" s="428"/>
      <c r="BI165" s="428"/>
      <c r="BJ165" s="428"/>
      <c r="BK165" s="428"/>
      <c r="BL165" s="428"/>
      <c r="BM165" s="428"/>
      <c r="BN165" s="428"/>
      <c r="BO165" s="428"/>
      <c r="BP165" s="385"/>
      <c r="BQ165" s="338"/>
      <c r="BR165" s="338"/>
      <c r="BS165" s="336"/>
      <c r="BT165" s="336"/>
      <c r="BU165" s="336"/>
      <c r="BV165" s="442"/>
      <c r="BW165" s="336"/>
      <c r="BX165" s="336"/>
      <c r="BY165" s="345"/>
      <c r="BZ165" s="345"/>
      <c r="CA165" s="345"/>
      <c r="CB165" s="345"/>
      <c r="CC165" s="345"/>
      <c r="CD165" s="355"/>
      <c r="CE165" s="355"/>
      <c r="CF165" s="355"/>
      <c r="CG165" s="382"/>
      <c r="CH165" s="382"/>
      <c r="CI165" s="382"/>
    </row>
    <row r="166" spans="1:87" s="45" customFormat="1" ht="19.5" customHeight="1">
      <c r="A166" s="1800"/>
      <c r="B166" s="1852"/>
      <c r="C166" s="1687" t="s">
        <v>334</v>
      </c>
      <c r="D166" s="1626">
        <v>10</v>
      </c>
      <c r="E166" s="1815">
        <v>1</v>
      </c>
      <c r="F166" s="1628"/>
      <c r="G166" s="1628"/>
      <c r="H166" s="1628"/>
      <c r="I166" s="1628"/>
      <c r="J166" s="1772">
        <f>IF($G164=0,0,IF($F164="recht",$G164/$C$24,(G164-0.301*$C$24)/$C$24))+IF($H164=0,0,IF($F164="recht",$H164/$C$25,($H164-0.301*$C$25)/$C$25))+I164/$C$26</f>
        <v>7.3529411764705879</v>
      </c>
      <c r="K166" s="1792">
        <f>10^(-J166)</f>
        <v>4.4366873309786093E-8</v>
      </c>
      <c r="L166" s="1772">
        <f>$C$7*$C$8*$C$11*($C$12+$C$13*$C$14)*$E166/$D166/$D166*$K166*1000000</f>
        <v>2.6620123985871658E-4</v>
      </c>
      <c r="M166" s="1772">
        <f>IF($G164=0,0,IF(F164="recht",$G164/$D$24,($G164-0.301*$D$24)/$D$24))+IF($H164=0,0,IF($F164="recht",$H164/$D$25,($H164-0.301*$D$25)/$D$25))+I164/$D$26</f>
        <v>6.5789473684210522</v>
      </c>
      <c r="N166" s="1792">
        <f>10^(-M166)</f>
        <v>2.636650898730358E-7</v>
      </c>
      <c r="O166" s="1772">
        <f>$C$7*$C$8*$D$11*($D$12+$D$13*$D$14)*$E166/$D166/$D166*$N166*1000000</f>
        <v>1.581990539238215E-3</v>
      </c>
      <c r="P166" s="1772">
        <f>IF($G164=0,0,IF($F164="recht",$G164/$E$24,($G164-0.301*$E$24)/$E$24))+IF($H164=0,0,IF($F164="recht",$H164/$E$25,($H164-0.301*$E$25)/$E$25))+I164/$E$26</f>
        <v>6.5616797900262469</v>
      </c>
      <c r="Q166" s="1792">
        <f>10^(-P166)</f>
        <v>2.7435963093132793E-7</v>
      </c>
      <c r="R166" s="1772">
        <f>$C$7*$C$8*$E$11*($E$12+$E$13*$E$14)*$E166/$D166/$D166*$Q166*1000000</f>
        <v>1.6461577855879678E-3</v>
      </c>
      <c r="S166" s="1772">
        <f>IF($G164=0,0,IF($F164="recht",$G164/$F$24,(G164-0.301*$F$24)/$F$24))+IF($H164=0,0,IF($F164="recht",$H164/$F$25,($H164-0.301*$F$25)/$F$25))+I164/$F$26</f>
        <v>8.1967213114754092</v>
      </c>
      <c r="T166" s="1792">
        <f>10^(-S166)</f>
        <v>6.3573875711648393E-9</v>
      </c>
      <c r="U166" s="1772">
        <f>$C$7*$C$8*$F$11*($F$12+$F$13*$F$14)*$E166/$D166/$D166*$T166*1000000</f>
        <v>2.1615117741960457E-5</v>
      </c>
      <c r="V166" s="1772">
        <f>IF($G164=0,0,IF($F164="recht",$G164/$G$24,($G164-0.301*$G$24)/$G$24))+IF($H164=0,0,IF($F164="recht",$H164/$G$25,($H164-0.301*$G$25)/$G$25))+I164/$G$26</f>
        <v>7.0224719101123592</v>
      </c>
      <c r="W166" s="1792">
        <f>10^(-V166)</f>
        <v>9.4957241494880226E-8</v>
      </c>
      <c r="X166" s="1808">
        <f>$C$7*$C$8*$G$11*($G$12+$G$13*$G$14)*$E166/$D166/$D166*$W166*1000000</f>
        <v>2.1840165543822451E-4</v>
      </c>
      <c r="Y166" s="1810">
        <f>SUM(L166,O166,R166,U166,X166)</f>
        <v>3.7343663378650842E-3</v>
      </c>
      <c r="Z166" s="888"/>
      <c r="AA166" s="889"/>
      <c r="AF166" s="53"/>
      <c r="AG166" s="66"/>
      <c r="AH166" s="66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</row>
    <row r="167" spans="1:87" s="45" customFormat="1" ht="19.5" customHeight="1">
      <c r="A167" s="1800"/>
      <c r="B167" s="1852"/>
      <c r="C167" s="1688"/>
      <c r="D167" s="1689"/>
      <c r="E167" s="1816"/>
      <c r="F167" s="1628"/>
      <c r="G167" s="1628"/>
      <c r="H167" s="1628"/>
      <c r="I167" s="1628"/>
      <c r="J167" s="1773"/>
      <c r="K167" s="1793"/>
      <c r="L167" s="1773"/>
      <c r="M167" s="1773"/>
      <c r="N167" s="1793"/>
      <c r="O167" s="1773"/>
      <c r="P167" s="1773"/>
      <c r="Q167" s="1793"/>
      <c r="R167" s="1773"/>
      <c r="S167" s="1773"/>
      <c r="T167" s="1793"/>
      <c r="U167" s="1773"/>
      <c r="V167" s="1773"/>
      <c r="W167" s="1793"/>
      <c r="X167" s="1809"/>
      <c r="Y167" s="1810"/>
      <c r="Z167" s="888"/>
      <c r="AA167" s="889"/>
      <c r="AF167" s="53"/>
      <c r="AG167" s="66"/>
      <c r="AH167" s="66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</row>
    <row r="168" spans="1:87" s="45" customFormat="1" ht="19.5" customHeight="1">
      <c r="A168" s="1800"/>
      <c r="B168" s="1852"/>
      <c r="C168" s="1623" t="s">
        <v>34</v>
      </c>
      <c r="D168" s="1718">
        <f>D166</f>
        <v>10</v>
      </c>
      <c r="E168" s="1718">
        <f>E144</f>
        <v>0</v>
      </c>
      <c r="F168" s="1798" t="s">
        <v>12</v>
      </c>
      <c r="G168" s="1718">
        <f>X$10</f>
        <v>250</v>
      </c>
      <c r="H168" s="1718">
        <f>Y$10</f>
        <v>0</v>
      </c>
      <c r="I168" s="1718">
        <f>Z$10</f>
        <v>0</v>
      </c>
      <c r="J168" s="1801">
        <f>IF($G168=0,0,IF($F168="recht",1+(G168-$C$17)/$C$18,1+(G168-$C$17-0.301*$C$18)/$C$18))+IF($H168=0,0,IF($F168="recht",$H168/$C$19,($H168-0.301*$C$19)/$C$17))+I168/$C$20</f>
        <v>7.4545454545454541</v>
      </c>
      <c r="K168" s="1794">
        <f>10^(-J168)</f>
        <v>3.5111917342151263E-8</v>
      </c>
      <c r="L168" s="1796">
        <f>2.5*0.01*$C$7*$C$11*E168*K168/U$10/U$10*$W$10^1.3/$D168/$D168*1000000</f>
        <v>0</v>
      </c>
      <c r="M168" s="1656">
        <f>IF($G168=0,0,IF($F168="recht",1+($G168-$D$17)/$D$18,1+($G168-$D$17-0.301*$D$18)/$D$18))+IF($H168=0,0,IF($F168="recht",$H168/$D$19,($H168-0.301*$D$19)/$D$19))+$I168/$D$20</f>
        <v>6.6486486486486482</v>
      </c>
      <c r="N168" s="1794">
        <f>10^(-M168)</f>
        <v>2.2456979955397711E-7</v>
      </c>
      <c r="O168" s="1796">
        <f>2.5*0.01*$C$7*$D$11*E168*N168/U$10/U$10*$W$10^1.3/$D168/$D168*1000000</f>
        <v>0</v>
      </c>
      <c r="P168" s="1771">
        <f>IF($G168=0,0,IF($F168="recht",1+($G168-$E$17)/$E$18,1+($G168-$E$17-0.301*$E$18)/$E$18))+IF($H168=0,0,IF($F168="recht",$H168/$E$19,($H168-0.301*$E$19)/$E$19))+I168/$E$20</f>
        <v>6.024390243902439</v>
      </c>
      <c r="Q168" s="1794">
        <f>10^(-P168)</f>
        <v>9.4538728313079291E-7</v>
      </c>
      <c r="R168" s="1796">
        <f>2.5*0.01*$C$7*$E$11*E168*Q168/U$10/U$10*$W$10^1.3/$D168/$D168*1000000</f>
        <v>0</v>
      </c>
      <c r="S168" s="1771">
        <f>IF($G168=0,0,IF(F168="recht",1+(G168-$F$17)/$F$18,1+(G168-$F$17-0.301*$F$18)/$F$18))+IF($H168=0,0,IF($F168="recht",$H168/$F$19,($H168-0.301*$F$19)/$F$19))+I168/$F$20</f>
        <v>9.1481481481481488</v>
      </c>
      <c r="T168" s="1794">
        <f>10^(-S168)</f>
        <v>7.1097094323124171E-10</v>
      </c>
      <c r="U168" s="1796">
        <f>2.5*0.01*$C$7*$F$11*E168*T168/U$10/U$10*$W$10^1.3/$D168/$D168*1000000</f>
        <v>0</v>
      </c>
      <c r="V168" s="1771">
        <f>IF($G168=0,0,IF($F168="recht",1+(G168-$G$17)/$G$18,1+(G168-$G$17-0.301*$G$18)/$G$18))+IF($H168=0,0,IF($F168="recht",$H168/$G$19,($H168-0.301*$G$19)/$G$19))+I168/$G$20</f>
        <v>6.9444444444444446</v>
      </c>
      <c r="W168" s="1794">
        <f>10^(-V168)</f>
        <v>1.136463666385722E-7</v>
      </c>
      <c r="X168" s="1819">
        <f>2.5*0.01*$C$7*$G$11*E168*W168/U$10/U$10*$W$10^1.3/$D168/$D168*1000000</f>
        <v>0</v>
      </c>
      <c r="Y168" s="1810">
        <f>SUM(L168,O168,R168,U168,X168)</f>
        <v>0</v>
      </c>
      <c r="Z168" s="890"/>
      <c r="AA168" s="891"/>
    </row>
    <row r="169" spans="1:87" s="45" customFormat="1" ht="19.5" customHeight="1">
      <c r="A169" s="1800"/>
      <c r="B169" s="1852"/>
      <c r="C169" s="1624"/>
      <c r="D169" s="1800"/>
      <c r="E169" s="1800"/>
      <c r="F169" s="1799"/>
      <c r="G169" s="1800"/>
      <c r="H169" s="1800"/>
      <c r="I169" s="1800"/>
      <c r="J169" s="1802"/>
      <c r="K169" s="1795"/>
      <c r="L169" s="1797"/>
      <c r="M169" s="1657"/>
      <c r="N169" s="1795"/>
      <c r="O169" s="1797"/>
      <c r="P169" s="1772"/>
      <c r="Q169" s="1795"/>
      <c r="R169" s="1797"/>
      <c r="S169" s="1772"/>
      <c r="T169" s="1812"/>
      <c r="U169" s="1818"/>
      <c r="V169" s="1772"/>
      <c r="W169" s="1812"/>
      <c r="X169" s="1820"/>
      <c r="Y169" s="1810"/>
      <c r="Z169" s="890"/>
      <c r="AA169" s="891"/>
    </row>
    <row r="170" spans="1:87" s="45" customFormat="1" ht="19.5" customHeight="1">
      <c r="A170" s="1800"/>
      <c r="B170" s="1852"/>
      <c r="C170" s="1623" t="s">
        <v>35</v>
      </c>
      <c r="D170" s="1800"/>
      <c r="E170" s="1798">
        <v>1</v>
      </c>
      <c r="F170" s="1798" t="s">
        <v>116</v>
      </c>
      <c r="G170" s="1718">
        <f>X$11</f>
        <v>200</v>
      </c>
      <c r="H170" s="1718">
        <f>Y$11</f>
        <v>0</v>
      </c>
      <c r="I170" s="1718">
        <f>Z$11</f>
        <v>0</v>
      </c>
      <c r="J170" s="1801">
        <f>IF($G170=0,0,IF($F170="recht",$GG170/$C$24,($G170-0.301*$C$24)/$C$24))+IF($H170=0,0,IF($F170="recht",$H170/$C$25,($H170-0.301*$C$25)/$C$25))+I170/$C$26</f>
        <v>5.58135294117647</v>
      </c>
      <c r="K170" s="1794">
        <f>10^(-J170)</f>
        <v>2.6220867674308296E-6</v>
      </c>
      <c r="L170" s="1796">
        <f>2.5*0.01*$C$7*$C$8*$C$11*($C$12+$C$13*$C$14)*E170/U$11/U$11*K170*$W$11^1.3/$D168/$D168*1000000</f>
        <v>1.7419398413490567E-3</v>
      </c>
      <c r="M170" s="1801">
        <f>IF($G170=0,0,IF($F170="recht",$G170/$D$24,($G170-0.301*$D$24)/$D$24))+IF($H170=0,0,IF($F170="recht",$H170/$D$25,($H170-0.301*$D$25)/$D$25))+I170/$D$26</f>
        <v>4.9621578947368423</v>
      </c>
      <c r="N170" s="1794">
        <f>10^(-M170)</f>
        <v>1.0910435979026304E-5</v>
      </c>
      <c r="O170" s="1796">
        <f>2.5*0.01*$C$7*$C$8*$D$11*($D$12+$D$13*$D$14)*E170/U$11/U$11*N170*$W$11^1.3/$D168/$D168*1000000</f>
        <v>7.2481671294866799E-3</v>
      </c>
      <c r="P170" s="1801">
        <f>IF($G170=0,0,IF($F170="recht",$G170/$E$24,(G170-0.301*$E$24)/$E$24))+IF($H170=0,0,IF($F170="recht",$H170/$E$25,($H170-0.301*$E$25)/$E$25))+I170/$E$26</f>
        <v>4.9483438320209974</v>
      </c>
      <c r="Q170" s="1794">
        <f>10^(-P170)</f>
        <v>1.1263054043136272E-5</v>
      </c>
      <c r="R170" s="1796">
        <f>2.5*0.01*$C$7*$C$8*$E$11*($E$12+$E$13*$E$14)*E170/U$11/U$11*Q170*$W$11^1.3/$D168/$D168*1000000</f>
        <v>7.4824230901520735E-3</v>
      </c>
      <c r="S170" s="1806">
        <f>IF(G$146=0,0,IF(F170="recht",$G170/$F$146,($G170-0.301*$F$24)/$F$24))+IF($H170=0,0,IF($F170="recht",$H170/$F$25,($H170-0.301*$F$25)/$F$25))+I170/$F$26</f>
        <v>6.2563770491803279</v>
      </c>
      <c r="T170" s="1811">
        <f>10^(-S170)</f>
        <v>5.5414440263229426E-7</v>
      </c>
      <c r="U170" s="1796">
        <f>2.5*0.01*$C$7*$C$8*$F$11*($F$12+$F$13*$F$14)*E170/U$11/U$11*T170*$W$11^1.3/$D168/$D168*1000000</f>
        <v>2.0861076276506701E-4</v>
      </c>
      <c r="V170" s="1806">
        <f>IF($G170=0,0,IF($F170="recht",$G170/$G$24,($G170-0.301*$G$24)/$G$24))+IF($H170=0,0,IF($F170="recht",$H170/$G$25,($H170-0.301*$G$25)/$G$25))+I170/$G$26</f>
        <v>5.3169775280898879</v>
      </c>
      <c r="W170" s="1811">
        <f>10^(-V170)</f>
        <v>4.8197273592906954E-6</v>
      </c>
      <c r="X170" s="1819">
        <f>2.5*0.01*$C$7*$C$8*$G$11*($G$12+$G$13*$G$14)*E170/U$11/U$11*W170*$W$11^1.3/$D168/$D168</f>
        <v>1.2273972646840874E-9</v>
      </c>
      <c r="Y170" s="1814">
        <f>SUM(L170,O170,R170,U170,X170)</f>
        <v>1.6681142051150143E-2</v>
      </c>
      <c r="Z170" s="890"/>
      <c r="AA170" s="891"/>
    </row>
    <row r="171" spans="1:87" s="45" customFormat="1" ht="19.5" customHeight="1" thickBot="1">
      <c r="A171" s="1711"/>
      <c r="B171" s="1853"/>
      <c r="C171" s="1726"/>
      <c r="D171" s="1711"/>
      <c r="E171" s="1822"/>
      <c r="F171" s="1822"/>
      <c r="G171" s="1711"/>
      <c r="H171" s="1711"/>
      <c r="I171" s="1711"/>
      <c r="J171" s="1802"/>
      <c r="K171" s="1795"/>
      <c r="L171" s="1797"/>
      <c r="M171" s="1802"/>
      <c r="N171" s="1795"/>
      <c r="O171" s="1797"/>
      <c r="P171" s="1802"/>
      <c r="Q171" s="1795"/>
      <c r="R171" s="1797"/>
      <c r="S171" s="1802"/>
      <c r="T171" s="1795"/>
      <c r="U171" s="1797"/>
      <c r="V171" s="1802"/>
      <c r="W171" s="1795"/>
      <c r="X171" s="1823"/>
      <c r="Y171" s="1821"/>
      <c r="Z171" s="892"/>
      <c r="AA171" s="893"/>
    </row>
    <row r="172" spans="1:87" s="331" customFormat="1" ht="19.5" customHeight="1">
      <c r="V172" s="311"/>
      <c r="W172" s="311"/>
      <c r="X172" s="311"/>
      <c r="Y172" s="311"/>
      <c r="Z172" s="311"/>
      <c r="AA172" s="311"/>
      <c r="AB172" s="321"/>
      <c r="AC172" s="321"/>
      <c r="AD172" s="321"/>
      <c r="AE172" s="321"/>
      <c r="AF172" s="321"/>
      <c r="AG172" s="321"/>
      <c r="AH172" s="321"/>
      <c r="AI172" s="321"/>
      <c r="AJ172" s="321"/>
      <c r="AK172" s="321"/>
      <c r="AL172" s="321"/>
      <c r="AM172" s="321"/>
      <c r="AN172" s="321"/>
      <c r="AO172" s="321"/>
      <c r="AP172" s="321"/>
      <c r="AQ172" s="321"/>
      <c r="AR172" s="321"/>
      <c r="AS172" s="321"/>
      <c r="AT172" s="321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21"/>
      <c r="BE172" s="321"/>
      <c r="BF172" s="321"/>
      <c r="BG172" s="321"/>
      <c r="BH172" s="321"/>
      <c r="BI172" s="321"/>
      <c r="BJ172" s="321"/>
      <c r="BK172" s="321"/>
      <c r="BL172" s="321"/>
      <c r="BM172" s="321"/>
      <c r="BN172" s="321"/>
      <c r="BO172" s="321"/>
      <c r="BP172" s="321"/>
      <c r="BQ172" s="321"/>
      <c r="BR172" s="321"/>
      <c r="BS172" s="321"/>
      <c r="BT172" s="321"/>
      <c r="BU172" s="321"/>
      <c r="BV172" s="321"/>
      <c r="BW172" s="321"/>
      <c r="BX172" s="321"/>
      <c r="BY172" s="321"/>
      <c r="BZ172" s="321"/>
      <c r="CA172" s="321"/>
      <c r="CB172" s="321"/>
      <c r="CC172" s="321"/>
      <c r="CD172" s="321"/>
      <c r="CE172" s="321"/>
      <c r="CF172" s="321"/>
      <c r="CG172" s="321"/>
      <c r="CH172" s="321"/>
      <c r="CI172" s="321"/>
    </row>
    <row r="173" spans="1:87" s="331" customFormat="1" ht="19.5" customHeight="1">
      <c r="V173" s="311"/>
      <c r="W173" s="311"/>
      <c r="X173" s="311"/>
      <c r="Y173" s="311"/>
      <c r="Z173" s="311"/>
      <c r="AA173" s="311"/>
      <c r="AB173" s="321"/>
      <c r="AC173" s="321"/>
      <c r="AD173" s="321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  <c r="AO173" s="321"/>
      <c r="AP173" s="321"/>
      <c r="AQ173" s="321"/>
      <c r="AR173" s="321"/>
      <c r="AS173" s="321"/>
      <c r="AT173" s="321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21"/>
      <c r="BE173" s="321"/>
      <c r="BF173" s="321"/>
      <c r="BG173" s="321"/>
      <c r="BH173" s="321"/>
      <c r="BI173" s="321"/>
      <c r="BJ173" s="321"/>
      <c r="BK173" s="321"/>
      <c r="BL173" s="321"/>
      <c r="BM173" s="321"/>
      <c r="BN173" s="321"/>
      <c r="BO173" s="321"/>
      <c r="BP173" s="321"/>
      <c r="BQ173" s="321"/>
      <c r="BR173" s="321"/>
      <c r="BS173" s="321"/>
      <c r="BT173" s="321"/>
      <c r="BU173" s="321"/>
      <c r="BV173" s="321"/>
      <c r="BW173" s="321"/>
      <c r="BX173" s="321"/>
      <c r="BY173" s="321"/>
      <c r="BZ173" s="321"/>
      <c r="CA173" s="321"/>
      <c r="CB173" s="321"/>
      <c r="CC173" s="321"/>
      <c r="CD173" s="321"/>
      <c r="CE173" s="321"/>
      <c r="CF173" s="321"/>
      <c r="CG173" s="321"/>
      <c r="CH173" s="321"/>
      <c r="CI173" s="321"/>
    </row>
    <row r="174" spans="1:87" s="331" customFormat="1" ht="19.5" customHeight="1">
      <c r="V174" s="311"/>
      <c r="W174" s="311"/>
      <c r="X174" s="311"/>
      <c r="Y174" s="311"/>
      <c r="Z174" s="311"/>
      <c r="AA174" s="311"/>
      <c r="AB174" s="321"/>
      <c r="AC174" s="321"/>
      <c r="AD174" s="321"/>
      <c r="AE174" s="321"/>
      <c r="AF174" s="321"/>
      <c r="AG174" s="321"/>
      <c r="AH174" s="321"/>
      <c r="AI174" s="321"/>
      <c r="AJ174" s="321"/>
      <c r="AK174" s="321"/>
      <c r="AL174" s="321"/>
      <c r="AM174" s="321"/>
      <c r="AN174" s="321"/>
      <c r="AO174" s="321"/>
      <c r="AP174" s="321"/>
      <c r="AQ174" s="321"/>
      <c r="AR174" s="321"/>
      <c r="AS174" s="321"/>
      <c r="AT174" s="321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21"/>
      <c r="BE174" s="321"/>
      <c r="BF174" s="321"/>
      <c r="BG174" s="321"/>
      <c r="BH174" s="321"/>
      <c r="BI174" s="321"/>
      <c r="BJ174" s="321"/>
      <c r="BK174" s="321"/>
      <c r="BL174" s="321"/>
      <c r="BM174" s="321"/>
      <c r="BN174" s="321"/>
      <c r="BO174" s="321"/>
      <c r="BP174" s="321"/>
      <c r="BQ174" s="321"/>
      <c r="BR174" s="321"/>
      <c r="BS174" s="321"/>
      <c r="BT174" s="321"/>
      <c r="BU174" s="321"/>
      <c r="BV174" s="321"/>
      <c r="BW174" s="321"/>
      <c r="BX174" s="321"/>
      <c r="BY174" s="321"/>
      <c r="BZ174" s="321"/>
      <c r="CA174" s="321"/>
      <c r="CB174" s="321"/>
      <c r="CC174" s="321"/>
      <c r="CD174" s="321"/>
      <c r="CE174" s="321"/>
      <c r="CF174" s="321"/>
      <c r="CG174" s="321"/>
      <c r="CH174" s="321"/>
      <c r="CI174" s="321"/>
    </row>
  </sheetData>
  <sheetProtection password="C526" sheet="1" objects="1" scenarios="1"/>
  <mergeCells count="994">
    <mergeCell ref="C137:C139"/>
    <mergeCell ref="D137:D139"/>
    <mergeCell ref="B130:B133"/>
    <mergeCell ref="D130:D131"/>
    <mergeCell ref="A148:A155"/>
    <mergeCell ref="B148:B155"/>
    <mergeCell ref="A156:A163"/>
    <mergeCell ref="B156:B163"/>
    <mergeCell ref="D144:D147"/>
    <mergeCell ref="D132:D133"/>
    <mergeCell ref="A140:A147"/>
    <mergeCell ref="B140:B147"/>
    <mergeCell ref="A137:A139"/>
    <mergeCell ref="B137:B139"/>
    <mergeCell ref="C144:C145"/>
    <mergeCell ref="C162:C163"/>
    <mergeCell ref="C168:C169"/>
    <mergeCell ref="C154:C155"/>
    <mergeCell ref="C148:C149"/>
    <mergeCell ref="C146:C147"/>
    <mergeCell ref="D168:D171"/>
    <mergeCell ref="J170:J171"/>
    <mergeCell ref="K170:K171"/>
    <mergeCell ref="L170:L171"/>
    <mergeCell ref="M170:M171"/>
    <mergeCell ref="A164:A171"/>
    <mergeCell ref="B164:B171"/>
    <mergeCell ref="X170:X171"/>
    <mergeCell ref="Y170:Y171"/>
    <mergeCell ref="N170:N171"/>
    <mergeCell ref="O170:O171"/>
    <mergeCell ref="C170:C171"/>
    <mergeCell ref="E170:E171"/>
    <mergeCell ref="F170:F171"/>
    <mergeCell ref="G170:G171"/>
    <mergeCell ref="H170:H171"/>
    <mergeCell ref="I170:I171"/>
    <mergeCell ref="P170:P171"/>
    <mergeCell ref="Q170:Q171"/>
    <mergeCell ref="R170:R171"/>
    <mergeCell ref="S170:S171"/>
    <mergeCell ref="V170:V171"/>
    <mergeCell ref="W170:W171"/>
    <mergeCell ref="T170:T171"/>
    <mergeCell ref="U170:U171"/>
    <mergeCell ref="Y168:Y169"/>
    <mergeCell ref="N168:N169"/>
    <mergeCell ref="O168:O169"/>
    <mergeCell ref="P168:P169"/>
    <mergeCell ref="Q168:Q169"/>
    <mergeCell ref="R168:R169"/>
    <mergeCell ref="S168:S169"/>
    <mergeCell ref="U168:U169"/>
    <mergeCell ref="Y166:Y167"/>
    <mergeCell ref="O166:O167"/>
    <mergeCell ref="P166:P167"/>
    <mergeCell ref="Q166:Q167"/>
    <mergeCell ref="R166:R167"/>
    <mergeCell ref="S166:S167"/>
    <mergeCell ref="T166:T167"/>
    <mergeCell ref="V166:V167"/>
    <mergeCell ref="W166:W167"/>
    <mergeCell ref="Y164:Y165"/>
    <mergeCell ref="C166:C167"/>
    <mergeCell ref="D166:D167"/>
    <mergeCell ref="E166:E167"/>
    <mergeCell ref="J166:J167"/>
    <mergeCell ref="K166:K167"/>
    <mergeCell ref="O164:O165"/>
    <mergeCell ref="P164:P165"/>
    <mergeCell ref="Q164:Q165"/>
    <mergeCell ref="X166:X167"/>
    <mergeCell ref="R164:R165"/>
    <mergeCell ref="S164:S165"/>
    <mergeCell ref="T164:T165"/>
    <mergeCell ref="I164:I167"/>
    <mergeCell ref="J164:J165"/>
    <mergeCell ref="K164:K165"/>
    <mergeCell ref="L164:L165"/>
    <mergeCell ref="M164:M165"/>
    <mergeCell ref="N164:N165"/>
    <mergeCell ref="L166:L167"/>
    <mergeCell ref="C164:C165"/>
    <mergeCell ref="D164:D165"/>
    <mergeCell ref="E164:E165"/>
    <mergeCell ref="F164:F167"/>
    <mergeCell ref="G164:G167"/>
    <mergeCell ref="H164:H167"/>
    <mergeCell ref="Y162:Y163"/>
    <mergeCell ref="H160:H161"/>
    <mergeCell ref="I160:I161"/>
    <mergeCell ref="J160:J161"/>
    <mergeCell ref="K160:K161"/>
    <mergeCell ref="L160:L161"/>
    <mergeCell ref="M160:M161"/>
    <mergeCell ref="S162:S163"/>
    <mergeCell ref="T162:T163"/>
    <mergeCell ref="U162:U163"/>
    <mergeCell ref="J162:J163"/>
    <mergeCell ref="K162:K163"/>
    <mergeCell ref="L162:L163"/>
    <mergeCell ref="P162:P163"/>
    <mergeCell ref="F162:F163"/>
    <mergeCell ref="G162:G163"/>
    <mergeCell ref="H162:H163"/>
    <mergeCell ref="I162:I163"/>
    <mergeCell ref="Q162:Q163"/>
    <mergeCell ref="R162:R163"/>
    <mergeCell ref="Y160:Y161"/>
    <mergeCell ref="N160:N161"/>
    <mergeCell ref="O160:O161"/>
    <mergeCell ref="V162:V163"/>
    <mergeCell ref="X162:X163"/>
    <mergeCell ref="V160:V161"/>
    <mergeCell ref="W160:W161"/>
    <mergeCell ref="X160:X161"/>
    <mergeCell ref="M168:M169"/>
    <mergeCell ref="U166:U167"/>
    <mergeCell ref="V168:V169"/>
    <mergeCell ref="W168:W169"/>
    <mergeCell ref="E168:E169"/>
    <mergeCell ref="F168:F169"/>
    <mergeCell ref="T168:T169"/>
    <mergeCell ref="M166:M167"/>
    <mergeCell ref="N166:N167"/>
    <mergeCell ref="G168:G169"/>
    <mergeCell ref="H168:H169"/>
    <mergeCell ref="I168:I169"/>
    <mergeCell ref="J168:J169"/>
    <mergeCell ref="K168:K169"/>
    <mergeCell ref="L168:L169"/>
    <mergeCell ref="U164:U165"/>
    <mergeCell ref="V164:V165"/>
    <mergeCell ref="W164:W165"/>
    <mergeCell ref="W162:W163"/>
    <mergeCell ref="X164:X165"/>
    <mergeCell ref="X168:X169"/>
    <mergeCell ref="C160:C161"/>
    <mergeCell ref="D160:D163"/>
    <mergeCell ref="E160:E161"/>
    <mergeCell ref="F160:F161"/>
    <mergeCell ref="G160:G161"/>
    <mergeCell ref="C156:C157"/>
    <mergeCell ref="D156:D157"/>
    <mergeCell ref="E156:E157"/>
    <mergeCell ref="S154:S155"/>
    <mergeCell ref="I156:I159"/>
    <mergeCell ref="J156:J157"/>
    <mergeCell ref="L156:L157"/>
    <mergeCell ref="M156:M157"/>
    <mergeCell ref="L158:L159"/>
    <mergeCell ref="M158:M159"/>
    <mergeCell ref="T160:T161"/>
    <mergeCell ref="T154:T155"/>
    <mergeCell ref="U154:U155"/>
    <mergeCell ref="J154:J155"/>
    <mergeCell ref="E162:E163"/>
    <mergeCell ref="M162:M163"/>
    <mergeCell ref="N162:N163"/>
    <mergeCell ref="O162:O163"/>
    <mergeCell ref="N156:N157"/>
    <mergeCell ref="R158:R159"/>
    <mergeCell ref="U160:U161"/>
    <mergeCell ref="V158:V159"/>
    <mergeCell ref="W158:W159"/>
    <mergeCell ref="N158:N159"/>
    <mergeCell ref="U158:U159"/>
    <mergeCell ref="T158:T159"/>
    <mergeCell ref="P160:P161"/>
    <mergeCell ref="Q160:Q161"/>
    <mergeCell ref="R160:R161"/>
    <mergeCell ref="S160:S161"/>
    <mergeCell ref="X158:X159"/>
    <mergeCell ref="O158:O159"/>
    <mergeCell ref="P158:P159"/>
    <mergeCell ref="Q158:Q159"/>
    <mergeCell ref="S156:S157"/>
    <mergeCell ref="T156:T157"/>
    <mergeCell ref="S158:S159"/>
    <mergeCell ref="U156:U157"/>
    <mergeCell ref="P156:P157"/>
    <mergeCell ref="Q156:Q157"/>
    <mergeCell ref="R156:R157"/>
    <mergeCell ref="K152:K153"/>
    <mergeCell ref="L152:L153"/>
    <mergeCell ref="M152:M153"/>
    <mergeCell ref="K156:K157"/>
    <mergeCell ref="C158:C159"/>
    <mergeCell ref="D158:D159"/>
    <mergeCell ref="E158:E159"/>
    <mergeCell ref="J158:J159"/>
    <mergeCell ref="K158:K159"/>
    <mergeCell ref="O156:O157"/>
    <mergeCell ref="F156:F159"/>
    <mergeCell ref="G156:G159"/>
    <mergeCell ref="H156:H159"/>
    <mergeCell ref="W152:W153"/>
    <mergeCell ref="F154:F155"/>
    <mergeCell ref="G154:G155"/>
    <mergeCell ref="H154:H155"/>
    <mergeCell ref="I154:I155"/>
    <mergeCell ref="Y158:Y159"/>
    <mergeCell ref="V156:V157"/>
    <mergeCell ref="W156:W157"/>
    <mergeCell ref="X156:X157"/>
    <mergeCell ref="Y156:Y157"/>
    <mergeCell ref="P154:P155"/>
    <mergeCell ref="Q154:Q155"/>
    <mergeCell ref="R154:R155"/>
    <mergeCell ref="X152:X153"/>
    <mergeCell ref="V154:V155"/>
    <mergeCell ref="W154:W155"/>
    <mergeCell ref="X154:X155"/>
    <mergeCell ref="T152:T153"/>
    <mergeCell ref="U152:U153"/>
    <mergeCell ref="V152:V153"/>
    <mergeCell ref="X150:X151"/>
    <mergeCell ref="H152:H153"/>
    <mergeCell ref="I152:I153"/>
    <mergeCell ref="J152:J153"/>
    <mergeCell ref="Y154:Y155"/>
    <mergeCell ref="S152:S153"/>
    <mergeCell ref="K154:K155"/>
    <mergeCell ref="L154:L155"/>
    <mergeCell ref="M154:M155"/>
    <mergeCell ref="N154:N155"/>
    <mergeCell ref="P150:P151"/>
    <mergeCell ref="Q150:Q151"/>
    <mergeCell ref="R150:R151"/>
    <mergeCell ref="U150:U151"/>
    <mergeCell ref="V150:V151"/>
    <mergeCell ref="W150:W151"/>
    <mergeCell ref="C152:C153"/>
    <mergeCell ref="D152:D155"/>
    <mergeCell ref="E152:E153"/>
    <mergeCell ref="F152:F153"/>
    <mergeCell ref="G152:G153"/>
    <mergeCell ref="O150:O151"/>
    <mergeCell ref="O154:O155"/>
    <mergeCell ref="E154:E155"/>
    <mergeCell ref="S150:S151"/>
    <mergeCell ref="T150:T151"/>
    <mergeCell ref="N150:N151"/>
    <mergeCell ref="Y152:Y153"/>
    <mergeCell ref="N152:N153"/>
    <mergeCell ref="O152:O153"/>
    <mergeCell ref="P152:P153"/>
    <mergeCell ref="Q152:Q153"/>
    <mergeCell ref="R152:R153"/>
    <mergeCell ref="Y150:Y151"/>
    <mergeCell ref="P148:P149"/>
    <mergeCell ref="Q148:Q149"/>
    <mergeCell ref="R148:R149"/>
    <mergeCell ref="U148:U149"/>
    <mergeCell ref="V148:V149"/>
    <mergeCell ref="W148:W149"/>
    <mergeCell ref="C150:C151"/>
    <mergeCell ref="D150:D151"/>
    <mergeCell ref="E150:E151"/>
    <mergeCell ref="J150:J151"/>
    <mergeCell ref="K150:K151"/>
    <mergeCell ref="O148:O149"/>
    <mergeCell ref="K148:K149"/>
    <mergeCell ref="L148:L149"/>
    <mergeCell ref="M148:M149"/>
    <mergeCell ref="N148:N149"/>
    <mergeCell ref="L150:L151"/>
    <mergeCell ref="M150:M151"/>
    <mergeCell ref="V146:V147"/>
    <mergeCell ref="W146:W147"/>
    <mergeCell ref="X146:X147"/>
    <mergeCell ref="Y146:Y147"/>
    <mergeCell ref="S148:S149"/>
    <mergeCell ref="T148:T149"/>
    <mergeCell ref="Y148:Y149"/>
    <mergeCell ref="X148:X149"/>
    <mergeCell ref="H148:H151"/>
    <mergeCell ref="P146:P147"/>
    <mergeCell ref="Q146:Q147"/>
    <mergeCell ref="R146:R147"/>
    <mergeCell ref="D148:D149"/>
    <mergeCell ref="E148:E149"/>
    <mergeCell ref="F148:F151"/>
    <mergeCell ref="G148:G151"/>
    <mergeCell ref="I148:I151"/>
    <mergeCell ref="J148:J149"/>
    <mergeCell ref="E146:E147"/>
    <mergeCell ref="S146:S147"/>
    <mergeCell ref="T146:T147"/>
    <mergeCell ref="U146:U147"/>
    <mergeCell ref="J146:J147"/>
    <mergeCell ref="K146:K147"/>
    <mergeCell ref="L146:L147"/>
    <mergeCell ref="M146:M147"/>
    <mergeCell ref="N146:N147"/>
    <mergeCell ref="O146:O147"/>
    <mergeCell ref="Y144:Y145"/>
    <mergeCell ref="N144:N145"/>
    <mergeCell ref="O144:O145"/>
    <mergeCell ref="P144:P145"/>
    <mergeCell ref="Q144:Q145"/>
    <mergeCell ref="R144:R145"/>
    <mergeCell ref="S144:S145"/>
    <mergeCell ref="V144:V145"/>
    <mergeCell ref="W144:W145"/>
    <mergeCell ref="X144:X145"/>
    <mergeCell ref="T144:T145"/>
    <mergeCell ref="U144:U145"/>
    <mergeCell ref="H144:H145"/>
    <mergeCell ref="I144:I145"/>
    <mergeCell ref="J144:J145"/>
    <mergeCell ref="K144:K145"/>
    <mergeCell ref="E144:E145"/>
    <mergeCell ref="F144:F145"/>
    <mergeCell ref="G144:G145"/>
    <mergeCell ref="O142:O143"/>
    <mergeCell ref="L142:L143"/>
    <mergeCell ref="M142:M143"/>
    <mergeCell ref="L144:L145"/>
    <mergeCell ref="M144:M145"/>
    <mergeCell ref="F146:F147"/>
    <mergeCell ref="G146:G147"/>
    <mergeCell ref="H146:H147"/>
    <mergeCell ref="I146:I147"/>
    <mergeCell ref="P142:P143"/>
    <mergeCell ref="Q142:Q143"/>
    <mergeCell ref="N142:N143"/>
    <mergeCell ref="X142:X143"/>
    <mergeCell ref="Y142:Y143"/>
    <mergeCell ref="S142:S143"/>
    <mergeCell ref="T142:T143"/>
    <mergeCell ref="V142:V143"/>
    <mergeCell ref="W142:W143"/>
    <mergeCell ref="K140:K141"/>
    <mergeCell ref="P137:R137"/>
    <mergeCell ref="S137:U137"/>
    <mergeCell ref="V137:X137"/>
    <mergeCell ref="C142:C143"/>
    <mergeCell ref="D142:D143"/>
    <mergeCell ref="E142:E143"/>
    <mergeCell ref="J142:J143"/>
    <mergeCell ref="K142:K143"/>
    <mergeCell ref="O140:O141"/>
    <mergeCell ref="I140:I143"/>
    <mergeCell ref="Q140:Q141"/>
    <mergeCell ref="R140:R141"/>
    <mergeCell ref="C140:C141"/>
    <mergeCell ref="D140:D141"/>
    <mergeCell ref="E140:E141"/>
    <mergeCell ref="F140:F143"/>
    <mergeCell ref="G140:G143"/>
    <mergeCell ref="H140:H143"/>
    <mergeCell ref="J140:J141"/>
    <mergeCell ref="E132:E133"/>
    <mergeCell ref="L132:L133"/>
    <mergeCell ref="M132:M133"/>
    <mergeCell ref="I130:I133"/>
    <mergeCell ref="J130:J133"/>
    <mergeCell ref="L130:L131"/>
    <mergeCell ref="M130:M131"/>
    <mergeCell ref="L140:L141"/>
    <mergeCell ref="M140:M141"/>
    <mergeCell ref="N140:N141"/>
    <mergeCell ref="U142:U143"/>
    <mergeCell ref="U140:U141"/>
    <mergeCell ref="S140:S141"/>
    <mergeCell ref="T140:T141"/>
    <mergeCell ref="P140:P141"/>
    <mergeCell ref="R142:R143"/>
    <mergeCell ref="E137:E139"/>
    <mergeCell ref="F137:F139"/>
    <mergeCell ref="W130:W131"/>
    <mergeCell ref="K130:K133"/>
    <mergeCell ref="J138:J139"/>
    <mergeCell ref="M138:M139"/>
    <mergeCell ref="P138:P139"/>
    <mergeCell ref="S138:S139"/>
    <mergeCell ref="G137:I138"/>
    <mergeCell ref="J137:L137"/>
    <mergeCell ref="X130:X131"/>
    <mergeCell ref="Y130:Y131"/>
    <mergeCell ref="Z130:Z131"/>
    <mergeCell ref="O130:O131"/>
    <mergeCell ref="N132:N133"/>
    <mergeCell ref="T130:T131"/>
    <mergeCell ref="N130:N131"/>
    <mergeCell ref="P130:P131"/>
    <mergeCell ref="Q130:Q131"/>
    <mergeCell ref="U132:U133"/>
    <mergeCell ref="V140:V141"/>
    <mergeCell ref="W140:W141"/>
    <mergeCell ref="X140:X141"/>
    <mergeCell ref="Y140:Y141"/>
    <mergeCell ref="M137:O137"/>
    <mergeCell ref="V138:V139"/>
    <mergeCell ref="Z138:AA138"/>
    <mergeCell ref="X121:X122"/>
    <mergeCell ref="Y121:Y122"/>
    <mergeCell ref="V132:V133"/>
    <mergeCell ref="W132:W133"/>
    <mergeCell ref="V121:V122"/>
    <mergeCell ref="W121:W122"/>
    <mergeCell ref="Y137:AA137"/>
    <mergeCell ref="AA130:AA133"/>
    <mergeCell ref="D121:D122"/>
    <mergeCell ref="X132:X133"/>
    <mergeCell ref="Y132:Y133"/>
    <mergeCell ref="Z132:Z133"/>
    <mergeCell ref="O132:O133"/>
    <mergeCell ref="P132:P133"/>
    <mergeCell ref="Q132:Q133"/>
    <mergeCell ref="R132:R133"/>
    <mergeCell ref="S132:S133"/>
    <mergeCell ref="T132:T133"/>
    <mergeCell ref="D127:D129"/>
    <mergeCell ref="E127:E129"/>
    <mergeCell ref="U130:U131"/>
    <mergeCell ref="V130:V131"/>
    <mergeCell ref="E130:E131"/>
    <mergeCell ref="F130:F133"/>
    <mergeCell ref="G130:G133"/>
    <mergeCell ref="H130:H133"/>
    <mergeCell ref="R130:R131"/>
    <mergeCell ref="S130:S131"/>
    <mergeCell ref="X119:X120"/>
    <mergeCell ref="Y119:Y120"/>
    <mergeCell ref="N119:N120"/>
    <mergeCell ref="O119:O120"/>
    <mergeCell ref="P119:P120"/>
    <mergeCell ref="Q119:Q120"/>
    <mergeCell ref="R119:R120"/>
    <mergeCell ref="S119:S120"/>
    <mergeCell ref="V119:V120"/>
    <mergeCell ref="T119:T120"/>
    <mergeCell ref="W119:W120"/>
    <mergeCell ref="U119:U120"/>
    <mergeCell ref="Q121:Q122"/>
    <mergeCell ref="R121:R122"/>
    <mergeCell ref="S121:S122"/>
    <mergeCell ref="T121:T122"/>
    <mergeCell ref="U121:U122"/>
    <mergeCell ref="AA117:AA118"/>
    <mergeCell ref="AB117:AB118"/>
    <mergeCell ref="C119:C120"/>
    <mergeCell ref="D119:D120"/>
    <mergeCell ref="E119:E120"/>
    <mergeCell ref="F119:F122"/>
    <mergeCell ref="G119:G122"/>
    <mergeCell ref="R117:R118"/>
    <mergeCell ref="S117:S118"/>
    <mergeCell ref="T117:T118"/>
    <mergeCell ref="U117:U118"/>
    <mergeCell ref="V117:V118"/>
    <mergeCell ref="W117:W118"/>
    <mergeCell ref="K115:K118"/>
    <mergeCell ref="L115:L118"/>
    <mergeCell ref="M115:M116"/>
    <mergeCell ref="N115:N116"/>
    <mergeCell ref="Q117:Q118"/>
    <mergeCell ref="Z119:Z120"/>
    <mergeCell ref="AA119:AA120"/>
    <mergeCell ref="AB119:AB120"/>
    <mergeCell ref="C121:C122"/>
    <mergeCell ref="Z121:Z122"/>
    <mergeCell ref="AA121:AA122"/>
    <mergeCell ref="AB121:AB122"/>
    <mergeCell ref="M119:M120"/>
    <mergeCell ref="H119:H122"/>
    <mergeCell ref="I119:I122"/>
    <mergeCell ref="AA115:AA116"/>
    <mergeCell ref="AB115:AB116"/>
    <mergeCell ref="C117:C118"/>
    <mergeCell ref="Y111:Y112"/>
    <mergeCell ref="S111:S112"/>
    <mergeCell ref="T111:T112"/>
    <mergeCell ref="U111:U112"/>
    <mergeCell ref="W111:W112"/>
    <mergeCell ref="X111:X112"/>
    <mergeCell ref="Y117:Y118"/>
    <mergeCell ref="Z105:Z106"/>
    <mergeCell ref="T107:T108"/>
    <mergeCell ref="U107:U108"/>
    <mergeCell ref="T101:T102"/>
    <mergeCell ref="U101:U102"/>
    <mergeCell ref="V101:V102"/>
    <mergeCell ref="W101:W102"/>
    <mergeCell ref="X101:X102"/>
    <mergeCell ref="Y101:Y102"/>
    <mergeCell ref="Z103:Z104"/>
    <mergeCell ref="W105:W106"/>
    <mergeCell ref="Z101:Z102"/>
    <mergeCell ref="D117:D118"/>
    <mergeCell ref="E117:E118"/>
    <mergeCell ref="M117:M118"/>
    <mergeCell ref="N117:N118"/>
    <mergeCell ref="O117:O118"/>
    <mergeCell ref="I115:I118"/>
    <mergeCell ref="J115:J118"/>
    <mergeCell ref="X117:X118"/>
    <mergeCell ref="Z117:Z118"/>
    <mergeCell ref="E121:E122"/>
    <mergeCell ref="M121:M122"/>
    <mergeCell ref="N121:N122"/>
    <mergeCell ref="O121:O122"/>
    <mergeCell ref="P121:P122"/>
    <mergeCell ref="J119:J122"/>
    <mergeCell ref="K119:K122"/>
    <mergeCell ref="L119:L122"/>
    <mergeCell ref="P117:P118"/>
    <mergeCell ref="X115:X116"/>
    <mergeCell ref="Y115:Y116"/>
    <mergeCell ref="Z115:Z116"/>
    <mergeCell ref="O115:O116"/>
    <mergeCell ref="P115:P116"/>
    <mergeCell ref="Q115:Q116"/>
    <mergeCell ref="R115:R116"/>
    <mergeCell ref="S115:S116"/>
    <mergeCell ref="T115:T116"/>
    <mergeCell ref="Z113:Z114"/>
    <mergeCell ref="AA113:AA114"/>
    <mergeCell ref="AB113:AB114"/>
    <mergeCell ref="U115:U116"/>
    <mergeCell ref="V115:V116"/>
    <mergeCell ref="W115:W116"/>
    <mergeCell ref="Y113:Y114"/>
    <mergeCell ref="W113:W114"/>
    <mergeCell ref="X113:X114"/>
    <mergeCell ref="V113:V114"/>
    <mergeCell ref="N93:N94"/>
    <mergeCell ref="O93:O94"/>
    <mergeCell ref="P93:P94"/>
    <mergeCell ref="Q93:Q94"/>
    <mergeCell ref="E115:E116"/>
    <mergeCell ref="F115:F118"/>
    <mergeCell ref="G115:G118"/>
    <mergeCell ref="H115:H118"/>
    <mergeCell ref="R93:R94"/>
    <mergeCell ref="S93:S94"/>
    <mergeCell ref="T93:T94"/>
    <mergeCell ref="U93:U94"/>
    <mergeCell ref="C91:C92"/>
    <mergeCell ref="AB91:AB92"/>
    <mergeCell ref="C93:C94"/>
    <mergeCell ref="D93:D94"/>
    <mergeCell ref="E93:E94"/>
    <mergeCell ref="M93:M94"/>
    <mergeCell ref="V93:V94"/>
    <mergeCell ref="W93:W94"/>
    <mergeCell ref="L91:L94"/>
    <mergeCell ref="M91:M92"/>
    <mergeCell ref="V91:V92"/>
    <mergeCell ref="W91:W92"/>
    <mergeCell ref="P91:P92"/>
    <mergeCell ref="Q91:Q92"/>
    <mergeCell ref="R91:R92"/>
    <mergeCell ref="N91:N92"/>
    <mergeCell ref="R109:R110"/>
    <mergeCell ref="S109:S110"/>
    <mergeCell ref="R113:R114"/>
    <mergeCell ref="S113:S114"/>
    <mergeCell ref="T113:T114"/>
    <mergeCell ref="U113:U114"/>
    <mergeCell ref="Q103:Q104"/>
    <mergeCell ref="R103:R104"/>
    <mergeCell ref="S103:S104"/>
    <mergeCell ref="M101:M102"/>
    <mergeCell ref="M103:M104"/>
    <mergeCell ref="S107:S108"/>
    <mergeCell ref="I113:I114"/>
    <mergeCell ref="M113:M114"/>
    <mergeCell ref="O109:O110"/>
    <mergeCell ref="P109:P110"/>
    <mergeCell ref="M111:M112"/>
    <mergeCell ref="E113:E114"/>
    <mergeCell ref="F113:F114"/>
    <mergeCell ref="G113:G114"/>
    <mergeCell ref="H113:H114"/>
    <mergeCell ref="N111:N112"/>
    <mergeCell ref="U109:U110"/>
    <mergeCell ref="Q109:Q110"/>
    <mergeCell ref="N113:N114"/>
    <mergeCell ref="O113:O114"/>
    <mergeCell ref="P113:P114"/>
    <mergeCell ref="Q113:Q114"/>
    <mergeCell ref="O111:O112"/>
    <mergeCell ref="P111:P112"/>
    <mergeCell ref="Q111:Q112"/>
    <mergeCell ref="R111:R112"/>
    <mergeCell ref="Y109:Y110"/>
    <mergeCell ref="AB109:AB110"/>
    <mergeCell ref="C111:C112"/>
    <mergeCell ref="D111:D112"/>
    <mergeCell ref="E111:E112"/>
    <mergeCell ref="F111:F112"/>
    <mergeCell ref="G111:G112"/>
    <mergeCell ref="H111:H112"/>
    <mergeCell ref="I111:I112"/>
    <mergeCell ref="T109:T110"/>
    <mergeCell ref="E109:E110"/>
    <mergeCell ref="M109:M110"/>
    <mergeCell ref="N109:N110"/>
    <mergeCell ref="Z111:Z112"/>
    <mergeCell ref="AA111:AA112"/>
    <mergeCell ref="AB111:AB112"/>
    <mergeCell ref="V111:V112"/>
    <mergeCell ref="V109:V110"/>
    <mergeCell ref="W109:W110"/>
    <mergeCell ref="X109:X110"/>
    <mergeCell ref="AB99:AB100"/>
    <mergeCell ref="C101:C102"/>
    <mergeCell ref="D101:D102"/>
    <mergeCell ref="E101:E102"/>
    <mergeCell ref="F101:F102"/>
    <mergeCell ref="G101:G102"/>
    <mergeCell ref="H101:H102"/>
    <mergeCell ref="I101:I102"/>
    <mergeCell ref="L99:L114"/>
    <mergeCell ref="C109:C110"/>
    <mergeCell ref="AB101:AB102"/>
    <mergeCell ref="C103:C104"/>
    <mergeCell ref="D103:D104"/>
    <mergeCell ref="E103:E104"/>
    <mergeCell ref="F103:F110"/>
    <mergeCell ref="G103:G110"/>
    <mergeCell ref="H103:H110"/>
    <mergeCell ref="I103:I110"/>
    <mergeCell ref="C107:C108"/>
    <mergeCell ref="Z109:Z110"/>
    <mergeCell ref="AA107:AA108"/>
    <mergeCell ref="E107:E108"/>
    <mergeCell ref="M107:M108"/>
    <mergeCell ref="N107:N108"/>
    <mergeCell ref="O107:O108"/>
    <mergeCell ref="M99:M100"/>
    <mergeCell ref="T105:T106"/>
    <mergeCell ref="N101:N102"/>
    <mergeCell ref="O101:O102"/>
    <mergeCell ref="P101:P102"/>
    <mergeCell ref="Y105:Y106"/>
    <mergeCell ref="AA105:AA106"/>
    <mergeCell ref="AB105:AB106"/>
    <mergeCell ref="AA109:AA110"/>
    <mergeCell ref="AB107:AB108"/>
    <mergeCell ref="V107:V108"/>
    <mergeCell ref="W107:W108"/>
    <mergeCell ref="X107:X108"/>
    <mergeCell ref="Y107:Y108"/>
    <mergeCell ref="Z107:Z108"/>
    <mergeCell ref="R105:R106"/>
    <mergeCell ref="S105:S106"/>
    <mergeCell ref="AA103:AA104"/>
    <mergeCell ref="U105:U106"/>
    <mergeCell ref="V105:V106"/>
    <mergeCell ref="V103:V104"/>
    <mergeCell ref="W103:W104"/>
    <mergeCell ref="X103:X104"/>
    <mergeCell ref="Y103:Y104"/>
    <mergeCell ref="X105:X106"/>
    <mergeCell ref="AA101:AA102"/>
    <mergeCell ref="J95:J98"/>
    <mergeCell ref="X97:X98"/>
    <mergeCell ref="Y97:Y98"/>
    <mergeCell ref="Z97:Z98"/>
    <mergeCell ref="AA97:AA98"/>
    <mergeCell ref="AA99:AA100"/>
    <mergeCell ref="U95:U96"/>
    <mergeCell ref="V95:V96"/>
    <mergeCell ref="W95:W96"/>
    <mergeCell ref="AB103:AB104"/>
    <mergeCell ref="C105:C106"/>
    <mergeCell ref="E105:E106"/>
    <mergeCell ref="M105:M106"/>
    <mergeCell ref="N105:N106"/>
    <mergeCell ref="O105:O106"/>
    <mergeCell ref="P105:P106"/>
    <mergeCell ref="Q105:Q106"/>
    <mergeCell ref="T103:T104"/>
    <mergeCell ref="U103:U104"/>
    <mergeCell ref="S97:S98"/>
    <mergeCell ref="N103:N104"/>
    <mergeCell ref="O103:O104"/>
    <mergeCell ref="P103:P104"/>
    <mergeCell ref="Z99:Z100"/>
    <mergeCell ref="Y99:Y100"/>
    <mergeCell ref="P99:P100"/>
    <mergeCell ref="Q101:Q102"/>
    <mergeCell ref="R101:R102"/>
    <mergeCell ref="S101:S102"/>
    <mergeCell ref="O99:O100"/>
    <mergeCell ref="Q97:Q98"/>
    <mergeCell ref="V99:V100"/>
    <mergeCell ref="W99:W100"/>
    <mergeCell ref="X99:X100"/>
    <mergeCell ref="Q99:Q100"/>
    <mergeCell ref="R99:R100"/>
    <mergeCell ref="S99:S100"/>
    <mergeCell ref="T99:T100"/>
    <mergeCell ref="U99:U100"/>
    <mergeCell ref="V97:V98"/>
    <mergeCell ref="W97:W98"/>
    <mergeCell ref="E99:E100"/>
    <mergeCell ref="F99:F100"/>
    <mergeCell ref="G99:G100"/>
    <mergeCell ref="R97:R98"/>
    <mergeCell ref="K95:K98"/>
    <mergeCell ref="L95:L98"/>
    <mergeCell ref="M95:M96"/>
    <mergeCell ref="N95:N96"/>
    <mergeCell ref="E95:E96"/>
    <mergeCell ref="P107:P108"/>
    <mergeCell ref="Q107:Q108"/>
    <mergeCell ref="R107:R108"/>
    <mergeCell ref="I95:I98"/>
    <mergeCell ref="H99:H100"/>
    <mergeCell ref="I99:I100"/>
    <mergeCell ref="J99:J114"/>
    <mergeCell ref="K99:K114"/>
    <mergeCell ref="N99:N100"/>
    <mergeCell ref="D97:D98"/>
    <mergeCell ref="E97:E98"/>
    <mergeCell ref="M97:M98"/>
    <mergeCell ref="N97:N98"/>
    <mergeCell ref="O97:O98"/>
    <mergeCell ref="P97:P98"/>
    <mergeCell ref="AA93:AA94"/>
    <mergeCell ref="AB93:AB94"/>
    <mergeCell ref="X93:X94"/>
    <mergeCell ref="Y93:Y94"/>
    <mergeCell ref="Z93:Z94"/>
    <mergeCell ref="X91:X92"/>
    <mergeCell ref="Y91:Y92"/>
    <mergeCell ref="Z91:Z92"/>
    <mergeCell ref="AA91:AA92"/>
    <mergeCell ref="H95:H98"/>
    <mergeCell ref="F88:F90"/>
    <mergeCell ref="G88:I88"/>
    <mergeCell ref="J88:L88"/>
    <mergeCell ref="H91:H94"/>
    <mergeCell ref="I91:I94"/>
    <mergeCell ref="W78:W79"/>
    <mergeCell ref="V80:V81"/>
    <mergeCell ref="V78:V79"/>
    <mergeCell ref="V88:X88"/>
    <mergeCell ref="X78:X79"/>
    <mergeCell ref="T78:T79"/>
    <mergeCell ref="W80:W81"/>
    <mergeCell ref="Q78:Q79"/>
    <mergeCell ref="R78:R79"/>
    <mergeCell ref="S78:S79"/>
    <mergeCell ref="O91:O92"/>
    <mergeCell ref="K91:K94"/>
    <mergeCell ref="F91:F94"/>
    <mergeCell ref="G91:G94"/>
    <mergeCell ref="M88:O88"/>
    <mergeCell ref="P88:R88"/>
    <mergeCell ref="M78:M79"/>
    <mergeCell ref="J78:J79"/>
    <mergeCell ref="K78:K79"/>
    <mergeCell ref="L78:L79"/>
    <mergeCell ref="Y78:Y79"/>
    <mergeCell ref="D80:D81"/>
    <mergeCell ref="E80:E81"/>
    <mergeCell ref="J80:J81"/>
    <mergeCell ref="K80:K81"/>
    <mergeCell ref="O78:O79"/>
    <mergeCell ref="P78:P79"/>
    <mergeCell ref="X80:X81"/>
    <mergeCell ref="Y80:Y81"/>
    <mergeCell ref="O80:O81"/>
    <mergeCell ref="P80:P81"/>
    <mergeCell ref="Q80:Q81"/>
    <mergeCell ref="U80:U81"/>
    <mergeCell ref="E76:E77"/>
    <mergeCell ref="J76:J77"/>
    <mergeCell ref="U78:U79"/>
    <mergeCell ref="Q74:Q75"/>
    <mergeCell ref="R74:R75"/>
    <mergeCell ref="S74:S75"/>
    <mergeCell ref="T76:T77"/>
    <mergeCell ref="U76:U77"/>
    <mergeCell ref="S76:S77"/>
    <mergeCell ref="I78:I81"/>
    <mergeCell ref="E88:E90"/>
    <mergeCell ref="S88:U88"/>
    <mergeCell ref="P74:P75"/>
    <mergeCell ref="D91:D92"/>
    <mergeCell ref="S91:S92"/>
    <mergeCell ref="T91:T92"/>
    <mergeCell ref="R80:R81"/>
    <mergeCell ref="S80:S81"/>
    <mergeCell ref="T80:T81"/>
    <mergeCell ref="N80:N81"/>
    <mergeCell ref="K76:K77"/>
    <mergeCell ref="E91:E92"/>
    <mergeCell ref="L76:L77"/>
    <mergeCell ref="H74:H77"/>
    <mergeCell ref="I74:I77"/>
    <mergeCell ref="J74:J75"/>
    <mergeCell ref="K74:K75"/>
    <mergeCell ref="L74:L75"/>
    <mergeCell ref="E78:E79"/>
    <mergeCell ref="F78:F81"/>
    <mergeCell ref="P72:P73"/>
    <mergeCell ref="N78:N79"/>
    <mergeCell ref="L80:L81"/>
    <mergeCell ref="M80:M81"/>
    <mergeCell ref="M74:M75"/>
    <mergeCell ref="M76:M77"/>
    <mergeCell ref="N76:N77"/>
    <mergeCell ref="T72:T73"/>
    <mergeCell ref="G78:G81"/>
    <mergeCell ref="H78:H81"/>
    <mergeCell ref="Y72:Y73"/>
    <mergeCell ref="C74:C75"/>
    <mergeCell ref="D74:D75"/>
    <mergeCell ref="E74:E75"/>
    <mergeCell ref="F74:F77"/>
    <mergeCell ref="G74:G77"/>
    <mergeCell ref="O72:O73"/>
    <mergeCell ref="X76:X77"/>
    <mergeCell ref="Y76:Y77"/>
    <mergeCell ref="W74:W75"/>
    <mergeCell ref="X74:X75"/>
    <mergeCell ref="Y74:Y75"/>
    <mergeCell ref="N74:N75"/>
    <mergeCell ref="O74:O75"/>
    <mergeCell ref="T74:T75"/>
    <mergeCell ref="U74:U75"/>
    <mergeCell ref="V74:V75"/>
    <mergeCell ref="O76:O77"/>
    <mergeCell ref="P76:P77"/>
    <mergeCell ref="Q76:Q77"/>
    <mergeCell ref="R76:R77"/>
    <mergeCell ref="V76:V77"/>
    <mergeCell ref="W76:W77"/>
    <mergeCell ref="Y70:Y71"/>
    <mergeCell ref="C72:C73"/>
    <mergeCell ref="D72:D73"/>
    <mergeCell ref="E72:E73"/>
    <mergeCell ref="J72:J73"/>
    <mergeCell ref="K72:K73"/>
    <mergeCell ref="O70:O71"/>
    <mergeCell ref="P70:P71"/>
    <mergeCell ref="N72:N73"/>
    <mergeCell ref="U72:U73"/>
    <mergeCell ref="Q70:Q71"/>
    <mergeCell ref="R70:R71"/>
    <mergeCell ref="S70:S71"/>
    <mergeCell ref="T70:T71"/>
    <mergeCell ref="W72:W73"/>
    <mergeCell ref="X72:X73"/>
    <mergeCell ref="V72:V73"/>
    <mergeCell ref="Q72:Q73"/>
    <mergeCell ref="R72:R73"/>
    <mergeCell ref="S72:S73"/>
    <mergeCell ref="M70:M71"/>
    <mergeCell ref="N70:N71"/>
    <mergeCell ref="L72:L73"/>
    <mergeCell ref="M72:M73"/>
    <mergeCell ref="I70:I73"/>
    <mergeCell ref="J70:J71"/>
    <mergeCell ref="K70:K71"/>
    <mergeCell ref="L70:L71"/>
    <mergeCell ref="X68:X69"/>
    <mergeCell ref="N68:N69"/>
    <mergeCell ref="O68:O69"/>
    <mergeCell ref="P68:P69"/>
    <mergeCell ref="Q68:Q69"/>
    <mergeCell ref="R68:R69"/>
    <mergeCell ref="S68:S69"/>
    <mergeCell ref="W70:W71"/>
    <mergeCell ref="X70:X71"/>
    <mergeCell ref="D66:D67"/>
    <mergeCell ref="E66:E67"/>
    <mergeCell ref="F66:F69"/>
    <mergeCell ref="G66:G69"/>
    <mergeCell ref="H66:H69"/>
    <mergeCell ref="I66:I69"/>
    <mergeCell ref="U70:U71"/>
    <mergeCell ref="V70:V71"/>
    <mergeCell ref="D70:D71"/>
    <mergeCell ref="M68:M69"/>
    <mergeCell ref="G70:G73"/>
    <mergeCell ref="H70:H73"/>
    <mergeCell ref="E70:E71"/>
    <mergeCell ref="F70:F73"/>
    <mergeCell ref="E68:E69"/>
    <mergeCell ref="J68:J69"/>
    <mergeCell ref="K68:K69"/>
    <mergeCell ref="L68:L69"/>
    <mergeCell ref="Y66:Y67"/>
    <mergeCell ref="S66:S67"/>
    <mergeCell ref="T66:T67"/>
    <mergeCell ref="U66:U67"/>
    <mergeCell ref="V66:V67"/>
    <mergeCell ref="K66:K67"/>
    <mergeCell ref="L66:L67"/>
    <mergeCell ref="Q66:Q67"/>
    <mergeCell ref="R66:R67"/>
    <mergeCell ref="C68:C69"/>
    <mergeCell ref="D68:D69"/>
    <mergeCell ref="J66:J67"/>
    <mergeCell ref="W66:W67"/>
    <mergeCell ref="W68:W69"/>
    <mergeCell ref="T68:T69"/>
    <mergeCell ref="U68:U69"/>
    <mergeCell ref="A78:A81"/>
    <mergeCell ref="D76:D77"/>
    <mergeCell ref="A66:A69"/>
    <mergeCell ref="X66:X67"/>
    <mergeCell ref="M66:M67"/>
    <mergeCell ref="N66:N67"/>
    <mergeCell ref="O66:O67"/>
    <mergeCell ref="P66:P67"/>
    <mergeCell ref="A91:A94"/>
    <mergeCell ref="A115:A118"/>
    <mergeCell ref="A119:A122"/>
    <mergeCell ref="C70:C71"/>
    <mergeCell ref="A70:A73"/>
    <mergeCell ref="A74:A77"/>
    <mergeCell ref="C115:C116"/>
    <mergeCell ref="C97:C98"/>
    <mergeCell ref="C132:C133"/>
    <mergeCell ref="C130:C131"/>
    <mergeCell ref="C78:C79"/>
    <mergeCell ref="D78:D79"/>
    <mergeCell ref="C113:C114"/>
    <mergeCell ref="D113:D114"/>
    <mergeCell ref="D95:D96"/>
    <mergeCell ref="D99:D100"/>
    <mergeCell ref="D115:D116"/>
    <mergeCell ref="D88:D90"/>
    <mergeCell ref="A127:A129"/>
    <mergeCell ref="B127:B129"/>
    <mergeCell ref="C127:C129"/>
    <mergeCell ref="C76:C77"/>
    <mergeCell ref="A88:A90"/>
    <mergeCell ref="B88:B89"/>
    <mergeCell ref="C88:C90"/>
    <mergeCell ref="C80:C81"/>
    <mergeCell ref="C95:C96"/>
    <mergeCell ref="C99:C100"/>
    <mergeCell ref="X6:Z6"/>
    <mergeCell ref="N31:N32"/>
    <mergeCell ref="L47:L48"/>
    <mergeCell ref="N61:P61"/>
    <mergeCell ref="Q61:S61"/>
    <mergeCell ref="W61:Y61"/>
    <mergeCell ref="A63:A65"/>
    <mergeCell ref="B63:B65"/>
    <mergeCell ref="C63:C65"/>
    <mergeCell ref="D63:D65"/>
    <mergeCell ref="E63:E65"/>
    <mergeCell ref="F63:F65"/>
    <mergeCell ref="V63:X63"/>
    <mergeCell ref="V68:V69"/>
    <mergeCell ref="Y63:AA63"/>
    <mergeCell ref="C66:C67"/>
    <mergeCell ref="P63:R63"/>
    <mergeCell ref="S63:U63"/>
    <mergeCell ref="G63:I64"/>
    <mergeCell ref="J63:L63"/>
    <mergeCell ref="M63:O63"/>
    <mergeCell ref="Y68:Y69"/>
    <mergeCell ref="AB88:AD88"/>
    <mergeCell ref="F127:F129"/>
    <mergeCell ref="G127:I128"/>
    <mergeCell ref="L127:N127"/>
    <mergeCell ref="O127:Q127"/>
    <mergeCell ref="R127:T127"/>
    <mergeCell ref="U127:W127"/>
    <mergeCell ref="X127:Z127"/>
    <mergeCell ref="U91:U92"/>
    <mergeCell ref="J91:J94"/>
    <mergeCell ref="Q95:Q96"/>
    <mergeCell ref="R95:R96"/>
    <mergeCell ref="S95:S96"/>
    <mergeCell ref="T95:T96"/>
    <mergeCell ref="AB130:AB133"/>
    <mergeCell ref="AA127:AB127"/>
    <mergeCell ref="AB95:AB96"/>
    <mergeCell ref="AB97:AB98"/>
    <mergeCell ref="T97:T98"/>
    <mergeCell ref="U97:U98"/>
    <mergeCell ref="Y88:AA88"/>
    <mergeCell ref="AC89:AD89"/>
    <mergeCell ref="AA95:AA96"/>
    <mergeCell ref="F95:F98"/>
    <mergeCell ref="G95:G98"/>
    <mergeCell ref="X95:X96"/>
    <mergeCell ref="Y95:Y96"/>
    <mergeCell ref="Z95:Z96"/>
    <mergeCell ref="O95:O96"/>
    <mergeCell ref="P95:P96"/>
  </mergeCells>
  <phoneticPr fontId="0" type="noConversion"/>
  <dataValidations count="24">
    <dataValidation type="list" allowBlank="1" showInputMessage="1" showErrorMessage="1" sqref="F130 F91 F66 F78 F74 F70 F95 F99 F119 F115">
      <formula1>"recht, schuin"</formula1>
    </dataValidation>
    <dataValidation type="list" allowBlank="1" showInputMessage="1" showErrorMessage="1" sqref="F140 F164 F156 F148">
      <formula1>"recht,schuin"</formula1>
    </dataValidation>
    <dataValidation allowBlank="1" showInputMessage="1" showErrorMessage="1" promptTitle="let op" prompt="als er geen afstand dp is: 1 invullen_x000a_Bij de voorbeeld plattegronden is er alleen een afstand dp in fig 6. " sqref="P9"/>
    <dataValidation allowBlank="1" showInputMessage="1" showErrorMessage="1" promptTitle="let op" prompt="als versneller parallel aan het labyrint draait is er geen dp2: 1 invullen" sqref="P11"/>
    <dataValidation type="list" allowBlank="1" showInputMessage="1" showErrorMessage="1" sqref="P7">
      <formula1>"1,2"</formula1>
    </dataValidation>
    <dataValidation type="list" allowBlank="1" showInputMessage="1" showErrorMessage="1" sqref="P6">
      <formula1>"parallel,loodrecht"</formula1>
    </dataValidation>
    <dataValidation allowBlank="1" showInputMessage="1" showErrorMessage="1" promptTitle="let op" prompt="is 1 las versneller parallel aan het labyrint draait" sqref="R8"/>
    <dataValidation allowBlank="1" showInputMessage="1" showErrorMessage="1" promptTitle="let op" prompt="als versneller parallel aan het labyrint draait is er geen dz2:_x000a_ 1 invullen" sqref="P15"/>
    <dataValidation allowBlank="1" showInputMessage="1" showErrorMessage="1" promptTitle="let op" prompt="Als labyrint 1 bocht heeft dan dan is er geen dz5: 1 invullen_x000a_" sqref="P18"/>
    <dataValidation allowBlank="1" showInputMessage="1" showErrorMessage="1" prompt="als versneller parallel aan het labyrint draait is er geen A2_x000a_: 1 invullen" sqref="P23"/>
    <dataValidation allowBlank="1" showInputMessage="1" showErrorMessage="1" promptTitle="let op" prompt="Als labyrint 1 bocht heeft dan dan is er geen A5: 1 invullen" sqref="P26"/>
    <dataValidation allowBlank="1" showInputMessage="1" showErrorMessage="1" prompt="Als labyrint 1 bocht heeft dan dan is er geen A5: 1 invullen_x000a_" sqref="N38"/>
    <dataValidation allowBlank="1" showInputMessage="1" showErrorMessage="1" promptTitle="let op" prompt="Alleen van belang als E &gt; 10 MV (neutronenproduktie)" sqref="P45:P46"/>
    <dataValidation allowBlank="1" showInputMessage="1" showErrorMessage="1" prompt="alleen van belang als de lekstraling of door patient verstrooide straling door het binnenmuurtje van het labyrint gaat op weg naar de 1e hoek _x000a_labyrint" sqref="I103:I110"/>
    <dataValidation allowBlank="1" showInputMessage="1" showErrorMessage="1" prompt="alleen van belang als de lekstraling of door patient verstrooide straling door het binnenmuurtje van het labyrint gaat op weg naar de 1e hoek labyrint" sqref="H103:H110"/>
    <dataValidation allowBlank="1" showInputMessage="1" showErrorMessage="1" prompt="alleen van belang als de lekstraling of door patient verstrooide straling door het binnenmuurtje van het labyrint gaat op weg naar 1e hoek labyrint_x000a_" sqref="G103:G110"/>
    <dataValidation type="list" allowBlank="1" showInputMessage="1" showErrorMessage="1" prompt="alleen van belang als de lekstraling of door patient verstrooide straling door het binnenmuurtje van het labyrint gaat op weg naar 1e hoek van labyrint_x000a__x000a_" sqref="F103:F110">
      <formula1>"recht, schuin"</formula1>
    </dataValidation>
    <dataValidation allowBlank="1" showInputMessage="1" showErrorMessage="1" prompt="alleen van belang als de verstrooide straling door het binnenmuurtje van het labyrint gaat op weg naar het tweede verstrooiiende oppervlak" sqref="G101:I102"/>
    <dataValidation type="list" allowBlank="1" showInputMessage="1" showErrorMessage="1" prompt="alleen van belang als de verstrooide straling door het binnenmuurtje van het labyrint gaat op weg naar het tweede verstrooiiende oppervlak_x000a_" sqref="F101:F102">
      <formula1>"recht, schuin"</formula1>
    </dataValidation>
    <dataValidation allowBlank="1" showInputMessage="1" showErrorMessage="1" prompt="Fr voor gantry 90/270 graden als primaire bundel van labyrint is afgericht._x000a_" sqref="E109:E110"/>
    <dataValidation allowBlank="1" showInputMessage="1" showErrorMessage="1" prompt="Fr richting vloer (gantry 0 graden ) en plafond (gantry 180 graden)_x000a_" sqref="E107:E108"/>
    <dataValidation allowBlank="1" showInputMessage="1" showErrorMessage="1" prompt="Fr richting opp A1 als versneller parallel aan labyrint draait of Fr richting opp A2 als versneller loodrecht op labyrint draait" sqref="E105:E106"/>
    <dataValidation allowBlank="1" showInputMessage="1" showErrorMessage="1" promptTitle="let op" prompt="Fr richting opp A2" sqref="E99:E100"/>
    <dataValidation allowBlank="1" showInputMessage="1" showErrorMessage="1" prompt="Fr richting  opp A1_x000a_" sqref="E101:E102"/>
  </dataValidations>
  <pageMargins left="0.70866141732283472" right="0.70866141732283472" top="0.74803149606299213" bottom="0.74803149606299213" header="0.31496062992125984" footer="0.31496062992125984"/>
  <pageSetup paperSize="8" scale="20" orientation="landscape" r:id="rId1"/>
  <headerFooter>
    <oddFooter>&amp;C&amp;F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Blad7">
    <tabColor theme="0" tint="-0.249977111117893"/>
  </sheetPr>
  <dimension ref="A1:CI174"/>
  <sheetViews>
    <sheetView showGridLines="0" zoomScale="25" zoomScaleNormal="25" workbookViewId="0">
      <selection activeCell="AK51" sqref="AK51"/>
    </sheetView>
  </sheetViews>
  <sheetFormatPr defaultRowHeight="15.75"/>
  <cols>
    <col min="1" max="1" width="6.7109375" style="331" customWidth="1"/>
    <col min="2" max="2" width="20.7109375" style="331" customWidth="1"/>
    <col min="3" max="21" width="12.7109375" style="331" customWidth="1"/>
    <col min="22" max="27" width="12.7109375" style="311" customWidth="1"/>
    <col min="28" max="36" width="12.7109375" style="321" customWidth="1"/>
    <col min="37" max="39" width="10" style="321" bestFit="1" customWidth="1"/>
    <col min="40" max="43" width="10.140625" style="321" bestFit="1" customWidth="1"/>
    <col min="44" max="45" width="10" style="321" bestFit="1" customWidth="1"/>
    <col min="46" max="48" width="10.140625" style="321" bestFit="1" customWidth="1"/>
    <col min="49" max="55" width="12.140625" style="321" customWidth="1"/>
    <col min="56" max="60" width="10.140625" style="321" bestFit="1" customWidth="1"/>
    <col min="61" max="16384" width="9.140625" style="321"/>
  </cols>
  <sheetData>
    <row r="1" spans="1:31" s="381" customFormat="1" ht="26.25" customHeight="1" thickBot="1">
      <c r="A1" s="18" t="s">
        <v>66</v>
      </c>
      <c r="B1" s="19"/>
      <c r="C1" s="21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20"/>
      <c r="W1" s="20"/>
      <c r="X1" s="20"/>
      <c r="Y1" s="20"/>
      <c r="Z1" s="20">
        <v>8</v>
      </c>
      <c r="AA1" s="20"/>
      <c r="AB1" s="21"/>
      <c r="AC1" s="21"/>
      <c r="AD1" s="21"/>
      <c r="AE1" s="642"/>
    </row>
    <row r="2" spans="1:31" s="311" customFormat="1" ht="18.75" thickBot="1">
      <c r="A2" s="330"/>
      <c r="F2" s="440"/>
      <c r="G2" s="440"/>
      <c r="H2" s="440"/>
    </row>
    <row r="3" spans="1:31" s="311" customFormat="1" ht="26.25" customHeight="1" thickBot="1">
      <c r="A3" s="1015" t="s">
        <v>529</v>
      </c>
      <c r="B3" s="1016"/>
      <c r="C3" s="1099" t="s">
        <v>528</v>
      </c>
      <c r="D3" s="1017"/>
      <c r="E3" s="1017"/>
      <c r="F3" s="1018"/>
      <c r="G3" s="1019"/>
      <c r="H3" s="440"/>
    </row>
    <row r="4" spans="1:31" ht="22.5" customHeight="1">
      <c r="A4" s="330"/>
      <c r="S4" s="311"/>
      <c r="T4" s="311"/>
      <c r="U4" s="311"/>
      <c r="Z4" s="321"/>
      <c r="AA4" s="321"/>
    </row>
    <row r="5" spans="1:31" ht="19.5" customHeight="1" thickBot="1">
      <c r="A5" s="332" t="s">
        <v>189</v>
      </c>
      <c r="B5" s="333"/>
      <c r="C5" s="333"/>
      <c r="F5" s="399"/>
      <c r="G5" s="399"/>
      <c r="H5" s="399"/>
      <c r="I5" s="399"/>
      <c r="J5" s="334" t="s">
        <v>393</v>
      </c>
      <c r="K5" s="335"/>
      <c r="L5" s="336"/>
      <c r="M5" s="336"/>
      <c r="N5" s="336"/>
      <c r="O5" s="336"/>
      <c r="P5" s="336"/>
      <c r="Q5" s="442"/>
      <c r="R5" s="336"/>
      <c r="S5" s="334" t="s">
        <v>391</v>
      </c>
      <c r="T5" s="336"/>
      <c r="U5" s="336"/>
      <c r="V5" s="336"/>
      <c r="W5" s="321"/>
      <c r="X5" s="321"/>
      <c r="Y5" s="325"/>
      <c r="Z5" s="325"/>
      <c r="AD5" s="762"/>
    </row>
    <row r="6" spans="1:31" s="325" customFormat="1" ht="19.5" customHeight="1" thickBot="1">
      <c r="A6" s="1425" t="s">
        <v>70</v>
      </c>
      <c r="B6" s="1426"/>
      <c r="C6" s="1427">
        <v>6</v>
      </c>
      <c r="D6" s="1427">
        <v>10</v>
      </c>
      <c r="E6" s="1428">
        <v>15</v>
      </c>
      <c r="F6" s="1427" t="s">
        <v>309</v>
      </c>
      <c r="G6" s="1429" t="s">
        <v>310</v>
      </c>
      <c r="H6" s="399"/>
      <c r="I6" s="399"/>
      <c r="J6" s="356" t="s">
        <v>402</v>
      </c>
      <c r="K6" s="340"/>
      <c r="L6" s="340"/>
      <c r="M6" s="340"/>
      <c r="N6" s="340"/>
      <c r="O6" s="340"/>
      <c r="P6" s="1108" t="s">
        <v>456</v>
      </c>
      <c r="S6" s="493" t="s">
        <v>31</v>
      </c>
      <c r="T6" s="1383"/>
      <c r="U6" s="96"/>
      <c r="V6" s="49" t="s">
        <v>36</v>
      </c>
      <c r="W6" s="49" t="s">
        <v>32</v>
      </c>
      <c r="X6" s="1669" t="s">
        <v>287</v>
      </c>
      <c r="Y6" s="1670"/>
      <c r="Z6" s="1671"/>
      <c r="AD6" s="311"/>
    </row>
    <row r="7" spans="1:31" s="325" customFormat="1" ht="19.5" customHeight="1" thickBot="1">
      <c r="A7" s="339" t="s">
        <v>392</v>
      </c>
      <c r="B7" s="532"/>
      <c r="C7" s="1369">
        <v>1000</v>
      </c>
      <c r="D7" s="1370"/>
      <c r="E7" s="1370"/>
      <c r="F7" s="1370"/>
      <c r="G7" s="1371"/>
      <c r="H7" s="311"/>
      <c r="I7" s="311"/>
      <c r="J7" s="373" t="s">
        <v>401</v>
      </c>
      <c r="K7" s="447"/>
      <c r="L7" s="447"/>
      <c r="M7" s="447"/>
      <c r="N7" s="447"/>
      <c r="O7" s="447"/>
      <c r="P7" s="1109">
        <v>1</v>
      </c>
      <c r="S7" s="586"/>
      <c r="T7" s="1384"/>
      <c r="U7" s="68" t="s">
        <v>286</v>
      </c>
      <c r="V7" s="51" t="s">
        <v>37</v>
      </c>
      <c r="W7" s="51" t="s">
        <v>28</v>
      </c>
      <c r="X7" s="79" t="s">
        <v>3</v>
      </c>
      <c r="Y7" s="51" t="s">
        <v>96</v>
      </c>
      <c r="Z7" s="309" t="s">
        <v>4</v>
      </c>
    </row>
    <row r="8" spans="1:31" s="325" customFormat="1" ht="19.5" customHeight="1" thickBot="1">
      <c r="A8" s="448" t="s">
        <v>227</v>
      </c>
      <c r="B8" s="534"/>
      <c r="C8" s="1372">
        <v>1E-3</v>
      </c>
      <c r="D8" s="1373"/>
      <c r="E8" s="1373"/>
      <c r="F8" s="1373"/>
      <c r="G8" s="1374"/>
      <c r="H8" s="311"/>
      <c r="I8" s="311"/>
      <c r="J8" s="529" t="s">
        <v>271</v>
      </c>
      <c r="K8" s="340"/>
      <c r="L8" s="340"/>
      <c r="M8" s="340"/>
      <c r="N8" s="340"/>
      <c r="O8" s="340"/>
      <c r="P8" s="1129"/>
      <c r="S8" s="586"/>
      <c r="T8" s="1384"/>
      <c r="U8" s="69"/>
      <c r="V8" s="51" t="s">
        <v>117</v>
      </c>
      <c r="W8" s="51" t="s">
        <v>115</v>
      </c>
      <c r="X8" s="79"/>
      <c r="Y8" s="51"/>
      <c r="Z8" s="309"/>
      <c r="AD8" s="451"/>
    </row>
    <row r="9" spans="1:31" s="325" customFormat="1" ht="19.5" customHeight="1" thickBot="1">
      <c r="A9" s="356" t="s">
        <v>335</v>
      </c>
      <c r="B9" s="361"/>
      <c r="C9" s="1101">
        <v>0</v>
      </c>
      <c r="D9" s="983">
        <v>0</v>
      </c>
      <c r="E9" s="1102">
        <v>0.76</v>
      </c>
      <c r="F9" s="1101">
        <v>0</v>
      </c>
      <c r="G9" s="1103">
        <v>0</v>
      </c>
      <c r="J9" s="343" t="s">
        <v>464</v>
      </c>
      <c r="K9" s="344"/>
      <c r="L9" s="336"/>
      <c r="M9" s="336"/>
      <c r="N9" s="336"/>
      <c r="O9" s="336"/>
      <c r="P9" s="1110">
        <v>1</v>
      </c>
      <c r="Q9" s="336"/>
      <c r="S9" s="586"/>
      <c r="T9" s="1384"/>
      <c r="U9" s="69"/>
      <c r="V9" s="51" t="s">
        <v>38</v>
      </c>
      <c r="W9" s="51" t="s">
        <v>39</v>
      </c>
      <c r="X9" s="79" t="s">
        <v>33</v>
      </c>
      <c r="Y9" s="51" t="s">
        <v>33</v>
      </c>
      <c r="Z9" s="309" t="s">
        <v>33</v>
      </c>
    </row>
    <row r="10" spans="1:31" s="325" customFormat="1" ht="19.5" customHeight="1" thickBot="1">
      <c r="A10" s="448" t="s">
        <v>337</v>
      </c>
      <c r="B10" s="447"/>
      <c r="C10" s="449">
        <f>$C$9*10^12/(4*PI()*$P$19^2)+5.4*$C$9*10^12/(2*PI()*$P$28)+1.26*$C$9*10^12/(2*PI()*$P$28)</f>
        <v>0</v>
      </c>
      <c r="D10" s="449">
        <f>$D$9*10^12/(4*PI()*$P$19^2)+5.4*$D$9*10^12/(2*PI()*$P$28)+1.26*$D$9*10^12/(2*PI()*$P$28)</f>
        <v>0</v>
      </c>
      <c r="E10" s="449">
        <f>$E$9*10^12/(4*PI()*$P$19^2)+5.4*$E$9*10^12/(2*PI()*$P$28)+1.26*$E$9*10^12/(2*PI()*$P$28)</f>
        <v>5999504734.7920866</v>
      </c>
      <c r="F10" s="449">
        <f>$F$9*10^12/(4*PI()*$P$19^2)+5.4*$F$9*10^12/(2*PI()*$P$28)+1.26*$F$9*10^12/(2*PI()*$P$28)</f>
        <v>0</v>
      </c>
      <c r="G10" s="450">
        <f>$G$9*10^12/(4*PI()*$P$19^2)+5.4*$G$9*10^12/(2*PI()*$P$28)+1.26*$G$9*10^12/(2*PI()*$P$28)</f>
        <v>0</v>
      </c>
      <c r="J10" s="343" t="s">
        <v>465</v>
      </c>
      <c r="K10" s="344"/>
      <c r="L10" s="336"/>
      <c r="M10" s="336"/>
      <c r="N10" s="336"/>
      <c r="O10" s="336"/>
      <c r="P10" s="1111">
        <v>5</v>
      </c>
      <c r="Q10" s="336"/>
      <c r="R10" s="336"/>
      <c r="S10" s="1375" t="s">
        <v>288</v>
      </c>
      <c r="T10" s="1376"/>
      <c r="U10" s="540">
        <v>1</v>
      </c>
      <c r="V10" s="541">
        <v>15</v>
      </c>
      <c r="W10" s="452">
        <f>2*PI()*(1-COS(V10/180*PI()))</f>
        <v>0.21409434761481089</v>
      </c>
      <c r="X10" s="540">
        <v>250</v>
      </c>
      <c r="Y10" s="540">
        <v>0</v>
      </c>
      <c r="Z10" s="543">
        <v>0</v>
      </c>
    </row>
    <row r="11" spans="1:31" s="325" customFormat="1" ht="19.5" customHeight="1" thickBot="1">
      <c r="A11" s="339" t="s">
        <v>228</v>
      </c>
      <c r="B11" s="532"/>
      <c r="C11" s="1101">
        <v>0.2</v>
      </c>
      <c r="D11" s="1101">
        <v>0.2</v>
      </c>
      <c r="E11" s="983">
        <v>0.2</v>
      </c>
      <c r="F11" s="1101">
        <v>0.2</v>
      </c>
      <c r="G11" s="1103">
        <v>0.2</v>
      </c>
      <c r="H11" s="311"/>
      <c r="I11" s="311"/>
      <c r="J11" s="343" t="s">
        <v>488</v>
      </c>
      <c r="K11" s="344"/>
      <c r="L11" s="336"/>
      <c r="M11" s="336"/>
      <c r="N11" s="336"/>
      <c r="O11" s="336"/>
      <c r="P11" s="1112">
        <v>1</v>
      </c>
      <c r="Q11" s="336"/>
      <c r="R11" s="336"/>
      <c r="S11" s="1377" t="s">
        <v>289</v>
      </c>
      <c r="T11" s="1378"/>
      <c r="U11" s="542">
        <v>1</v>
      </c>
      <c r="V11" s="963">
        <v>60</v>
      </c>
      <c r="W11" s="453">
        <f>2*PI()*(1-COS(V11/180*PI()))</f>
        <v>3.1415926535897922</v>
      </c>
      <c r="X11" s="542">
        <v>200</v>
      </c>
      <c r="Y11" s="542">
        <v>0</v>
      </c>
      <c r="Z11" s="544">
        <v>0</v>
      </c>
    </row>
    <row r="12" spans="1:31" s="325" customFormat="1" ht="19.5" customHeight="1">
      <c r="A12" s="533" t="s">
        <v>229</v>
      </c>
      <c r="B12" s="467"/>
      <c r="C12" s="1104">
        <v>0.5</v>
      </c>
      <c r="D12" s="1104">
        <v>0.5</v>
      </c>
      <c r="E12" s="1105">
        <v>0.5</v>
      </c>
      <c r="F12" s="1104">
        <v>0.5</v>
      </c>
      <c r="G12" s="1106">
        <v>0.5</v>
      </c>
      <c r="H12" s="311"/>
      <c r="I12" s="311"/>
      <c r="J12" s="343" t="s">
        <v>466</v>
      </c>
      <c r="K12" s="344"/>
      <c r="L12" s="442"/>
      <c r="M12" s="336"/>
      <c r="N12" s="336"/>
      <c r="O12" s="336"/>
      <c r="P12" s="1111">
        <v>5</v>
      </c>
      <c r="Q12" s="336"/>
      <c r="R12" s="336"/>
      <c r="S12" s="336"/>
      <c r="T12" s="336"/>
      <c r="U12" s="336"/>
      <c r="V12" s="345"/>
      <c r="W12" s="345"/>
      <c r="X12" s="345"/>
      <c r="Y12" s="345"/>
      <c r="Z12" s="345"/>
      <c r="AA12" s="345"/>
      <c r="AB12" s="345"/>
      <c r="AC12" s="345"/>
    </row>
    <row r="13" spans="1:31" s="325" customFormat="1" ht="19.5" customHeight="1">
      <c r="A13" s="533" t="s">
        <v>230</v>
      </c>
      <c r="B13" s="467"/>
      <c r="C13" s="347">
        <f>1-C12</f>
        <v>0.5</v>
      </c>
      <c r="D13" s="347">
        <f>1-D12</f>
        <v>0.5</v>
      </c>
      <c r="E13" s="372">
        <f>1-E12</f>
        <v>0.5</v>
      </c>
      <c r="F13" s="347">
        <f>1-F12</f>
        <v>0.5</v>
      </c>
      <c r="G13" s="445">
        <f>1-G12</f>
        <v>0.5</v>
      </c>
      <c r="H13" s="311"/>
      <c r="I13" s="311"/>
      <c r="J13" s="343" t="s">
        <v>489</v>
      </c>
      <c r="K13" s="344"/>
      <c r="L13" s="336"/>
      <c r="M13" s="336"/>
      <c r="N13" s="336"/>
      <c r="O13" s="336"/>
      <c r="P13" s="1111">
        <v>5</v>
      </c>
      <c r="Q13" s="336"/>
      <c r="R13" s="336"/>
      <c r="S13" s="336"/>
      <c r="T13" s="338"/>
      <c r="U13" s="336"/>
      <c r="V13" s="345"/>
      <c r="W13" s="345"/>
      <c r="X13" s="345"/>
      <c r="Y13" s="345"/>
      <c r="Z13" s="345"/>
      <c r="AA13" s="345"/>
      <c r="AB13" s="345"/>
      <c r="AC13" s="345"/>
    </row>
    <row r="14" spans="1:31" s="325" customFormat="1" ht="19.5" customHeight="1" thickBot="1">
      <c r="A14" s="533" t="s">
        <v>231</v>
      </c>
      <c r="B14" s="467"/>
      <c r="C14" s="1104">
        <v>5</v>
      </c>
      <c r="D14" s="1104">
        <v>5</v>
      </c>
      <c r="E14" s="1107">
        <v>5</v>
      </c>
      <c r="F14" s="1104">
        <v>2.4</v>
      </c>
      <c r="G14" s="1106">
        <v>1.3</v>
      </c>
      <c r="H14" s="311"/>
      <c r="I14" s="311"/>
      <c r="J14" s="343" t="s">
        <v>467</v>
      </c>
      <c r="K14" s="344"/>
      <c r="L14" s="336"/>
      <c r="M14" s="336"/>
      <c r="N14" s="336"/>
      <c r="O14" s="336"/>
      <c r="P14" s="1111">
        <v>10</v>
      </c>
      <c r="Q14" s="336"/>
      <c r="R14" s="336"/>
      <c r="S14" s="336"/>
      <c r="T14" s="338"/>
      <c r="U14" s="336"/>
      <c r="V14" s="345"/>
      <c r="W14" s="345"/>
      <c r="X14" s="345"/>
      <c r="Y14" s="345"/>
      <c r="Z14" s="345"/>
      <c r="AA14" s="345"/>
      <c r="AB14" s="345"/>
      <c r="AC14" s="345"/>
    </row>
    <row r="15" spans="1:31" s="325" customFormat="1" ht="19.5" customHeight="1">
      <c r="A15" s="356" t="s">
        <v>268</v>
      </c>
      <c r="B15" s="366"/>
      <c r="C15" s="871" t="s">
        <v>18</v>
      </c>
      <c r="D15" s="872"/>
      <c r="E15" s="872"/>
      <c r="F15" s="872"/>
      <c r="G15" s="873"/>
      <c r="H15" s="533"/>
      <c r="I15" s="467"/>
      <c r="J15" s="343" t="s">
        <v>480</v>
      </c>
      <c r="K15" s="344"/>
      <c r="L15" s="336"/>
      <c r="M15" s="336"/>
      <c r="N15" s="336"/>
      <c r="O15" s="336"/>
      <c r="P15" s="1110">
        <v>5</v>
      </c>
      <c r="Q15" s="336"/>
      <c r="R15" s="336"/>
      <c r="S15" s="336"/>
      <c r="T15" s="338"/>
      <c r="U15" s="336"/>
      <c r="V15" s="345"/>
      <c r="W15" s="345"/>
      <c r="X15" s="345"/>
      <c r="Y15" s="345"/>
      <c r="Z15" s="345"/>
      <c r="AA15" s="345"/>
      <c r="AB15" s="345"/>
      <c r="AC15" s="345"/>
    </row>
    <row r="16" spans="1:31" s="325" customFormat="1" ht="19.5" customHeight="1">
      <c r="A16" s="446"/>
      <c r="B16" s="442" t="s">
        <v>70</v>
      </c>
      <c r="C16" s="752">
        <f>C6</f>
        <v>6</v>
      </c>
      <c r="D16" s="752">
        <f>D6</f>
        <v>10</v>
      </c>
      <c r="E16" s="752">
        <f>E6</f>
        <v>15</v>
      </c>
      <c r="F16" s="752" t="str">
        <f>F6</f>
        <v>6 FFF</v>
      </c>
      <c r="G16" s="752" t="str">
        <f>G6</f>
        <v>10 FFF</v>
      </c>
      <c r="H16" s="444"/>
      <c r="I16" s="345"/>
      <c r="J16" s="343" t="s">
        <v>479</v>
      </c>
      <c r="K16" s="344"/>
      <c r="L16" s="336"/>
      <c r="M16" s="336"/>
      <c r="N16" s="336"/>
      <c r="O16" s="336"/>
      <c r="P16" s="1111">
        <v>10</v>
      </c>
      <c r="Q16" s="336"/>
      <c r="R16" s="336"/>
      <c r="S16" s="336"/>
      <c r="T16" s="338"/>
      <c r="U16" s="336"/>
      <c r="V16" s="345"/>
      <c r="W16" s="345"/>
      <c r="X16" s="345"/>
      <c r="Y16" s="345"/>
      <c r="Z16" s="345"/>
      <c r="AA16" s="345"/>
      <c r="AB16" s="345"/>
      <c r="AC16" s="345"/>
    </row>
    <row r="17" spans="1:29" s="350" customFormat="1" ht="19.5" customHeight="1">
      <c r="A17" s="348"/>
      <c r="B17" s="962" t="s">
        <v>437</v>
      </c>
      <c r="C17" s="723">
        <f ca="1">VLOOKUP($C$16,'TVT''s afscherming'!$A$10:$J$23,2)</f>
        <v>37</v>
      </c>
      <c r="D17" s="724">
        <f ca="1">VLOOKUP($D$16,'TVT''s afscherming'!$A$10:$J$23,2)</f>
        <v>41</v>
      </c>
      <c r="E17" s="724">
        <f ca="1">VLOOKUP($E$16,'TVT''s afscherming'!$A$10:$J$23,2)</f>
        <v>44</v>
      </c>
      <c r="F17" s="724">
        <f ca="1">VLOOKUP($F$16,'TVT''s afscherming'!$A$10:$J$23,2)</f>
        <v>30</v>
      </c>
      <c r="G17" s="723">
        <f ca="1">VLOOKUP($G$16,'TVT''s afscherming'!$A$10:$J$23,2)</f>
        <v>36</v>
      </c>
      <c r="H17" s="721"/>
      <c r="I17" s="538"/>
      <c r="J17" s="343" t="s">
        <v>491</v>
      </c>
      <c r="K17" s="344"/>
      <c r="L17" s="336"/>
      <c r="M17" s="336"/>
      <c r="N17" s="336"/>
      <c r="O17" s="336"/>
      <c r="P17" s="1111">
        <v>10</v>
      </c>
      <c r="Q17" s="336"/>
      <c r="R17" s="336"/>
      <c r="S17" s="336"/>
      <c r="U17" s="336"/>
      <c r="V17" s="336"/>
      <c r="W17" s="336"/>
      <c r="X17" s="538"/>
      <c r="Y17" s="538"/>
      <c r="Z17" s="345"/>
      <c r="AA17" s="345"/>
      <c r="AB17" s="345"/>
      <c r="AC17" s="345"/>
    </row>
    <row r="18" spans="1:29" s="350" customFormat="1" ht="19.5" customHeight="1">
      <c r="A18" s="441"/>
      <c r="B18" s="311" t="s">
        <v>438</v>
      </c>
      <c r="C18" s="725">
        <f ca="1">VLOOKUP($C$16,'TVT''s afscherming'!$A$10:$J$23,3)</f>
        <v>33</v>
      </c>
      <c r="D18" s="725">
        <f ca="1">VLOOKUP($D$16,'TVT''s afscherming'!$A$10:$J$23,3)</f>
        <v>37</v>
      </c>
      <c r="E18" s="725">
        <f ca="1">VLOOKUP($E$16,'TVT''s afscherming'!$A$10:$J$23,3)</f>
        <v>41</v>
      </c>
      <c r="F18" s="725">
        <f ca="1">VLOOKUP($F$16,'TVT''s afscherming'!$A$10:$J$23,3)</f>
        <v>27</v>
      </c>
      <c r="G18" s="726">
        <f ca="1">VLOOKUP($G$16,'TVT''s afscherming'!$A$10:$J$23,3)</f>
        <v>36</v>
      </c>
      <c r="H18" s="719"/>
      <c r="I18" s="538"/>
      <c r="J18" s="343" t="s">
        <v>468</v>
      </c>
      <c r="K18" s="344"/>
      <c r="L18" s="336"/>
      <c r="M18" s="336"/>
      <c r="N18" s="336"/>
      <c r="O18" s="336"/>
      <c r="P18" s="1110">
        <v>1</v>
      </c>
      <c r="Q18" s="336"/>
      <c r="R18" s="336"/>
      <c r="S18" s="336"/>
      <c r="U18" s="336"/>
      <c r="V18" s="539"/>
      <c r="W18" s="336"/>
      <c r="X18" s="538"/>
      <c r="Y18" s="538"/>
      <c r="Z18" s="538"/>
      <c r="AA18" s="345"/>
      <c r="AB18" s="345"/>
      <c r="AC18" s="345"/>
    </row>
    <row r="19" spans="1:29" s="325" customFormat="1" ht="19.5" customHeight="1">
      <c r="A19" s="348"/>
      <c r="B19" s="442" t="s">
        <v>96</v>
      </c>
      <c r="C19" s="727">
        <f ca="1">VLOOKUP($C$16,'TVT''s afscherming'!$A$10:$J$23,4)</f>
        <v>24.2</v>
      </c>
      <c r="D19" s="725">
        <f ca="1">VLOOKUP($D$16,'TVT''s afscherming'!$A$10:$J$23,4)</f>
        <v>27</v>
      </c>
      <c r="E19" s="725">
        <f ca="1">VLOOKUP($E$16,'TVT''s afscherming'!$A$10:$J$23,4)</f>
        <v>29.5</v>
      </c>
      <c r="F19" s="725">
        <f ca="1">VLOOKUP($F$16,'TVT''s afscherming'!$A$10:$J$23,4)</f>
        <v>19.7</v>
      </c>
      <c r="G19" s="727">
        <f ca="1">VLOOKUP($G$16,'TVT''s afscherming'!$A$10:$J$23,4)</f>
        <v>23.6</v>
      </c>
      <c r="H19" s="441"/>
      <c r="I19" s="345"/>
      <c r="J19" s="343" t="s">
        <v>469</v>
      </c>
      <c r="K19" s="344"/>
      <c r="L19" s="336"/>
      <c r="M19" s="336"/>
      <c r="N19" s="336"/>
      <c r="O19" s="350"/>
      <c r="P19" s="1111">
        <v>5</v>
      </c>
      <c r="Q19" s="350"/>
      <c r="R19" s="350"/>
      <c r="S19" s="350"/>
      <c r="T19" s="338"/>
      <c r="U19" s="336"/>
      <c r="V19" s="397"/>
      <c r="W19" s="346"/>
      <c r="X19" s="345"/>
      <c r="Y19" s="345"/>
      <c r="Z19" s="538"/>
      <c r="AA19" s="345"/>
      <c r="AB19" s="345"/>
      <c r="AC19" s="345"/>
    </row>
    <row r="20" spans="1:29" s="325" customFormat="1" ht="19.5" customHeight="1" thickBot="1">
      <c r="A20" s="348"/>
      <c r="B20" s="442" t="s">
        <v>4</v>
      </c>
      <c r="C20" s="727">
        <f ca="1">VLOOKUP($C$16,'TVT''s afscherming'!$A$10:$J$23,5)</f>
        <v>9.9</v>
      </c>
      <c r="D20" s="725">
        <f ca="1">VLOOKUP($D$16,'TVT''s afscherming'!$A$10:$J$23,5)</f>
        <v>10</v>
      </c>
      <c r="E20" s="725">
        <f ca="1">VLOOKUP($E$16,'TVT''s afscherming'!$A$10:$J$23,5)</f>
        <v>11</v>
      </c>
      <c r="F20" s="725">
        <f ca="1">VLOOKUP($F$16,'TVT''s afscherming'!$A$10:$J$23,5)</f>
        <v>10.199999999999999</v>
      </c>
      <c r="G20" s="727">
        <f ca="1">VLOOKUP($G$16,'TVT''s afscherming'!$A$10:$J$23,5)</f>
        <v>10.199999999999999</v>
      </c>
      <c r="H20" s="441"/>
      <c r="I20" s="345"/>
      <c r="J20" s="409" t="s">
        <v>470</v>
      </c>
      <c r="K20" s="374"/>
      <c r="L20" s="336"/>
      <c r="M20" s="336"/>
      <c r="N20" s="336"/>
      <c r="O20" s="350"/>
      <c r="P20" s="1111">
        <v>10</v>
      </c>
      <c r="Q20" s="350"/>
      <c r="R20" s="350"/>
      <c r="S20" s="350"/>
      <c r="U20" s="336"/>
      <c r="V20" s="336"/>
      <c r="W20" s="336"/>
      <c r="X20" s="345"/>
      <c r="Y20" s="345"/>
      <c r="Z20" s="345"/>
      <c r="AA20" s="345"/>
      <c r="AB20" s="345"/>
      <c r="AC20" s="345"/>
    </row>
    <row r="21" spans="1:29" s="325" customFormat="1" ht="19.5" customHeight="1">
      <c r="A21" s="348"/>
      <c r="B21" s="442" t="s">
        <v>27</v>
      </c>
      <c r="C21" s="727">
        <f ca="1">VLOOKUP($C$16,'TVT''s afscherming'!$A$10:$J$23,6)</f>
        <v>5.7</v>
      </c>
      <c r="D21" s="725">
        <f ca="1">VLOOKUP($D$16,'TVT''s afscherming'!$A$10:$J$23,6)</f>
        <v>5.7</v>
      </c>
      <c r="E21" s="725">
        <f ca="1">VLOOKUP($E$16,'TVT''s afscherming'!$A$10:$J$23,6)</f>
        <v>5.7</v>
      </c>
      <c r="F21" s="725">
        <f ca="1">VLOOKUP($F$16,'TVT''s afscherming'!$A$10:$J$23,6)</f>
        <v>5.7</v>
      </c>
      <c r="G21" s="727">
        <f ca="1">VLOOKUP($G$16,'TVT''s afscherming'!$A$10:$J$23,6)</f>
        <v>5.7</v>
      </c>
      <c r="H21" s="441"/>
      <c r="I21" s="345"/>
      <c r="J21" s="530" t="s">
        <v>395</v>
      </c>
      <c r="K21" s="340"/>
      <c r="L21" s="340"/>
      <c r="M21" s="340"/>
      <c r="N21" s="340"/>
      <c r="O21" s="340"/>
      <c r="P21" s="1129"/>
      <c r="S21" s="336"/>
      <c r="U21" s="336"/>
      <c r="V21" s="336"/>
      <c r="W21" s="336"/>
      <c r="X21" s="345"/>
      <c r="Y21" s="345"/>
      <c r="Z21" s="345"/>
      <c r="AA21" s="345"/>
      <c r="AB21" s="345"/>
      <c r="AC21" s="345"/>
    </row>
    <row r="22" spans="1:29" s="325" customFormat="1" ht="19.5" customHeight="1">
      <c r="A22" s="441"/>
      <c r="B22" s="720"/>
      <c r="C22" s="868" t="s">
        <v>1</v>
      </c>
      <c r="D22" s="869"/>
      <c r="E22" s="869"/>
      <c r="F22" s="869"/>
      <c r="G22" s="870"/>
      <c r="H22" s="441"/>
      <c r="I22" s="345"/>
      <c r="J22" s="357" t="s">
        <v>403</v>
      </c>
      <c r="K22" s="358"/>
      <c r="L22" s="336"/>
      <c r="M22" s="336"/>
      <c r="N22" s="336"/>
      <c r="O22" s="336"/>
      <c r="P22" s="1111">
        <v>4</v>
      </c>
      <c r="Q22" s="336"/>
      <c r="U22" s="336"/>
      <c r="V22" s="336"/>
      <c r="W22" s="336"/>
      <c r="X22" s="345"/>
      <c r="Y22" s="345"/>
      <c r="Z22" s="345"/>
      <c r="AA22" s="345"/>
      <c r="AB22" s="345"/>
      <c r="AC22" s="345"/>
    </row>
    <row r="23" spans="1:29" s="325" customFormat="1" ht="19.5" customHeight="1">
      <c r="A23" s="441"/>
      <c r="B23" s="442" t="s">
        <v>70</v>
      </c>
      <c r="C23" s="752">
        <f ca="1">C6</f>
        <v>6</v>
      </c>
      <c r="D23" s="752">
        <f ca="1">D6</f>
        <v>10</v>
      </c>
      <c r="E23" s="753">
        <f ca="1">E6</f>
        <v>15</v>
      </c>
      <c r="F23" s="752" t="str">
        <f ca="1">F6</f>
        <v>6 FFF</v>
      </c>
      <c r="G23" s="754" t="str">
        <f ca="1">G6</f>
        <v>10 FFF</v>
      </c>
      <c r="H23" s="441"/>
      <c r="I23" s="345"/>
      <c r="J23" s="357" t="s">
        <v>482</v>
      </c>
      <c r="K23" s="358"/>
      <c r="L23" s="336"/>
      <c r="M23" s="336"/>
      <c r="N23" s="336"/>
      <c r="O23" s="336"/>
      <c r="P23" s="1110">
        <v>5</v>
      </c>
      <c r="Q23" s="336"/>
      <c r="U23" s="336"/>
      <c r="V23" s="345"/>
      <c r="W23" s="345"/>
      <c r="X23" s="345"/>
      <c r="Y23" s="345"/>
      <c r="Z23" s="345"/>
      <c r="AA23" s="538"/>
      <c r="AB23" s="538"/>
      <c r="AC23" s="538"/>
    </row>
    <row r="24" spans="1:29" s="325" customFormat="1" ht="19.5" customHeight="1">
      <c r="A24" s="441"/>
      <c r="B24" s="962" t="s">
        <v>3</v>
      </c>
      <c r="C24" s="723">
        <f ca="1">VLOOKUP($C$23,'TVT''s afscherming'!$A$10:$J$23,7)</f>
        <v>34</v>
      </c>
      <c r="D24" s="723">
        <f ca="1">VLOOKUP($D$23,'TVT''s afscherming'!$A$10:$J$23,7)</f>
        <v>38</v>
      </c>
      <c r="E24" s="724">
        <f ca="1">VLOOKUP($E$23,'TVT''s afscherming'!$A$10:$J$23,7)</f>
        <v>38.1</v>
      </c>
      <c r="F24" s="723">
        <f ca="1">VLOOKUP($F$23,'TVT''s afscherming'!$A$10:$J$23,7)</f>
        <v>30.5</v>
      </c>
      <c r="G24" s="728">
        <f ca="1">VLOOKUP($G$23,'TVT''s afscherming'!$A$10:$J$23,7)</f>
        <v>35.6</v>
      </c>
      <c r="J24" s="357" t="s">
        <v>307</v>
      </c>
      <c r="K24" s="358"/>
      <c r="L24" s="336"/>
      <c r="M24" s="336"/>
      <c r="N24" s="336"/>
      <c r="O24" s="336"/>
      <c r="P24" s="1111">
        <v>5</v>
      </c>
      <c r="Q24" s="336"/>
      <c r="U24" s="336"/>
      <c r="V24" s="336"/>
      <c r="W24" s="336"/>
      <c r="X24" s="336"/>
    </row>
    <row r="25" spans="1:29" s="325" customFormat="1" ht="19.5" customHeight="1">
      <c r="A25" s="441"/>
      <c r="B25" s="442" t="s">
        <v>96</v>
      </c>
      <c r="C25" s="727">
        <f ca="1">VLOOKUP($C$23,'TVT''s afscherming'!$A$10:$J$23,8)</f>
        <v>20</v>
      </c>
      <c r="D25" s="727">
        <f ca="1">VLOOKUP($D$23,'TVT''s afscherming'!$A$10:$J$23,8)</f>
        <v>24</v>
      </c>
      <c r="E25" s="725">
        <f ca="1">VLOOKUP($E$23,'TVT''s afscherming'!$A$10:$J$23,8)</f>
        <v>25.3</v>
      </c>
      <c r="F25" s="727">
        <f ca="1">VLOOKUP($F$23,'TVT''s afscherming'!$A$10:$J$23,8)</f>
        <v>20.3</v>
      </c>
      <c r="G25" s="726">
        <f ca="1">VLOOKUP($G$23,'TVT''s afscherming'!$A$10:$J$23,8)</f>
        <v>23.7</v>
      </c>
      <c r="I25" s="442"/>
      <c r="J25" s="357" t="s">
        <v>490</v>
      </c>
      <c r="K25" s="358"/>
      <c r="L25" s="336"/>
      <c r="M25" s="336"/>
      <c r="N25" s="336"/>
      <c r="O25" s="336"/>
      <c r="P25" s="1111">
        <v>5</v>
      </c>
      <c r="Q25" s="336"/>
      <c r="U25" s="336"/>
      <c r="V25" s="336"/>
      <c r="W25" s="336"/>
      <c r="X25" s="336"/>
    </row>
    <row r="26" spans="1:29" s="325" customFormat="1" ht="19.5" customHeight="1">
      <c r="A26" s="441"/>
      <c r="B26" s="442" t="s">
        <v>4</v>
      </c>
      <c r="C26" s="727">
        <f ca="1">VLOOKUP($C$23,'TVT''s afscherming'!$A$10:$J$23,9)</f>
        <v>9.9</v>
      </c>
      <c r="D26" s="727">
        <f ca="1">VLOOKUP($D$23,'TVT''s afscherming'!$A$10:$J$23,9)</f>
        <v>10</v>
      </c>
      <c r="E26" s="725">
        <f ca="1">VLOOKUP($E$23,'TVT''s afscherming'!$A$10:$J$23,9)</f>
        <v>10.7</v>
      </c>
      <c r="F26" s="727">
        <f ca="1">VLOOKUP($F$23,'TVT''s afscherming'!$A$10:$J$23,9)</f>
        <v>10.199999999999999</v>
      </c>
      <c r="G26" s="726">
        <f ca="1">VLOOKUP($G$23,'TVT''s afscherming'!$A$10:$J$23,9)</f>
        <v>10.7</v>
      </c>
      <c r="J26" s="357" t="s">
        <v>308</v>
      </c>
      <c r="K26" s="358"/>
      <c r="L26" s="336"/>
      <c r="M26" s="336"/>
      <c r="N26" s="336"/>
      <c r="O26" s="336"/>
      <c r="P26" s="1110">
        <v>1</v>
      </c>
      <c r="Q26" s="336"/>
      <c r="T26" s="336"/>
      <c r="U26" s="337"/>
      <c r="V26" s="336"/>
      <c r="W26" s="336"/>
      <c r="X26" s="336"/>
      <c r="Y26" s="336"/>
    </row>
    <row r="27" spans="1:29" s="325" customFormat="1" ht="19.5" customHeight="1" thickBot="1">
      <c r="A27" s="777"/>
      <c r="B27" s="455" t="s">
        <v>27</v>
      </c>
      <c r="C27" s="729">
        <f ca="1">VLOOKUP($C$23,'TVT''s afscherming'!$A$10:$J$23,10)</f>
        <v>5.7</v>
      </c>
      <c r="D27" s="729">
        <f ca="1">VLOOKUP($D$23,'TVT''s afscherming'!$A$10:$J$23,10)</f>
        <v>5.7</v>
      </c>
      <c r="E27" s="730">
        <f ca="1">VLOOKUP($E$23,'TVT''s afscherming'!$A$10:$J$23,10)</f>
        <v>5.7</v>
      </c>
      <c r="F27" s="729">
        <f ca="1">VLOOKUP($F$23,'TVT''s afscherming'!$A$10:$J$23,10)</f>
        <v>5</v>
      </c>
      <c r="G27" s="731">
        <f ca="1">VLOOKUP($G$23,'TVT''s afscherming'!$A$10:$J$23,10)</f>
        <v>5.7</v>
      </c>
      <c r="J27" s="357" t="s">
        <v>481</v>
      </c>
      <c r="K27" s="358"/>
      <c r="L27" s="336"/>
      <c r="M27" s="336"/>
      <c r="N27" s="336"/>
      <c r="O27" s="336"/>
      <c r="P27" s="1111">
        <f>20*20</f>
        <v>400</v>
      </c>
      <c r="Q27" s="336"/>
      <c r="T27" s="336"/>
      <c r="U27" s="337"/>
      <c r="V27" s="336"/>
      <c r="W27" s="336"/>
      <c r="X27" s="336"/>
      <c r="Y27" s="336"/>
    </row>
    <row r="28" spans="1:29" s="325" customFormat="1" ht="19.5" customHeight="1">
      <c r="A28" s="441"/>
      <c r="B28" s="720"/>
      <c r="C28" s="1430" t="s">
        <v>453</v>
      </c>
      <c r="D28" s="869"/>
      <c r="E28" s="869"/>
      <c r="F28" s="869"/>
      <c r="G28" s="870"/>
      <c r="J28" s="357" t="s">
        <v>394</v>
      </c>
      <c r="K28" s="345"/>
      <c r="L28" s="345"/>
      <c r="M28" s="345"/>
      <c r="N28" s="345"/>
      <c r="O28" s="345"/>
      <c r="P28" s="1111">
        <v>225</v>
      </c>
      <c r="T28" s="336"/>
      <c r="U28" s="337"/>
      <c r="V28" s="336"/>
      <c r="W28" s="336"/>
      <c r="X28" s="336"/>
      <c r="Y28" s="336"/>
    </row>
    <row r="29" spans="1:29" s="325" customFormat="1" ht="19.5" customHeight="1">
      <c r="A29" s="441"/>
      <c r="B29" s="442" t="s">
        <v>70</v>
      </c>
      <c r="C29" s="783">
        <v>0.5</v>
      </c>
      <c r="D29" s="765"/>
      <c r="E29" s="962"/>
      <c r="F29" s="962"/>
      <c r="G29" s="786"/>
      <c r="J29" s="343" t="s">
        <v>471</v>
      </c>
      <c r="K29" s="374"/>
      <c r="L29" s="336"/>
      <c r="M29" s="336"/>
      <c r="N29" s="336"/>
      <c r="O29" s="336"/>
      <c r="P29" s="1111">
        <v>1</v>
      </c>
      <c r="T29" s="336"/>
      <c r="U29" s="337"/>
      <c r="V29" s="336"/>
      <c r="W29" s="336"/>
      <c r="X29" s="336"/>
      <c r="Y29" s="336"/>
    </row>
    <row r="30" spans="1:29" s="325" customFormat="1" ht="19.5" customHeight="1" thickBot="1">
      <c r="A30" s="441"/>
      <c r="B30" s="962" t="s">
        <v>3</v>
      </c>
      <c r="C30" s="723">
        <f ca="1">VLOOKUP($C$29,'TVT''s afscherming'!$A$10:$J$23,2)</f>
        <v>11.9</v>
      </c>
      <c r="D30" s="784"/>
      <c r="E30" s="359"/>
      <c r="F30" s="359"/>
      <c r="G30" s="787"/>
      <c r="J30" s="373" t="s">
        <v>472</v>
      </c>
      <c r="K30" s="352"/>
      <c r="L30" s="353"/>
      <c r="M30" s="353"/>
      <c r="N30" s="353"/>
      <c r="O30" s="353"/>
      <c r="P30" s="1113">
        <v>1</v>
      </c>
      <c r="T30" s="336"/>
      <c r="U30" s="337"/>
      <c r="V30" s="336"/>
      <c r="X30" s="336"/>
      <c r="Y30" s="336"/>
    </row>
    <row r="31" spans="1:29" s="325" customFormat="1" ht="19.5" customHeight="1">
      <c r="A31" s="441"/>
      <c r="B31" s="442" t="s">
        <v>96</v>
      </c>
      <c r="C31" s="727">
        <f ca="1">VLOOKUP($C$29,'TVT''s afscherming'!$A$10:$J$23,4)</f>
        <v>9.4</v>
      </c>
      <c r="D31" s="784"/>
      <c r="E31" s="359"/>
      <c r="F31" s="359"/>
      <c r="G31" s="787"/>
      <c r="J31" s="531" t="s">
        <v>398</v>
      </c>
      <c r="K31" s="360"/>
      <c r="L31" s="361"/>
      <c r="M31" s="361"/>
      <c r="N31" s="1681" t="s">
        <v>295</v>
      </c>
      <c r="O31" s="323"/>
      <c r="P31" s="396"/>
      <c r="Q31" s="361"/>
      <c r="R31" s="427"/>
      <c r="S31" s="426"/>
      <c r="T31" s="336"/>
      <c r="U31" s="337"/>
      <c r="V31" s="336"/>
      <c r="W31" s="336"/>
      <c r="X31" s="336"/>
      <c r="Y31" s="336"/>
    </row>
    <row r="32" spans="1:29" s="325" customFormat="1" ht="19.5" customHeight="1">
      <c r="A32" s="441"/>
      <c r="B32" s="442" t="s">
        <v>4</v>
      </c>
      <c r="C32" s="727">
        <f ca="1">VLOOKUP($C$29,'TVT''s afscherming'!$A$10:$J$23,5)</f>
        <v>3.2</v>
      </c>
      <c r="D32" s="784"/>
      <c r="E32" s="359"/>
      <c r="F32" s="359"/>
      <c r="G32" s="787"/>
      <c r="J32" s="546"/>
      <c r="K32" s="467"/>
      <c r="L32" s="345"/>
      <c r="M32" s="349"/>
      <c r="N32" s="1682"/>
      <c r="O32" s="326"/>
      <c r="P32" s="454"/>
      <c r="Q32" s="336"/>
      <c r="R32" s="513"/>
      <c r="S32" s="383"/>
      <c r="T32" s="337"/>
      <c r="U32" s="338"/>
      <c r="V32" s="336"/>
      <c r="W32" s="336"/>
      <c r="X32" s="336"/>
      <c r="Y32" s="336"/>
    </row>
    <row r="33" spans="1:34" s="325" customFormat="1" ht="19.5" customHeight="1" thickBot="1">
      <c r="A33" s="777"/>
      <c r="B33" s="455" t="s">
        <v>27</v>
      </c>
      <c r="C33" s="729">
        <f ca="1">VLOOKUP($C$29,'TVT''s afscherming'!$A$10:$J$23,6)</f>
        <v>1.03</v>
      </c>
      <c r="D33" s="785"/>
      <c r="E33" s="788"/>
      <c r="F33" s="788"/>
      <c r="G33" s="789"/>
      <c r="J33" s="348"/>
      <c r="K33" s="814" t="s">
        <v>103</v>
      </c>
      <c r="L33" s="813" t="s">
        <v>129</v>
      </c>
      <c r="M33" s="563" t="s">
        <v>70</v>
      </c>
      <c r="N33" s="564">
        <v>0.5</v>
      </c>
      <c r="O33" s="755">
        <f>$C$6</f>
        <v>6</v>
      </c>
      <c r="P33" s="756">
        <f>$D$6</f>
        <v>10</v>
      </c>
      <c r="Q33" s="756">
        <f>$E$6</f>
        <v>15</v>
      </c>
      <c r="R33" s="755" t="str">
        <f>$F$6</f>
        <v>6 FFF</v>
      </c>
      <c r="S33" s="757" t="str">
        <f>$G$6</f>
        <v>10 FFF</v>
      </c>
      <c r="T33" s="397"/>
      <c r="U33" s="338"/>
      <c r="V33" s="336"/>
      <c r="W33" s="336"/>
      <c r="X33" s="336"/>
      <c r="Y33" s="336"/>
    </row>
    <row r="34" spans="1:34" s="325" customFormat="1" ht="19.5" customHeight="1">
      <c r="A34" s="336" t="s">
        <v>439</v>
      </c>
      <c r="H34" s="345"/>
      <c r="J34" s="362" t="s">
        <v>483</v>
      </c>
      <c r="K34" s="809" t="s">
        <v>456</v>
      </c>
      <c r="L34" s="767">
        <f>IF($P$6="parallel",75,30)</f>
        <v>30</v>
      </c>
      <c r="M34" s="364"/>
      <c r="N34" s="732"/>
      <c r="O34" s="733">
        <f ca="1">IF($P$6="parallel",VLOOKUP($O$33,reflectiecoeff!$A$10:$F$18,2),VLOOKUP($O$33,reflectiecoeff!$A$26:$F$34,2))</f>
        <v>1.7500000000000002E-2</v>
      </c>
      <c r="P34" s="733">
        <f ca="1">IF($P$6="parallel",VLOOKUP($P$33,reflectiecoeff!$A$10:$F$18,2),VLOOKUP($P$33,reflectiecoeff!$A$26:$F$34,2))</f>
        <v>2.2499999999999999E-2</v>
      </c>
      <c r="Q34" s="733">
        <f ca="1">IF($P$6="parallel",VLOOKUP($Q$33,reflectiecoeff!$A$10:$F$18,2),VLOOKUP($Q$33,reflectiecoeff!$A$26:$F$34,2))</f>
        <v>3.2500000000000001E-2</v>
      </c>
      <c r="R34" s="734">
        <f ca="1">IF($P$6="parallel",VLOOKUP($R$33,reflectiecoeff!$A$10:$F$18,2),VLOOKUP($R$33,reflectiecoeff!$A$26:$F$34,2))</f>
        <v>1.4999999999999999E-2</v>
      </c>
      <c r="S34" s="735">
        <f ca="1">IF($P$6="parallel",VLOOKUP($S$33,reflectiecoeff!$A$10:$F$18,2),VLOOKUP($S$33,reflectiecoeff!$A$26:$F$34,2))</f>
        <v>1.49E-2</v>
      </c>
      <c r="T34" s="562"/>
      <c r="U34" s="338"/>
      <c r="V34" s="336"/>
      <c r="W34" s="336"/>
      <c r="X34" s="336"/>
      <c r="Y34" s="336"/>
    </row>
    <row r="35" spans="1:34" s="325" customFormat="1" ht="19.5" customHeight="1">
      <c r="A35" s="965"/>
      <c r="C35" s="1859"/>
      <c r="D35" s="1859"/>
      <c r="E35" s="1859"/>
      <c r="F35" s="1859"/>
      <c r="G35" s="1859"/>
      <c r="J35" s="365" t="s">
        <v>484</v>
      </c>
      <c r="K35" s="810" t="s">
        <v>456</v>
      </c>
      <c r="L35" s="768">
        <v>75</v>
      </c>
      <c r="M35" s="545"/>
      <c r="N35" s="736"/>
      <c r="O35" s="737">
        <f ca="1">IF($P$6="parallel",VLOOKUP($O$33,reflectiecoeff!$A$10:$F$18,3),VLOOKUP($O$33,reflectiecoeff!$A$26:$F$34,3))</f>
        <v>1.7500000000000002E-2</v>
      </c>
      <c r="P35" s="737">
        <f ca="1">IF($P$6="parallel",VLOOKUP($P$33,reflectiecoeff!$A$10:$F$18,3),VLOOKUP($P$33,reflectiecoeff!$A$26:$F$34,3))</f>
        <v>2.2499999999999999E-2</v>
      </c>
      <c r="Q35" s="737">
        <f ca="1">IF($P$6="parallel",VLOOKUP($Q$33,reflectiecoeff!$A$10:$F$18,3),VLOOKUP($Q$33,reflectiecoeff!$A$26:$F$34,3))</f>
        <v>3.2500000000000001E-2</v>
      </c>
      <c r="R35" s="738">
        <f ca="1">IF($P$6="parallel",VLOOKUP($R$33,reflectiecoeff!$A$10:$F$18,3),VLOOKUP($R$33,reflectiecoeff!$A$26:$F$34,3))</f>
        <v>1.4999999999999999E-2</v>
      </c>
      <c r="S35" s="739">
        <f ca="1">IF($P$6="parallel",VLOOKUP($S$33,reflectiecoeff!$A$10:$F$18,3),VLOOKUP($S$33,reflectiecoeff!$A$26:$F$34,3))</f>
        <v>1.49E-2</v>
      </c>
      <c r="T35" s="336"/>
      <c r="U35" s="338"/>
      <c r="V35" s="338"/>
      <c r="W35" s="336"/>
      <c r="X35" s="336"/>
      <c r="Y35" s="336"/>
    </row>
    <row r="36" spans="1:34" s="325" customFormat="1" ht="19.5" customHeight="1">
      <c r="J36" s="365" t="s">
        <v>485</v>
      </c>
      <c r="K36" s="768">
        <f>IF($P$6="parallel",0,45)</f>
        <v>45</v>
      </c>
      <c r="L36" s="768">
        <f>IF($P$6="parallel",75,0)</f>
        <v>0</v>
      </c>
      <c r="M36" s="545"/>
      <c r="N36" s="740">
        <f ca="1">IF($P$6="parallel",VLOOKUP($N$33,reflectiecoeff!$A$10:$F$18,4),VLOOKUP($N$33,reflectiecoeff!$A$26:$F$34,4))</f>
        <v>2.375E-2</v>
      </c>
      <c r="O36" s="741"/>
      <c r="P36" s="737"/>
      <c r="Q36" s="737"/>
      <c r="R36" s="738"/>
      <c r="S36" s="739"/>
      <c r="T36" s="336"/>
      <c r="U36" s="338"/>
      <c r="V36" s="338"/>
      <c r="W36" s="336"/>
      <c r="X36" s="336"/>
      <c r="Y36" s="336"/>
    </row>
    <row r="37" spans="1:34" s="325" customFormat="1" ht="19.5" customHeight="1">
      <c r="I37" s="311"/>
      <c r="J37" s="365" t="s">
        <v>486</v>
      </c>
      <c r="K37" s="810">
        <v>45</v>
      </c>
      <c r="L37" s="768">
        <v>0</v>
      </c>
      <c r="M37" s="545"/>
      <c r="N37" s="736"/>
      <c r="O37" s="737">
        <f ca="1">IF($P$6="parallel",VLOOKUP($O$33,reflectiecoeff!$A$10:$F$18,5),VLOOKUP($O$33,reflectiecoeff!$A$26:$F$34,5))</f>
        <v>1.7500000000000002E-2</v>
      </c>
      <c r="P37" s="737">
        <f ca="1">IF($P$6="parallel",VLOOKUP($P$33,reflectiecoeff!$A$10:$F$18,5),VLOOKUP($P$33,reflectiecoeff!$A$26:$F$34,5))</f>
        <v>2.2499999999999999E-2</v>
      </c>
      <c r="Q37" s="737">
        <f ca="1">IF($P$6="parallel",VLOOKUP($Q$33,reflectiecoeff!$A$10:$F$18,5),VLOOKUP($Q$33,reflectiecoeff!$A$26:$F$34,5))</f>
        <v>3.2500000000000001E-2</v>
      </c>
      <c r="R37" s="738">
        <f ca="1">IF($P$6="parallel",VLOOKUP($R$33,reflectiecoeff!$A$10:$F$18,5),VLOOKUP($R$33,reflectiecoeff!$A$26:$F$34,5))</f>
        <v>1.4999999999999999E-2</v>
      </c>
      <c r="S37" s="739">
        <f ca="1">IF($P$6="parallel",VLOOKUP($S$33,reflectiecoeff!$A$10:$F$18,5),VLOOKUP($S$33,reflectiecoeff!$A$26:$F$34,5))</f>
        <v>1.49E-2</v>
      </c>
      <c r="T37" s="336"/>
      <c r="U37" s="338"/>
      <c r="V37" s="338"/>
      <c r="W37" s="336"/>
      <c r="X37" s="336"/>
      <c r="Y37" s="336"/>
    </row>
    <row r="38" spans="1:34" s="325" customFormat="1" ht="19.5" customHeight="1" thickBot="1">
      <c r="I38" s="311"/>
      <c r="J38" s="365" t="s">
        <v>487</v>
      </c>
      <c r="K38" s="812" t="s">
        <v>456</v>
      </c>
      <c r="L38" s="811">
        <v>75</v>
      </c>
      <c r="M38" s="534"/>
      <c r="N38" s="1176">
        <f ca="1">IF(P7=1,1,(IF($P$6="parallel",VLOOKUP($N$33,reflectiecoeff!$A$10:$F$18,6),VLOOKUP($N$33,reflectiecoeff!$A$26:$F$34,6))))</f>
        <v>1</v>
      </c>
      <c r="O38" s="736"/>
      <c r="P38" s="737"/>
      <c r="Q38" s="742"/>
      <c r="R38" s="742"/>
      <c r="S38" s="743"/>
      <c r="U38" s="338"/>
      <c r="V38" s="338"/>
      <c r="W38" s="336"/>
      <c r="X38" s="336"/>
      <c r="Y38" s="336"/>
    </row>
    <row r="39" spans="1:34" s="325" customFormat="1" ht="19.5" customHeight="1">
      <c r="I39" s="311"/>
      <c r="J39" s="531" t="s">
        <v>454</v>
      </c>
      <c r="K39" s="360"/>
      <c r="L39" s="361"/>
      <c r="M39" s="361"/>
      <c r="N39" s="815"/>
      <c r="O39" s="323"/>
      <c r="P39" s="396"/>
      <c r="Q39" s="361"/>
      <c r="R39" s="427"/>
      <c r="S39" s="426"/>
      <c r="T39" s="336"/>
      <c r="U39" s="338"/>
      <c r="V39" s="338"/>
      <c r="W39" s="336"/>
      <c r="X39" s="336"/>
      <c r="Y39" s="336"/>
    </row>
    <row r="40" spans="1:34" ht="19.5" customHeight="1">
      <c r="B40" s="375"/>
      <c r="C40" s="375"/>
      <c r="D40" s="376"/>
      <c r="J40" s="348" t="s">
        <v>474</v>
      </c>
      <c r="K40" s="344"/>
      <c r="L40" s="805" t="s">
        <v>463</v>
      </c>
      <c r="M40" s="346"/>
      <c r="N40" s="804"/>
      <c r="O40" s="768"/>
      <c r="P40" s="769"/>
      <c r="Q40" s="769"/>
      <c r="R40" s="768"/>
      <c r="S40" s="778"/>
      <c r="T40" s="311"/>
      <c r="U40" s="311"/>
      <c r="X40" s="321"/>
      <c r="Y40" s="321"/>
      <c r="Z40" s="321"/>
      <c r="AA40" s="321"/>
      <c r="AC40" s="378"/>
      <c r="AD40" s="378"/>
      <c r="AE40" s="378"/>
      <c r="AF40" s="378"/>
    </row>
    <row r="41" spans="1:34" ht="19.5" customHeight="1">
      <c r="A41" s="321"/>
      <c r="B41" s="375"/>
      <c r="C41" s="375"/>
      <c r="D41" s="376"/>
      <c r="J41" s="790" t="s">
        <v>455</v>
      </c>
      <c r="K41" s="793"/>
      <c r="L41" s="806" t="s">
        <v>461</v>
      </c>
      <c r="M41" s="794"/>
      <c r="N41" s="795"/>
      <c r="O41" s="733">
        <f ca="1">VLOOKUP($O$33,scatterfactoren!$A$17:$I$27,5)</f>
        <v>1.39E-3</v>
      </c>
      <c r="P41" s="733">
        <f ca="1">VLOOKUP($P$33,scatterfactoren!$A$17:$I$27,5)</f>
        <v>1.3500000000000001E-3</v>
      </c>
      <c r="Q41" s="733">
        <f ca="1">VLOOKUP($Q$33,scatterfactoren!$A$17:$I$27,5)</f>
        <v>1.0499999999999999E-3</v>
      </c>
      <c r="R41" s="733">
        <f ca="1">VLOOKUP($R$33,scatterfactoren!$A$17:$I$27,5)</f>
        <v>1.2999999999999999E-3</v>
      </c>
      <c r="S41" s="735">
        <f ca="1">VLOOKUP($S$33,scatterfactoren!$A$17:$I$27,5)</f>
        <v>1.1999999999999999E-3</v>
      </c>
      <c r="T41" s="311"/>
      <c r="U41" s="311"/>
      <c r="X41" s="321"/>
      <c r="Y41" s="321"/>
      <c r="Z41" s="321"/>
      <c r="AA41" s="378"/>
      <c r="AB41" s="378"/>
      <c r="AC41" s="379"/>
      <c r="AD41" s="379"/>
      <c r="AE41" s="379"/>
      <c r="AF41" s="378"/>
      <c r="AG41" s="378"/>
      <c r="AH41" s="378"/>
    </row>
    <row r="42" spans="1:34" ht="19.5" customHeight="1">
      <c r="A42" s="321"/>
      <c r="B42" s="375"/>
      <c r="C42" s="375"/>
      <c r="D42" s="376"/>
      <c r="J42" s="796" t="s">
        <v>458</v>
      </c>
      <c r="K42" s="797"/>
      <c r="L42" s="807" t="s">
        <v>459</v>
      </c>
      <c r="M42" s="467"/>
      <c r="N42" s="798"/>
      <c r="O42" s="737">
        <f ca="1">VLOOKUP($O$33,scatterfactoren!$A$17:$I$27,7)</f>
        <v>4.26E-4</v>
      </c>
      <c r="P42" s="737">
        <f ca="1">VLOOKUP($P$33,scatterfactoren!$A$17:$I$27,7)</f>
        <v>3.8099999999999999E-4</v>
      </c>
      <c r="Q42" s="737">
        <f ca="1">VLOOKUP($Q$33,scatterfactoren!$A$17:$I$27,7)</f>
        <v>2.61E-4</v>
      </c>
      <c r="R42" s="737">
        <f ca="1">VLOOKUP($R$33,scatterfactoren!$A$17:$I$27,7)</f>
        <v>4.46E-4</v>
      </c>
      <c r="S42" s="739">
        <f ca="1">VLOOKUP($S$33,scatterfactoren!$A$17:$I$27,7)</f>
        <v>4.0299999999999998E-4</v>
      </c>
      <c r="T42" s="311"/>
      <c r="U42" s="311"/>
      <c r="X42" s="321"/>
      <c r="Y42" s="321"/>
      <c r="Z42" s="321"/>
      <c r="AA42" s="378"/>
      <c r="AB42" s="378"/>
      <c r="AC42" s="379"/>
      <c r="AD42" s="379"/>
      <c r="AE42" s="379"/>
      <c r="AF42" s="378"/>
      <c r="AG42" s="378"/>
      <c r="AH42" s="378"/>
    </row>
    <row r="43" spans="1:34" ht="19.5" customHeight="1" thickBot="1">
      <c r="A43" s="321"/>
      <c r="B43" s="375"/>
      <c r="C43" s="375"/>
      <c r="D43" s="376"/>
      <c r="J43" s="799" t="s">
        <v>460</v>
      </c>
      <c r="K43" s="800"/>
      <c r="L43" s="808" t="s">
        <v>462</v>
      </c>
      <c r="M43" s="534"/>
      <c r="N43" s="801"/>
      <c r="O43" s="737">
        <f ca="1">VLOOKUP($O$33,scatterfactoren!$A$17:$I$27,8)</f>
        <v>2.9999999999999997E-4</v>
      </c>
      <c r="P43" s="737">
        <f ca="1">VLOOKUP($P$33,scatterfactoren!$A$17:$I$27,8)</f>
        <v>3.0200000000000002E-4</v>
      </c>
      <c r="Q43" s="803">
        <f ca="1">VLOOKUP($Q$33,scatterfactoren!$A$17:$I$27,8)</f>
        <v>1.9100000000000001E-4</v>
      </c>
      <c r="R43" s="803">
        <f ca="1">VLOOKUP($R$33,scatterfactoren!$A$17:$I$27,8)</f>
        <v>3.4200000000000002E-4</v>
      </c>
      <c r="S43" s="743">
        <f ca="1">VLOOKUP($S$33,scatterfactoren!$A$17:$I$27,8)</f>
        <v>3.8200000000000002E-4</v>
      </c>
      <c r="T43" s="311"/>
      <c r="U43" s="311"/>
      <c r="X43" s="321"/>
      <c r="Y43" s="321"/>
      <c r="Z43" s="321"/>
      <c r="AA43" s="378"/>
      <c r="AB43" s="378"/>
      <c r="AC43" s="379"/>
      <c r="AD43" s="379"/>
      <c r="AE43" s="379"/>
      <c r="AF43" s="378"/>
      <c r="AG43" s="378"/>
      <c r="AH43" s="378"/>
    </row>
    <row r="44" spans="1:34" ht="19.5" customHeight="1">
      <c r="A44" s="321"/>
      <c r="B44" s="375"/>
      <c r="C44" s="375"/>
      <c r="D44" s="376"/>
      <c r="J44" s="365" t="s">
        <v>399</v>
      </c>
      <c r="K44" s="345"/>
      <c r="L44" s="345"/>
      <c r="M44" s="442"/>
      <c r="N44" s="762"/>
      <c r="O44" s="340"/>
      <c r="P44" s="341"/>
      <c r="Q44" s="325"/>
      <c r="R44" s="325"/>
      <c r="S44" s="336"/>
      <c r="T44" s="311"/>
      <c r="U44" s="311"/>
      <c r="X44" s="321"/>
      <c r="Y44" s="321"/>
      <c r="Z44" s="321"/>
      <c r="AA44" s="378"/>
      <c r="AB44" s="378"/>
      <c r="AC44" s="379"/>
      <c r="AD44" s="379"/>
      <c r="AE44" s="379"/>
      <c r="AF44" s="378"/>
      <c r="AG44" s="378"/>
      <c r="AH44" s="378"/>
    </row>
    <row r="45" spans="1:34" ht="19.5" customHeight="1">
      <c r="A45" s="321"/>
      <c r="B45" s="375"/>
      <c r="C45" s="375"/>
      <c r="D45" s="376"/>
      <c r="J45" s="409" t="s">
        <v>396</v>
      </c>
      <c r="K45" s="374"/>
      <c r="L45" s="336"/>
      <c r="M45" s="336"/>
      <c r="N45" s="336"/>
      <c r="O45" s="336"/>
      <c r="P45" s="1114">
        <v>0.5</v>
      </c>
      <c r="Q45" s="325"/>
      <c r="R45" s="325"/>
      <c r="S45" s="336"/>
      <c r="T45" s="311"/>
      <c r="U45" s="311"/>
      <c r="X45" s="321"/>
      <c r="Y45" s="321"/>
      <c r="Z45" s="321"/>
      <c r="AA45" s="378"/>
      <c r="AB45" s="378"/>
      <c r="AC45" s="379"/>
      <c r="AD45" s="379"/>
      <c r="AE45" s="379"/>
      <c r="AF45" s="378"/>
      <c r="AG45" s="378"/>
      <c r="AH45" s="378"/>
    </row>
    <row r="46" spans="1:34" ht="19.5" customHeight="1" thickBot="1">
      <c r="A46" s="321"/>
      <c r="B46" s="375"/>
      <c r="C46" s="375"/>
      <c r="D46" s="376"/>
      <c r="J46" s="536" t="s">
        <v>397</v>
      </c>
      <c r="K46" s="537"/>
      <c r="L46" s="537"/>
      <c r="M46" s="537"/>
      <c r="N46" s="537"/>
      <c r="O46" s="537"/>
      <c r="P46" s="1115">
        <v>0.32</v>
      </c>
      <c r="Q46" s="325"/>
      <c r="R46" s="325"/>
      <c r="S46" s="336"/>
      <c r="T46" s="311"/>
      <c r="U46" s="311"/>
      <c r="X46" s="321"/>
      <c r="Y46" s="321"/>
      <c r="Z46" s="321"/>
      <c r="AA46" s="378"/>
      <c r="AB46" s="378"/>
      <c r="AC46" s="379"/>
      <c r="AD46" s="379"/>
      <c r="AE46" s="379"/>
      <c r="AF46" s="378"/>
      <c r="AG46" s="378"/>
      <c r="AH46" s="378"/>
    </row>
    <row r="47" spans="1:34" ht="19.5" customHeight="1">
      <c r="A47" s="321"/>
      <c r="B47" s="375"/>
      <c r="C47" s="375"/>
      <c r="D47" s="376"/>
      <c r="J47" s="535" t="s">
        <v>268</v>
      </c>
      <c r="K47" s="327"/>
      <c r="L47" s="1681" t="s">
        <v>295</v>
      </c>
      <c r="M47" s="367" t="s">
        <v>49</v>
      </c>
      <c r="N47" s="368" t="s">
        <v>267</v>
      </c>
      <c r="O47" s="325"/>
      <c r="P47" s="325"/>
      <c r="Q47" s="325"/>
      <c r="R47" s="325"/>
      <c r="S47" s="336"/>
      <c r="T47" s="311"/>
      <c r="U47" s="311"/>
      <c r="X47" s="321"/>
      <c r="Y47" s="321"/>
      <c r="Z47" s="321"/>
      <c r="AA47" s="378"/>
      <c r="AB47" s="378"/>
      <c r="AC47" s="379"/>
      <c r="AD47" s="379"/>
      <c r="AE47" s="379"/>
      <c r="AF47" s="378"/>
      <c r="AG47" s="378"/>
      <c r="AH47" s="378"/>
    </row>
    <row r="48" spans="1:34" ht="19.5" customHeight="1">
      <c r="A48" s="321"/>
      <c r="B48" s="375"/>
      <c r="C48" s="375"/>
      <c r="D48" s="376"/>
      <c r="J48" s="444" t="s">
        <v>336</v>
      </c>
      <c r="K48" s="336"/>
      <c r="L48" s="1693"/>
      <c r="M48" s="454" t="s">
        <v>44</v>
      </c>
      <c r="N48" s="778" t="s">
        <v>400</v>
      </c>
      <c r="O48" s="325"/>
      <c r="P48" s="325"/>
      <c r="Q48" s="325"/>
      <c r="R48" s="325"/>
      <c r="S48" s="336"/>
      <c r="T48" s="311"/>
      <c r="U48" s="311"/>
      <c r="X48" s="321"/>
      <c r="Y48" s="321"/>
      <c r="Z48" s="321"/>
      <c r="AA48" s="378"/>
      <c r="AB48" s="378"/>
      <c r="AC48" s="379"/>
      <c r="AD48" s="379"/>
      <c r="AE48" s="379"/>
      <c r="AF48" s="378"/>
      <c r="AG48" s="378"/>
      <c r="AH48" s="378"/>
    </row>
    <row r="49" spans="1:52" ht="19.5" customHeight="1">
      <c r="A49" s="321"/>
      <c r="B49" s="375"/>
      <c r="C49" s="375"/>
      <c r="D49" s="376"/>
      <c r="J49" s="369"/>
      <c r="K49" s="370" t="s">
        <v>70</v>
      </c>
      <c r="L49" s="363">
        <f>N33</f>
        <v>0.5</v>
      </c>
      <c r="M49" s="767">
        <v>0.1</v>
      </c>
      <c r="N49" s="371">
        <v>3.6</v>
      </c>
      <c r="O49" s="325"/>
      <c r="P49" s="325"/>
      <c r="Q49" s="325"/>
      <c r="R49" s="325"/>
      <c r="S49" s="336"/>
      <c r="T49" s="311"/>
      <c r="U49" s="311"/>
      <c r="X49" s="321"/>
      <c r="Y49" s="321"/>
      <c r="Z49" s="321"/>
      <c r="AA49" s="378"/>
      <c r="AB49" s="378"/>
      <c r="AC49" s="379"/>
      <c r="AD49" s="379"/>
      <c r="AE49" s="379"/>
      <c r="AF49" s="378"/>
      <c r="AG49" s="378"/>
      <c r="AH49" s="378"/>
    </row>
    <row r="50" spans="1:52" ht="19.5" customHeight="1">
      <c r="A50" s="321"/>
      <c r="B50" s="375"/>
      <c r="C50" s="375"/>
      <c r="D50" s="376"/>
      <c r="J50" s="369"/>
      <c r="K50" s="342" t="s">
        <v>3</v>
      </c>
      <c r="L50" s="724">
        <f ca="1">VLOOKUP($L$49,'TVT''s afscherming'!$A$11:$J$23,2)</f>
        <v>11.9</v>
      </c>
      <c r="M50" s="767"/>
      <c r="N50" s="371"/>
      <c r="O50" s="325"/>
      <c r="P50" s="325"/>
      <c r="Q50" s="325"/>
      <c r="R50" s="325"/>
      <c r="S50" s="336"/>
      <c r="T50" s="311"/>
      <c r="U50" s="311"/>
      <c r="X50" s="321"/>
      <c r="Y50" s="321"/>
      <c r="Z50" s="321"/>
      <c r="AA50" s="378"/>
      <c r="AB50" s="378"/>
      <c r="AC50" s="379"/>
      <c r="AD50" s="379"/>
      <c r="AE50" s="379"/>
      <c r="AF50" s="378"/>
      <c r="AG50" s="378"/>
      <c r="AH50" s="378"/>
    </row>
    <row r="51" spans="1:52" ht="19.5" customHeight="1">
      <c r="A51" s="321"/>
      <c r="B51" s="375"/>
      <c r="C51" s="375"/>
      <c r="D51" s="376"/>
      <c r="J51" s="446"/>
      <c r="K51" s="336" t="s">
        <v>96</v>
      </c>
      <c r="L51" s="727">
        <f ca="1">VLOOKUP($L$49,'TVT''s afscherming'!$A$11:$J$23,4)</f>
        <v>9.4</v>
      </c>
      <c r="M51" s="768"/>
      <c r="N51" s="778"/>
      <c r="O51" s="325"/>
      <c r="P51" s="325"/>
      <c r="Q51" s="325"/>
      <c r="R51" s="325"/>
      <c r="S51" s="336"/>
      <c r="T51" s="311"/>
      <c r="U51" s="311"/>
      <c r="X51" s="321"/>
      <c r="Y51" s="321"/>
      <c r="Z51" s="321"/>
      <c r="AA51" s="378"/>
      <c r="AB51" s="378"/>
      <c r="AC51" s="379"/>
      <c r="AD51" s="379"/>
      <c r="AE51" s="379"/>
      <c r="AF51" s="378"/>
      <c r="AG51" s="378"/>
      <c r="AH51" s="378"/>
    </row>
    <row r="52" spans="1:52" ht="19.5" customHeight="1">
      <c r="A52" s="321"/>
      <c r="B52" s="375"/>
      <c r="C52" s="375"/>
      <c r="D52" s="376"/>
      <c r="J52" s="348"/>
      <c r="K52" s="336" t="s">
        <v>4</v>
      </c>
      <c r="L52" s="727">
        <f ca="1">VLOOKUP($L$49,'TVT''s afscherming'!$A$11:$J$23,5)</f>
        <v>3.2</v>
      </c>
      <c r="M52" s="744">
        <f ca="1">'TVT''s afscherming'!C28</f>
        <v>37</v>
      </c>
      <c r="N52" s="745">
        <f ca="1">'TVT''s afscherming'!C30</f>
        <v>13.5</v>
      </c>
      <c r="O52" s="325"/>
      <c r="P52" s="325"/>
      <c r="Q52" s="325"/>
      <c r="R52" s="325"/>
      <c r="S52" s="336"/>
      <c r="T52" s="311"/>
      <c r="U52" s="311"/>
      <c r="X52" s="321"/>
      <c r="Y52" s="321"/>
      <c r="Z52" s="321"/>
      <c r="AA52" s="378"/>
      <c r="AB52" s="378"/>
      <c r="AC52" s="379"/>
      <c r="AD52" s="379"/>
      <c r="AE52" s="379"/>
      <c r="AF52" s="378"/>
      <c r="AG52" s="378"/>
      <c r="AH52" s="378"/>
    </row>
    <row r="53" spans="1:52" ht="19.5" customHeight="1">
      <c r="A53" s="321"/>
      <c r="B53" s="375"/>
      <c r="C53" s="375"/>
      <c r="D53" s="376"/>
      <c r="J53" s="348"/>
      <c r="K53" s="336" t="s">
        <v>27</v>
      </c>
      <c r="L53" s="727">
        <f ca="1">VLOOKUP($L$49,'TVT''s afscherming'!$A$11:$J$23,6)</f>
        <v>1.03</v>
      </c>
      <c r="M53" s="744">
        <f ca="1">'TVT''s afscherming'!C28</f>
        <v>37</v>
      </c>
      <c r="N53" s="745">
        <f ca="1">IF(P20&gt;5,'TVT''s afscherming'!D31,'TVT''s afscherming'!D30)</f>
        <v>0.6</v>
      </c>
      <c r="O53" s="325"/>
      <c r="P53" s="325"/>
      <c r="Q53" s="325"/>
      <c r="R53" s="325"/>
      <c r="S53" s="336"/>
      <c r="T53" s="311"/>
      <c r="U53" s="311"/>
      <c r="X53" s="321"/>
      <c r="Y53" s="321"/>
      <c r="Z53" s="321"/>
      <c r="AA53" s="378"/>
      <c r="AB53" s="378"/>
      <c r="AC53" s="379"/>
      <c r="AD53" s="379"/>
      <c r="AE53" s="379"/>
      <c r="AF53" s="378"/>
      <c r="AG53" s="378"/>
      <c r="AH53" s="378"/>
    </row>
    <row r="54" spans="1:52" ht="19.5" customHeight="1" thickBot="1">
      <c r="A54" s="321"/>
      <c r="B54" s="375"/>
      <c r="C54" s="375"/>
      <c r="D54" s="376"/>
      <c r="J54" s="373"/>
      <c r="K54" s="353" t="s">
        <v>52</v>
      </c>
      <c r="L54" s="816"/>
      <c r="M54" s="746">
        <f ca="1">'TVT''s afscherming'!E28</f>
        <v>4.5</v>
      </c>
      <c r="N54" s="817"/>
      <c r="O54" s="325"/>
      <c r="P54" s="325"/>
      <c r="Q54" s="325"/>
      <c r="R54" s="325"/>
      <c r="S54" s="336"/>
      <c r="T54" s="311"/>
      <c r="U54" s="311"/>
      <c r="X54" s="321"/>
      <c r="Y54" s="321"/>
      <c r="Z54" s="321"/>
      <c r="AA54" s="378"/>
      <c r="AB54" s="378"/>
      <c r="AC54" s="379"/>
      <c r="AD54" s="379"/>
      <c r="AE54" s="379"/>
      <c r="AF54" s="378"/>
      <c r="AG54" s="378"/>
      <c r="AH54" s="378"/>
    </row>
    <row r="55" spans="1:52" ht="19.5" customHeight="1">
      <c r="A55" s="321"/>
      <c r="B55" s="375"/>
      <c r="C55" s="375"/>
      <c r="D55" s="376"/>
      <c r="Q55" s="311"/>
      <c r="R55" s="311"/>
      <c r="S55" s="311"/>
      <c r="T55" s="311"/>
      <c r="U55" s="311"/>
      <c r="X55" s="321"/>
      <c r="Y55" s="321"/>
      <c r="Z55" s="321"/>
      <c r="AA55" s="378"/>
      <c r="AB55" s="378"/>
      <c r="AC55" s="379"/>
      <c r="AD55" s="379"/>
      <c r="AE55" s="379"/>
      <c r="AF55" s="378"/>
      <c r="AG55" s="378"/>
      <c r="AH55" s="378"/>
    </row>
    <row r="56" spans="1:52" ht="19.5" customHeight="1">
      <c r="A56" s="321"/>
      <c r="B56" s="375"/>
      <c r="C56" s="375"/>
      <c r="D56" s="376"/>
      <c r="Q56" s="311"/>
      <c r="R56" s="311"/>
      <c r="S56" s="311"/>
      <c r="T56" s="311"/>
      <c r="U56" s="311"/>
      <c r="X56" s="321"/>
      <c r="Y56" s="321"/>
      <c r="Z56" s="321"/>
      <c r="AA56" s="378"/>
      <c r="AB56" s="378"/>
      <c r="AC56" s="379"/>
      <c r="AD56" s="379"/>
      <c r="AE56" s="379"/>
      <c r="AF56" s="378"/>
      <c r="AG56" s="378"/>
      <c r="AH56" s="378"/>
    </row>
    <row r="57" spans="1:52" ht="19.5" customHeight="1">
      <c r="A57" s="321"/>
      <c r="B57" s="375"/>
      <c r="C57" s="375"/>
      <c r="D57" s="376"/>
      <c r="Q57" s="311"/>
      <c r="R57" s="311"/>
      <c r="S57" s="311"/>
      <c r="T57" s="311"/>
      <c r="U57" s="311"/>
      <c r="X57" s="321"/>
      <c r="Y57" s="321"/>
      <c r="Z57" s="321"/>
      <c r="AA57" s="378"/>
      <c r="AB57" s="378"/>
      <c r="AC57" s="379"/>
      <c r="AD57" s="379"/>
      <c r="AE57" s="379"/>
      <c r="AF57" s="378"/>
      <c r="AG57" s="378"/>
      <c r="AH57" s="378"/>
    </row>
    <row r="58" spans="1:52" ht="19.5" customHeight="1">
      <c r="A58" s="321"/>
      <c r="B58" s="375"/>
      <c r="C58" s="375"/>
      <c r="D58" s="376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11"/>
      <c r="U58" s="311"/>
      <c r="X58" s="321"/>
      <c r="Y58" s="321"/>
      <c r="Z58" s="321"/>
      <c r="AA58" s="378"/>
      <c r="AB58" s="378"/>
      <c r="AC58" s="379"/>
      <c r="AD58" s="379"/>
      <c r="AE58" s="379"/>
      <c r="AF58" s="378"/>
      <c r="AG58" s="378"/>
      <c r="AH58" s="378"/>
    </row>
    <row r="59" spans="1:52" ht="19.5" customHeight="1">
      <c r="A59" s="332" t="s">
        <v>421</v>
      </c>
      <c r="B59" s="638"/>
      <c r="C59" s="375"/>
      <c r="D59" s="376"/>
      <c r="J59" s="321"/>
      <c r="K59" s="321"/>
      <c r="L59" s="321"/>
      <c r="M59" s="321"/>
      <c r="N59" s="321"/>
      <c r="O59" s="321"/>
      <c r="P59" s="321"/>
      <c r="Q59" s="325"/>
      <c r="R59" s="325"/>
      <c r="S59" s="336"/>
      <c r="T59" s="311"/>
      <c r="U59" s="311"/>
      <c r="X59" s="321"/>
      <c r="Y59" s="321"/>
      <c r="Z59" s="321"/>
      <c r="AA59" s="378"/>
      <c r="AB59" s="378"/>
      <c r="AC59" s="379"/>
      <c r="AD59" s="379"/>
      <c r="AE59" s="379"/>
      <c r="AF59" s="378"/>
      <c r="AG59" s="378"/>
      <c r="AH59" s="378"/>
    </row>
    <row r="60" spans="1:52" ht="19.5" customHeight="1">
      <c r="A60" s="332"/>
      <c r="B60" s="375"/>
      <c r="C60" s="375"/>
      <c r="D60" s="376"/>
      <c r="J60" s="336"/>
      <c r="K60" s="336"/>
      <c r="L60" s="359"/>
      <c r="M60" s="325"/>
      <c r="N60" s="325"/>
      <c r="Q60" s="311"/>
      <c r="R60" s="311"/>
      <c r="S60" s="311"/>
      <c r="T60" s="311"/>
      <c r="U60" s="311"/>
      <c r="X60" s="321"/>
      <c r="Y60" s="321"/>
      <c r="Z60" s="321"/>
      <c r="AA60" s="378"/>
      <c r="AB60" s="378"/>
      <c r="AC60" s="379"/>
      <c r="AD60" s="379"/>
      <c r="AE60" s="379"/>
      <c r="AF60" s="378"/>
      <c r="AG60" s="378"/>
      <c r="AH60" s="378"/>
    </row>
    <row r="61" spans="1:52" ht="19.5" customHeight="1">
      <c r="A61" s="906" t="s">
        <v>511</v>
      </c>
      <c r="B61" s="639"/>
      <c r="C61" s="375"/>
      <c r="D61" s="376"/>
      <c r="M61" s="518"/>
      <c r="N61" s="1672"/>
      <c r="O61" s="1672"/>
      <c r="P61" s="1672"/>
      <c r="Q61" s="1672"/>
      <c r="R61" s="1672"/>
      <c r="S61" s="1672"/>
      <c r="T61" s="840"/>
      <c r="U61" s="840"/>
      <c r="V61" s="840"/>
      <c r="W61" s="1672"/>
      <c r="X61" s="1672"/>
      <c r="Y61" s="1672"/>
      <c r="AB61" s="311"/>
      <c r="AC61" s="311"/>
      <c r="AG61" s="378"/>
      <c r="AH61" s="378"/>
      <c r="AI61" s="379"/>
      <c r="AJ61" s="379"/>
    </row>
    <row r="62" spans="1:52" ht="19.5" customHeight="1" thickBot="1">
      <c r="A62" s="332"/>
      <c r="B62" s="391" t="s">
        <v>26</v>
      </c>
      <c r="C62" s="375"/>
      <c r="D62" s="376"/>
      <c r="M62" s="437"/>
      <c r="N62" s="929"/>
      <c r="O62" s="929"/>
      <c r="P62" s="929"/>
      <c r="Q62" s="929"/>
      <c r="R62" s="929"/>
      <c r="S62" s="929"/>
      <c r="T62" s="840"/>
      <c r="U62" s="840"/>
      <c r="V62" s="840"/>
      <c r="W62" s="840"/>
      <c r="X62" s="840"/>
      <c r="Y62" s="840"/>
      <c r="AB62" s="311"/>
      <c r="AC62" s="311"/>
      <c r="AG62" s="378"/>
      <c r="AH62" s="378"/>
      <c r="AI62" s="379"/>
      <c r="AJ62" s="379"/>
    </row>
    <row r="63" spans="1:52" s="325" customFormat="1" ht="19.5" customHeight="1">
      <c r="A63" s="1633" t="s">
        <v>65</v>
      </c>
      <c r="B63" s="1653" t="s">
        <v>19</v>
      </c>
      <c r="C63" s="1692" t="s">
        <v>31</v>
      </c>
      <c r="D63" s="1692" t="s">
        <v>270</v>
      </c>
      <c r="E63" s="1633" t="s">
        <v>0</v>
      </c>
      <c r="F63" s="1692" t="s">
        <v>103</v>
      </c>
      <c r="G63" s="1379" t="s">
        <v>113</v>
      </c>
      <c r="H63" s="1380"/>
      <c r="I63" s="1367"/>
      <c r="J63" s="1673">
        <f>$C$6</f>
        <v>6</v>
      </c>
      <c r="K63" s="1674"/>
      <c r="L63" s="1675"/>
      <c r="M63" s="1673">
        <f>$D$6</f>
        <v>10</v>
      </c>
      <c r="N63" s="1674"/>
      <c r="O63" s="1675"/>
      <c r="P63" s="1673">
        <f>$E$6</f>
        <v>15</v>
      </c>
      <c r="Q63" s="1674"/>
      <c r="R63" s="1675"/>
      <c r="S63" s="1673" t="str">
        <f>$F$6</f>
        <v>6 FFF</v>
      </c>
      <c r="T63" s="1674"/>
      <c r="U63" s="1675"/>
      <c r="V63" s="1673" t="str">
        <f>$G$6</f>
        <v>10 FFF</v>
      </c>
      <c r="W63" s="1674"/>
      <c r="X63" s="1676"/>
      <c r="Y63" s="1683" t="s">
        <v>20</v>
      </c>
      <c r="Z63" s="1684"/>
      <c r="AA63" s="1685"/>
      <c r="AB63" s="441"/>
      <c r="AC63" s="345"/>
      <c r="AG63" s="436"/>
      <c r="AH63" s="436"/>
      <c r="AI63" s="436"/>
      <c r="AJ63" s="436"/>
      <c r="AK63" s="436"/>
      <c r="AL63" s="436"/>
      <c r="AP63" s="336"/>
      <c r="AQ63" s="442"/>
      <c r="AR63" s="346"/>
      <c r="AS63" s="336"/>
      <c r="AT63" s="381"/>
      <c r="AU63" s="381"/>
      <c r="AV63" s="381"/>
      <c r="AW63" s="381"/>
      <c r="AX63" s="381"/>
      <c r="AY63" s="355"/>
      <c r="AZ63" s="355"/>
    </row>
    <row r="64" spans="1:52" s="325" customFormat="1" ht="19.5" customHeight="1">
      <c r="A64" s="1634"/>
      <c r="B64" s="1654"/>
      <c r="C64" s="1682"/>
      <c r="D64" s="1682"/>
      <c r="E64" s="1634"/>
      <c r="F64" s="1682"/>
      <c r="G64" s="769"/>
      <c r="H64" s="762"/>
      <c r="I64" s="1368"/>
      <c r="J64" s="328" t="s">
        <v>170</v>
      </c>
      <c r="K64" s="328" t="s">
        <v>329</v>
      </c>
      <c r="L64" s="328" t="s">
        <v>20</v>
      </c>
      <c r="M64" s="328" t="s">
        <v>170</v>
      </c>
      <c r="N64" s="328" t="s">
        <v>329</v>
      </c>
      <c r="O64" s="328" t="s">
        <v>20</v>
      </c>
      <c r="P64" s="328" t="s">
        <v>170</v>
      </c>
      <c r="Q64" s="328" t="s">
        <v>329</v>
      </c>
      <c r="R64" s="328" t="s">
        <v>20</v>
      </c>
      <c r="S64" s="328" t="s">
        <v>170</v>
      </c>
      <c r="T64" s="328" t="s">
        <v>329</v>
      </c>
      <c r="U64" s="328" t="s">
        <v>20</v>
      </c>
      <c r="V64" s="328" t="s">
        <v>170</v>
      </c>
      <c r="W64" s="328" t="s">
        <v>329</v>
      </c>
      <c r="X64" s="328" t="s">
        <v>20</v>
      </c>
      <c r="Y64" s="547" t="s">
        <v>29</v>
      </c>
      <c r="Z64" s="548" t="s">
        <v>15</v>
      </c>
      <c r="AA64" s="549" t="s">
        <v>15</v>
      </c>
      <c r="AG64" s="766"/>
      <c r="AH64" s="766"/>
      <c r="AI64" s="766"/>
      <c r="AJ64" s="766"/>
      <c r="AK64" s="766"/>
      <c r="AL64" s="766"/>
      <c r="AP64" s="336"/>
      <c r="AQ64" s="442"/>
      <c r="AR64" s="337"/>
      <c r="AS64" s="336"/>
      <c r="AT64" s="345"/>
      <c r="AU64" s="345"/>
      <c r="AV64" s="351"/>
      <c r="AW64" s="345"/>
      <c r="AX64" s="345"/>
      <c r="AY64" s="355"/>
      <c r="AZ64" s="355"/>
    </row>
    <row r="65" spans="1:52" s="325" customFormat="1" ht="19.5" customHeight="1" thickBot="1">
      <c r="A65" s="1652"/>
      <c r="B65" s="1655"/>
      <c r="C65" s="1693"/>
      <c r="D65" s="1693"/>
      <c r="E65" s="1652"/>
      <c r="F65" s="1693"/>
      <c r="G65" s="354" t="s">
        <v>2</v>
      </c>
      <c r="H65" s="354" t="s">
        <v>96</v>
      </c>
      <c r="I65" s="354" t="s">
        <v>4</v>
      </c>
      <c r="J65" s="763" t="s">
        <v>331</v>
      </c>
      <c r="K65" s="763" t="s">
        <v>330</v>
      </c>
      <c r="L65" s="439" t="s">
        <v>291</v>
      </c>
      <c r="M65" s="763" t="s">
        <v>331</v>
      </c>
      <c r="N65" s="763" t="s">
        <v>330</v>
      </c>
      <c r="O65" s="439" t="s">
        <v>291</v>
      </c>
      <c r="P65" s="764" t="s">
        <v>331</v>
      </c>
      <c r="Q65" s="764" t="s">
        <v>330</v>
      </c>
      <c r="R65" s="372" t="s">
        <v>291</v>
      </c>
      <c r="S65" s="764" t="s">
        <v>331</v>
      </c>
      <c r="T65" s="764" t="s">
        <v>330</v>
      </c>
      <c r="U65" s="372" t="s">
        <v>291</v>
      </c>
      <c r="V65" s="764" t="s">
        <v>331</v>
      </c>
      <c r="W65" s="764" t="s">
        <v>330</v>
      </c>
      <c r="X65" s="372" t="s">
        <v>291</v>
      </c>
      <c r="Y65" s="550" t="s">
        <v>290</v>
      </c>
      <c r="Z65" s="551" t="s">
        <v>290</v>
      </c>
      <c r="AA65" s="549" t="s">
        <v>279</v>
      </c>
      <c r="AG65" s="766"/>
      <c r="AH65" s="766"/>
      <c r="AI65" s="766"/>
      <c r="AJ65" s="766"/>
      <c r="AK65" s="766"/>
      <c r="AL65" s="766"/>
      <c r="AP65" s="336"/>
      <c r="AQ65" s="442"/>
      <c r="AR65" s="336"/>
      <c r="AS65" s="336"/>
      <c r="AT65" s="345"/>
      <c r="AU65" s="345"/>
      <c r="AV65" s="345"/>
      <c r="AW65" s="345"/>
      <c r="AX65" s="345"/>
      <c r="AY65" s="355"/>
      <c r="AZ65" s="355"/>
    </row>
    <row r="66" spans="1:52" s="325" customFormat="1" ht="19.5" customHeight="1">
      <c r="A66" s="1638" t="str">
        <f ca="1">'Linac 1'!A$66</f>
        <v>B1</v>
      </c>
      <c r="B66" s="1006"/>
      <c r="C66" s="1623" t="s">
        <v>333</v>
      </c>
      <c r="D66" s="1625">
        <v>1</v>
      </c>
      <c r="E66" s="1625">
        <v>0</v>
      </c>
      <c r="F66" s="1627" t="s">
        <v>12</v>
      </c>
      <c r="G66" s="1627">
        <v>250</v>
      </c>
      <c r="H66" s="1627">
        <v>0</v>
      </c>
      <c r="I66" s="1627">
        <v>0</v>
      </c>
      <c r="J66" s="1656">
        <f>IF($G66=0,0,IF($F66="recht",1+($G66-$C$17)/$C$18,1+($G66-$C$17-0.301*$C$18)/$C$18))+IF($H66=0,0,IF($F66="recht",$H66/$C$19,($H66-0.301*$C$19)/$C$19))+$I66/$C$20</f>
        <v>7.4545454545454541</v>
      </c>
      <c r="K66" s="1663">
        <f>10^(-J66)</f>
        <v>3.5111917342151263E-8</v>
      </c>
      <c r="L66" s="1656">
        <f>($C$7*$C$11*$E66/$D66/$D66*K66*1000000)</f>
        <v>0</v>
      </c>
      <c r="M66" s="1656">
        <f>IF($G66=0,0,IF($F$66="recht",1+($G66-$D$17)/$D$18,1+($G66-$D$17-0.301*$D$18)/$D$18))+IF($H66=0,0,IF($F66="recht",$H66/$D$19,($H66-0.301*$D$19)/$D$19))+$I66/$D$20</f>
        <v>6.6486486486486482</v>
      </c>
      <c r="N66" s="1663">
        <f>10^(-M66)</f>
        <v>2.2456979955397711E-7</v>
      </c>
      <c r="O66" s="1656">
        <f>($C$7*$D$11*$E66/$D66/$D66*N66*1000000)</f>
        <v>0</v>
      </c>
      <c r="P66" s="1656">
        <f>IF($G$66=0,0,IF($F66="recht",1+($G66-$E$17)/$E$18,1+($G66-$E$17-0.301*$E$18)/$E$18))+IF($H66=0,0,IF($F66="recht",$H66/$E$19,($H66-0.301*$E$19)/$E$19))+$I66/$E$20</f>
        <v>6.024390243902439</v>
      </c>
      <c r="Q66" s="1663">
        <f>10^(-P66)</f>
        <v>9.4538728313079291E-7</v>
      </c>
      <c r="R66" s="1656">
        <f>($C$7*$E$11*$E66/$D66/$D66*Q66*1000000)</f>
        <v>0</v>
      </c>
      <c r="S66" s="1656">
        <f>IF($G66=0,0,IF($F66="recht",1+($G66-$F$17)/$F$18,1+($G66-$F$17-0.301*$F$18)/$F$18))+IF($H66=0,0,IF($F66="recht",$H66/$F$19,($H66-0.301*$F$19)/$F$19))+$I66/$F$20</f>
        <v>9.1481481481481488</v>
      </c>
      <c r="T66" s="1663">
        <f>10^(-S66)</f>
        <v>7.1097094323124171E-10</v>
      </c>
      <c r="U66" s="1656">
        <f>($C$7*$F$11*$E66/$D66/$D66*T66*1000000)</f>
        <v>0</v>
      </c>
      <c r="V66" s="1656">
        <f>IF($G66=0,0,IF($F66="recht",1+($G66-$G$17)/$G$18,1+($G66-$G$17-0.301*$G$18)/$G$18))+IF($H66=0,0,IF($F66="recht",$H66/$G$19,($H66-0.301*$G$19)/$G$19))+$I66/$G$20</f>
        <v>6.9444444444444446</v>
      </c>
      <c r="W66" s="1663">
        <f>10^(-V66)</f>
        <v>1.136463666385722E-7</v>
      </c>
      <c r="X66" s="1677">
        <f>($C$7*$G$11*$E66/$D66/$D66*W66*1000000)</f>
        <v>0</v>
      </c>
      <c r="Y66" s="1679">
        <f>SUM(L66,O66,R66,U66,X66)</f>
        <v>0</v>
      </c>
      <c r="Z66" s="1179">
        <f>SUM(Y66:Y68)</f>
        <v>1.4937465351460337E-2</v>
      </c>
      <c r="AA66" s="552">
        <f>Z66*52/1000</f>
        <v>7.7674819827593751E-4</v>
      </c>
      <c r="AG66" s="428"/>
      <c r="AI66" s="428"/>
      <c r="AJ66" s="428"/>
      <c r="AK66" s="428"/>
      <c r="AL66" s="428"/>
      <c r="AP66" s="336"/>
      <c r="AQ66" s="442"/>
      <c r="AR66" s="336"/>
      <c r="AS66" s="336"/>
      <c r="AT66" s="345"/>
      <c r="AU66" s="345"/>
      <c r="AV66" s="345"/>
      <c r="AW66" s="345"/>
      <c r="AX66" s="345"/>
      <c r="AY66" s="355"/>
      <c r="AZ66" s="355"/>
    </row>
    <row r="67" spans="1:52" s="325" customFormat="1" ht="19.5" customHeight="1">
      <c r="A67" s="1639"/>
      <c r="B67" s="1130" t="s">
        <v>26</v>
      </c>
      <c r="C67" s="1624"/>
      <c r="D67" s="1626"/>
      <c r="E67" s="1626"/>
      <c r="F67" s="1628"/>
      <c r="G67" s="1628"/>
      <c r="H67" s="1628"/>
      <c r="I67" s="1628"/>
      <c r="J67" s="1659"/>
      <c r="K67" s="1662"/>
      <c r="L67" s="1657"/>
      <c r="M67" s="1657"/>
      <c r="N67" s="1662"/>
      <c r="O67" s="1657"/>
      <c r="P67" s="1657"/>
      <c r="Q67" s="1662"/>
      <c r="R67" s="1657"/>
      <c r="S67" s="1657"/>
      <c r="T67" s="1662"/>
      <c r="U67" s="1657"/>
      <c r="V67" s="1657"/>
      <c r="W67" s="1662"/>
      <c r="X67" s="1678"/>
      <c r="Y67" s="1680"/>
      <c r="Z67" s="553"/>
      <c r="AA67" s="554"/>
      <c r="AG67" s="428"/>
      <c r="AI67" s="428"/>
      <c r="AJ67" s="428"/>
      <c r="AK67" s="428"/>
      <c r="AL67" s="428"/>
      <c r="AP67" s="336"/>
      <c r="AQ67" s="442"/>
      <c r="AR67" s="336"/>
      <c r="AS67" s="336"/>
      <c r="AT67" s="345"/>
      <c r="AU67" s="345"/>
      <c r="AV67" s="345"/>
      <c r="AW67" s="345"/>
      <c r="AX67" s="345"/>
      <c r="AY67" s="355"/>
      <c r="AZ67" s="355"/>
    </row>
    <row r="68" spans="1:52" s="325" customFormat="1" ht="19.5" customHeight="1">
      <c r="A68" s="1639"/>
      <c r="B68" s="1007" t="str">
        <f ca="1">'Linac 1'!C$3</f>
        <v>Linac 1</v>
      </c>
      <c r="C68" s="1687" t="s">
        <v>334</v>
      </c>
      <c r="D68" s="1626">
        <v>5</v>
      </c>
      <c r="E68" s="1854">
        <v>1</v>
      </c>
      <c r="F68" s="1628"/>
      <c r="G68" s="1628"/>
      <c r="H68" s="1628"/>
      <c r="I68" s="1628"/>
      <c r="J68" s="1658">
        <f>IF($G66=0,0,IF($F66="recht",$G66/$C$24,($G66-0.301*$C$24)/$C$24))+IF($H66=0,0,IF($F66="recht",$H66/$C$25,($H66-0.301*$C$25)/$C$25))+$I66/$C$26</f>
        <v>7.3529411764705879</v>
      </c>
      <c r="K68" s="1661">
        <f>10^(-J68)</f>
        <v>4.4366873309786093E-8</v>
      </c>
      <c r="L68" s="1658">
        <f>($C$7*$C$8*$C$11*($C$12+$C$13*$C$14)*$E68/$D68/$D68*K68*1000000)</f>
        <v>1.0648049594348663E-3</v>
      </c>
      <c r="M68" s="1658">
        <f>IF($G66=0,0,IF($F66="recht",$G66/$D$24,($G66-0.301*$D$24)/$D$24))+IF($H66=0,0,IF($F66="recht",$H66/$D$25,($H66-0.301*$D$25)/$D$25))+$I66/$D$26</f>
        <v>6.5789473684210522</v>
      </c>
      <c r="N68" s="1661">
        <f>10^(-M68)</f>
        <v>2.636650898730358E-7</v>
      </c>
      <c r="O68" s="1658">
        <f>($C$7*$C$8*$D$11*($D$12+$D$13*$D$14)*$E68/$D68/$D68*N68*1000000)</f>
        <v>6.3279621569528599E-3</v>
      </c>
      <c r="P68" s="1658">
        <f>IF($G$66=0,0,IF($F66="recht",$G66/$E$24,($G66-0.301*$E$24)/$E$24))+IF($H66=0,0,IF($F66="recht",$H66/$E$25,($H66-0.301*$E$25)/$E$25))+$I66/$E$26*1</f>
        <v>6.5616797900262469</v>
      </c>
      <c r="Q68" s="1661">
        <f>10^(-P68)</f>
        <v>2.7435963093132793E-7</v>
      </c>
      <c r="R68" s="1658">
        <f>($C$7*$C$8*$E$11*($E$12+$E$13*$E$14)*$E68/$D68/$D68*Q68*1000000)</f>
        <v>6.5846311423518713E-3</v>
      </c>
      <c r="S68" s="1658">
        <f>IF($G66=0,0,IF($F66="recht",$G66/$F$24,($G66-0.301*$F$24)/$F$24))+IF($H66=0,0,IF($F66="recht",$H66/$F$25,($H66-0.301*$F$25)/$F$25))+$I66/$F$26</f>
        <v>8.1967213114754092</v>
      </c>
      <c r="T68" s="1661">
        <f>10^(-S68)</f>
        <v>6.3573875711648393E-9</v>
      </c>
      <c r="U68" s="1658">
        <f>($C$7*$C$8*$F$11*($F$12+$F$13*$F$14)*$E68/$D68/$D68*T68*1000000)</f>
        <v>8.6460470967841829E-5</v>
      </c>
      <c r="V68" s="1658">
        <f>IF($G66=0,0,IF($F66="recht",$G66/$G$24,($G66-0.301*$G$24)/$G$24))+IF($H66=0,0,IF($F66="recht",$H66/$G$25,($H66-0.301*$G$25)/$G$25))+$I66/$G$26</f>
        <v>7.0224719101123592</v>
      </c>
      <c r="W68" s="1661">
        <f>10^(-V68)</f>
        <v>9.4957241494880226E-8</v>
      </c>
      <c r="X68" s="1664">
        <f>($C$7*$C$8*$G$11*($G$12+$G$13*$G$14)*$E68/$D68/$D68*W68*1000000)</f>
        <v>8.7360662175289805E-4</v>
      </c>
      <c r="Y68" s="1666">
        <f>SUM(L68,O68,R68,U68,X68)</f>
        <v>1.4937465351460337E-2</v>
      </c>
      <c r="Z68" s="555"/>
      <c r="AA68" s="556"/>
      <c r="AG68" s="428"/>
      <c r="AH68" s="428"/>
      <c r="AI68" s="428"/>
      <c r="AJ68" s="428"/>
      <c r="AK68" s="428"/>
      <c r="AL68" s="428"/>
      <c r="AP68" s="336"/>
      <c r="AQ68" s="442"/>
      <c r="AR68" s="336"/>
      <c r="AS68" s="336"/>
      <c r="AT68" s="345"/>
      <c r="AU68" s="345"/>
      <c r="AV68" s="345"/>
      <c r="AW68" s="345"/>
      <c r="AX68" s="345"/>
      <c r="AY68" s="355"/>
      <c r="AZ68" s="355"/>
    </row>
    <row r="69" spans="1:52" s="325" customFormat="1" ht="19.5" customHeight="1" thickBot="1">
      <c r="A69" s="1640"/>
      <c r="B69" s="1009"/>
      <c r="C69" s="1688"/>
      <c r="D69" s="1689"/>
      <c r="E69" s="1855"/>
      <c r="F69" s="1629"/>
      <c r="G69" s="1629"/>
      <c r="H69" s="1629"/>
      <c r="I69" s="1629"/>
      <c r="J69" s="1660"/>
      <c r="K69" s="1662"/>
      <c r="L69" s="1657"/>
      <c r="M69" s="1659"/>
      <c r="N69" s="1662"/>
      <c r="O69" s="1657"/>
      <c r="P69" s="1660"/>
      <c r="Q69" s="1668"/>
      <c r="R69" s="1660"/>
      <c r="S69" s="1660"/>
      <c r="T69" s="1668"/>
      <c r="U69" s="1660"/>
      <c r="V69" s="1660"/>
      <c r="W69" s="1668"/>
      <c r="X69" s="1665"/>
      <c r="Y69" s="1667"/>
      <c r="Z69" s="557"/>
      <c r="AA69" s="558"/>
      <c r="AG69" s="428"/>
      <c r="AH69" s="428"/>
      <c r="AI69" s="428"/>
      <c r="AJ69" s="428"/>
      <c r="AK69" s="428"/>
      <c r="AL69" s="428"/>
      <c r="AP69" s="336"/>
      <c r="AQ69" s="442"/>
      <c r="AR69" s="336"/>
      <c r="AS69" s="336"/>
      <c r="AT69" s="345"/>
      <c r="AU69" s="345"/>
      <c r="AV69" s="345"/>
      <c r="AW69" s="345"/>
      <c r="AX69" s="345"/>
      <c r="AY69" s="355"/>
      <c r="AZ69" s="355"/>
    </row>
    <row r="70" spans="1:52" s="325" customFormat="1" ht="19.5" customHeight="1">
      <c r="A70" s="1638" t="str">
        <f ca="1">'Linac 2'!A$70</f>
        <v>B2</v>
      </c>
      <c r="B70" s="1008"/>
      <c r="C70" s="1623" t="s">
        <v>333</v>
      </c>
      <c r="D70" s="1625">
        <v>1</v>
      </c>
      <c r="E70" s="1625">
        <v>0</v>
      </c>
      <c r="F70" s="1627" t="s">
        <v>12</v>
      </c>
      <c r="G70" s="1627">
        <v>250</v>
      </c>
      <c r="H70" s="1627">
        <v>0</v>
      </c>
      <c r="I70" s="1627">
        <v>0</v>
      </c>
      <c r="J70" s="1656">
        <f>IF($G70=0,0,IF($F70="recht",1+($G70-$C$17)/$C$18,1+($G70-$C$17-0.301*$C$18)/$C$18))+IF($H70=0,0,IF($F70="recht",$H70/$C$19,($H70-0.301*$C$19)/$C$19))+$I70/$C$20</f>
        <v>7.4545454545454541</v>
      </c>
      <c r="K70" s="1663">
        <f>10^(-J70)</f>
        <v>3.5111917342151263E-8</v>
      </c>
      <c r="L70" s="1656">
        <f>($C$7*$C$11*$E70/$D70/$D70*K70*1000000)</f>
        <v>0</v>
      </c>
      <c r="M70" s="1656">
        <f>IF($G70=0,0,IF($F$70="recht",1+($G70-$D$17)/$D$18,1+($G70-$D$17-0.301*$D$18)/$D$18))+IF($H70=0,0,IF($F70="recht",$H70/$D$19,($H70-0.301*$D$19)/$D$19))+$I70/$D$20</f>
        <v>6.6486486486486482</v>
      </c>
      <c r="N70" s="1663">
        <f>10^(-M70)</f>
        <v>2.2456979955397711E-7</v>
      </c>
      <c r="O70" s="1656">
        <f>($C$7*$D$11*$E70/$D70/$D70*N70*1000000)</f>
        <v>0</v>
      </c>
      <c r="P70" s="1656">
        <f>IF($G$70=0,0,IF($F70="recht",1+($G70-$E$17)/$E$18,1+($G70-$E$17-0.301*$E$18)/$E$18))+IF($H70=0,0,IF($F70="recht",$H70/$E$19,($H70-0.301*$E$19)/$E$19))+$I70/$E$20</f>
        <v>6.024390243902439</v>
      </c>
      <c r="Q70" s="1663">
        <f>10^(-P70)</f>
        <v>9.4538728313079291E-7</v>
      </c>
      <c r="R70" s="1656">
        <f>($C$7*$E$11*$E70/$D70/$D70*Q70*1000000)</f>
        <v>0</v>
      </c>
      <c r="S70" s="1656">
        <f>IF($G70=0,0,IF($F70="recht",1+($G70-$F$17)/$F$18,1+($G70-$F$17-0.301*$F$18)/$F$18))+IF($H70=0,0,IF($F70="recht",$H70/$F$19,($H70-0.301*$F$19)/$F$19))+$I70/$F$20</f>
        <v>9.1481481481481488</v>
      </c>
      <c r="T70" s="1663">
        <f>10^(-S70)</f>
        <v>7.1097094323124171E-10</v>
      </c>
      <c r="U70" s="1656">
        <f>($C$7*$F$11*$E70/$D70/$D70*T70*1000000)</f>
        <v>0</v>
      </c>
      <c r="V70" s="1656">
        <f>IF($G70=0,0,IF($F70="recht",1+($G70-$G$17)/$G$18,1+($G70-$G$17-0.301*$G$18)/$G$18))+IF($H70=0,0,IF($F70="recht",$H70/$G$19,($H70-0.301*$G$19)/$G$19))+$I70/$G$20</f>
        <v>6.9444444444444446</v>
      </c>
      <c r="W70" s="1663">
        <f>10^(-V70)</f>
        <v>1.136463666385722E-7</v>
      </c>
      <c r="X70" s="1677">
        <f>($C$7*$G$11*$E70/$D70/$D70*W70*1000000)</f>
        <v>0</v>
      </c>
      <c r="Y70" s="1679">
        <f>SUM(L70,O70,R70,U70,X70)</f>
        <v>0</v>
      </c>
      <c r="Z70" s="1179">
        <f>SUM(Y70:Y72)</f>
        <v>1.4937465351460337E-2</v>
      </c>
      <c r="AA70" s="552">
        <f>Z70*52/1000</f>
        <v>7.7674819827593751E-4</v>
      </c>
      <c r="AG70" s="428"/>
      <c r="AI70" s="428"/>
      <c r="AJ70" s="428"/>
      <c r="AK70" s="428"/>
      <c r="AL70" s="428"/>
      <c r="AP70" s="336"/>
      <c r="AQ70" s="442"/>
      <c r="AR70" s="336"/>
      <c r="AS70" s="336"/>
      <c r="AT70" s="345"/>
      <c r="AU70" s="345"/>
      <c r="AV70" s="345"/>
      <c r="AW70" s="345"/>
      <c r="AX70" s="345"/>
      <c r="AY70" s="355"/>
      <c r="AZ70" s="355"/>
    </row>
    <row r="71" spans="1:52" s="325" customFormat="1" ht="19.5" customHeight="1">
      <c r="A71" s="1639"/>
      <c r="B71" s="1008" t="s">
        <v>26</v>
      </c>
      <c r="C71" s="1624"/>
      <c r="D71" s="1626"/>
      <c r="E71" s="1626"/>
      <c r="F71" s="1628"/>
      <c r="G71" s="1628"/>
      <c r="H71" s="1628"/>
      <c r="I71" s="1628"/>
      <c r="J71" s="1659"/>
      <c r="K71" s="1662"/>
      <c r="L71" s="1657"/>
      <c r="M71" s="1657"/>
      <c r="N71" s="1662"/>
      <c r="O71" s="1657"/>
      <c r="P71" s="1657"/>
      <c r="Q71" s="1662"/>
      <c r="R71" s="1657"/>
      <c r="S71" s="1657"/>
      <c r="T71" s="1662"/>
      <c r="U71" s="1657"/>
      <c r="V71" s="1657"/>
      <c r="W71" s="1662"/>
      <c r="X71" s="1678"/>
      <c r="Y71" s="1686"/>
      <c r="Z71" s="553"/>
      <c r="AA71" s="554"/>
      <c r="AG71" s="428"/>
      <c r="AI71" s="428"/>
      <c r="AJ71" s="428"/>
      <c r="AK71" s="428"/>
      <c r="AL71" s="428"/>
      <c r="AP71" s="336"/>
      <c r="AQ71" s="442"/>
      <c r="AR71" s="336"/>
      <c r="AS71" s="336"/>
      <c r="AT71" s="345"/>
      <c r="AU71" s="345"/>
      <c r="AV71" s="345"/>
      <c r="AW71" s="345"/>
      <c r="AX71" s="345"/>
      <c r="AY71" s="355"/>
      <c r="AZ71" s="355"/>
    </row>
    <row r="72" spans="1:52" s="325" customFormat="1" ht="19.5" customHeight="1">
      <c r="A72" s="1639"/>
      <c r="B72" s="1008" t="str">
        <f ca="1">'Linac 2'!C$3</f>
        <v>Linac 2</v>
      </c>
      <c r="C72" s="1687" t="s">
        <v>334</v>
      </c>
      <c r="D72" s="1626">
        <v>5</v>
      </c>
      <c r="E72" s="1854">
        <v>1</v>
      </c>
      <c r="F72" s="1628"/>
      <c r="G72" s="1628"/>
      <c r="H72" s="1628"/>
      <c r="I72" s="1628"/>
      <c r="J72" s="1658">
        <f>IF($G70=0,0,IF($F70="recht",$G70/$C$24,($G70-0.301*$C$24)/$C$24))+IF($H70=0,0,IF($F70="recht",$H70/$C$25,($H70-0.301*$C$25)/$C$25))+$I70/$C$26</f>
        <v>7.3529411764705879</v>
      </c>
      <c r="K72" s="1661">
        <f>10^(-J72)</f>
        <v>4.4366873309786093E-8</v>
      </c>
      <c r="L72" s="1658">
        <f>($C$7*$C$8*$C$11*($C$12+$C$13*$C$14)*$E72/$D72/$D72*K72*1000000)</f>
        <v>1.0648049594348663E-3</v>
      </c>
      <c r="M72" s="1658">
        <f>IF($G70=0,0,IF($F70="recht",$G70/$D$24,($G70-0.301*$D$24)/$D$24))+IF($H70=0,0,IF($F70="recht",$H70/$D$25,($H70-0.301*$D$25)/$D$25))+$I70/$D$26</f>
        <v>6.5789473684210522</v>
      </c>
      <c r="N72" s="1661">
        <f>10^(-M72)</f>
        <v>2.636650898730358E-7</v>
      </c>
      <c r="O72" s="1658">
        <f>($C$7*$C$8*$D$11*($D$12+$D$13*$D$14)*$E72/$D72/$D72*N72*1000000)</f>
        <v>6.3279621569528599E-3</v>
      </c>
      <c r="P72" s="1658">
        <f>IF($G$70=0,0,IF($F70="recht",$G70/$E$24,($G70-0.301*$E$24)/$E$24))+IF($H70=0,0,IF($F70="recht",$H70/$E$25,($H70-0.301*$E$25)/$E$25))+$I70/$E$26*1</f>
        <v>6.5616797900262469</v>
      </c>
      <c r="Q72" s="1661">
        <f>10^(-P72)</f>
        <v>2.7435963093132793E-7</v>
      </c>
      <c r="R72" s="1658">
        <f>($C$7*$C$8*$E$11*($E$12+$E$13*$E$14)*$E72/$D72/$D72*Q72*1000000)</f>
        <v>6.5846311423518713E-3</v>
      </c>
      <c r="S72" s="1658">
        <f>IF($G70=0,0,IF($F70="recht",$G70/$F$24,($G70-0.301*$F$24)/$F$24))+IF($H70=0,0,IF($F70="recht",$H70/$F$25,($H70-0.301*$F$25)/$F$25))+$I70/$F$26</f>
        <v>8.1967213114754092</v>
      </c>
      <c r="T72" s="1661">
        <f>10^(-S72)</f>
        <v>6.3573875711648393E-9</v>
      </c>
      <c r="U72" s="1658">
        <f>($C$7*$C$8*$F$11*($F$12+$F$13*$F$14)*$E72/$D72/$D72*T72*1000000)</f>
        <v>8.6460470967841829E-5</v>
      </c>
      <c r="V72" s="1658">
        <f>IF($G70=0,0,IF($F70="recht",$G70/$G$24,($G70-0.301*$G$24)/$G$24))+IF($H70=0,0,IF($F70="recht",$H70/$G$25,($H70-0.301*$G$25)/$G$25))+$I70/$G$26</f>
        <v>7.0224719101123592</v>
      </c>
      <c r="W72" s="1661">
        <f>10^(-V72)</f>
        <v>9.4957241494880226E-8</v>
      </c>
      <c r="X72" s="1664">
        <f>($C$7*$C$8*$G$11*($G$12+$G$13*$G$14)*$E72/$D72/$D72*W72*1000000)</f>
        <v>8.7360662175289805E-4</v>
      </c>
      <c r="Y72" s="1680">
        <f>SUM(L72,O72,R72,U72,X72)</f>
        <v>1.4937465351460337E-2</v>
      </c>
      <c r="Z72" s="555"/>
      <c r="AA72" s="556"/>
      <c r="AG72" s="428"/>
      <c r="AH72" s="428"/>
      <c r="AI72" s="428"/>
      <c r="AJ72" s="428"/>
      <c r="AK72" s="428"/>
      <c r="AL72" s="428"/>
      <c r="AP72" s="336"/>
      <c r="AQ72" s="442"/>
      <c r="AR72" s="336"/>
      <c r="AS72" s="336"/>
      <c r="AT72" s="345"/>
      <c r="AU72" s="345"/>
      <c r="AV72" s="345"/>
      <c r="AW72" s="345"/>
      <c r="AX72" s="345"/>
      <c r="AY72" s="355"/>
      <c r="AZ72" s="355"/>
    </row>
    <row r="73" spans="1:52" s="325" customFormat="1" ht="19.5" customHeight="1" thickBot="1">
      <c r="A73" s="1640"/>
      <c r="B73" s="1008"/>
      <c r="C73" s="1688"/>
      <c r="D73" s="1689"/>
      <c r="E73" s="1855"/>
      <c r="F73" s="1629"/>
      <c r="G73" s="1629"/>
      <c r="H73" s="1629"/>
      <c r="I73" s="1629"/>
      <c r="J73" s="1660"/>
      <c r="K73" s="1662"/>
      <c r="L73" s="1657"/>
      <c r="M73" s="1659"/>
      <c r="N73" s="1662"/>
      <c r="O73" s="1657"/>
      <c r="P73" s="1660"/>
      <c r="Q73" s="1668"/>
      <c r="R73" s="1660"/>
      <c r="S73" s="1660"/>
      <c r="T73" s="1668"/>
      <c r="U73" s="1660"/>
      <c r="V73" s="1660"/>
      <c r="W73" s="1668"/>
      <c r="X73" s="1665"/>
      <c r="Y73" s="1667"/>
      <c r="Z73" s="557"/>
      <c r="AA73" s="558"/>
      <c r="AG73" s="428"/>
      <c r="AH73" s="428"/>
      <c r="AI73" s="428"/>
      <c r="AJ73" s="428"/>
      <c r="AK73" s="428"/>
      <c r="AL73" s="428"/>
      <c r="AP73" s="336"/>
      <c r="AQ73" s="442"/>
      <c r="AR73" s="336"/>
      <c r="AS73" s="336"/>
      <c r="AT73" s="345"/>
      <c r="AU73" s="345"/>
      <c r="AV73" s="345"/>
      <c r="AW73" s="345"/>
      <c r="AX73" s="345"/>
      <c r="AY73" s="355"/>
      <c r="AZ73" s="355"/>
    </row>
    <row r="74" spans="1:52" s="325" customFormat="1" ht="19.5" customHeight="1">
      <c r="A74" s="1856" t="s">
        <v>300</v>
      </c>
      <c r="B74" s="1011"/>
      <c r="C74" s="1623" t="s">
        <v>333</v>
      </c>
      <c r="D74" s="1625">
        <v>6</v>
      </c>
      <c r="E74" s="1625">
        <v>0</v>
      </c>
      <c r="F74" s="1627" t="s">
        <v>12</v>
      </c>
      <c r="G74" s="1627">
        <v>250</v>
      </c>
      <c r="H74" s="1627">
        <v>0</v>
      </c>
      <c r="I74" s="1627">
        <v>0</v>
      </c>
      <c r="J74" s="1656">
        <f>IF($G74=0,0,IF($F74="recht",1+($G74-$C$17)/$C$18,1+($G74-$C$17-0.301*$C$18)/$C$18))+IF($H74=0,0,IF($F74="recht",$H74/$C$19,($H74-0.301*$C$19)/$C$19))+$I74/$C$20</f>
        <v>7.4545454545454541</v>
      </c>
      <c r="K74" s="1663">
        <f>10^(-J74)</f>
        <v>3.5111917342151263E-8</v>
      </c>
      <c r="L74" s="1656">
        <f>($C$7*$C$11*$E74/$D74/$D74*K74*1000000)</f>
        <v>0</v>
      </c>
      <c r="M74" s="1656">
        <f>IF($G74=0,0,IF($F$74="recht",1+($G74-$D$17)/$D$18,1+($G74-$D$17-0.301*$D$18)/$D$18))+IF($H74=0,0,IF($F74="recht",$H74/$D$19,($H74-0.301*$D$19)/$D$19))+$I74/$D$20</f>
        <v>6.6486486486486482</v>
      </c>
      <c r="N74" s="1663">
        <f>10^(-M74)</f>
        <v>2.2456979955397711E-7</v>
      </c>
      <c r="O74" s="1656">
        <f>($C$7*$D$11*$E74/$D74/$D74*N74*1000000)</f>
        <v>0</v>
      </c>
      <c r="P74" s="1656">
        <f>IF($G$74=0,0,IF($F74="recht",1+($G74-$E$17)/$E$18,1+($G74-$E$17-0.301*$E$18)/$E$18))+IF($H74=0,0,IF($F74="recht",$H74/$E$19,($H74-0.301*$E$19)/$E$19))+$I74/$E$20</f>
        <v>6.024390243902439</v>
      </c>
      <c r="Q74" s="1663">
        <f>10^(-P74)</f>
        <v>9.4538728313079291E-7</v>
      </c>
      <c r="R74" s="1656">
        <f>($C$7*$E$11*$E74/$D74/$D74*Q74*1000000)</f>
        <v>0</v>
      </c>
      <c r="S74" s="1656">
        <f>IF($G74=0,0,IF($F74="recht",1+($G74-$F$17)/$F$18,1+($G74-$F$17-0.301*$F$18)/$F$18))+IF($H74=0,0,IF($F74="recht",$H74/$F$19,($H74-0.301*$F$19)/$F$19))+$I74/$F$20</f>
        <v>9.1481481481481488</v>
      </c>
      <c r="T74" s="1699">
        <f>10^(-S74)</f>
        <v>7.1097094323124171E-10</v>
      </c>
      <c r="U74" s="1659">
        <f>($C$7*$F$11*$E74/$D74/$D74*T74*1000000)</f>
        <v>0</v>
      </c>
      <c r="V74" s="1656">
        <f>IF($G74=0,0,IF($F74="recht",1+($G74-$G$17)/$G$18,1+($G74-$G$17-0.301*$G$18)/$G$18))+IF($H74=0,0,IF($F74="recht",$H74/$G$19,($H74-0.301*$G$19)/$G$19))+$I74/$G$20</f>
        <v>6.9444444444444446</v>
      </c>
      <c r="W74" s="1699">
        <f>10^(-V74)</f>
        <v>1.136463666385722E-7</v>
      </c>
      <c r="X74" s="1698">
        <f>($C$7*$G$11*$E74/$D74/$D74*W74*1000000)</f>
        <v>0</v>
      </c>
      <c r="Y74" s="1679">
        <f>SUM(L74,O74,R74,U74,X74)</f>
        <v>0</v>
      </c>
      <c r="Z74" s="1179">
        <f>SUM(Y74:Y76)</f>
        <v>1.4937465351460337E-2</v>
      </c>
      <c r="AA74" s="552">
        <f>Z74*52/1000</f>
        <v>7.7674819827593751E-4</v>
      </c>
      <c r="AG74" s="428"/>
      <c r="AI74" s="428"/>
      <c r="AJ74" s="428"/>
      <c r="AK74" s="428"/>
      <c r="AL74" s="428"/>
      <c r="AP74" s="336"/>
      <c r="AQ74" s="442"/>
      <c r="AR74" s="336"/>
      <c r="AS74" s="336"/>
      <c r="AT74" s="345"/>
      <c r="AU74" s="345"/>
      <c r="AV74" s="345"/>
      <c r="AW74" s="345"/>
      <c r="AX74" s="345"/>
      <c r="AY74" s="355"/>
      <c r="AZ74" s="355"/>
    </row>
    <row r="75" spans="1:52" s="325" customFormat="1" ht="19.5" customHeight="1">
      <c r="A75" s="1857"/>
      <c r="B75" s="1010" t="s">
        <v>26</v>
      </c>
      <c r="C75" s="1624"/>
      <c r="D75" s="1626"/>
      <c r="E75" s="1626"/>
      <c r="F75" s="1628"/>
      <c r="G75" s="1628"/>
      <c r="H75" s="1628"/>
      <c r="I75" s="1628"/>
      <c r="J75" s="1659"/>
      <c r="K75" s="1662"/>
      <c r="L75" s="1657"/>
      <c r="M75" s="1657"/>
      <c r="N75" s="1662"/>
      <c r="O75" s="1657"/>
      <c r="P75" s="1657"/>
      <c r="Q75" s="1662"/>
      <c r="R75" s="1657"/>
      <c r="S75" s="1657"/>
      <c r="T75" s="1662"/>
      <c r="U75" s="1657"/>
      <c r="V75" s="1657"/>
      <c r="W75" s="1662"/>
      <c r="X75" s="1678"/>
      <c r="Y75" s="1680"/>
      <c r="Z75" s="553"/>
      <c r="AA75" s="554"/>
      <c r="AG75" s="428"/>
      <c r="AI75" s="428"/>
      <c r="AJ75" s="428"/>
      <c r="AK75" s="428"/>
      <c r="AL75" s="428"/>
      <c r="AP75" s="336"/>
      <c r="AQ75" s="442"/>
      <c r="AR75" s="336"/>
      <c r="AS75" s="336"/>
      <c r="AT75" s="345"/>
      <c r="AU75" s="345"/>
      <c r="AV75" s="345"/>
      <c r="AW75" s="345"/>
      <c r="AX75" s="345"/>
      <c r="AY75" s="355"/>
      <c r="AZ75" s="355"/>
    </row>
    <row r="76" spans="1:52" s="325" customFormat="1" ht="19.5" customHeight="1">
      <c r="A76" s="1857"/>
      <c r="B76" s="1008" t="str">
        <f>C$3</f>
        <v>Linac 3</v>
      </c>
      <c r="C76" s="1687" t="s">
        <v>334</v>
      </c>
      <c r="D76" s="1626">
        <v>5</v>
      </c>
      <c r="E76" s="1854">
        <v>1</v>
      </c>
      <c r="F76" s="1628"/>
      <c r="G76" s="1628"/>
      <c r="H76" s="1628"/>
      <c r="I76" s="1628"/>
      <c r="J76" s="1658">
        <f>IF($G74=0,0,IF($F74="recht",$G74/$C$24,($G74-0.301*$C$24)/$C$24))+IF($H74=0,0,IF($F74="recht",$H74/$C$25,($H74-0.301*$C$25)/$C$25))+$I74/$C$26</f>
        <v>7.3529411764705879</v>
      </c>
      <c r="K76" s="1661">
        <f>10^(-J76)</f>
        <v>4.4366873309786093E-8</v>
      </c>
      <c r="L76" s="1658">
        <f>($C$7*$C$8*$C$11*($C$12+$C$13*$C$14)*$E76/$D76/$D76*K76*1000000)</f>
        <v>1.0648049594348663E-3</v>
      </c>
      <c r="M76" s="1658">
        <f>IF($G74=0,0,IF($F74="recht",$G74/$D$24,($G74-0.301*$D$24)/$D$24))+IF($H74=0,0,IF($F74="recht",$H74/$D$25,($H74-0.301*$D$25)/$D$25))+$I74/$D$26</f>
        <v>6.5789473684210522</v>
      </c>
      <c r="N76" s="1661">
        <f>10^(-M76)</f>
        <v>2.636650898730358E-7</v>
      </c>
      <c r="O76" s="1658">
        <f>($C$7*$C$8*$D$11*($D$12+$D$13*$D$14)*$E76/$D76/$D76*N76*1000000)</f>
        <v>6.3279621569528599E-3</v>
      </c>
      <c r="P76" s="1658">
        <f>IF($G$74=0,0,IF($F74="recht",$G74/$E$24,($G74-0.301*$E$24)/$E$24))+IF($H74=0,0,IF($F74="recht",$H74/$E$25,($H74-0.301*$E$25)/$E$25))+$I74/$E$26*1</f>
        <v>6.5616797900262469</v>
      </c>
      <c r="Q76" s="1661">
        <f>10^(-P76)</f>
        <v>2.7435963093132793E-7</v>
      </c>
      <c r="R76" s="1658">
        <f>($C$7*$C$8*$E$11*($E$12+$E$13*$E$14)*$E76/$D76/$D76*Q76*1000000)</f>
        <v>6.5846311423518713E-3</v>
      </c>
      <c r="S76" s="1658">
        <f>IF($G74=0,0,IF($F74="recht",$G74/$F$24,($G74-0.301*$F$24)/$F$24))+IF($H74=0,0,IF($F74="recht",$H74/$F$25,($H74-0.301*$F$25)/$F$25))+$I74/$F$26</f>
        <v>8.1967213114754092</v>
      </c>
      <c r="T76" s="1661">
        <f>10^(-S76)</f>
        <v>6.3573875711648393E-9</v>
      </c>
      <c r="U76" s="1658">
        <f>($C$7*$C$8*$F$11*($F$12+$F$13*$F$14)*$E76/$D76/$D76*T76*1000000)</f>
        <v>8.6460470967841829E-5</v>
      </c>
      <c r="V76" s="1658">
        <f>IF($G74=0,0,IF($F74="recht",$G74/$G$24,($G74-0.301*$G$24)/$G$24))+IF($H74=0,0,IF($F74="recht",$H74/$G$25,($H74-0.301*$G$25)/$G$25))+$I74/$G$26</f>
        <v>7.0224719101123592</v>
      </c>
      <c r="W76" s="1661">
        <f>10^(-V76)</f>
        <v>9.4957241494880226E-8</v>
      </c>
      <c r="X76" s="1664">
        <f>($C$7*$C$8*$G$11*($G$12+$G$13*$G$14)*$E76/$D76/$D76*W76*1000000)</f>
        <v>8.7360662175289805E-4</v>
      </c>
      <c r="Y76" s="1666">
        <f>SUM(L76,O76,R76,U76,X76)</f>
        <v>1.4937465351460337E-2</v>
      </c>
      <c r="Z76" s="555"/>
      <c r="AA76" s="556"/>
      <c r="AG76" s="428"/>
      <c r="AH76" s="428"/>
      <c r="AI76" s="428"/>
      <c r="AJ76" s="428"/>
      <c r="AK76" s="428"/>
      <c r="AL76" s="428"/>
      <c r="AP76" s="336"/>
      <c r="AQ76" s="442"/>
      <c r="AR76" s="336"/>
      <c r="AS76" s="336"/>
      <c r="AT76" s="345"/>
      <c r="AU76" s="345"/>
      <c r="AV76" s="345"/>
      <c r="AW76" s="345"/>
      <c r="AX76" s="345"/>
      <c r="AY76" s="355"/>
      <c r="AZ76" s="355"/>
    </row>
    <row r="77" spans="1:52" s="325" customFormat="1" ht="19.5" customHeight="1" thickBot="1">
      <c r="A77" s="1858"/>
      <c r="B77" s="1009"/>
      <c r="C77" s="1688"/>
      <c r="D77" s="1689"/>
      <c r="E77" s="1855"/>
      <c r="F77" s="1629"/>
      <c r="G77" s="1629"/>
      <c r="H77" s="1629"/>
      <c r="I77" s="1629"/>
      <c r="J77" s="1660"/>
      <c r="K77" s="1662"/>
      <c r="L77" s="1657"/>
      <c r="M77" s="1659"/>
      <c r="N77" s="1662"/>
      <c r="O77" s="1657"/>
      <c r="P77" s="1660"/>
      <c r="Q77" s="1668"/>
      <c r="R77" s="1660"/>
      <c r="S77" s="1660"/>
      <c r="T77" s="1699"/>
      <c r="U77" s="1659"/>
      <c r="V77" s="1660"/>
      <c r="W77" s="1699"/>
      <c r="X77" s="1698"/>
      <c r="Y77" s="1667"/>
      <c r="Z77" s="557"/>
      <c r="AA77" s="558"/>
      <c r="AG77" s="428"/>
      <c r="AH77" s="428"/>
      <c r="AI77" s="428"/>
      <c r="AJ77" s="428"/>
      <c r="AK77" s="428"/>
      <c r="AL77" s="428"/>
      <c r="AP77" s="336"/>
      <c r="AQ77" s="442"/>
      <c r="AR77" s="336"/>
      <c r="AS77" s="336"/>
      <c r="AT77" s="345"/>
      <c r="AU77" s="345"/>
      <c r="AV77" s="345"/>
      <c r="AW77" s="345"/>
      <c r="AX77" s="345"/>
      <c r="AY77" s="355"/>
      <c r="AZ77" s="355"/>
    </row>
    <row r="78" spans="1:52" s="325" customFormat="1" ht="19.5" customHeight="1">
      <c r="A78" s="1638" t="str">
        <f ca="1">'Linac 4'!A$78</f>
        <v>B4</v>
      </c>
      <c r="B78" s="1008"/>
      <c r="C78" s="1623" t="s">
        <v>333</v>
      </c>
      <c r="D78" s="1625">
        <v>1</v>
      </c>
      <c r="E78" s="1625">
        <v>0</v>
      </c>
      <c r="F78" s="1627" t="s">
        <v>12</v>
      </c>
      <c r="G78" s="1627">
        <v>250</v>
      </c>
      <c r="H78" s="1627">
        <v>0</v>
      </c>
      <c r="I78" s="1627">
        <v>0</v>
      </c>
      <c r="J78" s="1656">
        <f>IF($G78=0,0,IF($F78="recht",1+($G78-$C$17)/$C$18,1+($G78-$C$17-0.301*$C$18)/$C$18))+IF($H78=0,0,IF($F78="recht",$H78/$C$19,($H78-0.301*$C$19)/$C$19))+$I78/$C$20</f>
        <v>7.4545454545454541</v>
      </c>
      <c r="K78" s="1663">
        <f>10^(-J78)</f>
        <v>3.5111917342151263E-8</v>
      </c>
      <c r="L78" s="1656">
        <f>($C$7*$C$11*$E78/$D78/$D78*K78*1000000)</f>
        <v>0</v>
      </c>
      <c r="M78" s="1656">
        <f>IF($G78=0,0,IF($F$78="recht",1+($G78-$D$17)/$D$18,1+($G78-$D$17-0.301*$D$18)/$D$18))+IF($H78=0,0,IF($F78="recht",$H78/$D$19,($H78-0.301*$D$19)/$D$19))+$I78/$D$20</f>
        <v>6.6486486486486482</v>
      </c>
      <c r="N78" s="1663">
        <f>10^(-M78)</f>
        <v>2.2456979955397711E-7</v>
      </c>
      <c r="O78" s="1656">
        <f>($C$7*$D$11*$E78/$D78/$D78*N78*1000000)</f>
        <v>0</v>
      </c>
      <c r="P78" s="1656">
        <f>IF($G$78=0,0,IF($F78="recht",1+($G78-$E$17)/$E$18,1+($G78-$E$17-0.301*$E$18)/$E$18))+IF($H78=0,0,IF($F78="recht",$H78/$E$19,($H78-0.301*$E$19)/$E$19))+$I78/$E$20</f>
        <v>6.024390243902439</v>
      </c>
      <c r="Q78" s="1663">
        <f>10^(-P78)</f>
        <v>9.4538728313079291E-7</v>
      </c>
      <c r="R78" s="1656">
        <f>($C$7*$E$11*$E78/$D78/$D78*Q78*1000000)</f>
        <v>0</v>
      </c>
      <c r="S78" s="1656">
        <f>IF($G78=0,0,IF($F78="recht",1+($G78-$F$17)/$F$18,1+($G78-$F$17-0.301*$F$18)/$F$18))+IF($H78=0,0,IF($F78="recht",$H78/$F$19,($H78-0.301*$F$19)/$F$19))+$I78/$F$20</f>
        <v>9.1481481481481488</v>
      </c>
      <c r="T78" s="1663">
        <f>10^(-S78)</f>
        <v>7.1097094323124171E-10</v>
      </c>
      <c r="U78" s="1656">
        <f>($C$7*$F$11*$E78/$D78/$D78*T78*1000000)</f>
        <v>0</v>
      </c>
      <c r="V78" s="1656">
        <f>IF($G78=0,0,IF($F78="recht",1+($G78-$G$17)/$G$18,1+($G78-$G$17-0.301*$G$18)/$G$18))+IF($H78=0,0,IF($F78="recht",$H78/$G$19,($H78-0.301*$G$19)/$G$19))+$I78/$G$20</f>
        <v>6.9444444444444446</v>
      </c>
      <c r="W78" s="1663">
        <f>10^(-V78)</f>
        <v>1.136463666385722E-7</v>
      </c>
      <c r="X78" s="1677">
        <f>($C$7*$G$11*$E78/$D78/$D78*W78*1000000)</f>
        <v>0</v>
      </c>
      <c r="Y78" s="1679">
        <f>SUM(L78,O78,R78,U78,X78)</f>
        <v>0</v>
      </c>
      <c r="Z78" s="1179">
        <f>SUM(Y78:Y80)</f>
        <v>1.4937465351460337E-2</v>
      </c>
      <c r="AA78" s="552">
        <f>Z78*52/1000</f>
        <v>7.7674819827593751E-4</v>
      </c>
      <c r="AG78" s="428"/>
      <c r="AI78" s="428"/>
      <c r="AJ78" s="428"/>
      <c r="AK78" s="428"/>
      <c r="AL78" s="428"/>
      <c r="AP78" s="336"/>
      <c r="AQ78" s="442"/>
      <c r="AR78" s="336"/>
      <c r="AS78" s="336"/>
      <c r="AT78" s="345"/>
      <c r="AU78" s="345"/>
      <c r="AV78" s="345"/>
      <c r="AW78" s="345"/>
      <c r="AX78" s="345"/>
      <c r="AY78" s="355"/>
      <c r="AZ78" s="355"/>
    </row>
    <row r="79" spans="1:52" s="325" customFormat="1" ht="19.5" customHeight="1">
      <c r="A79" s="1639"/>
      <c r="B79" s="1008" t="s">
        <v>26</v>
      </c>
      <c r="C79" s="1624"/>
      <c r="D79" s="1626"/>
      <c r="E79" s="1626"/>
      <c r="F79" s="1628"/>
      <c r="G79" s="1628"/>
      <c r="H79" s="1628"/>
      <c r="I79" s="1628"/>
      <c r="J79" s="1659"/>
      <c r="K79" s="1662"/>
      <c r="L79" s="1657"/>
      <c r="M79" s="1657"/>
      <c r="N79" s="1662"/>
      <c r="O79" s="1657"/>
      <c r="P79" s="1657"/>
      <c r="Q79" s="1662"/>
      <c r="R79" s="1657"/>
      <c r="S79" s="1657"/>
      <c r="T79" s="1662"/>
      <c r="U79" s="1657"/>
      <c r="V79" s="1657"/>
      <c r="W79" s="1662"/>
      <c r="X79" s="1678"/>
      <c r="Y79" s="1686"/>
      <c r="Z79" s="553"/>
      <c r="AA79" s="554"/>
      <c r="AG79" s="428"/>
      <c r="AI79" s="428"/>
      <c r="AJ79" s="428"/>
      <c r="AK79" s="428"/>
      <c r="AL79" s="428"/>
      <c r="AP79" s="336"/>
      <c r="AQ79" s="442"/>
      <c r="AR79" s="336"/>
      <c r="AS79" s="336"/>
      <c r="AT79" s="345"/>
      <c r="AU79" s="345"/>
      <c r="AV79" s="345"/>
      <c r="AW79" s="345"/>
      <c r="AX79" s="345"/>
      <c r="AY79" s="355"/>
      <c r="AZ79" s="355"/>
    </row>
    <row r="80" spans="1:52" s="325" customFormat="1" ht="19.5" customHeight="1">
      <c r="A80" s="1639"/>
      <c r="B80" s="1008" t="str">
        <f ca="1">'Linac 4'!C$3</f>
        <v>Linac 4</v>
      </c>
      <c r="C80" s="1687" t="s">
        <v>334</v>
      </c>
      <c r="D80" s="1626">
        <v>5</v>
      </c>
      <c r="E80" s="1854">
        <v>1</v>
      </c>
      <c r="F80" s="1628"/>
      <c r="G80" s="1628"/>
      <c r="H80" s="1628"/>
      <c r="I80" s="1628"/>
      <c r="J80" s="1658">
        <f>IF($G78=0,0,IF($F78="recht",$G78/$C$24,($G78-0.301*$C$24)/$C$24))+IF($H78=0,0,IF($F78="recht",$H78/$C$25,($H78-0.301*$C$25)/$C$25))+$I78/$C$26</f>
        <v>7.3529411764705879</v>
      </c>
      <c r="K80" s="1661">
        <f>10^(-J80)</f>
        <v>4.4366873309786093E-8</v>
      </c>
      <c r="L80" s="1658">
        <f>($C$7*$C$8*$C$11*($C$12+$C$13*$C$14)*$E80/$D80/$D80*K80*1000000)</f>
        <v>1.0648049594348663E-3</v>
      </c>
      <c r="M80" s="1658">
        <f>IF($G78=0,0,IF($F78="recht",$G78/$D$24,($G78-0.301*$D$24)/$D$24))+IF($H78=0,0,IF($F78="recht",$H78/$D$25,($H78-0.301*$D$25)/$D$25))+$I78/$D$26</f>
        <v>6.5789473684210522</v>
      </c>
      <c r="N80" s="1661">
        <f>10^(-M80)</f>
        <v>2.636650898730358E-7</v>
      </c>
      <c r="O80" s="1658">
        <f>($C$7*$C$8*$D$11*($D$12+$D$13*$D$14)*$E80/$D80/$D80*N80*1000000)</f>
        <v>6.3279621569528599E-3</v>
      </c>
      <c r="P80" s="1658">
        <f>IF($G$78=0,0,IF($F78="recht",$G78/$E$24,($G78-0.301*$E$24)/$E$24))+IF($H78=0,0,IF($F78="recht",$H78/$E$25,($H78-0.301*$E$25)/$E$25))+$I78/$E$26*1</f>
        <v>6.5616797900262469</v>
      </c>
      <c r="Q80" s="1661">
        <f>10^(-P80)</f>
        <v>2.7435963093132793E-7</v>
      </c>
      <c r="R80" s="1658">
        <f>($C$7*$C$8*$E$11*($E$12+$E$13*$E$14)*$E80/$D80/$D80*Q80*1000000)</f>
        <v>6.5846311423518713E-3</v>
      </c>
      <c r="S80" s="1658">
        <f>IF($G78=0,0,IF($F78="recht",$G78/$F$24,($G78-0.301*$F$24)/$F$24))+IF($H78=0,0,IF($F78="recht",$H78/$F$25,($H78-0.301*$F$25)/$F$25))+$I78/$F$26</f>
        <v>8.1967213114754092</v>
      </c>
      <c r="T80" s="1661">
        <f>10^(-S80)</f>
        <v>6.3573875711648393E-9</v>
      </c>
      <c r="U80" s="1658">
        <f>($C$7*$C$8*$F$11*($F$12+$F$13*$F$14)*$E80/$D80/$D80*T80*1000000)</f>
        <v>8.6460470967841829E-5</v>
      </c>
      <c r="V80" s="1658">
        <f>IF($G78=0,0,IF($F78="recht",$G78/$G$24,($G78-0.301*$G$24)/$G$24))+IF($H78=0,0,IF($F78="recht",$H78/$G$25,($H78-0.301*$G$25)/$G$25))+$I78/$G$26</f>
        <v>7.0224719101123592</v>
      </c>
      <c r="W80" s="1661">
        <f>10^(-V80)</f>
        <v>9.4957241494880226E-8</v>
      </c>
      <c r="X80" s="1664">
        <f>($C$7*$C$8*$G$11*($G$12+$G$13*$G$14)*$E80/$D80/$D80*W80*1000000)</f>
        <v>8.7360662175289805E-4</v>
      </c>
      <c r="Y80" s="1680">
        <f>SUM(L80,O80,R80,U80,X80)</f>
        <v>1.4937465351460337E-2</v>
      </c>
      <c r="Z80" s="555"/>
      <c r="AA80" s="556"/>
      <c r="AG80" s="428"/>
      <c r="AH80" s="428"/>
      <c r="AI80" s="428"/>
      <c r="AJ80" s="428"/>
      <c r="AK80" s="428"/>
      <c r="AL80" s="428"/>
      <c r="AP80" s="336"/>
      <c r="AQ80" s="442"/>
      <c r="AR80" s="336"/>
      <c r="AS80" s="336"/>
      <c r="AT80" s="345"/>
      <c r="AU80" s="345"/>
      <c r="AV80" s="345"/>
      <c r="AW80" s="345"/>
      <c r="AX80" s="345"/>
      <c r="AY80" s="355"/>
      <c r="AZ80" s="355"/>
    </row>
    <row r="81" spans="1:62" s="325" customFormat="1" ht="19.5" customHeight="1" thickBot="1">
      <c r="A81" s="1640"/>
      <c r="B81" s="1013"/>
      <c r="C81" s="1688"/>
      <c r="D81" s="1689"/>
      <c r="E81" s="1855"/>
      <c r="F81" s="1629"/>
      <c r="G81" s="1629"/>
      <c r="H81" s="1629"/>
      <c r="I81" s="1629"/>
      <c r="J81" s="1660"/>
      <c r="K81" s="1668"/>
      <c r="L81" s="1660"/>
      <c r="M81" s="1660"/>
      <c r="N81" s="1668"/>
      <c r="O81" s="1660"/>
      <c r="P81" s="1660"/>
      <c r="Q81" s="1668"/>
      <c r="R81" s="1660"/>
      <c r="S81" s="1660"/>
      <c r="T81" s="1668"/>
      <c r="U81" s="1660"/>
      <c r="V81" s="1660"/>
      <c r="W81" s="1668"/>
      <c r="X81" s="1665"/>
      <c r="Y81" s="1667"/>
      <c r="Z81" s="557"/>
      <c r="AA81" s="558"/>
      <c r="AG81" s="428"/>
      <c r="AH81" s="428"/>
      <c r="AI81" s="428"/>
      <c r="AJ81" s="428"/>
      <c r="AK81" s="428"/>
      <c r="AL81" s="428"/>
      <c r="AP81" s="336"/>
      <c r="AQ81" s="442"/>
      <c r="AR81" s="336"/>
      <c r="AS81" s="336"/>
      <c r="AT81" s="345"/>
      <c r="AU81" s="345"/>
      <c r="AV81" s="345"/>
      <c r="AW81" s="345"/>
      <c r="AX81" s="345"/>
      <c r="AY81" s="355"/>
      <c r="AZ81" s="355"/>
    </row>
    <row r="82" spans="1:62" s="345" customFormat="1" ht="19.5" customHeight="1">
      <c r="A82" s="336"/>
      <c r="B82" s="336"/>
      <c r="C82" s="499"/>
      <c r="D82" s="895"/>
      <c r="E82" s="895"/>
      <c r="F82" s="895"/>
      <c r="G82" s="895"/>
      <c r="H82" s="895"/>
      <c r="I82" s="895"/>
      <c r="J82" s="896"/>
      <c r="K82" s="897"/>
      <c r="L82" s="896"/>
      <c r="M82" s="896"/>
      <c r="N82" s="897"/>
      <c r="O82" s="896"/>
      <c r="P82" s="896"/>
      <c r="Q82" s="897"/>
      <c r="R82" s="896"/>
      <c r="S82" s="896"/>
      <c r="T82" s="897"/>
      <c r="U82" s="896"/>
      <c r="V82" s="896"/>
      <c r="W82" s="897"/>
      <c r="X82" s="896"/>
      <c r="Y82" s="896"/>
      <c r="Z82" s="338"/>
      <c r="AA82" s="338"/>
      <c r="AG82" s="428"/>
      <c r="AH82" s="428"/>
      <c r="AI82" s="428"/>
      <c r="AJ82" s="428"/>
      <c r="AK82" s="428"/>
      <c r="AL82" s="428"/>
      <c r="AP82" s="336"/>
      <c r="AQ82" s="442"/>
      <c r="AR82" s="336"/>
      <c r="AS82" s="336"/>
      <c r="AY82" s="355"/>
      <c r="AZ82" s="355"/>
    </row>
    <row r="83" spans="1:62" s="325" customFormat="1" ht="19.5" customHeight="1">
      <c r="A83" s="336"/>
      <c r="B83" s="336"/>
      <c r="C83" s="442"/>
      <c r="D83" s="442"/>
      <c r="E83" s="762"/>
      <c r="F83" s="966"/>
      <c r="G83" s="967"/>
      <c r="H83" s="967"/>
      <c r="I83" s="966"/>
      <c r="J83" s="966"/>
      <c r="K83" s="966"/>
      <c r="L83" s="968"/>
      <c r="M83" s="968"/>
      <c r="N83" s="908"/>
      <c r="O83" s="908"/>
      <c r="P83" s="908"/>
      <c r="Q83" s="908"/>
      <c r="R83" s="428"/>
      <c r="S83" s="384"/>
      <c r="T83" s="336"/>
      <c r="U83" s="336"/>
      <c r="V83" s="311"/>
      <c r="W83" s="311"/>
      <c r="X83" s="336"/>
      <c r="Y83" s="442"/>
      <c r="Z83" s="336"/>
      <c r="AA83" s="336"/>
      <c r="AB83" s="345"/>
      <c r="AC83" s="345"/>
      <c r="AD83" s="345"/>
      <c r="AE83" s="345"/>
      <c r="AF83" s="345"/>
    </row>
    <row r="84" spans="1:62" ht="19.5" customHeight="1">
      <c r="A84" s="903" t="s">
        <v>512</v>
      </c>
      <c r="B84" s="894"/>
      <c r="C84" s="375"/>
      <c r="D84" s="376"/>
      <c r="L84" s="377"/>
      <c r="M84" s="377"/>
      <c r="S84" s="380"/>
      <c r="V84" s="331"/>
      <c r="W84" s="331"/>
      <c r="X84" s="331"/>
      <c r="Y84" s="331"/>
      <c r="Z84" s="331"/>
      <c r="AB84" s="440"/>
      <c r="AC84" s="311"/>
      <c r="AD84" s="311"/>
      <c r="AE84" s="311"/>
      <c r="AF84" s="311"/>
      <c r="AJ84" s="378"/>
      <c r="AK84" s="378"/>
      <c r="AL84" s="379"/>
      <c r="AM84" s="379"/>
      <c r="AN84" s="379"/>
      <c r="AO84" s="378"/>
      <c r="AP84" s="378"/>
      <c r="AQ84" s="378"/>
    </row>
    <row r="85" spans="1:62" ht="19.5" customHeight="1">
      <c r="A85" s="907"/>
      <c r="B85" s="391" t="s">
        <v>533</v>
      </c>
      <c r="C85" s="375"/>
      <c r="D85" s="376"/>
      <c r="L85" s="377"/>
      <c r="M85" s="377"/>
      <c r="S85" s="380"/>
      <c r="V85" s="331"/>
      <c r="W85" s="331"/>
      <c r="X85" s="331"/>
      <c r="Y85" s="331"/>
      <c r="Z85" s="331"/>
      <c r="AB85" s="440"/>
      <c r="AC85" s="311"/>
      <c r="AD85" s="311"/>
      <c r="AE85" s="311"/>
      <c r="AF85" s="311"/>
      <c r="AJ85" s="378"/>
      <c r="AK85" s="378"/>
      <c r="AL85" s="379"/>
      <c r="AM85" s="379"/>
      <c r="AN85" s="379"/>
      <c r="AO85" s="378"/>
      <c r="AP85" s="378"/>
      <c r="AQ85" s="378"/>
    </row>
    <row r="86" spans="1:62" ht="19.5" customHeight="1">
      <c r="A86" s="907"/>
      <c r="B86" s="1340" t="s">
        <v>577</v>
      </c>
      <c r="C86" s="1341"/>
      <c r="D86" s="1342">
        <v>5</v>
      </c>
      <c r="L86" s="377"/>
      <c r="M86" s="377"/>
      <c r="S86" s="380"/>
      <c r="V86" s="331"/>
      <c r="W86" s="331"/>
      <c r="X86" s="331"/>
      <c r="Y86" s="331"/>
      <c r="Z86" s="331"/>
      <c r="AB86" s="440"/>
      <c r="AC86" s="311"/>
      <c r="AD86" s="311"/>
      <c r="AE86" s="311"/>
      <c r="AF86" s="311"/>
      <c r="AJ86" s="378"/>
      <c r="AK86" s="378"/>
      <c r="AL86" s="379"/>
      <c r="AM86" s="379"/>
      <c r="AN86" s="379"/>
      <c r="AO86" s="378"/>
      <c r="AP86" s="378"/>
      <c r="AQ86" s="378"/>
    </row>
    <row r="87" spans="1:62" ht="19.5" customHeight="1" thickBot="1">
      <c r="A87" s="907"/>
      <c r="B87" s="1340" t="s">
        <v>578</v>
      </c>
      <c r="C87" s="1341"/>
      <c r="D87" s="1342">
        <v>5</v>
      </c>
      <c r="L87" s="377"/>
      <c r="M87" s="377"/>
      <c r="S87" s="380"/>
      <c r="V87" s="331"/>
      <c r="W87" s="331"/>
      <c r="X87" s="331"/>
      <c r="Y87" s="331"/>
      <c r="Z87" s="331"/>
      <c r="AB87" s="440"/>
      <c r="AC87" s="311"/>
      <c r="AD87" s="311"/>
      <c r="AE87" s="311"/>
      <c r="AF87" s="311"/>
      <c r="AJ87" s="378"/>
      <c r="AK87" s="378"/>
      <c r="AL87" s="379"/>
      <c r="AM87" s="379"/>
      <c r="AN87" s="379"/>
      <c r="AO87" s="378"/>
      <c r="AP87" s="378"/>
      <c r="AQ87" s="378"/>
    </row>
    <row r="88" spans="1:62" s="325" customFormat="1" ht="19.5" customHeight="1">
      <c r="A88" s="1633" t="s">
        <v>65</v>
      </c>
      <c r="B88" s="1700" t="s">
        <v>19</v>
      </c>
      <c r="C88" s="1692" t="s">
        <v>31</v>
      </c>
      <c r="D88" s="1692" t="s">
        <v>270</v>
      </c>
      <c r="E88" s="1633" t="s">
        <v>0</v>
      </c>
      <c r="F88" s="1692" t="s">
        <v>103</v>
      </c>
      <c r="G88" s="765" t="s">
        <v>113</v>
      </c>
      <c r="H88" s="962"/>
      <c r="I88" s="1381"/>
      <c r="J88" s="1721" t="s">
        <v>570</v>
      </c>
      <c r="K88" s="1722"/>
      <c r="L88" s="1723"/>
      <c r="M88" s="1673">
        <f>$C$6</f>
        <v>6</v>
      </c>
      <c r="N88" s="1674"/>
      <c r="O88" s="1675"/>
      <c r="P88" s="1673">
        <f>$D$6</f>
        <v>10</v>
      </c>
      <c r="Q88" s="1674"/>
      <c r="R88" s="1675"/>
      <c r="S88" s="1673">
        <f>$E$6</f>
        <v>15</v>
      </c>
      <c r="T88" s="1674"/>
      <c r="U88" s="1675"/>
      <c r="V88" s="1673" t="str">
        <f>$F$6</f>
        <v>6 FFF</v>
      </c>
      <c r="W88" s="1674"/>
      <c r="X88" s="1675"/>
      <c r="Y88" s="1673" t="str">
        <f>$G$6</f>
        <v>10 FFF</v>
      </c>
      <c r="Z88" s="1674"/>
      <c r="AA88" s="1675"/>
      <c r="AB88" s="1643" t="s">
        <v>425</v>
      </c>
      <c r="AC88" s="1644"/>
      <c r="AD88" s="1644"/>
      <c r="AE88" s="533"/>
      <c r="AF88" s="336"/>
      <c r="AG88" s="345"/>
      <c r="AH88" s="345"/>
      <c r="AI88" s="345"/>
      <c r="AJ88" s="345"/>
      <c r="AK88" s="345"/>
    </row>
    <row r="89" spans="1:62" s="325" customFormat="1" ht="19.5" customHeight="1">
      <c r="A89" s="1634"/>
      <c r="B89" s="1701"/>
      <c r="C89" s="1682"/>
      <c r="D89" s="1682"/>
      <c r="E89" s="1634"/>
      <c r="F89" s="1682"/>
      <c r="G89" s="311"/>
      <c r="H89" s="336"/>
      <c r="I89" s="327"/>
      <c r="M89" s="328" t="s">
        <v>170</v>
      </c>
      <c r="N89" s="328" t="s">
        <v>329</v>
      </c>
      <c r="O89" s="328" t="s">
        <v>20</v>
      </c>
      <c r="P89" s="328" t="s">
        <v>170</v>
      </c>
      <c r="Q89" s="328" t="s">
        <v>329</v>
      </c>
      <c r="R89" s="328" t="s">
        <v>20</v>
      </c>
      <c r="S89" s="328" t="s">
        <v>170</v>
      </c>
      <c r="T89" s="328" t="s">
        <v>329</v>
      </c>
      <c r="U89" s="328" t="s">
        <v>20</v>
      </c>
      <c r="V89" s="328" t="s">
        <v>170</v>
      </c>
      <c r="W89" s="328" t="s">
        <v>329</v>
      </c>
      <c r="X89" s="328" t="s">
        <v>20</v>
      </c>
      <c r="Y89" s="328" t="s">
        <v>170</v>
      </c>
      <c r="Z89" s="328" t="s">
        <v>329</v>
      </c>
      <c r="AA89" s="328" t="s">
        <v>20</v>
      </c>
      <c r="AB89" s="444"/>
      <c r="AC89" s="1641"/>
      <c r="AD89" s="1848"/>
      <c r="AE89" s="444"/>
      <c r="AF89" s="336"/>
      <c r="AG89" s="345"/>
      <c r="AH89" s="345"/>
      <c r="AI89" s="345"/>
      <c r="AJ89" s="345"/>
      <c r="AK89" s="345"/>
    </row>
    <row r="90" spans="1:62" s="325" customFormat="1" ht="19.5" customHeight="1" thickBot="1">
      <c r="A90" s="1634"/>
      <c r="B90" s="386"/>
      <c r="C90" s="1682"/>
      <c r="D90" s="1682"/>
      <c r="E90" s="1634"/>
      <c r="F90" s="1682"/>
      <c r="G90" s="513" t="s">
        <v>2</v>
      </c>
      <c r="H90" s="454" t="s">
        <v>96</v>
      </c>
      <c r="I90" s="424" t="s">
        <v>4</v>
      </c>
      <c r="J90" s="454" t="s">
        <v>4</v>
      </c>
      <c r="K90" s="764" t="s">
        <v>27</v>
      </c>
      <c r="L90" s="428" t="s">
        <v>52</v>
      </c>
      <c r="M90" s="763" t="s">
        <v>331</v>
      </c>
      <c r="N90" s="763" t="s">
        <v>330</v>
      </c>
      <c r="O90" s="439" t="s">
        <v>291</v>
      </c>
      <c r="P90" s="763" t="s">
        <v>331</v>
      </c>
      <c r="Q90" s="763" t="s">
        <v>330</v>
      </c>
      <c r="R90" s="439" t="s">
        <v>291</v>
      </c>
      <c r="S90" s="764" t="s">
        <v>331</v>
      </c>
      <c r="T90" s="764" t="s">
        <v>330</v>
      </c>
      <c r="U90" s="372" t="s">
        <v>291</v>
      </c>
      <c r="V90" s="764" t="s">
        <v>331</v>
      </c>
      <c r="W90" s="764" t="s">
        <v>330</v>
      </c>
      <c r="X90" s="372" t="s">
        <v>291</v>
      </c>
      <c r="Y90" s="764" t="s">
        <v>331</v>
      </c>
      <c r="Z90" s="764" t="s">
        <v>330</v>
      </c>
      <c r="AA90" s="372" t="s">
        <v>291</v>
      </c>
      <c r="AB90" s="1348" t="s">
        <v>291</v>
      </c>
      <c r="AC90" s="1360" t="s">
        <v>574</v>
      </c>
      <c r="AD90" s="941" t="s">
        <v>279</v>
      </c>
      <c r="AE90" s="1043"/>
      <c r="AF90" s="336"/>
      <c r="AG90" s="345"/>
      <c r="AH90" s="345"/>
      <c r="AI90" s="345"/>
      <c r="AJ90" s="345"/>
      <c r="AK90" s="345"/>
    </row>
    <row r="91" spans="1:62" s="325" customFormat="1" ht="19.5" customHeight="1">
      <c r="A91" s="1638" t="str">
        <f ca="1">'Linac 1'!A$91</f>
        <v>L1</v>
      </c>
      <c r="B91" s="1011"/>
      <c r="C91" s="1623" t="s">
        <v>333</v>
      </c>
      <c r="D91" s="1627">
        <v>1</v>
      </c>
      <c r="E91" s="1627">
        <v>0</v>
      </c>
      <c r="F91" s="1627" t="s">
        <v>12</v>
      </c>
      <c r="G91" s="1627">
        <v>250</v>
      </c>
      <c r="H91" s="1627">
        <v>0</v>
      </c>
      <c r="I91" s="1627">
        <v>0</v>
      </c>
      <c r="J91" s="1765"/>
      <c r="K91" s="1765"/>
      <c r="L91" s="1768"/>
      <c r="M91" s="1656">
        <f>IF($G91=0,0,IF($F91="recht",1+($G91-$C$17)/$C$18,1+($G91-$C$17-0.301*$C$18)/$C$18))+IF($H91=0,0,IF($F91="recht",$H91/$C$19,($H91-0.301*$C$19)/$C$19))+$I91/$C$20</f>
        <v>7.4545454545454541</v>
      </c>
      <c r="N91" s="1663">
        <f>10^(-M91)</f>
        <v>3.5111917342151263E-8</v>
      </c>
      <c r="O91" s="1656">
        <f>($C$7*$C$11*$E91/$D91/$D91*N91*1000000)</f>
        <v>0</v>
      </c>
      <c r="P91" s="1656">
        <f>IF($G$91=0,0,IF($F91="recht",1+($G91-$D$17)/$D$18,1+($G91-$D$17-0.301*$D$18)/$D$18))+IF($H91=0,0,IF($F91="recht",$H91/$D$19,($H91-0.301*$D$19)/$D$19))+$I91/$D$20</f>
        <v>6.6486486486486482</v>
      </c>
      <c r="Q91" s="1663">
        <f>10^(-P91)</f>
        <v>2.2456979955397711E-7</v>
      </c>
      <c r="R91" s="1656">
        <f>($C$7*$D$11*$E91/$D91/$D91*Q91*1000000)</f>
        <v>0</v>
      </c>
      <c r="S91" s="1656">
        <f>IF($G91=0,0,IF($F91="recht",1+($G91-$E$17)/$E$18,1+($G91-$E$17-0.301*$E$18)/$E$18))+IF($H91=0,0,IF($F91="recht",$H91/$E$19,($H91-0.301*$E$19)/$E$19))+$I91/$E$20</f>
        <v>6.024390243902439</v>
      </c>
      <c r="T91" s="1663">
        <f>10^(-S91)</f>
        <v>9.4538728313079291E-7</v>
      </c>
      <c r="U91" s="1656">
        <f>($C$7*$E$11*$E91/$D91/$D91*T91*1000000)</f>
        <v>0</v>
      </c>
      <c r="V91" s="1656">
        <f>IF($G91=0,0,IF($F91="recht",1+($G91-$F$17)/$F$18,1+($G91-$F$17-0.301*$F$18)/$F$18))+IF($H91=0,0,IF($F91="recht",$H91/$F$19,($H91-0.301*$F$19)/$F$19))+$I91/$F$20</f>
        <v>9.1481481481481488</v>
      </c>
      <c r="W91" s="1661">
        <f>10^(-V91)</f>
        <v>7.1097094323124171E-10</v>
      </c>
      <c r="X91" s="1658">
        <f>($C$7*$F$11*$E91/$D91/$D91*W91*1000000)</f>
        <v>0</v>
      </c>
      <c r="Y91" s="1656">
        <f>IF($G91=0,0,IF($F91="recht",1+($G91-$G$17)/$G$18,1+($G91-$G$17-0.301*$G$18)/$G$18))+IF($H91=0,0,IF($F91="recht",$H91/$G$19,($H91-0.301*$G$19)/$G$19))+$I91/$G$20</f>
        <v>6.9444444444444446</v>
      </c>
      <c r="Z91" s="1661">
        <f>10^(-Y91)</f>
        <v>1.136463666385722E-7</v>
      </c>
      <c r="AA91" s="1658">
        <f>($C$7*$G$11*$E91/$D91/$D91*Z91*1000000)</f>
        <v>0</v>
      </c>
      <c r="AB91" s="1708">
        <f>SUM(O91,R91,U91,X91,AA91)</f>
        <v>0</v>
      </c>
      <c r="AC91" s="1180">
        <f>SUM(AB91:AB94)*$D$86/2400/1000</f>
        <v>7.7799298705522589E-7</v>
      </c>
      <c r="AD91" s="942">
        <f>AC91*$D$87</f>
        <v>3.8899649352761298E-6</v>
      </c>
      <c r="AE91" s="1233"/>
      <c r="AF91" s="336"/>
      <c r="AG91" s="345"/>
      <c r="AH91" s="345"/>
      <c r="AI91" s="345"/>
      <c r="AJ91" s="345"/>
      <c r="AK91" s="345"/>
      <c r="AL91" s="345"/>
      <c r="AM91" s="345"/>
      <c r="AN91" s="345"/>
      <c r="AO91" s="345"/>
      <c r="AP91" s="345"/>
      <c r="AQ91" s="345"/>
      <c r="AR91" s="345"/>
      <c r="AS91" s="345"/>
      <c r="AT91" s="345"/>
      <c r="AU91" s="345"/>
      <c r="AV91" s="345"/>
      <c r="AW91" s="345"/>
      <c r="AX91" s="345"/>
      <c r="AY91" s="345"/>
      <c r="AZ91" s="345"/>
      <c r="BA91" s="345"/>
      <c r="BB91" s="345"/>
      <c r="BC91" s="345"/>
      <c r="BD91" s="345"/>
      <c r="BE91" s="345"/>
      <c r="BF91" s="345"/>
      <c r="BG91" s="345"/>
      <c r="BH91" s="345"/>
      <c r="BI91" s="345"/>
      <c r="BJ91" s="345"/>
    </row>
    <row r="92" spans="1:62" s="325" customFormat="1" ht="19.5" customHeight="1">
      <c r="A92" s="1639"/>
      <c r="B92" s="1010" t="s">
        <v>168</v>
      </c>
      <c r="C92" s="1624"/>
      <c r="D92" s="1720"/>
      <c r="E92" s="1720"/>
      <c r="F92" s="1628"/>
      <c r="G92" s="1628"/>
      <c r="H92" s="1628"/>
      <c r="I92" s="1628"/>
      <c r="J92" s="1766"/>
      <c r="K92" s="1766"/>
      <c r="L92" s="1769"/>
      <c r="M92" s="1659"/>
      <c r="N92" s="1662"/>
      <c r="O92" s="1657"/>
      <c r="P92" s="1657"/>
      <c r="Q92" s="1662"/>
      <c r="R92" s="1657"/>
      <c r="S92" s="1657"/>
      <c r="T92" s="1662"/>
      <c r="U92" s="1657"/>
      <c r="V92" s="1657"/>
      <c r="W92" s="1662"/>
      <c r="X92" s="1657"/>
      <c r="Y92" s="1657"/>
      <c r="Z92" s="1662"/>
      <c r="AA92" s="1657"/>
      <c r="AB92" s="1709"/>
      <c r="AC92" s="1181"/>
      <c r="AD92" s="943"/>
      <c r="AE92" s="348"/>
      <c r="AF92" s="336"/>
      <c r="AG92" s="345"/>
      <c r="AH92" s="345"/>
      <c r="AI92" s="345"/>
      <c r="AJ92" s="345"/>
      <c r="AK92" s="345"/>
      <c r="AL92" s="345"/>
      <c r="AM92" s="345"/>
      <c r="AN92" s="345"/>
      <c r="AO92" s="345"/>
      <c r="AP92" s="345"/>
      <c r="AQ92" s="345"/>
      <c r="AR92" s="345"/>
      <c r="AS92" s="345"/>
      <c r="AT92" s="345"/>
      <c r="AU92" s="345"/>
      <c r="AV92" s="345"/>
      <c r="AW92" s="345"/>
      <c r="AX92" s="345"/>
      <c r="AY92" s="345"/>
      <c r="AZ92" s="345"/>
      <c r="BA92" s="345"/>
      <c r="BB92" s="345"/>
      <c r="BC92" s="345"/>
      <c r="BD92" s="345"/>
      <c r="BE92" s="345"/>
      <c r="BF92" s="345"/>
      <c r="BG92" s="345"/>
      <c r="BH92" s="345"/>
      <c r="BI92" s="345"/>
      <c r="BJ92" s="345"/>
    </row>
    <row r="93" spans="1:62" s="325" customFormat="1" ht="19.5" customHeight="1">
      <c r="A93" s="1639"/>
      <c r="B93" s="1012" t="str">
        <f ca="1">'Linac 1'!C$3</f>
        <v>Linac 1</v>
      </c>
      <c r="C93" s="1687" t="s">
        <v>334</v>
      </c>
      <c r="D93" s="1770">
        <v>1</v>
      </c>
      <c r="E93" s="1860">
        <v>1</v>
      </c>
      <c r="F93" s="1628"/>
      <c r="G93" s="1628"/>
      <c r="H93" s="1628"/>
      <c r="I93" s="1628"/>
      <c r="J93" s="1766"/>
      <c r="K93" s="1766"/>
      <c r="L93" s="1769"/>
      <c r="M93" s="1714">
        <f>IF($G91=0,0,IF($F91="recht",$G91/$C$24,($G91-0.301*$C$24)/$C$24))+IF($H91=0,0,IF($F91="recht",$H91/$C$25,($H91-0.301*$C$25)/$C$25))+$I91/$C$26</f>
        <v>7.3529411764705879</v>
      </c>
      <c r="N93" s="1661">
        <f>10^(-M93)</f>
        <v>4.4366873309786093E-8</v>
      </c>
      <c r="O93" s="1658">
        <f>($C$7*$C$8*$C$11*($C$12+$C$13*$C$14)*$E93/$D93/$D93*N93*1000000)</f>
        <v>2.6620123985871658E-2</v>
      </c>
      <c r="P93" s="1658">
        <f>IF($G91=0,0,IF($F91="recht",$G91/$D$24,($G91-0.301*$D$24)/$D$24))+IF($H91=0,0,IF($F91="recht",$H91/$D$25,($H91-0.301*$D$25)/$D$25))+$I91/$D$26</f>
        <v>6.5789473684210522</v>
      </c>
      <c r="Q93" s="1661">
        <f>10^(-P93)</f>
        <v>2.636650898730358E-7</v>
      </c>
      <c r="R93" s="1658">
        <f>($C$7*$C$8*$D$11*($D$12+$D$13*$D$14)*$E93/$D93/$D93*Q93*1000000)</f>
        <v>0.1581990539238215</v>
      </c>
      <c r="S93" s="1658">
        <f>IF($G91=0,0,IF($F91="recht",$G91/$E$24,($G91-0.301*$E$24)/$E$24))+IF($H91=0,0,IF($F91="recht",$H91/$E$25,($H91-0.301*$E$25)/$E$25))+$I91/$E$26</f>
        <v>6.5616797900262469</v>
      </c>
      <c r="T93" s="1661">
        <f>10^(-S93)</f>
        <v>2.7435963093132793E-7</v>
      </c>
      <c r="U93" s="1658">
        <f>($C$7*$C$8*$E$11*($E$12+$E$13*$E$14)*$E93/$D93/$D93*T93*1000000)</f>
        <v>0.16461577855879678</v>
      </c>
      <c r="V93" s="1658">
        <f>IF($G91=0,0,IF($F91="recht",$G91/$F$24,($G91-0.301*$F$24)/$F$24))+IF($H91=0,0,IF($F91="recht",$H91/$F$25,($H91-0.301*$F$25)/$F$25))+$I91/$F$26</f>
        <v>8.1967213114754092</v>
      </c>
      <c r="W93" s="1661">
        <f>10^(-V93)</f>
        <v>6.3573875711648393E-9</v>
      </c>
      <c r="X93" s="1658">
        <f>($C$7*$C$8*$F$11*($F$12+$F$13*$F$14)*$E93/$D93/$D93*W93*1000000)</f>
        <v>2.1615117741960455E-3</v>
      </c>
      <c r="Y93" s="1658">
        <f>IF($G91=0,0,IF($F91="recht",$G91/$G$24,($G91-0.301*$G$24)/$G$24))+IF($H91=0,0,IF($F91="recht",$H91/$G$25,($H91-0.301*$G$25)/$G$25))+$I91/$G$26</f>
        <v>7.0224719101123592</v>
      </c>
      <c r="Z93" s="1661">
        <f>10^(-Y93)</f>
        <v>9.4957241494880226E-8</v>
      </c>
      <c r="AA93" s="1658">
        <f>($C$7*$C$8*$G$11*($G$12+$G$13*$G$14)*$E93/$D93/$D93*Z93*1000000)</f>
        <v>2.1840165543822451E-2</v>
      </c>
      <c r="AB93" s="1716">
        <f>SUM(O93,R93,U93,X93,AA93)</f>
        <v>0.37343663378650843</v>
      </c>
      <c r="AC93" s="1181"/>
      <c r="AD93" s="944"/>
      <c r="AE93" s="348"/>
      <c r="AF93" s="336"/>
      <c r="AG93" s="345"/>
      <c r="AH93" s="345"/>
      <c r="AI93" s="345"/>
      <c r="AJ93" s="345"/>
      <c r="AK93" s="345"/>
      <c r="AL93" s="345"/>
      <c r="AM93" s="345"/>
      <c r="AN93" s="345"/>
      <c r="AO93" s="345"/>
      <c r="AP93" s="345"/>
      <c r="AQ93" s="345"/>
      <c r="AR93" s="345"/>
      <c r="AS93" s="345"/>
      <c r="AT93" s="345"/>
      <c r="AU93" s="345"/>
      <c r="AV93" s="345"/>
      <c r="AW93" s="345"/>
      <c r="AX93" s="345"/>
      <c r="AY93" s="345"/>
      <c r="AZ93" s="345"/>
      <c r="BA93" s="345"/>
      <c r="BB93" s="345"/>
      <c r="BC93" s="345"/>
      <c r="BD93" s="345"/>
      <c r="BE93" s="345"/>
      <c r="BF93" s="345"/>
      <c r="BG93" s="345"/>
      <c r="BH93" s="345"/>
      <c r="BI93" s="345"/>
      <c r="BJ93" s="345"/>
    </row>
    <row r="94" spans="1:62" s="325" customFormat="1" ht="19.5" customHeight="1" thickBot="1">
      <c r="A94" s="1640"/>
      <c r="B94" s="1012"/>
      <c r="C94" s="1688"/>
      <c r="D94" s="1629"/>
      <c r="E94" s="1861"/>
      <c r="F94" s="1629"/>
      <c r="G94" s="1629"/>
      <c r="H94" s="1629"/>
      <c r="I94" s="1629"/>
      <c r="J94" s="1767"/>
      <c r="K94" s="1767"/>
      <c r="L94" s="1769"/>
      <c r="M94" s="1715"/>
      <c r="N94" s="1668"/>
      <c r="O94" s="1660"/>
      <c r="P94" s="1660"/>
      <c r="Q94" s="1668"/>
      <c r="R94" s="1660"/>
      <c r="S94" s="1660"/>
      <c r="T94" s="1668"/>
      <c r="U94" s="1660"/>
      <c r="V94" s="1660"/>
      <c r="W94" s="1668"/>
      <c r="X94" s="1660"/>
      <c r="Y94" s="1660"/>
      <c r="Z94" s="1668"/>
      <c r="AA94" s="1660"/>
      <c r="AB94" s="1717"/>
      <c r="AC94" s="1181"/>
      <c r="AD94" s="944"/>
      <c r="AE94" s="348"/>
      <c r="AF94" s="336"/>
      <c r="AG94" s="345"/>
      <c r="AH94" s="345"/>
      <c r="AI94" s="345"/>
      <c r="AJ94" s="345"/>
      <c r="AK94" s="345"/>
      <c r="AL94" s="345"/>
      <c r="AM94" s="345"/>
      <c r="AN94" s="345"/>
      <c r="AO94" s="345"/>
      <c r="AP94" s="345"/>
      <c r="AQ94" s="345"/>
      <c r="AR94" s="345"/>
      <c r="AS94" s="345"/>
      <c r="AT94" s="345"/>
      <c r="AU94" s="345"/>
      <c r="AV94" s="345"/>
      <c r="AW94" s="345"/>
      <c r="AX94" s="345"/>
      <c r="AY94" s="345"/>
      <c r="AZ94" s="345"/>
      <c r="BA94" s="345"/>
      <c r="BB94" s="345"/>
      <c r="BC94" s="345"/>
      <c r="BD94" s="345"/>
      <c r="BE94" s="345"/>
      <c r="BF94" s="345"/>
      <c r="BG94" s="345"/>
      <c r="BH94" s="345"/>
      <c r="BI94" s="345"/>
      <c r="BJ94" s="345"/>
    </row>
    <row r="95" spans="1:62" s="325" customFormat="1" ht="19.5" customHeight="1">
      <c r="A95" s="1638" t="str">
        <f ca="1">'Linac 2'!A$95</f>
        <v>L2</v>
      </c>
      <c r="B95" s="1011"/>
      <c r="C95" s="1623" t="s">
        <v>333</v>
      </c>
      <c r="D95" s="1627">
        <v>1</v>
      </c>
      <c r="E95" s="1627">
        <v>0</v>
      </c>
      <c r="F95" s="1627" t="s">
        <v>12</v>
      </c>
      <c r="G95" s="1627">
        <v>250</v>
      </c>
      <c r="H95" s="1627">
        <v>0</v>
      </c>
      <c r="I95" s="1627">
        <v>0</v>
      </c>
      <c r="J95" s="1765"/>
      <c r="K95" s="1765"/>
      <c r="L95" s="1768"/>
      <c r="M95" s="1656">
        <f>IF($G95=0,0,IF($F95="recht",1+($G95-$C$17)/$C$18,1+($G95-$C$17-0.301*$C$18)/$C$18))+IF($H95=0,0,IF($F95="recht",$H95/$C$19,($H95-0.301*$C$19)/$C$19))+$I95/$C$20</f>
        <v>7.4545454545454541</v>
      </c>
      <c r="N95" s="1663">
        <f>10^(-M95)</f>
        <v>3.5111917342151263E-8</v>
      </c>
      <c r="O95" s="1656">
        <f>($C$7*$C$11*$E95/$D95/$D95*N95*1000000)</f>
        <v>0</v>
      </c>
      <c r="P95" s="1656">
        <f>IF($G$99=0,0,IF($F95="recht",1+($G95-$D$17)/$D$18,1+($G95-$D$17-0.301*$D$18)/$D$18))+IF($H95=0,0,IF($F95="recht",$H95/$D$19,($H95-0.301*$D$19)/$D$19))+$I95/$D$20</f>
        <v>6.6486486486486482</v>
      </c>
      <c r="Q95" s="1663">
        <f>10^(-P95)</f>
        <v>2.2456979955397711E-7</v>
      </c>
      <c r="R95" s="1656">
        <f>($C$7*$D$11*$E95/$D95/$D95*Q95*1000000)</f>
        <v>0</v>
      </c>
      <c r="S95" s="1656">
        <f>IF($G95=0,0,IF($F95="recht",1+($G95-$E$17)/$E$18,1+($G95-$E$17-0.301*$E$18)/$E$18))+IF($H95=0,0,IF($F95="recht",$H95/$E$19,($H95-0.301*$E$19)/$E$19))+$I95/$E$20</f>
        <v>6.024390243902439</v>
      </c>
      <c r="T95" s="1663">
        <f>10^(-S95)</f>
        <v>9.4538728313079291E-7</v>
      </c>
      <c r="U95" s="1656">
        <f>($C$7*$E$11*$E95/$D95/$D95*T95*1000000)</f>
        <v>0</v>
      </c>
      <c r="V95" s="1656">
        <f>IF($G95=0,0,IF($F95="recht",1+($G95-$F$17)/$F$18,1+($G95-$F$17-0.301*$F$18)/$F$18))+IF($H95=0,0,IF($F95="recht",$H95/$F$19,($H95-0.301*$F$19)/$F$19))+$I95/$F$20</f>
        <v>9.1481481481481488</v>
      </c>
      <c r="W95" s="1661">
        <f>10^(-V95)</f>
        <v>7.1097094323124171E-10</v>
      </c>
      <c r="X95" s="1658">
        <f>($C$7*$F$11*$E95/$D95/$D95*W95*1000000)</f>
        <v>0</v>
      </c>
      <c r="Y95" s="1656">
        <f>IF($G95=0,0,IF($F95="recht",1+($G95-$G$17)/$G$18,1+($G95-$G$17-0.301*$G$18)/$G$18))+IF($H95=0,0,IF($F95="recht",$H95/$G$19,($H95-0.301*$G$19)/$G$19))+$I95/$G$20</f>
        <v>6.9444444444444446</v>
      </c>
      <c r="Z95" s="1661">
        <f>10^(-Y95)</f>
        <v>1.136463666385722E-7</v>
      </c>
      <c r="AA95" s="1658">
        <f>($C$7*$G$11*$E95/$D95/$D95*Z95*1000000)</f>
        <v>0</v>
      </c>
      <c r="AB95" s="1708">
        <f>SUM(O95,R95,U95,X95,AA95)</f>
        <v>0</v>
      </c>
      <c r="AC95" s="1180">
        <f>SUM(AB95:AB98)*$D$86/2400/1000</f>
        <v>7.7799298705522589E-7</v>
      </c>
      <c r="AD95" s="942">
        <f>AC95*$D$87</f>
        <v>3.8899649352761298E-6</v>
      </c>
      <c r="AE95" s="1233"/>
      <c r="AF95" s="336"/>
      <c r="AG95" s="345"/>
      <c r="AH95" s="345"/>
      <c r="AI95" s="345"/>
      <c r="AJ95" s="345"/>
      <c r="AK95" s="345"/>
      <c r="AL95" s="345"/>
      <c r="AM95" s="345"/>
      <c r="AN95" s="345"/>
      <c r="AO95" s="345"/>
      <c r="AP95" s="345"/>
      <c r="AQ95" s="345"/>
      <c r="AR95" s="345"/>
      <c r="AS95" s="345"/>
      <c r="AT95" s="345"/>
      <c r="AU95" s="345"/>
      <c r="AV95" s="345"/>
      <c r="AW95" s="345"/>
      <c r="AX95" s="345"/>
      <c r="AY95" s="345"/>
      <c r="AZ95" s="345"/>
      <c r="BA95" s="345"/>
      <c r="BB95" s="345"/>
      <c r="BC95" s="345"/>
      <c r="BD95" s="345"/>
      <c r="BE95" s="345"/>
      <c r="BF95" s="345"/>
      <c r="BG95" s="345"/>
      <c r="BH95" s="345"/>
      <c r="BI95" s="345"/>
      <c r="BJ95" s="345"/>
    </row>
    <row r="96" spans="1:62" s="325" customFormat="1" ht="19.5" customHeight="1">
      <c r="A96" s="1639"/>
      <c r="B96" s="1010" t="s">
        <v>168</v>
      </c>
      <c r="C96" s="1624"/>
      <c r="D96" s="1720"/>
      <c r="E96" s="1720"/>
      <c r="F96" s="1628"/>
      <c r="G96" s="1628"/>
      <c r="H96" s="1628"/>
      <c r="I96" s="1628"/>
      <c r="J96" s="1766"/>
      <c r="K96" s="1766"/>
      <c r="L96" s="1769"/>
      <c r="M96" s="1659"/>
      <c r="N96" s="1662"/>
      <c r="O96" s="1657"/>
      <c r="P96" s="1657"/>
      <c r="Q96" s="1662"/>
      <c r="R96" s="1657"/>
      <c r="S96" s="1657"/>
      <c r="T96" s="1662"/>
      <c r="U96" s="1657"/>
      <c r="V96" s="1657"/>
      <c r="W96" s="1662"/>
      <c r="X96" s="1657"/>
      <c r="Y96" s="1657"/>
      <c r="Z96" s="1662"/>
      <c r="AA96" s="1657"/>
      <c r="AB96" s="1709"/>
      <c r="AC96" s="1181"/>
      <c r="AD96" s="943"/>
      <c r="AE96" s="348"/>
      <c r="AF96" s="336"/>
      <c r="AG96" s="345"/>
      <c r="AH96" s="345"/>
      <c r="AI96" s="345"/>
      <c r="AJ96" s="345"/>
      <c r="AK96" s="345"/>
      <c r="AL96" s="345"/>
      <c r="AM96" s="345"/>
      <c r="AN96" s="345"/>
      <c r="AO96" s="345"/>
      <c r="AP96" s="345"/>
      <c r="AQ96" s="345"/>
      <c r="AR96" s="345"/>
      <c r="AS96" s="345"/>
      <c r="AT96" s="345"/>
      <c r="AU96" s="345"/>
      <c r="AV96" s="345"/>
      <c r="AW96" s="345"/>
      <c r="AX96" s="345"/>
      <c r="AY96" s="345"/>
      <c r="AZ96" s="345"/>
      <c r="BA96" s="345"/>
      <c r="BB96" s="345"/>
      <c r="BC96" s="345"/>
      <c r="BD96" s="345"/>
      <c r="BE96" s="345"/>
      <c r="BF96" s="345"/>
      <c r="BG96" s="345"/>
      <c r="BH96" s="345"/>
      <c r="BI96" s="345"/>
      <c r="BJ96" s="345"/>
    </row>
    <row r="97" spans="1:62" s="325" customFormat="1" ht="19.5" customHeight="1">
      <c r="A97" s="1639"/>
      <c r="B97" s="1012" t="str">
        <f ca="1">'Linac 2'!C$3</f>
        <v>Linac 2</v>
      </c>
      <c r="C97" s="1687" t="s">
        <v>334</v>
      </c>
      <c r="D97" s="1770">
        <v>1</v>
      </c>
      <c r="E97" s="1860">
        <v>1</v>
      </c>
      <c r="F97" s="1628"/>
      <c r="G97" s="1628"/>
      <c r="H97" s="1628"/>
      <c r="I97" s="1628"/>
      <c r="J97" s="1766"/>
      <c r="K97" s="1766"/>
      <c r="L97" s="1769"/>
      <c r="M97" s="1714">
        <f>IF($G95=0,0,IF($F95="recht",$G95/$C$24,($G95-0.301*$C$24)/$C$24))+IF($H95=0,0,IF($F95="recht",$H95/$C$25,($H95-0.301*$C$25)/$C$25))+$I95/$C$26</f>
        <v>7.3529411764705879</v>
      </c>
      <c r="N97" s="1661">
        <f>10^(-M97)</f>
        <v>4.4366873309786093E-8</v>
      </c>
      <c r="O97" s="1658">
        <f>($C$7*$C$8*$C$11*($C$12+$C$13*$C$14)*$E97/$D97/$D97*N97*1000000)</f>
        <v>2.6620123985871658E-2</v>
      </c>
      <c r="P97" s="1658">
        <f>IF($G95=0,0,IF($F95="recht",$G95/$D$24,($G95-0.301*$D$24)/$D$24))+IF($H95=0,0,IF($F95="recht",$H95/$D$25,($H95-0.301*$D$25)/$D$25))+$I95/$D$26</f>
        <v>6.5789473684210522</v>
      </c>
      <c r="Q97" s="1661">
        <f>10^(-P97)</f>
        <v>2.636650898730358E-7</v>
      </c>
      <c r="R97" s="1658">
        <f>($C$7*$C$8*$D$11*($D$12+$D$13*$D$14)*$E97/$D97/$D97*Q97*1000000)</f>
        <v>0.1581990539238215</v>
      </c>
      <c r="S97" s="1658">
        <f>IF($G95=0,0,IF($F95="recht",$G95/$E$24,($G95-0.301*$E$24)/$E$24))+IF($H95=0,0,IF($F95="recht",$H95/$E$25,($H95-0.301*$E$25)/$E$25))+$I95/$E$26</f>
        <v>6.5616797900262469</v>
      </c>
      <c r="T97" s="1661">
        <f>10^(-S97)</f>
        <v>2.7435963093132793E-7</v>
      </c>
      <c r="U97" s="1658">
        <f>($C$7*$C$8*$E$11*($E$12+$E$13*$E$14)*$E97/$D97/$D97*T97*1000000)</f>
        <v>0.16461577855879678</v>
      </c>
      <c r="V97" s="1658">
        <f>IF($G95=0,0,IF($F95="recht",$G95/$F$24,($G95-0.301*$F$24)/$F$24))+IF($H95=0,0,IF($F95="recht",$H95/$F$25,($H95-0.301*$F$25)/$F$25))+$I95/$F$26</f>
        <v>8.1967213114754092</v>
      </c>
      <c r="W97" s="1661">
        <f>10^(-V97)</f>
        <v>6.3573875711648393E-9</v>
      </c>
      <c r="X97" s="1658">
        <f>($C$7*$C$8*$F$11*($F$12+$F$13*$F$14)*$E97/$D97/$D97*W97*1000000)</f>
        <v>2.1615117741960455E-3</v>
      </c>
      <c r="Y97" s="1658">
        <f>IF($G95=0,0,IF($F95="recht",$G95/$G$24,($G95-0.301*$G$24)/$G$24))+IF($H95=0,0,IF($F95="recht",$H95/$G$25,($H95-0.301*$G$25)/$G$25))+$I95/$G$26</f>
        <v>7.0224719101123592</v>
      </c>
      <c r="Z97" s="1661">
        <f>10^(-Y97)</f>
        <v>9.4957241494880226E-8</v>
      </c>
      <c r="AA97" s="1658">
        <f>($C$7*$C$8*$G$11*($G$12+$G$13*$G$14)*$E97/$D97/$D97*Z97*1000000)</f>
        <v>2.1840165543822451E-2</v>
      </c>
      <c r="AB97" s="1716">
        <f>SUM(O97,R97,U97,X97,AA97)</f>
        <v>0.37343663378650843</v>
      </c>
      <c r="AC97" s="1181"/>
      <c r="AD97" s="944"/>
      <c r="AE97" s="348"/>
      <c r="AF97" s="336"/>
      <c r="AG97" s="345"/>
      <c r="AH97" s="345"/>
      <c r="AI97" s="345"/>
      <c r="AJ97" s="345"/>
      <c r="AK97" s="345"/>
      <c r="AL97" s="345"/>
      <c r="AM97" s="345"/>
      <c r="AN97" s="345"/>
      <c r="AO97" s="345"/>
      <c r="AP97" s="345"/>
      <c r="AQ97" s="345"/>
      <c r="AR97" s="345"/>
      <c r="AS97" s="345"/>
      <c r="AT97" s="345"/>
      <c r="AU97" s="345"/>
      <c r="AV97" s="345"/>
      <c r="AW97" s="345"/>
      <c r="AX97" s="345"/>
      <c r="AY97" s="345"/>
      <c r="AZ97" s="345"/>
      <c r="BA97" s="345"/>
      <c r="BB97" s="345"/>
      <c r="BC97" s="345"/>
      <c r="BD97" s="345"/>
      <c r="BE97" s="345"/>
      <c r="BF97" s="345"/>
      <c r="BG97" s="345"/>
      <c r="BH97" s="345"/>
      <c r="BI97" s="345"/>
      <c r="BJ97" s="345"/>
    </row>
    <row r="98" spans="1:62" s="325" customFormat="1" ht="19.5" customHeight="1" thickBot="1">
      <c r="A98" s="1640"/>
      <c r="B98" s="1012"/>
      <c r="C98" s="1688"/>
      <c r="D98" s="1629"/>
      <c r="E98" s="1861"/>
      <c r="F98" s="1629"/>
      <c r="G98" s="1629"/>
      <c r="H98" s="1629"/>
      <c r="I98" s="1629"/>
      <c r="J98" s="1767"/>
      <c r="K98" s="1767"/>
      <c r="L98" s="1769"/>
      <c r="M98" s="1715"/>
      <c r="N98" s="1668"/>
      <c r="O98" s="1660"/>
      <c r="P98" s="1660"/>
      <c r="Q98" s="1668"/>
      <c r="R98" s="1660"/>
      <c r="S98" s="1660"/>
      <c r="T98" s="1668"/>
      <c r="U98" s="1660"/>
      <c r="V98" s="1660"/>
      <c r="W98" s="1668"/>
      <c r="X98" s="1660"/>
      <c r="Y98" s="1660"/>
      <c r="Z98" s="1668"/>
      <c r="AA98" s="1660"/>
      <c r="AB98" s="1750"/>
      <c r="AC98" s="1181"/>
      <c r="AD98" s="944"/>
      <c r="AE98" s="348"/>
      <c r="AF98" s="336"/>
      <c r="AG98" s="345"/>
      <c r="AH98" s="345"/>
      <c r="AI98" s="345"/>
      <c r="AJ98" s="345"/>
      <c r="AK98" s="345"/>
      <c r="AL98" s="345"/>
      <c r="AM98" s="345"/>
      <c r="AN98" s="345"/>
      <c r="AO98" s="345"/>
      <c r="AP98" s="345"/>
      <c r="AQ98" s="345"/>
      <c r="AR98" s="345"/>
      <c r="AS98" s="345"/>
      <c r="AT98" s="345"/>
      <c r="AU98" s="345"/>
      <c r="AV98" s="345"/>
      <c r="AW98" s="345"/>
      <c r="AX98" s="345"/>
      <c r="AY98" s="345"/>
      <c r="AZ98" s="345"/>
      <c r="BA98" s="345"/>
      <c r="BB98" s="345"/>
      <c r="BC98" s="345"/>
      <c r="BD98" s="345"/>
      <c r="BE98" s="345"/>
      <c r="BF98" s="345"/>
      <c r="BG98" s="345"/>
      <c r="BH98" s="345"/>
      <c r="BI98" s="345"/>
      <c r="BJ98" s="345"/>
    </row>
    <row r="99" spans="1:62" s="325" customFormat="1" ht="19.5" customHeight="1">
      <c r="A99" s="1120" t="s">
        <v>304</v>
      </c>
      <c r="B99" s="1011" t="s">
        <v>168</v>
      </c>
      <c r="C99" s="1623" t="s">
        <v>333</v>
      </c>
      <c r="D99" s="1718">
        <f>P9</f>
        <v>1</v>
      </c>
      <c r="E99" s="1862">
        <v>0</v>
      </c>
      <c r="F99" s="1862" t="s">
        <v>12</v>
      </c>
      <c r="G99" s="1862">
        <v>250</v>
      </c>
      <c r="H99" s="1862">
        <v>0</v>
      </c>
      <c r="I99" s="1862">
        <v>0</v>
      </c>
      <c r="J99" s="1866">
        <v>0</v>
      </c>
      <c r="K99" s="1866">
        <v>0</v>
      </c>
      <c r="L99" s="1705"/>
      <c r="M99" s="1656">
        <f>IF($G99=0,0,IF($F99="recht",1+($G99-$C$17)/$C$18,1+($G99-$C$17-0.301*$C$18)/$C$18))+IF($H99=0,0,IF($F99="recht",$H99/$C$19,($H99-0.301*$C$19)/$C$19))+$I99/$C$20</f>
        <v>7.4545454545454541</v>
      </c>
      <c r="N99" s="1663">
        <f>10^(-M99)</f>
        <v>3.5111917342151263E-8</v>
      </c>
      <c r="O99" s="1656">
        <f>($C$7*$C$11*$E99/$D99/$D99*N99*1000000)</f>
        <v>0</v>
      </c>
      <c r="P99" s="1656">
        <f>IF($G$99=0,0,IF($F99="recht",1+($G99-$D$17)/$D$18,1+($G99-$D$17-0.301*$D$18)/$D$18))+IF($H99=0,0,IF($F99="recht",$H99/$D$19,($H99-0.301*$D$19)/$D$19))+$I99/$D$20</f>
        <v>6.6486486486486482</v>
      </c>
      <c r="Q99" s="1663">
        <f>10^(-P99)</f>
        <v>2.2456979955397711E-7</v>
      </c>
      <c r="R99" s="1656">
        <f>($C$7*$D$11*$E99/$D99/$D99*Q99*1000000)</f>
        <v>0</v>
      </c>
      <c r="S99" s="1656">
        <f>IF($G99=0,0,IF($F99="recht",1+($G99-$E$17)/$E$18,1+($G99-$E$17-0.301*$E$18)/$E$18))+IF($H99=0,0,IF($F99="recht",$H99/$E$19,($H99-0.301*$E$19)/$E$19))+$I99/$E$20</f>
        <v>6.024390243902439</v>
      </c>
      <c r="T99" s="1663">
        <f>10^(-S99)</f>
        <v>9.4538728313079291E-7</v>
      </c>
      <c r="U99" s="1656">
        <f>($C$7*$E$11*$E99/$D99/$D99*T99*1000000)</f>
        <v>0</v>
      </c>
      <c r="V99" s="1656">
        <f>IF($G99=0,0,IF($F99="recht",1+($G99-$F$17)/$F$18,1+($G99-$F$17-0.301*$F$18)/$F$18))+IF($H99=0,0,IF($F99="recht",$H99/$F$19,($H99-0.301*$F$19)/$F$19))+$I99/$F$20</f>
        <v>9.1481481481481488</v>
      </c>
      <c r="W99" s="1661">
        <f>10^(-V99)</f>
        <v>7.1097094323124171E-10</v>
      </c>
      <c r="X99" s="1658">
        <f>($C$7*$F$11*$E99/$D99/$D99*W99*1000000)</f>
        <v>0</v>
      </c>
      <c r="Y99" s="1656">
        <f>IF($G99=0,0,IF($F99="recht",1+($G99-$G$17)/$G$18,1+($G99-$G$17-0.301*$G$18)/$G$18))+IF($H99=0,0,IF($F99="recht",$H99/$G$19,($H99-0.301*$G$19)/$G$19))+$I99/$G$20</f>
        <v>6.9444444444444446</v>
      </c>
      <c r="Z99" s="1661">
        <f>10^(-Y99)</f>
        <v>1.136463666385722E-7</v>
      </c>
      <c r="AA99" s="1658">
        <f>($C$7*$G$11*$E99/$D99/$D99*Z99*1000000)</f>
        <v>0</v>
      </c>
      <c r="AB99" s="1708">
        <f>SUM(O99,R99,U99,X99,AA99)</f>
        <v>0</v>
      </c>
      <c r="AC99" s="1180">
        <f>SUM(AB99:AB118)*$D$86/2400/1000</f>
        <v>3.4549245040549982E-4</v>
      </c>
      <c r="AD99" s="942">
        <f>AC99*$D$87</f>
        <v>1.7274622520274991E-3</v>
      </c>
      <c r="AE99" s="1233"/>
      <c r="AF99" s="336"/>
      <c r="AG99" s="345"/>
      <c r="AH99" s="345"/>
      <c r="AI99" s="345"/>
      <c r="AJ99" s="345"/>
      <c r="AK99" s="345"/>
    </row>
    <row r="100" spans="1:62" s="325" customFormat="1" ht="19.5" customHeight="1">
      <c r="A100" s="964"/>
      <c r="B100" s="1012" t="str">
        <f>C$3</f>
        <v>Linac 3</v>
      </c>
      <c r="C100" s="1624"/>
      <c r="D100" s="1719"/>
      <c r="E100" s="1863"/>
      <c r="F100" s="1864"/>
      <c r="G100" s="1864"/>
      <c r="H100" s="1864"/>
      <c r="I100" s="1864"/>
      <c r="J100" s="1867"/>
      <c r="K100" s="1867"/>
      <c r="L100" s="1706"/>
      <c r="M100" s="1659"/>
      <c r="N100" s="1662"/>
      <c r="O100" s="1657"/>
      <c r="P100" s="1657"/>
      <c r="Q100" s="1662"/>
      <c r="R100" s="1657"/>
      <c r="S100" s="1657"/>
      <c r="T100" s="1662"/>
      <c r="U100" s="1657"/>
      <c r="V100" s="1657"/>
      <c r="W100" s="1662"/>
      <c r="X100" s="1657"/>
      <c r="Y100" s="1657"/>
      <c r="Z100" s="1662"/>
      <c r="AA100" s="1657"/>
      <c r="AB100" s="1717"/>
      <c r="AC100" s="1182"/>
      <c r="AD100" s="944"/>
      <c r="AE100" s="348"/>
      <c r="AF100" s="336"/>
      <c r="AG100" s="345"/>
      <c r="AH100" s="345"/>
      <c r="AI100" s="345"/>
      <c r="AJ100" s="345"/>
      <c r="AK100" s="345"/>
    </row>
    <row r="101" spans="1:62" s="325" customFormat="1" ht="19.5" customHeight="1">
      <c r="A101" s="1002"/>
      <c r="B101" s="1005"/>
      <c r="C101" s="1687" t="s">
        <v>334</v>
      </c>
      <c r="D101" s="1710">
        <f>P12</f>
        <v>5</v>
      </c>
      <c r="E101" s="1869">
        <v>1</v>
      </c>
      <c r="F101" s="1864"/>
      <c r="G101" s="1864"/>
      <c r="H101" s="1864"/>
      <c r="I101" s="1864"/>
      <c r="J101" s="1867"/>
      <c r="K101" s="1867"/>
      <c r="L101" s="1706"/>
      <c r="M101" s="1714">
        <f>IF($G99=0,0,IF($F99="recht",$G99/$C$24,($G99-0.301*$C$24)/$C$24))+IF($H99=0,0,IF($F99="recht",$H99/$C$25,($H99-0.301*$C$25)/$C$25))+$I99/$C$26+$J99/$C$26+$K99/$C$27</f>
        <v>7.3529411764705879</v>
      </c>
      <c r="N101" s="1661">
        <f>10^(-M101)</f>
        <v>4.4366873309786093E-8</v>
      </c>
      <c r="O101" s="1658">
        <f>($C$7*$C$8*$C$11*($C$12+$C$13*$C$14)*$E101/$D101/$D101*N101*1000000)</f>
        <v>1.0648049594348663E-3</v>
      </c>
      <c r="P101" s="1658">
        <f>IF($G99=0,0,IF($F99="recht",$G99/$D$24,($G99-0.301*$D$24)/$D$24))+IF($H99=0,0,IF($F99="recht",$H99/$D$25,($H99-0.301*$D$25)/$D$25))+$I99/$D$26+$J99/$D$26+$K99/$D$27</f>
        <v>6.5789473684210522</v>
      </c>
      <c r="Q101" s="1661">
        <f>10^(-P101)</f>
        <v>2.636650898730358E-7</v>
      </c>
      <c r="R101" s="1658">
        <f>($C$7*$C$8*$D$11*($D$12+$D$13*$D$14)*$E101/$D101/$D101*Q101*1000000)</f>
        <v>6.3279621569528599E-3</v>
      </c>
      <c r="S101" s="1658">
        <f>IF($G99=0,0,IF($F99="recht",$G99/$E$24,($G99-0.301*$E$24)/$E$24))+IF($H99=0,0,IF($F99="recht",$H99/$E$25,($H99-0.301*$E$25)/$E$25))+$I99/$E$26*1+$J99/$E$26+$K99/$E$27</f>
        <v>6.5616797900262469</v>
      </c>
      <c r="T101" s="1661">
        <f>10^(-S101)</f>
        <v>2.7435963093132793E-7</v>
      </c>
      <c r="U101" s="1658">
        <f>($C$7*$C$8*$E$11*($E$12+$E$13*$E$14)*$E101/$D101/$D101*T101*1000000)</f>
        <v>6.5846311423518713E-3</v>
      </c>
      <c r="V101" s="1658">
        <f>IF($G99=0,0,IF($F99="recht",$G99/$F$24,($G99-0.301*$F$24)/$F$24))+IF($H99=0,0,IF($F99="recht",$H99/$F$25,($H99-0.301*$F$25)/$F$25))+$I99/$F$26+$J99/$F$26+$K99/$F$27</f>
        <v>8.1967213114754092</v>
      </c>
      <c r="W101" s="1661">
        <f>10^(-V101)</f>
        <v>6.3573875711648393E-9</v>
      </c>
      <c r="X101" s="1658">
        <f>($C$7*$C$8*$F$11*($F$12+$F$13*$F$14)*$E101/$D101/$D101*W101*1000000)</f>
        <v>8.6460470967841829E-5</v>
      </c>
      <c r="Y101" s="1658">
        <f>IF($G99=0,0,IF($F99="recht",$G99/$G$24,($G99-0.301*$G$24)/$G$24))+IF($H99=0,0,IF($F99="recht",$H99/$G$25,($H99-0.301*$G$25)/$G$25))+$I99/$G$26+$J99/$G$26+$K99/$G$27</f>
        <v>7.0224719101123592</v>
      </c>
      <c r="Z101" s="1661">
        <f>10^(-Y101)</f>
        <v>9.4957241494880226E-8</v>
      </c>
      <c r="AA101" s="1658">
        <f>($C$7*$C$8*$G$11*($G$12+$G$13*$G$14)*$E101/$D101/$D101*Z101*1000000)</f>
        <v>8.7360662175289805E-4</v>
      </c>
      <c r="AB101" s="1745">
        <f>SUM(O101,R101,U101,X101,AA101)</f>
        <v>1.4937465351460337E-2</v>
      </c>
      <c r="AC101" s="1182"/>
      <c r="AD101" s="944"/>
      <c r="AE101" s="348"/>
      <c r="AF101" s="336"/>
      <c r="AG101" s="345"/>
      <c r="AH101" s="345"/>
      <c r="AI101" s="345"/>
      <c r="AJ101" s="345"/>
      <c r="AK101" s="345"/>
    </row>
    <row r="102" spans="1:62" s="325" customFormat="1" ht="19.5" customHeight="1">
      <c r="A102" s="1002"/>
      <c r="B102" s="1005"/>
      <c r="C102" s="1688"/>
      <c r="D102" s="1711"/>
      <c r="E102" s="1870"/>
      <c r="F102" s="1865"/>
      <c r="G102" s="1865"/>
      <c r="H102" s="1865"/>
      <c r="I102" s="1865"/>
      <c r="J102" s="1868"/>
      <c r="K102" s="1868"/>
      <c r="L102" s="1707"/>
      <c r="M102" s="1715"/>
      <c r="N102" s="1668"/>
      <c r="O102" s="1660"/>
      <c r="P102" s="1660"/>
      <c r="Q102" s="1668"/>
      <c r="R102" s="1660"/>
      <c r="S102" s="1660"/>
      <c r="T102" s="1668"/>
      <c r="U102" s="1660"/>
      <c r="V102" s="1660"/>
      <c r="W102" s="1668"/>
      <c r="X102" s="1660"/>
      <c r="Y102" s="1660"/>
      <c r="Z102" s="1668"/>
      <c r="AA102" s="1660"/>
      <c r="AB102" s="1717"/>
      <c r="AC102" s="1182"/>
      <c r="AD102" s="944"/>
      <c r="AE102" s="348"/>
      <c r="AF102" s="336"/>
      <c r="AG102" s="345"/>
      <c r="AH102" s="345"/>
      <c r="AI102" s="345"/>
      <c r="AJ102" s="345"/>
      <c r="AK102" s="345"/>
    </row>
    <row r="103" spans="1:62" s="325" customFormat="1" ht="19.5" customHeight="1">
      <c r="A103" s="1000"/>
      <c r="B103" s="1008"/>
      <c r="C103" s="1692" t="s">
        <v>322</v>
      </c>
      <c r="D103" s="1694"/>
      <c r="E103" s="1737">
        <v>0</v>
      </c>
      <c r="F103" s="1739" t="s">
        <v>12</v>
      </c>
      <c r="G103" s="1724">
        <v>0</v>
      </c>
      <c r="H103" s="1724">
        <v>0</v>
      </c>
      <c r="I103" s="1702">
        <v>0</v>
      </c>
      <c r="J103" s="1751">
        <v>0</v>
      </c>
      <c r="K103" s="1627">
        <v>0</v>
      </c>
      <c r="L103" s="1731">
        <v>0</v>
      </c>
      <c r="M103" s="1735">
        <f>IF($G103=0,0,IF($F103="recht",1+($G103-$C$17)/$C$18,1+($G103-$C$17-0.301*$C$18)/$C$18))+IF($H103=0,0,IF($F103="recht",$H103/$C$19,($H103-0.301*$C$19)/$C$19))+$I103/$C$20+$J103/$L$52+$K103/$L$53</f>
        <v>0</v>
      </c>
      <c r="N103" s="1663">
        <f>10^(-M103)</f>
        <v>1</v>
      </c>
      <c r="O103" s="1656">
        <f>$C$7*$C$11*$E$103/$P$11/$P$11*$P$23*$O$35/$P$15/$P$15*$P$26*$N$38/$P$18/$P$18*N103*1000000</f>
        <v>0</v>
      </c>
      <c r="P103" s="1656">
        <f>IF($G103=0,0,IF($F103="recht",1+($G103-$D$17)/$D$18,1+($G103-$D$17-0.301*$D$18)/$D$18))+IF($H103=0,0,IF($F103="recht",$H103/$D$19,($H103-0.301*$D$19)/$D$19))+$I103/$D$20+$J103/$L$52+$K103/$L$53</f>
        <v>0</v>
      </c>
      <c r="Q103" s="1663">
        <f>10^(-P103)</f>
        <v>1</v>
      </c>
      <c r="R103" s="1656">
        <f>$C$7*$D$11*$E$103/$P$11/$P$11*$P$23*$P$35/$P$15/$P$15*$P$26*$N$38/$P$18/$P$18*Q103*1000000</f>
        <v>0</v>
      </c>
      <c r="S103" s="1656">
        <f>IF($G103=0,0,IF($F103="recht",1+($G103-$E$17)/$E$18,1+($G103-$E$17-0.301*$E$18)/$E$18))+IF($H103=0,0,IF($F$103="recht",$H103/$E$19,($H103-0.301*$E$19)/$E$19))+$I103/$E$20+$J103/$L$52+$K103/$L$53</f>
        <v>0</v>
      </c>
      <c r="T103" s="1663">
        <f>10^(-S103)</f>
        <v>1</v>
      </c>
      <c r="U103" s="1656">
        <f>$C$7*$E$11*$E$103/$P$11/$P$11*$P$23*$Q$35/$P$15/$P$15*$P$26*$N$38/$P$18/$P$18*T103*1000000</f>
        <v>0</v>
      </c>
      <c r="V103" s="1656">
        <f>IF($G103=0,0,IF($F103="recht",1+($G103-$F$17)/$F$18,1+($G103-$F$17-0.301*$F$18)/$F$18))+IF($H103=0,0,IF($F$103="recht",$H103/$F$19,($H103-0.301*$F$19)/$F$19))+$I103/$F$20+$J103/$L$52+$K103/$L$53</f>
        <v>0</v>
      </c>
      <c r="W103" s="1663">
        <f>10^(-V103)</f>
        <v>1</v>
      </c>
      <c r="X103" s="1656">
        <f>$C$7*$F$11*$E$103/$P$11/$P$11*$P$23*$R$35/$P$15/$P$15*$P$26*$N$38/$P$18/$P$18*W103*1000000</f>
        <v>0</v>
      </c>
      <c r="Y103" s="1656">
        <f>IF($G103=0,0,IF($F103="recht",1+($G103-$G$17)/$G$18,1+($G103-$G$17-0.301*$G$18)/$G$18))+IF($H103=0,0,IF($F$103="recht",$H103/$G$19,($H103-0.301*$G$19)/$G$19))+$I103/$G$20+$J103/$L$52+$K103/$L$53</f>
        <v>0</v>
      </c>
      <c r="Z103" s="1663">
        <f>10^(-Y103)</f>
        <v>1</v>
      </c>
      <c r="AA103" s="1656">
        <f>$C$7*$G$11*$E$103/$P$11/$P$11*$P$23*$S$35/$P$15/$P$15*$P$26*$N$38/$P$18/$P$18*Z103*1000000</f>
        <v>0</v>
      </c>
      <c r="AB103" s="1750">
        <f>SUM(O103,R103,U103,X103,AA103)</f>
        <v>0</v>
      </c>
      <c r="AC103" s="1182"/>
      <c r="AD103" s="944"/>
      <c r="AE103" s="348"/>
      <c r="AF103" s="410"/>
      <c r="AG103" s="336"/>
      <c r="AH103" s="442"/>
      <c r="AI103" s="336"/>
      <c r="AJ103" s="336"/>
      <c r="AK103" s="345"/>
    </row>
    <row r="104" spans="1:62" s="325" customFormat="1" ht="19.5" customHeight="1">
      <c r="A104" s="1000"/>
      <c r="B104" s="1008"/>
      <c r="C104" s="1693"/>
      <c r="D104" s="1734"/>
      <c r="E104" s="1738"/>
      <c r="F104" s="1740"/>
      <c r="G104" s="1725"/>
      <c r="H104" s="1725"/>
      <c r="I104" s="1703"/>
      <c r="J104" s="1752"/>
      <c r="K104" s="1628"/>
      <c r="L104" s="1732"/>
      <c r="M104" s="1736"/>
      <c r="N104" s="1668"/>
      <c r="O104" s="1660"/>
      <c r="P104" s="1660"/>
      <c r="Q104" s="1668"/>
      <c r="R104" s="1660"/>
      <c r="S104" s="1660"/>
      <c r="T104" s="1668"/>
      <c r="U104" s="1660"/>
      <c r="V104" s="1660"/>
      <c r="W104" s="1668"/>
      <c r="X104" s="1660"/>
      <c r="Y104" s="1660"/>
      <c r="Z104" s="1668"/>
      <c r="AA104" s="1660"/>
      <c r="AB104" s="1750"/>
      <c r="AC104" s="1182"/>
      <c r="AD104" s="944"/>
      <c r="AE104" s="348"/>
      <c r="AF104" s="410"/>
      <c r="AG104" s="336"/>
      <c r="AH104" s="442"/>
      <c r="AI104" s="336"/>
      <c r="AJ104" s="336"/>
      <c r="AK104" s="345"/>
    </row>
    <row r="105" spans="1:62" s="325" customFormat="1" ht="19.5" customHeight="1">
      <c r="A105" s="1000"/>
      <c r="B105" s="1008"/>
      <c r="C105" s="1692" t="s">
        <v>323</v>
      </c>
      <c r="D105" s="1694"/>
      <c r="E105" s="1727">
        <v>0</v>
      </c>
      <c r="F105" s="1737" t="s">
        <v>12</v>
      </c>
      <c r="G105" s="1746">
        <v>0</v>
      </c>
      <c r="H105" s="1746">
        <v>0</v>
      </c>
      <c r="I105" s="1748">
        <v>0</v>
      </c>
      <c r="J105" s="1753"/>
      <c r="K105" s="1628"/>
      <c r="L105" s="1732"/>
      <c r="M105" s="1735">
        <f>IF($G105=0,0,IF($F105="recht",$G105/$C$30,($G105-0.301*$C$30)/$C$30))+IF($H105=0,0,IF($F105="recht",$H105/$C$31,($H105-0.301*$C$31)/$C$31))+$I105/$C$32+$J103/$L$52+$K103/$L$53</f>
        <v>0</v>
      </c>
      <c r="N105" s="1663">
        <f>10^(-M105)</f>
        <v>1</v>
      </c>
      <c r="O105" s="1656">
        <f>$C$7*$C$11*$E$105/$P$10/$P$10*$P$22*$O$34/$P$14/$P$14*$P$24*$N$36/$P$16/$P$16*$P$26*$N$38/$P$18/$P$18*N105*1000000</f>
        <v>0</v>
      </c>
      <c r="P105" s="1656">
        <f>IF($G105=0,0,IF($F105="recht",$G105/$C$30,($G105-0.301*$C$30)/$C$30))+IF($H105=0,0,IF(F105="recht",$H105/$C$31,($H105-0.301*$C$31)/$C$31))+$I105/$C$32+$J103/$L$52+$K103/$L$53</f>
        <v>0</v>
      </c>
      <c r="Q105" s="1663">
        <f>10^(-P105)</f>
        <v>1</v>
      </c>
      <c r="R105" s="1656">
        <f>$C$7*$D$11*$E$105/$P$10/$P$10*$P$22*$P$34/$P$14/$P$14*$P$24*$N$36/$P$16/$P$16*$P$26*$N$38/$P$18/$P$18*Q105*1000000</f>
        <v>0</v>
      </c>
      <c r="S105" s="1656">
        <f>IF($G105=0,0,IF($F105="recht",$G105/$C$30,($G105-0.301*$C$30)/$C$30))+IF($H105=0,0,IF($F105="recht",$H$105/$C$31,($H105-0.301*$C$31)/$C$31))+$I105/$C$32+$J103/$L$52+$K103/$L$53</f>
        <v>0</v>
      </c>
      <c r="T105" s="1663">
        <f>10^(-S105)</f>
        <v>1</v>
      </c>
      <c r="U105" s="1656">
        <f>$C$7*$E$11*$E$105/$P$10/$P$10*$P$22*$Q$34/$P$14/$P$14*$P$24*$N$36/$P$16/$P$16*$P$26*$N$38/$P$18/$P$18*T105*1000000</f>
        <v>0</v>
      </c>
      <c r="V105" s="1656">
        <f>IF($G105=0,0,IF($F105="recht",$G105/$C$30,($G105-0.301*$C$30)/$C$30))+IF($H105=0,0,IF($F105="recht",$H$105/$C$31,($H105-0.301*$C$31)/$C$31))+$I105/$C$32+$J103/$L$52+$K103/$L$53</f>
        <v>0</v>
      </c>
      <c r="W105" s="1663">
        <f>10^(-V105)</f>
        <v>1</v>
      </c>
      <c r="X105" s="1656">
        <f>$C$7*$F$11*$E$105/$P$10/$P$10*$P$22*$R$34/$P$14/$P$14*$P$24*$N$36/$P$16/$P$16*$P$26*$N$38/$P$18/$P$18*W105*1000000</f>
        <v>0</v>
      </c>
      <c r="Y105" s="1656">
        <f>IF($F$105="recht",$G105/$C$30,IF($G105=0,"0",($G105-0.301*$C$30)/$C$30))+IF($H105=0,0,IF($F105="recht",$H$105/$C$31,($H105-0.301*$C$31)/$C$31))+$I105/$C$32+$J103/$L$52+$K103/$L$53</f>
        <v>0</v>
      </c>
      <c r="Z105" s="1663">
        <f>10^(-Y105)</f>
        <v>1</v>
      </c>
      <c r="AA105" s="1656">
        <f>$C$7*$G$11*$E$105/$P$10/$P$10*$P$22*$S$34/$P$14/$P$14*$P$24*$N$36/$P$16/$P$16*$P$26*$N$38/$P$18/$P$18*Z105*1000000</f>
        <v>0</v>
      </c>
      <c r="AB105" s="1745">
        <f>SUM(O105,R105,U105,X105,AA105)</f>
        <v>0</v>
      </c>
      <c r="AC105" s="1182"/>
      <c r="AD105" s="944"/>
      <c r="AE105" s="348"/>
      <c r="AF105" s="410"/>
      <c r="AG105" s="336"/>
      <c r="AH105" s="442"/>
      <c r="AI105" s="336"/>
      <c r="AJ105" s="336"/>
      <c r="AK105" s="345"/>
      <c r="AL105" s="345"/>
      <c r="AM105" s="345"/>
      <c r="AN105" s="345"/>
      <c r="AO105" s="345"/>
      <c r="AP105" s="355"/>
      <c r="AQ105" s="355"/>
      <c r="AR105" s="355"/>
      <c r="AS105" s="382"/>
      <c r="AT105" s="382"/>
      <c r="AU105" s="382"/>
    </row>
    <row r="106" spans="1:62" s="325" customFormat="1" ht="19.5" customHeight="1">
      <c r="A106" s="1000"/>
      <c r="B106" s="1008"/>
      <c r="C106" s="1682"/>
      <c r="D106" s="1734"/>
      <c r="E106" s="1728"/>
      <c r="F106" s="1738"/>
      <c r="G106" s="1747"/>
      <c r="H106" s="1747"/>
      <c r="I106" s="1749"/>
      <c r="J106" s="1753"/>
      <c r="K106" s="1628"/>
      <c r="L106" s="1732"/>
      <c r="M106" s="1736"/>
      <c r="N106" s="1668"/>
      <c r="O106" s="1660"/>
      <c r="P106" s="1660"/>
      <c r="Q106" s="1668"/>
      <c r="R106" s="1660"/>
      <c r="S106" s="1660"/>
      <c r="T106" s="1668"/>
      <c r="U106" s="1660"/>
      <c r="V106" s="1660"/>
      <c r="W106" s="1668"/>
      <c r="X106" s="1660"/>
      <c r="Y106" s="1660"/>
      <c r="Z106" s="1668"/>
      <c r="AA106" s="1660"/>
      <c r="AB106" s="1717"/>
      <c r="AC106" s="1182"/>
      <c r="AD106" s="944"/>
      <c r="AE106" s="348"/>
      <c r="AF106" s="311"/>
      <c r="AG106" s="336"/>
      <c r="AH106" s="442"/>
      <c r="AI106" s="336"/>
      <c r="AJ106" s="336"/>
      <c r="AK106" s="345"/>
      <c r="AL106" s="345"/>
      <c r="AM106" s="345"/>
      <c r="AN106" s="345"/>
      <c r="AO106" s="345"/>
      <c r="AP106" s="355"/>
      <c r="AQ106" s="355"/>
      <c r="AR106" s="355"/>
      <c r="AS106" s="382"/>
      <c r="AT106" s="382"/>
      <c r="AU106" s="382"/>
    </row>
    <row r="107" spans="1:62" s="325" customFormat="1" ht="19.5" customHeight="1">
      <c r="A107" s="1003"/>
      <c r="B107" s="1022"/>
      <c r="C107" s="1692" t="s">
        <v>321</v>
      </c>
      <c r="D107" s="1633"/>
      <c r="E107" s="1871">
        <v>1</v>
      </c>
      <c r="F107" s="1737" t="s">
        <v>12</v>
      </c>
      <c r="G107" s="1746">
        <v>0</v>
      </c>
      <c r="H107" s="1746">
        <v>0</v>
      </c>
      <c r="I107" s="1748">
        <v>0</v>
      </c>
      <c r="J107" s="1753"/>
      <c r="K107" s="1628"/>
      <c r="L107" s="1732"/>
      <c r="M107" s="1656">
        <f>IF($G107=0,0,IF($F107="recht",$G107/$C$24,($G107-0.301*$C$24)/$C$24))+IF($H107=0,0,IF($F107="recht",$H107/$C$25,($H107-0.301*$C$25)/$C$25))+$I107/$C$26+$J103/$L$52+$K103/$L$53</f>
        <v>0</v>
      </c>
      <c r="N107" s="1663">
        <f>10^(-M107)</f>
        <v>1</v>
      </c>
      <c r="O107" s="1656">
        <f>$C$7*$C$8*$C$11*($C$12+$C$13*$C$14)*$E$107/$P$13/$P$13*$P$25*$O$37/$P$17/$P$17*$P$26*$N$38/$P$18/$P$18*N107*1000000</f>
        <v>21.000000000000007</v>
      </c>
      <c r="P107" s="1656">
        <f>IF($G107=0,0,IF($F107="recht",$G107/$D$24,($G107-0.301*$D$24)/$D$24))+IF($H107=0,0,IF($F107="recht",$H107/$D$25,($H107-0.301*$D$25)/$D$25))+$I107/$D$26+$J103/$L$52+$K103/$L$53</f>
        <v>0</v>
      </c>
      <c r="Q107" s="1663">
        <f>10^(-P107)</f>
        <v>1</v>
      </c>
      <c r="R107" s="1656">
        <f>$C$7*$C$8*$D$11*($D$12+$D$13*$D$14)*$E$107/$P$13/$P$13*$P$25*$P$37/$P$17/$P$17*$P$26*$N$38/$P$18/$P$18*Q107*1000000</f>
        <v>27.000000000000007</v>
      </c>
      <c r="S107" s="1656">
        <f>IF($G107=0,0,IF($F107="recht",$G107/$E$24,($G107-0.301*$E$24)/$E$24))+IF($H107=0,0,IF($F107="recht",$H107/$E$25,($H107-0.301*$E$25)/$E$25))+$I107/$E$26+$J103/$L$52+$K103/$L$53</f>
        <v>0</v>
      </c>
      <c r="T107" s="1663">
        <f>10^(-S107)</f>
        <v>1</v>
      </c>
      <c r="U107" s="1656">
        <f>$C$7*$C$8*$E$11*($E$12+$E$13*$E$14)*$E$107/$P$13/$P$13*$P$25*$Q$37/$P$17/$P$17*$P$26*$N$38/$P$18/$P$18*T107*1000000</f>
        <v>39.000000000000007</v>
      </c>
      <c r="V107" s="1656">
        <f>IF($G107=0,0,IF($F107="recht",$G107/$F$24,($G107-0.301*$F$24)/$F$24))+IF($H107=0,0,IF($F107="recht",$H107/$F$25,($H107-0.301*$F$25)/$F$25))+$I107/$F$26+$J103/$L$52+$K103/$L$53</f>
        <v>0</v>
      </c>
      <c r="W107" s="1663">
        <f>10^(-V107)</f>
        <v>1</v>
      </c>
      <c r="X107" s="1656">
        <f>$C$7*$C$8*$F$11*($F$12+$F$13*$F$14)*$E$107/$P$13/$P$13*$P$25*$R$37/$P$17/$P$17*$P$26*$N$38/$P$18/$P$18*W107*1000000</f>
        <v>10.200000000000001</v>
      </c>
      <c r="Y107" s="1656">
        <f>IF($G107=0,0,IF($F107="recht",$G107/$G$24,($G107-0.301*$G$24)/$G$24))+IF($H107=0,0,IF($F107="recht",$H107/$G$25,($H107-0.301*$G$25)/$G$25))+$I107/$G$26+$J103/$L$52+$K103/$L$53</f>
        <v>0</v>
      </c>
      <c r="Z107" s="1663">
        <f>10^(-Y107)</f>
        <v>1</v>
      </c>
      <c r="AA107" s="1656">
        <f>$C$7*$C$8*$G$11*($G$12+$G$13*$G$14)*$E$107/$P$13/$P$13*$P$25*$S$37/$P$17/$P$17*$P$26*$N$38/$P$18/$P$18*Z107*1000000</f>
        <v>6.8539999999999992</v>
      </c>
      <c r="AB107" s="1745">
        <f>SUM(O107,R107,U107,X107,AA107)</f>
        <v>104.05400000000003</v>
      </c>
      <c r="AC107" s="1182"/>
      <c r="AD107" s="944"/>
      <c r="AE107" s="348"/>
      <c r="AF107" s="410"/>
      <c r="AG107" s="336"/>
      <c r="AH107" s="442"/>
      <c r="AI107" s="345"/>
      <c r="AJ107" s="345"/>
      <c r="AK107" s="345"/>
    </row>
    <row r="108" spans="1:62" s="325" customFormat="1" ht="19.5" customHeight="1">
      <c r="A108" s="1003"/>
      <c r="B108" s="1022"/>
      <c r="C108" s="1693"/>
      <c r="D108" s="1634"/>
      <c r="E108" s="1872"/>
      <c r="F108" s="1835"/>
      <c r="G108" s="1836"/>
      <c r="H108" s="1836"/>
      <c r="I108" s="1837"/>
      <c r="J108" s="1753"/>
      <c r="K108" s="1628"/>
      <c r="L108" s="1732"/>
      <c r="M108" s="1659"/>
      <c r="N108" s="1699"/>
      <c r="O108" s="1659"/>
      <c r="P108" s="1659"/>
      <c r="Q108" s="1699"/>
      <c r="R108" s="1659"/>
      <c r="S108" s="1659"/>
      <c r="T108" s="1699"/>
      <c r="U108" s="1659"/>
      <c r="V108" s="1659"/>
      <c r="W108" s="1699"/>
      <c r="X108" s="1659"/>
      <c r="Y108" s="1659"/>
      <c r="Z108" s="1699"/>
      <c r="AA108" s="1659"/>
      <c r="AB108" s="1717"/>
      <c r="AC108" s="1182"/>
      <c r="AD108" s="944"/>
      <c r="AE108" s="348"/>
      <c r="AF108" s="410"/>
      <c r="AG108" s="336"/>
      <c r="AH108" s="442"/>
      <c r="AI108" s="345"/>
      <c r="AJ108" s="345"/>
      <c r="AK108" s="345"/>
    </row>
    <row r="109" spans="1:62" s="325" customFormat="1" ht="19.5" customHeight="1">
      <c r="A109" s="1000"/>
      <c r="B109" s="1008"/>
      <c r="C109" s="1623" t="s">
        <v>475</v>
      </c>
      <c r="D109" s="586"/>
      <c r="E109" s="1727">
        <v>0.25</v>
      </c>
      <c r="F109" s="1835"/>
      <c r="G109" s="1836"/>
      <c r="H109" s="1836"/>
      <c r="I109" s="1837"/>
      <c r="J109" s="1753"/>
      <c r="K109" s="1628"/>
      <c r="L109" s="1732"/>
      <c r="M109" s="1714">
        <f>IF($G107=0,0,IF($F107="recht",$G107/$C$30,($G107-0.301*$C$30)/$C$30))+IF($H107=0,0,IF($F107="recht",$H107/$C$31,($H107-0.301*$C$31)/$C$31))+$I107/$C$32+$J103/$L$52+$K103/$L$53</f>
        <v>0</v>
      </c>
      <c r="N109" s="1663">
        <f>10^(-M109)</f>
        <v>1</v>
      </c>
      <c r="O109" s="1656">
        <f>$C$7*$C$11*$E$109*$O$41*$P$27/400*$N$36*$N$38*$P$25*$P$26/1/1/$P$13/$P$13/$P$17/$P$17/$P$18/$P$18*N109*1000000</f>
        <v>3.3012499999999996</v>
      </c>
      <c r="P109" s="1714">
        <f>IF($G107=0,0,IF($F107="recht",$G107/$C$30,($G107-0.301*$C$30)/$C30))+IF($H$107=0,0,IF($F107="recht",$H107/$C$31,($H107-0.301*$C$31)/$C$31))+$I107/$C$32+$J103/$L$52+$K103/$L$53</f>
        <v>0</v>
      </c>
      <c r="Q109" s="1663">
        <f>10^(-P109)</f>
        <v>1</v>
      </c>
      <c r="R109" s="1656">
        <f>$C$7*$D$11*$E$109*$P$41*$P$27/400*$N$36*$N$38*$P$25*$P$26/1/1/$P$13/$P$13/$P$17/$P$17/$P$18/$P$18*Q109*1000000</f>
        <v>3.2062499999999998</v>
      </c>
      <c r="S109" s="1714">
        <f>IF($G107=0,0,IF($F107="recht",$G107/$C$30,($G107-0.301*$C$30)/$C$30))+IF($H107=0,0,IF($F107="recht",$H107/$C$31,($H107-0.301*$C$31)/$C$31))+$I107/$C$32+$J103/$L$52+$K103/$L$53</f>
        <v>0</v>
      </c>
      <c r="T109" s="1663">
        <f>10^(-S109)</f>
        <v>1</v>
      </c>
      <c r="U109" s="1656">
        <f>$C$7*$E$11*$E$109*$Q$41*$P$27/400*$N$36*$N$38*$P$25*$P$26/1/1/$P$13/$P$13/$P$17/$P$17/$P$18/$P$18*T109*1000000</f>
        <v>2.4937499999999995</v>
      </c>
      <c r="V109" s="1714">
        <f>IF($G107=0,0,IF($F107="recht",$G107/$C$30,($G107-0.301*$C$30)/$C$30))+IF($H107=0,0,IF($F107="recht",$H107/$C$31,($H107-0.301*$C$31)/$C$31))+$I107/$C$32+$J103/$L$52+$K103/$L$53</f>
        <v>0</v>
      </c>
      <c r="W109" s="1663">
        <f>10^(-V109)</f>
        <v>1</v>
      </c>
      <c r="X109" s="1656">
        <f>$C$7*$F$11*$E$109*$R$41*$P$27/400*$N$36*$N$38*$P$26*$P$25/1/1/$P$13/$P$13/$P$17/$P$17/$P$18/$P$18*W109*1000000</f>
        <v>3.0874999999999995</v>
      </c>
      <c r="Y109" s="1714">
        <f>IF($G107=0,0,IF($F107="recht",$G107/$C$30,($G107-0.301*$C$30)/$C$30))+IF($H107=0,0,IF($F107="recht",$H107/$C$31,($H107-0.301*$C$31)/$C$31))+$I107/$C$32+$J103/$L$52+$K103/$L$53</f>
        <v>0</v>
      </c>
      <c r="Z109" s="1663">
        <f>10^(-Y109)</f>
        <v>1</v>
      </c>
      <c r="AA109" s="1656">
        <f>$C$7*$G$11*$E$109*$S$41*$P$27/400*$N$36*$N$38*$P$25*$P$26/1/1/$P$13/$P$13/$P$17/$P$17/$P$18/$P$18*Z109*1000000</f>
        <v>2.8499999999999996</v>
      </c>
      <c r="AB109" s="1745">
        <f>SUM(O109,R109,U109,X109,AA109)</f>
        <v>14.938749999999997</v>
      </c>
      <c r="AC109" s="1182"/>
      <c r="AD109" s="944"/>
      <c r="AE109" s="348"/>
      <c r="AF109" s="311"/>
      <c r="AG109" s="336"/>
      <c r="AH109" s="442"/>
      <c r="AI109" s="336"/>
      <c r="AJ109" s="336"/>
      <c r="AK109" s="345"/>
      <c r="AL109" s="345"/>
      <c r="AM109" s="345"/>
      <c r="AN109" s="345"/>
      <c r="AO109" s="345"/>
      <c r="AP109" s="355"/>
      <c r="AQ109" s="355"/>
      <c r="AR109" s="355"/>
      <c r="AS109" s="382"/>
      <c r="AT109" s="382"/>
      <c r="AU109" s="382"/>
    </row>
    <row r="110" spans="1:62" s="325" customFormat="1" ht="19.5" customHeight="1">
      <c r="A110" s="1000"/>
      <c r="B110" s="1008"/>
      <c r="C110" s="1726"/>
      <c r="D110" s="586"/>
      <c r="E110" s="1728"/>
      <c r="F110" s="1835"/>
      <c r="G110" s="1836"/>
      <c r="H110" s="1836"/>
      <c r="I110" s="1837"/>
      <c r="J110" s="1753"/>
      <c r="K110" s="1628"/>
      <c r="L110" s="1732"/>
      <c r="M110" s="1715"/>
      <c r="N110" s="1668"/>
      <c r="O110" s="1660"/>
      <c r="P110" s="1715"/>
      <c r="Q110" s="1668"/>
      <c r="R110" s="1660"/>
      <c r="S110" s="1715"/>
      <c r="T110" s="1668"/>
      <c r="U110" s="1660"/>
      <c r="V110" s="1715"/>
      <c r="W110" s="1668"/>
      <c r="X110" s="1660"/>
      <c r="Y110" s="1715"/>
      <c r="Z110" s="1668"/>
      <c r="AA110" s="1660"/>
      <c r="AB110" s="1750"/>
      <c r="AC110" s="1182"/>
      <c r="AD110" s="944"/>
      <c r="AE110" s="348"/>
      <c r="AF110" s="311"/>
      <c r="AG110" s="336"/>
      <c r="AH110" s="442"/>
      <c r="AI110" s="336"/>
      <c r="AJ110" s="336"/>
      <c r="AK110" s="345"/>
      <c r="AL110" s="345"/>
      <c r="AM110" s="345"/>
      <c r="AN110" s="345"/>
      <c r="AO110" s="345"/>
      <c r="AP110" s="355"/>
      <c r="AQ110" s="355"/>
      <c r="AR110" s="355"/>
      <c r="AS110" s="382"/>
      <c r="AT110" s="382"/>
      <c r="AU110" s="382"/>
    </row>
    <row r="111" spans="1:62" s="325" customFormat="1" ht="19.5" customHeight="1">
      <c r="A111" s="1000"/>
      <c r="B111" s="1008"/>
      <c r="C111" s="1623" t="s">
        <v>476</v>
      </c>
      <c r="D111" s="586"/>
      <c r="E111" s="1727">
        <v>0.5</v>
      </c>
      <c r="F111" s="1835"/>
      <c r="G111" s="1836"/>
      <c r="H111" s="1836"/>
      <c r="I111" s="1837"/>
      <c r="J111" s="1753"/>
      <c r="K111" s="1628"/>
      <c r="L111" s="1732"/>
      <c r="M111" s="1714">
        <f>IF($G107=0,0,IF($F107="recht",$G107/$C$30,($G107-0.301*$C$30)/$C30))+IF($H107=0,0,IF($F107="recht",$H107/$C$31,($H107-0.301*$C$31)/$C$31))+$I107/$C$32+$J103/$L$52+$K103/$L$53</f>
        <v>0</v>
      </c>
      <c r="N111" s="1663">
        <f>10^(-M111)</f>
        <v>1</v>
      </c>
      <c r="O111" s="1656">
        <f>$C$7*$C$11*$E$111*$O$42*$P$27/400*$N$36*$N$38*$P$25*$P$26/1/1/$P$13/$P$13/$P$17/$P$17/$P$18/$P$18*N111*1000000</f>
        <v>2.0235000000000003</v>
      </c>
      <c r="P111" s="1714">
        <f>IF($G107=0,0,IF(F107="recht",$G107/$C$30,($G107-0.301*$C$30)/$C$30))+IF($H107=0,0,IF($F107="recht",$H107/$C$31,($H107-0.301*$C$31)/$C$31))+$I107/$C$32+$J$103/$L$52+$K$103/$L$53</f>
        <v>0</v>
      </c>
      <c r="Q111" s="1663">
        <f>10^(-P111)</f>
        <v>1</v>
      </c>
      <c r="R111" s="1656">
        <f>$C$7*$D$11*$E$111*$P$42*$P$27/400*$N$36*$N$38*$P$25*$P$26/1/1/$P$13/$P$13/$P$17/$P$17/$P$18/$P$18*Q111*1000000</f>
        <v>1.8097500000000002</v>
      </c>
      <c r="S111" s="1714">
        <f>IF($G107=0,0,IF(I107="recht",$G107/$C$30,($G107-0.301*$C$30)/$C$30))+IF($H107=0,0,IF($F107="recht",$H107/$C$31,($H107-0.301*$C$31)/$C$31))+$I107/$C$32+$J$103/$L$52+$K$103/$L$53</f>
        <v>0</v>
      </c>
      <c r="T111" s="1663">
        <f>10^(-S111)</f>
        <v>1</v>
      </c>
      <c r="U111" s="1656">
        <f>$C$7*$E$11*$E$111*$Q$42*$P$27/400*$N$36*$N$38*$P$25*$P$26/1/1/$P$13/$P$13/$P$17/$P$17/$P$18/$P$18*T111*1000000</f>
        <v>1.2397500000000001</v>
      </c>
      <c r="V111" s="1714">
        <f>IF($G107=0,0,IF(L107="recht",$G107/$C$30,($G107-0.301*$C$30)/$C$30))+IF($H107=0,0,IF($F107="recht",$H107/$C$31,($H107-0.301*$C$31)/$C$31))+$I107/$C$32+$J$103/$L$52+$K$103/$L$53</f>
        <v>0</v>
      </c>
      <c r="W111" s="1663">
        <f>10^(-V111)</f>
        <v>1</v>
      </c>
      <c r="X111" s="1656">
        <f>$C$7*$F$11*$E$111*$R$42*$P$27/400*$N$36*$N$38*$P$25*$P$26/1/1/$P$13/$P$13/$P$17/$P$17/$P$18/$P$18*W111*1000000</f>
        <v>2.1185</v>
      </c>
      <c r="Y111" s="1714">
        <f>IF($G107=0,0,IF(O107="recht",$G107/$C$30,($G107-0.301*$C$30)/$C$30))+IF($H107=0,0,IF($F107="recht",$H107/$C$31,($H107-0.301*$C$31)/$C$31))+$I107/$C$32+$J$103/$L$52+$K$103/$L$53</f>
        <v>0</v>
      </c>
      <c r="Z111" s="1663">
        <f>10^(-Y111)</f>
        <v>1</v>
      </c>
      <c r="AA111" s="1656">
        <f>$C$7*$G$11*$E$111*$S$42*$P$27/400*$N$36*$N$38*$P$25*$P$26/1/1/$P$13/$P$13/$P$17/$P$17/$P$18/$P$18*Z111*1000000</f>
        <v>1.91425</v>
      </c>
      <c r="AB111" s="1750">
        <f>SUM(O111,R111,U111,X111,AA111)</f>
        <v>9.1057500000000005</v>
      </c>
      <c r="AC111" s="1181"/>
      <c r="AD111" s="943"/>
      <c r="AE111" s="348"/>
      <c r="AF111" s="311"/>
      <c r="AG111" s="336"/>
      <c r="AH111" s="442"/>
      <c r="AI111" s="336"/>
      <c r="AJ111" s="336"/>
      <c r="AK111" s="345"/>
      <c r="AL111" s="345"/>
      <c r="AM111" s="345"/>
      <c r="AN111" s="345"/>
      <c r="AO111" s="345"/>
      <c r="AP111" s="355"/>
      <c r="AQ111" s="355"/>
      <c r="AR111" s="355"/>
      <c r="AS111" s="382"/>
      <c r="AT111" s="382"/>
      <c r="AU111" s="382"/>
    </row>
    <row r="112" spans="1:62" s="325" customFormat="1" ht="19.5" customHeight="1">
      <c r="A112" s="1000"/>
      <c r="B112" s="1008"/>
      <c r="C112" s="1726"/>
      <c r="D112" s="586"/>
      <c r="E112" s="1728"/>
      <c r="F112" s="1835"/>
      <c r="G112" s="1836"/>
      <c r="H112" s="1836"/>
      <c r="I112" s="1837"/>
      <c r="J112" s="1753"/>
      <c r="K112" s="1628"/>
      <c r="L112" s="1732"/>
      <c r="M112" s="1715"/>
      <c r="N112" s="1668"/>
      <c r="O112" s="1660"/>
      <c r="P112" s="1715"/>
      <c r="Q112" s="1668"/>
      <c r="R112" s="1660"/>
      <c r="S112" s="1715"/>
      <c r="T112" s="1668"/>
      <c r="U112" s="1660"/>
      <c r="V112" s="1715"/>
      <c r="W112" s="1668"/>
      <c r="X112" s="1660"/>
      <c r="Y112" s="1715"/>
      <c r="Z112" s="1668"/>
      <c r="AA112" s="1660"/>
      <c r="AB112" s="1717"/>
      <c r="AC112" s="1181"/>
      <c r="AD112" s="943"/>
      <c r="AE112" s="348"/>
      <c r="AF112" s="311"/>
      <c r="AG112" s="336"/>
      <c r="AH112" s="442"/>
      <c r="AI112" s="336"/>
      <c r="AJ112" s="336"/>
      <c r="AK112" s="345"/>
      <c r="AL112" s="345"/>
      <c r="AM112" s="345"/>
      <c r="AN112" s="345"/>
      <c r="AO112" s="345"/>
      <c r="AP112" s="355"/>
      <c r="AQ112" s="355"/>
      <c r="AR112" s="355"/>
      <c r="AS112" s="382"/>
      <c r="AT112" s="382"/>
      <c r="AU112" s="382"/>
    </row>
    <row r="113" spans="1:82" s="325" customFormat="1" ht="19.5" customHeight="1">
      <c r="A113" s="1000"/>
      <c r="B113" s="1008"/>
      <c r="C113" s="1623" t="s">
        <v>477</v>
      </c>
      <c r="D113" s="586"/>
      <c r="E113" s="1727">
        <v>0.25</v>
      </c>
      <c r="F113" s="1835"/>
      <c r="G113" s="1836"/>
      <c r="H113" s="1836"/>
      <c r="I113" s="1837"/>
      <c r="J113" s="1753"/>
      <c r="K113" s="1628"/>
      <c r="L113" s="1732"/>
      <c r="M113" s="1714">
        <f>IF($G107=0,0,IF($F107="recht",$G107/$C$30,($G107-0.301*$C$30)/$C$30))+IF($H107=0,0,IF($F107="recht",$H107/$C$31,($H107-0.301*$C$31)/$C$31))+$I107/$C$32+$J$103/$L$52+$K$103/$L$53</f>
        <v>0</v>
      </c>
      <c r="N113" s="1663">
        <f>10^(-M113)</f>
        <v>1</v>
      </c>
      <c r="O113" s="1656">
        <f>$C$7*$C$11*$E$113*$O$43*$P$27/400*$N$36*$N$38*$P$25*$P$26/1/1/$P$13/$P$13/$P$17/$P$17/$P$18/$P$18*N113*1000000</f>
        <v>0.71249999999999991</v>
      </c>
      <c r="P113" s="1714">
        <f>IF($G107=0,0,IF($F107="recht",$G107/$C$30,($G107-0.301*$C$30)/$C$30))+IF($H107=0,0,IF($F107="recht",$H107/$C$31,($H107-0.301*$C$31)/$C$31))+$I107/$C$32+$J$103/$L$52+$K$103/$L$53</f>
        <v>0</v>
      </c>
      <c r="Q113" s="1663">
        <f>10^(-P113)</f>
        <v>1</v>
      </c>
      <c r="R113" s="1656">
        <f>$C$7*$D$11*$E$113*$P$43*$P$27/400*$N$36*$N$38*$P$25*$P$26/1/1/$P$13/$P$13/$P$17/$P$17/$P$18/$P$18*Q113*1000000</f>
        <v>0.71724999999999994</v>
      </c>
      <c r="S113" s="1714">
        <f>IF($G107=0,0,IF($F107="recht",$G107/$C$30,($G107-0.301*$C$30)/$C$30))+IF($H107=0,0,IF($F107="recht",$H107/$C$31,($H107-0.301*$C$31)/$C$31))+$I107/$C$32+$J$103/$L$52+$K$103/$L$53</f>
        <v>0</v>
      </c>
      <c r="T113" s="1663">
        <f>10^(-S113)</f>
        <v>1</v>
      </c>
      <c r="U113" s="1656">
        <f>$C$7*$E$11*$E$113*$Q$43*$P$27/400*$N$36*$N$38*$P$25*$P$26/1/1/$P$13/$P$13/$P$17/$P$17/$P$18/$P$18*T113*1000000</f>
        <v>0.45362500000000011</v>
      </c>
      <c r="V113" s="1714">
        <f>IF($G107=0,0,IF($F107="recht",$G107/$C$30,($G107-0.301*$C$30)/$C$30))+IF($H107=0,0,IF($F107="recht",$H107/$C$31,($H107-0.301*$C$31)/$C$31))+$I107/$C$32+$J$103/$L$52+$K$103/$L$53</f>
        <v>0</v>
      </c>
      <c r="W113" s="1663">
        <f>10^(-V113)</f>
        <v>1</v>
      </c>
      <c r="X113" s="1656">
        <f>$C$7*$F$11*$E$113*$R$43*$P$27/400*$N$36*$N$38*$P$25*$P$26/1/1/$P$13/$P$13/$P$17/$P$17/$P$18/$P$18*W113*1000000</f>
        <v>0.81225000000000003</v>
      </c>
      <c r="Y113" s="1714">
        <f>IF($G107=0,0,IF($F107="recht",$G107/$C$30,($G107-0.301*$C$30)/$C$30))+IF($H107=0,0,IF($F107="recht",$H107/$C$31,($H107-0.301*$C$31)/$C$31))+$I107/$C$32+$J$103/$L$52+$K$103/$L$53</f>
        <v>0</v>
      </c>
      <c r="Z113" s="1663">
        <f>10^(-Y113)</f>
        <v>1</v>
      </c>
      <c r="AA113" s="1656">
        <f>$C$7*$G$11*$E$113*$S$43*$P$27/400*$N$36*$N$38*$P$25*$P$26/1/1/$P$13/$P$13/$P$17/$P$17/$P$18/$P$18*Z113*1000000</f>
        <v>0.90725000000000022</v>
      </c>
      <c r="AB113" s="1745">
        <f>SUM(O113,R113,U113,X113,AA113)</f>
        <v>3.6028750000000005</v>
      </c>
      <c r="AC113" s="1181"/>
      <c r="AD113" s="944"/>
      <c r="AE113" s="348"/>
      <c r="AF113" s="311"/>
      <c r="AG113" s="336"/>
      <c r="AH113" s="442"/>
      <c r="AI113" s="336"/>
      <c r="AJ113" s="336"/>
      <c r="AK113" s="345"/>
      <c r="AL113" s="345"/>
      <c r="AM113" s="345"/>
      <c r="AN113" s="345"/>
      <c r="AO113" s="345"/>
      <c r="AP113" s="355"/>
      <c r="AQ113" s="355"/>
      <c r="AR113" s="355"/>
      <c r="AS113" s="382"/>
      <c r="AT113" s="382"/>
      <c r="AU113" s="382"/>
    </row>
    <row r="114" spans="1:82" s="325" customFormat="1" ht="19.5" customHeight="1">
      <c r="A114" s="1000"/>
      <c r="B114" s="1008"/>
      <c r="C114" s="1726"/>
      <c r="D114" s="586"/>
      <c r="E114" s="1728"/>
      <c r="F114" s="1738"/>
      <c r="G114" s="1747"/>
      <c r="H114" s="1747"/>
      <c r="I114" s="1749"/>
      <c r="J114" s="1753"/>
      <c r="K114" s="1628"/>
      <c r="L114" s="1732"/>
      <c r="M114" s="1715"/>
      <c r="N114" s="1668"/>
      <c r="O114" s="1660"/>
      <c r="P114" s="1715"/>
      <c r="Q114" s="1668"/>
      <c r="R114" s="1660"/>
      <c r="S114" s="1715"/>
      <c r="T114" s="1668"/>
      <c r="U114" s="1660"/>
      <c r="V114" s="1715"/>
      <c r="W114" s="1668"/>
      <c r="X114" s="1660"/>
      <c r="Y114" s="1715"/>
      <c r="Z114" s="1668"/>
      <c r="AA114" s="1660"/>
      <c r="AB114" s="1750"/>
      <c r="AC114" s="1181"/>
      <c r="AD114" s="944"/>
      <c r="AE114" s="348"/>
      <c r="AF114" s="311"/>
      <c r="AG114" s="336"/>
      <c r="AH114" s="442"/>
      <c r="AI114" s="336"/>
      <c r="AJ114" s="336"/>
      <c r="AK114" s="345"/>
      <c r="AL114" s="345"/>
      <c r="AM114" s="345"/>
      <c r="AN114" s="345"/>
      <c r="AO114" s="345"/>
      <c r="AP114" s="355"/>
      <c r="AQ114" s="355"/>
      <c r="AR114" s="355"/>
      <c r="AS114" s="382"/>
      <c r="AT114" s="382"/>
      <c r="AU114" s="382"/>
    </row>
    <row r="115" spans="1:82" s="325" customFormat="1" ht="19.5" customHeight="1">
      <c r="A115" s="1000"/>
      <c r="B115" s="1008"/>
      <c r="C115" s="1744" t="s">
        <v>44</v>
      </c>
      <c r="D115" s="1633"/>
      <c r="E115" s="1634"/>
      <c r="F115" s="1713"/>
      <c r="G115" s="1706"/>
      <c r="H115" s="1741"/>
      <c r="I115" s="1713"/>
      <c r="J115" s="1752"/>
      <c r="K115" s="1628"/>
      <c r="L115" s="1732"/>
      <c r="M115" s="1656">
        <f>$J103/$M$52+$K103/$M$53+$L103/$M$54</f>
        <v>0</v>
      </c>
      <c r="N115" s="1663">
        <f>10^(-M115)</f>
        <v>1</v>
      </c>
      <c r="O115" s="1656">
        <f>$C$7*$C$11*($C$12+$C$13*$C$14)*0.0000000000000024*($C$10)*(SQRT($P$29/$P$30)*((1.64*10^(-$P$20/1.9)+10^(-$P$20/(2.06*SQRT($P$30))))*(1-$P$45)*$N$115*1000000))</f>
        <v>0</v>
      </c>
      <c r="P115" s="1656">
        <f>$J103/$M$52+$K103/$M$53+$L103/$M$54</f>
        <v>0</v>
      </c>
      <c r="Q115" s="1663">
        <f>10^(-P115)</f>
        <v>1</v>
      </c>
      <c r="R115" s="1656">
        <f>$C$7*$D$11*($D$12+$D$13*$D$14)*0.0000000000000024*($D$10)*(SQRT($P$29/$P$30)*((1.64*10^(-$P$20/1.9)+10^(-$P$20/(2.06*SQRT($P$30))))*(1-$P$45)*$Q$115*1000000))</f>
        <v>0</v>
      </c>
      <c r="S115" s="1656">
        <f>$J103/$M$52+$K103/$M$53+$L103/$M$54</f>
        <v>0</v>
      </c>
      <c r="T115" s="1663">
        <f>10^(-S115)</f>
        <v>1</v>
      </c>
      <c r="U115" s="1656">
        <f>$C$7*$E$11*($E$12+$E$13*$E$14)*0.0000000000000024*($E$10)*(SQRT($P$29/$P$30)*((1.64*10^(-$P$20/1.9)+10^(-$P$20/(2.06*SQRT($P$30))))*(1-$P$45)*$T$115*1000000))</f>
        <v>9.9054452546101235E-2</v>
      </c>
      <c r="V115" s="1656">
        <f>$J103/$M$52+$K103/$M$53+$L103/$M$54</f>
        <v>0</v>
      </c>
      <c r="W115" s="1663">
        <f>10^(-V115)</f>
        <v>1</v>
      </c>
      <c r="X115" s="1656">
        <f>$C$7*$F$11*($F$12+$F$13*$F$14)*0.0000000000000024*($F$10)*(SQRT($P$29/$P$30)*((1.64*10^(-$P$20/1.9)+10^(-$P$20/(2.06*SQRT($P$30))))*(1-$P$45)*$W$115*1000000))</f>
        <v>0</v>
      </c>
      <c r="Y115" s="1656">
        <f>$J103/$M$52+$K103/$M$53+$L103/$M$54</f>
        <v>0</v>
      </c>
      <c r="Z115" s="1663">
        <f>10^(-Y115)</f>
        <v>1</v>
      </c>
      <c r="AA115" s="1656">
        <f>$C$7*$G$11*($G$12+$G$13*$G$14)*0.0000000000000024*($G$10)*(SQRT($P$29/$P$30)*((1.64*10^(-$P$20/1.9)+10^(-$P$20/(2.06*SQRT($P$30))))*(1-$P$45)*$Z$115*1000000))</f>
        <v>0</v>
      </c>
      <c r="AB115" s="1745">
        <f>SUM(O115,R115,U115,X115,AA115)</f>
        <v>9.9054452546101235E-2</v>
      </c>
      <c r="AC115" s="1181"/>
      <c r="AD115" s="1351"/>
      <c r="AE115" s="348"/>
      <c r="AF115" s="311"/>
      <c r="AG115" s="336"/>
      <c r="AH115" s="442"/>
      <c r="AI115" s="336"/>
      <c r="AJ115" s="336"/>
      <c r="AK115" s="345"/>
      <c r="AL115" s="345"/>
      <c r="AM115" s="345"/>
      <c r="AN115" s="345"/>
      <c r="AO115" s="345"/>
      <c r="AP115" s="355"/>
      <c r="AQ115" s="355"/>
      <c r="AR115" s="355"/>
      <c r="AS115" s="355"/>
      <c r="AT115" s="355"/>
      <c r="AU115" s="355"/>
      <c r="AV115" s="345"/>
      <c r="AW115" s="345"/>
      <c r="AX115" s="345"/>
      <c r="AY115" s="345"/>
      <c r="AZ115" s="345"/>
      <c r="BA115" s="345"/>
      <c r="BB115" s="345"/>
      <c r="BC115" s="345"/>
      <c r="BD115" s="345"/>
      <c r="BE115" s="345"/>
      <c r="BF115" s="345"/>
      <c r="BG115" s="345"/>
      <c r="BH115" s="345"/>
      <c r="BI115" s="345"/>
      <c r="BJ115" s="345"/>
    </row>
    <row r="116" spans="1:82" s="325" customFormat="1" ht="19.5" customHeight="1">
      <c r="A116" s="1000"/>
      <c r="B116" s="1008"/>
      <c r="C116" s="1742"/>
      <c r="D116" s="1652"/>
      <c r="E116" s="1652"/>
      <c r="F116" s="1743"/>
      <c r="G116" s="1707"/>
      <c r="H116" s="1742"/>
      <c r="I116" s="1743"/>
      <c r="J116" s="1752"/>
      <c r="K116" s="1628"/>
      <c r="L116" s="1732"/>
      <c r="M116" s="1660"/>
      <c r="N116" s="1668"/>
      <c r="O116" s="1660"/>
      <c r="P116" s="1660"/>
      <c r="Q116" s="1668"/>
      <c r="R116" s="1660"/>
      <c r="S116" s="1660"/>
      <c r="T116" s="1668"/>
      <c r="U116" s="1660"/>
      <c r="V116" s="1660"/>
      <c r="W116" s="1668"/>
      <c r="X116" s="1660"/>
      <c r="Y116" s="1660"/>
      <c r="Z116" s="1668"/>
      <c r="AA116" s="1660"/>
      <c r="AB116" s="1709"/>
      <c r="AC116" s="1181"/>
      <c r="AD116" s="943"/>
      <c r="AE116" s="348"/>
      <c r="AF116" s="311"/>
      <c r="AG116" s="336"/>
      <c r="AH116" s="442"/>
      <c r="AI116" s="336"/>
      <c r="AJ116" s="336"/>
      <c r="AK116" s="345"/>
      <c r="AL116" s="345"/>
      <c r="AM116" s="345"/>
      <c r="AN116" s="345"/>
      <c r="AO116" s="345"/>
      <c r="AP116" s="355"/>
      <c r="AQ116" s="355"/>
      <c r="AR116" s="355"/>
      <c r="AS116" s="355"/>
      <c r="AT116" s="355"/>
      <c r="AU116" s="355"/>
      <c r="AV116" s="345"/>
      <c r="AW116" s="345"/>
      <c r="AX116" s="345"/>
      <c r="AY116" s="345"/>
      <c r="AZ116" s="345"/>
      <c r="BA116" s="345"/>
      <c r="BB116" s="345"/>
      <c r="BC116" s="345"/>
      <c r="BD116" s="345"/>
      <c r="BE116" s="345"/>
      <c r="BF116" s="345"/>
      <c r="BG116" s="345"/>
      <c r="BH116" s="345"/>
      <c r="BI116" s="345"/>
      <c r="BJ116" s="345"/>
    </row>
    <row r="117" spans="1:82" s="325" customFormat="1" ht="19.5" customHeight="1">
      <c r="A117" s="1000"/>
      <c r="B117" s="1008"/>
      <c r="C117" s="1755" t="s">
        <v>269</v>
      </c>
      <c r="D117" s="1633"/>
      <c r="E117" s="1633"/>
      <c r="F117" s="1757"/>
      <c r="G117" s="1758"/>
      <c r="H117" s="1744"/>
      <c r="I117" s="1757"/>
      <c r="J117" s="1752"/>
      <c r="K117" s="1628"/>
      <c r="L117" s="1732"/>
      <c r="M117" s="1656">
        <f>$J103/$N$52+$K103/$N$53</f>
        <v>0</v>
      </c>
      <c r="N117" s="1663">
        <f>10^(-M117)</f>
        <v>1</v>
      </c>
      <c r="O117" s="1761">
        <f>$C$7*$C$11*($C$12+$C$13*$C$14)*0.00000000000000057*$C$10*10^-($P$20/6.2)*(1-$P$46)*N117*1000000</f>
        <v>0</v>
      </c>
      <c r="P117" s="1656">
        <f>$J103/$N$52+$K103/$N$53</f>
        <v>0</v>
      </c>
      <c r="Q117" s="1663">
        <f>10^(-P117)</f>
        <v>1</v>
      </c>
      <c r="R117" s="1760">
        <f>$C$7*$D$11*($D$12+$D$13*$D$14)*0.00000000000000057*$D$10*10^-($P$20/6.2)*(1-$P$46)*Q117*1000000</f>
        <v>0</v>
      </c>
      <c r="S117" s="1763">
        <f>$J103/$N$52+$K103/$N$53</f>
        <v>0</v>
      </c>
      <c r="T117" s="1663">
        <f>10^(-S117)</f>
        <v>1</v>
      </c>
      <c r="U117" s="1760">
        <f>$C$7*$E$11*($E$12+$E$13*$E$14)*0.00000000000000057*$E$10*10^-($P$20/6.2)*(1-$P$46)*T117*1000000</f>
        <v>34.021009276742291</v>
      </c>
      <c r="V117" s="1656">
        <f>$J103/$N$52+$K103/$N$53</f>
        <v>0</v>
      </c>
      <c r="W117" s="1663">
        <f>10^(-V117)</f>
        <v>1</v>
      </c>
      <c r="X117" s="1760">
        <f>$C$7*$F$11*($F$12+$F$13*$F$14)*0.00000000000000057*$F$10*10^-($P$20/6.2)*(1-$P$46)*W117*1000000</f>
        <v>0</v>
      </c>
      <c r="Y117" s="1656">
        <f>$J103/$N$52+$K103/$N$53</f>
        <v>0</v>
      </c>
      <c r="Z117" s="1663">
        <f>10^(-Y117)</f>
        <v>1</v>
      </c>
      <c r="AA117" s="1760">
        <f>$C$7*$G$11*($G$12+$G$13*$G$14)*0.00000000000000057*$G$10*10^-($P$20/6.2)*(1-$P$46)*Z117*1000000</f>
        <v>0</v>
      </c>
      <c r="AB117" s="1716">
        <f>SUM(O117,R117,U117,X117,AA117)</f>
        <v>34.021009276742291</v>
      </c>
      <c r="AC117" s="1181"/>
      <c r="AD117" s="944"/>
      <c r="AE117" s="348"/>
      <c r="AF117" s="311"/>
      <c r="AG117" s="336"/>
      <c r="AH117" s="442"/>
      <c r="AI117" s="336"/>
      <c r="AJ117" s="336"/>
      <c r="AK117" s="345"/>
      <c r="AL117" s="345"/>
      <c r="AM117" s="345"/>
      <c r="AN117" s="345"/>
      <c r="AO117" s="345"/>
      <c r="AP117" s="355"/>
      <c r="AQ117" s="355"/>
      <c r="AR117" s="355"/>
      <c r="AS117" s="355"/>
      <c r="AT117" s="355"/>
      <c r="AU117" s="355"/>
      <c r="AV117" s="345"/>
      <c r="AW117" s="345"/>
      <c r="AX117" s="345"/>
      <c r="AY117" s="345"/>
      <c r="AZ117" s="345"/>
      <c r="BA117" s="345"/>
      <c r="BB117" s="345"/>
      <c r="BC117" s="345"/>
      <c r="BD117" s="345"/>
      <c r="BE117" s="345"/>
      <c r="BF117" s="345"/>
      <c r="BG117" s="345"/>
      <c r="BH117" s="345"/>
      <c r="BI117" s="345"/>
      <c r="BJ117" s="345"/>
    </row>
    <row r="118" spans="1:82" s="325" customFormat="1" ht="19.5" customHeight="1" thickBot="1">
      <c r="A118" s="1000"/>
      <c r="B118" s="1008"/>
      <c r="C118" s="1756"/>
      <c r="D118" s="1652"/>
      <c r="E118" s="1652"/>
      <c r="F118" s="1743"/>
      <c r="G118" s="1759"/>
      <c r="H118" s="1742"/>
      <c r="I118" s="1743"/>
      <c r="J118" s="1754"/>
      <c r="K118" s="1629"/>
      <c r="L118" s="1733"/>
      <c r="M118" s="1660"/>
      <c r="N118" s="1668"/>
      <c r="O118" s="1762"/>
      <c r="P118" s="1660"/>
      <c r="Q118" s="1668"/>
      <c r="R118" s="1715"/>
      <c r="S118" s="1764"/>
      <c r="T118" s="1668"/>
      <c r="U118" s="1715"/>
      <c r="V118" s="1660"/>
      <c r="W118" s="1668"/>
      <c r="X118" s="1715"/>
      <c r="Y118" s="1660"/>
      <c r="Z118" s="1668"/>
      <c r="AA118" s="1715"/>
      <c r="AB118" s="1717"/>
      <c r="AC118" s="1181"/>
      <c r="AD118" s="944"/>
      <c r="AE118" s="348"/>
      <c r="AF118" s="311"/>
      <c r="AG118" s="336"/>
      <c r="AH118" s="442"/>
      <c r="AI118" s="336"/>
      <c r="AJ118" s="336"/>
      <c r="AK118" s="345"/>
      <c r="AL118" s="345"/>
      <c r="AM118" s="345"/>
      <c r="AN118" s="345"/>
      <c r="AO118" s="345"/>
      <c r="AP118" s="355"/>
      <c r="AQ118" s="355"/>
      <c r="AR118" s="355"/>
      <c r="AS118" s="355"/>
      <c r="AT118" s="355"/>
      <c r="AU118" s="355"/>
      <c r="AV118" s="345"/>
      <c r="AW118" s="345"/>
      <c r="AX118" s="345"/>
      <c r="AY118" s="345"/>
      <c r="AZ118" s="345"/>
      <c r="BA118" s="345"/>
      <c r="BB118" s="345"/>
      <c r="BC118" s="345"/>
      <c r="BD118" s="345"/>
      <c r="BE118" s="345"/>
      <c r="BF118" s="345"/>
      <c r="BG118" s="345"/>
      <c r="BH118" s="345"/>
      <c r="BI118" s="345"/>
      <c r="BJ118" s="345"/>
    </row>
    <row r="119" spans="1:82" s="325" customFormat="1" ht="19.5" customHeight="1">
      <c r="A119" s="1638" t="str">
        <f ca="1">'Linac 4'!A103</f>
        <v>L4</v>
      </c>
      <c r="B119" s="1011"/>
      <c r="C119" s="1623" t="s">
        <v>333</v>
      </c>
      <c r="D119" s="1627">
        <v>1</v>
      </c>
      <c r="E119" s="1627">
        <v>0</v>
      </c>
      <c r="F119" s="1627" t="s">
        <v>12</v>
      </c>
      <c r="G119" s="1627">
        <v>250</v>
      </c>
      <c r="H119" s="1627">
        <v>0</v>
      </c>
      <c r="I119" s="1627">
        <v>0</v>
      </c>
      <c r="J119" s="1765"/>
      <c r="K119" s="1765"/>
      <c r="L119" s="1768"/>
      <c r="M119" s="1656">
        <f>IF($G119=0,0,IF($F119="recht",1+($G119-$C$17)/$C$18,1+($G119-$C$17-0.301*$C$18)/$C$18))+IF($H119=0,0,IF($F119="recht",$H119/$C$19,($H119-0.301*$C$19)/$C$19))+$I119/$C$20</f>
        <v>7.4545454545454541</v>
      </c>
      <c r="N119" s="1663">
        <f>10^(-M119)</f>
        <v>3.5111917342151263E-8</v>
      </c>
      <c r="O119" s="1656">
        <f>($C$7*$C$11*$E119/$D119/$D119*N119*1000000)</f>
        <v>0</v>
      </c>
      <c r="P119" s="1656">
        <f>IF($G$99=0,0,IF($F119="recht",1+($G119-$D$17)/$D$18,1+($G119-$D$17-0.301*$D$18)/$D$18))+IF($H119=0,0,IF($F119="recht",$H119/$D$19,($H119-0.301*$D$19)/$D$19))+$I119/$D$20</f>
        <v>6.6486486486486482</v>
      </c>
      <c r="Q119" s="1663">
        <f>10^(-P119)</f>
        <v>2.2456979955397711E-7</v>
      </c>
      <c r="R119" s="1656">
        <f>($C$7*$D$11*$E119/$D119/$D119*Q119*1000000)</f>
        <v>0</v>
      </c>
      <c r="S119" s="1656">
        <f>IF($G119=0,0,IF($F119="recht",1+($G119-$E$17)/$E$18,1+($G119-$E$17-0.301*$E$18)/$E$18))+IF($H119=0,0,IF($F119="recht",$H119/$E$19,($H119-0.301*$E$19)/$E$19))+$I119/$E$20</f>
        <v>6.024390243902439</v>
      </c>
      <c r="T119" s="1663">
        <f>10^(-S119)</f>
        <v>9.4538728313079291E-7</v>
      </c>
      <c r="U119" s="1656">
        <f>($C$7*$E$11*$E119/$D119/$D119*T119*1000000)</f>
        <v>0</v>
      </c>
      <c r="V119" s="1656">
        <f>IF($G119=0,0,IF($F119="recht",1+($G119-$F$17)/$F$18,1+($G119-$F$17-0.301*$F$18)/$F$18))+IF($H119=0,0,IF($F119="recht",$H119/$F$19,($H119-0.301*$F$19)/$F$19))+$I119/$F$20</f>
        <v>9.1481481481481488</v>
      </c>
      <c r="W119" s="1661">
        <f>10^(-V119)</f>
        <v>7.1097094323124171E-10</v>
      </c>
      <c r="X119" s="1658">
        <f>($C$7*$F$11*$E119/$D119/$D119*W119*1000000)</f>
        <v>0</v>
      </c>
      <c r="Y119" s="1656">
        <f>IF($G119=0,0,IF($F119="recht",1+($G119-$G$17)/$G$18,1+($G119-$G$17-0.301*$G$18)/$G$18))+IF($H119=0,0,IF($F119="recht",$H119/$G$19,($H119-0.301*$G$19)/$G$19))+$I119/$G$20</f>
        <v>6.9444444444444446</v>
      </c>
      <c r="Z119" s="1661">
        <f>10^(-Y119)</f>
        <v>1.136463666385722E-7</v>
      </c>
      <c r="AA119" s="1658">
        <f>($C$7*$G$11*$E119/$D119/$D119*Z119*1000000)</f>
        <v>0</v>
      </c>
      <c r="AB119" s="1708">
        <f>SUM(O119,R119,U119,X119,AA119)</f>
        <v>0</v>
      </c>
      <c r="AC119" s="1180">
        <f>SUM(AB119:AB122)*$D$86/2400/1000</f>
        <v>7.7799298705522589E-7</v>
      </c>
      <c r="AD119" s="942">
        <f>AC119*$D$87</f>
        <v>3.8899649352761298E-6</v>
      </c>
      <c r="AE119" s="1233"/>
      <c r="AF119" s="336"/>
      <c r="AG119" s="345"/>
      <c r="AH119" s="345"/>
      <c r="AI119" s="345"/>
      <c r="AJ119" s="345"/>
      <c r="AK119" s="345"/>
      <c r="AL119" s="345"/>
      <c r="AM119" s="345"/>
      <c r="AN119" s="345"/>
      <c r="AO119" s="345"/>
      <c r="AP119" s="345"/>
      <c r="AQ119" s="345"/>
      <c r="AR119" s="345"/>
      <c r="AS119" s="345"/>
      <c r="AT119" s="345"/>
      <c r="AU119" s="345"/>
      <c r="AV119" s="345"/>
      <c r="AW119" s="345"/>
      <c r="AX119" s="345"/>
      <c r="AY119" s="345"/>
      <c r="AZ119" s="345"/>
      <c r="BA119" s="345"/>
      <c r="BB119" s="345"/>
      <c r="BC119" s="345"/>
      <c r="BD119" s="345"/>
      <c r="BE119" s="345"/>
      <c r="BF119" s="345"/>
      <c r="BG119" s="345"/>
      <c r="BH119" s="345"/>
      <c r="BI119" s="345"/>
      <c r="BJ119" s="345"/>
    </row>
    <row r="120" spans="1:82" s="325" customFormat="1" ht="19.5" customHeight="1">
      <c r="A120" s="1639"/>
      <c r="B120" s="1010" t="s">
        <v>168</v>
      </c>
      <c r="C120" s="1624"/>
      <c r="D120" s="1720"/>
      <c r="E120" s="1720"/>
      <c r="F120" s="1628"/>
      <c r="G120" s="1628"/>
      <c r="H120" s="1628"/>
      <c r="I120" s="1628"/>
      <c r="J120" s="1766"/>
      <c r="K120" s="1766"/>
      <c r="L120" s="1769"/>
      <c r="M120" s="1659"/>
      <c r="N120" s="1662"/>
      <c r="O120" s="1657"/>
      <c r="P120" s="1657"/>
      <c r="Q120" s="1662"/>
      <c r="R120" s="1657"/>
      <c r="S120" s="1657"/>
      <c r="T120" s="1662"/>
      <c r="U120" s="1657"/>
      <c r="V120" s="1657"/>
      <c r="W120" s="1662"/>
      <c r="X120" s="1657"/>
      <c r="Y120" s="1657"/>
      <c r="Z120" s="1662"/>
      <c r="AA120" s="1657"/>
      <c r="AB120" s="1709"/>
      <c r="AC120" s="1181"/>
      <c r="AD120" s="943"/>
      <c r="AE120" s="348"/>
      <c r="AF120" s="336"/>
      <c r="AG120" s="345"/>
      <c r="AH120" s="345"/>
      <c r="AI120" s="345"/>
      <c r="AJ120" s="345"/>
      <c r="AK120" s="345"/>
      <c r="AL120" s="345"/>
      <c r="AM120" s="345"/>
      <c r="AN120" s="345"/>
      <c r="AO120" s="345"/>
      <c r="AP120" s="345"/>
      <c r="AQ120" s="345"/>
      <c r="AR120" s="345"/>
      <c r="AS120" s="345"/>
      <c r="AT120" s="345"/>
      <c r="AU120" s="345"/>
      <c r="AV120" s="345"/>
      <c r="AW120" s="345"/>
      <c r="AX120" s="345"/>
      <c r="AY120" s="345"/>
      <c r="AZ120" s="345"/>
      <c r="BA120" s="345"/>
      <c r="BB120" s="345"/>
      <c r="BC120" s="345"/>
      <c r="BD120" s="345"/>
      <c r="BE120" s="345"/>
      <c r="BF120" s="345"/>
      <c r="BG120" s="345"/>
      <c r="BH120" s="345"/>
      <c r="BI120" s="345"/>
      <c r="BJ120" s="345"/>
    </row>
    <row r="121" spans="1:82" s="325" customFormat="1" ht="19.5" customHeight="1">
      <c r="A121" s="1639"/>
      <c r="B121" s="1012" t="str">
        <f ca="1">'Linac 4'!C$3</f>
        <v>Linac 4</v>
      </c>
      <c r="C121" s="1687" t="s">
        <v>334</v>
      </c>
      <c r="D121" s="1770">
        <v>1</v>
      </c>
      <c r="E121" s="1860">
        <v>1</v>
      </c>
      <c r="F121" s="1628"/>
      <c r="G121" s="1628"/>
      <c r="H121" s="1628"/>
      <c r="I121" s="1628"/>
      <c r="J121" s="1766"/>
      <c r="K121" s="1766"/>
      <c r="L121" s="1769"/>
      <c r="M121" s="1714">
        <f>IF($G119=0,0,IF($F119="recht",$G119/$C$24,($G119-0.301*$C$24)/$C$24))+IF($H119=0,0,IF($F119="recht",$H119/$C$25,($H119-0.301*$C$25)/$C$25))+$I119/$C$26</f>
        <v>7.3529411764705879</v>
      </c>
      <c r="N121" s="1661">
        <f>10^(-M121)</f>
        <v>4.4366873309786093E-8</v>
      </c>
      <c r="O121" s="1658">
        <f>($C$7*$C$8*$C$11*($C$12+$C$13*$C$14)*$E121/$D121/$D121*N121*1000000)</f>
        <v>2.6620123985871658E-2</v>
      </c>
      <c r="P121" s="1658">
        <f>IF($G119=0,0,IF($F119="recht",$G119/$D$24,($G119-0.301*$D$24)/$D$24))+IF($H119=0,0,IF($F119="recht",$H119/$D$25,($H119-0.301*$D$25)/$D$25))+$I119/$D$26</f>
        <v>6.5789473684210522</v>
      </c>
      <c r="Q121" s="1661">
        <f>10^(-P121)</f>
        <v>2.636650898730358E-7</v>
      </c>
      <c r="R121" s="1658">
        <f>($C$7*$C$8*$D$11*($D$12+$D$13*$D$14)*$E121/$D121/$D121*Q121*1000000)</f>
        <v>0.1581990539238215</v>
      </c>
      <c r="S121" s="1658">
        <f>IF($G119=0,0,IF($F119="recht",$G119/$E$24,($G119-0.301*$E$24)/$E$24))+IF($H119=0,0,IF($F119="recht",$H119/$E$25,($H119-0.301*$E$25)/$E$25))+$I119/$E$26</f>
        <v>6.5616797900262469</v>
      </c>
      <c r="T121" s="1661">
        <f>10^(-S121)</f>
        <v>2.7435963093132793E-7</v>
      </c>
      <c r="U121" s="1658">
        <f>($C$7*$C$8*$E$11*($E$12+$E$13*$E$14)*$E121/$D121/$D121*T121*1000000)</f>
        <v>0.16461577855879678</v>
      </c>
      <c r="V121" s="1658">
        <f>IF($G119=0,0,IF($F119="recht",$G119/$F$24,($G119-0.301*$F$24)/$F$24))+IF($H119=0,0,IF($F119="recht",$H119/$F$25,($H119-0.301*$F$25)/$F$25))+$I119/$F$26</f>
        <v>8.1967213114754092</v>
      </c>
      <c r="W121" s="1661">
        <f>10^(-V121)</f>
        <v>6.3573875711648393E-9</v>
      </c>
      <c r="X121" s="1658">
        <f>($C$7*$C$8*$F$11*($F$12+$F$13*$F$14)*$E121/$D121/$D121*W121*1000000)</f>
        <v>2.1615117741960455E-3</v>
      </c>
      <c r="Y121" s="1658">
        <f>IF($G119=0,0,IF($F119="recht",$G119/$G$24,($G119-0.301*$G$24)/$G$24))+IF($H119=0,0,IF($F119="recht",$H119/$G$25,($H119-0.301*$G$25)/$G$25))+$I119/$G$26</f>
        <v>7.0224719101123592</v>
      </c>
      <c r="Z121" s="1661">
        <f>10^(-Y121)</f>
        <v>9.4957241494880226E-8</v>
      </c>
      <c r="AA121" s="1658">
        <f>($C$7*$C$8*$G$11*($G$12+$G$13*$G$14)*$E121/$D121/$D121*Z121*1000000)</f>
        <v>2.1840165543822451E-2</v>
      </c>
      <c r="AB121" s="1716">
        <f>SUM(O121,R121,U121,X121,AA121)</f>
        <v>0.37343663378650843</v>
      </c>
      <c r="AC121" s="1181"/>
      <c r="AD121" s="944"/>
      <c r="AE121" s="348"/>
      <c r="AF121" s="336"/>
      <c r="AG121" s="345"/>
      <c r="AH121" s="345"/>
      <c r="AI121" s="345"/>
      <c r="AJ121" s="345"/>
      <c r="AK121" s="345"/>
      <c r="AL121" s="345"/>
      <c r="AM121" s="345"/>
      <c r="AN121" s="345"/>
      <c r="AO121" s="345"/>
      <c r="AP121" s="345"/>
      <c r="AQ121" s="345"/>
      <c r="AR121" s="345"/>
      <c r="AS121" s="345"/>
      <c r="AT121" s="345"/>
      <c r="AU121" s="345"/>
      <c r="AV121" s="345"/>
      <c r="AW121" s="345"/>
      <c r="AX121" s="345"/>
      <c r="AY121" s="345"/>
      <c r="AZ121" s="345"/>
      <c r="BA121" s="345"/>
      <c r="BB121" s="345"/>
      <c r="BC121" s="345"/>
      <c r="BD121" s="345"/>
      <c r="BE121" s="345"/>
      <c r="BF121" s="345"/>
      <c r="BG121" s="345"/>
      <c r="BH121" s="345"/>
      <c r="BI121" s="345"/>
      <c r="BJ121" s="345"/>
    </row>
    <row r="122" spans="1:82" s="325" customFormat="1" ht="19.5" customHeight="1" thickBot="1">
      <c r="A122" s="1640"/>
      <c r="B122" s="1021"/>
      <c r="C122" s="1688"/>
      <c r="D122" s="1629"/>
      <c r="E122" s="1861"/>
      <c r="F122" s="1629"/>
      <c r="G122" s="1629"/>
      <c r="H122" s="1629"/>
      <c r="I122" s="1629"/>
      <c r="J122" s="1767"/>
      <c r="K122" s="1767"/>
      <c r="L122" s="1788"/>
      <c r="M122" s="1715"/>
      <c r="N122" s="1668"/>
      <c r="O122" s="1660"/>
      <c r="P122" s="1660"/>
      <c r="Q122" s="1668"/>
      <c r="R122" s="1660"/>
      <c r="S122" s="1660"/>
      <c r="T122" s="1668"/>
      <c r="U122" s="1660"/>
      <c r="V122" s="1660"/>
      <c r="W122" s="1668"/>
      <c r="X122" s="1660"/>
      <c r="Y122" s="1660"/>
      <c r="Z122" s="1668"/>
      <c r="AA122" s="1660"/>
      <c r="AB122" s="1781"/>
      <c r="AC122" s="1183"/>
      <c r="AD122" s="945"/>
      <c r="AE122" s="348"/>
      <c r="AF122" s="336"/>
      <c r="AG122" s="345"/>
      <c r="AH122" s="345"/>
      <c r="AI122" s="345"/>
      <c r="AJ122" s="345"/>
      <c r="AK122" s="345"/>
      <c r="AL122" s="345"/>
      <c r="AM122" s="345"/>
      <c r="AN122" s="345"/>
      <c r="AO122" s="345"/>
      <c r="AP122" s="345"/>
      <c r="AQ122" s="345"/>
      <c r="AR122" s="345"/>
      <c r="AS122" s="345"/>
      <c r="AT122" s="345"/>
      <c r="AU122" s="345"/>
      <c r="AV122" s="345"/>
      <c r="AW122" s="345"/>
      <c r="AX122" s="345"/>
      <c r="AY122" s="345"/>
      <c r="AZ122" s="345"/>
      <c r="BA122" s="345"/>
      <c r="BB122" s="345"/>
      <c r="BC122" s="345"/>
      <c r="BD122" s="345"/>
      <c r="BE122" s="345"/>
      <c r="BF122" s="345"/>
      <c r="BG122" s="345"/>
      <c r="BH122" s="345"/>
      <c r="BI122" s="345"/>
      <c r="BJ122" s="345"/>
    </row>
    <row r="123" spans="1:82" s="325" customFormat="1" ht="19.5" customHeight="1">
      <c r="A123" s="898"/>
      <c r="B123" s="358"/>
      <c r="C123" s="766"/>
      <c r="D123" s="895"/>
      <c r="E123" s="895"/>
      <c r="F123" s="895"/>
      <c r="G123" s="895"/>
      <c r="H123" s="895"/>
      <c r="I123" s="895"/>
      <c r="J123" s="901"/>
      <c r="K123" s="901"/>
      <c r="L123" s="899"/>
      <c r="M123" s="900"/>
      <c r="N123" s="897"/>
      <c r="O123" s="896"/>
      <c r="P123" s="896"/>
      <c r="Q123" s="897"/>
      <c r="R123" s="896"/>
      <c r="S123" s="896"/>
      <c r="T123" s="897"/>
      <c r="U123" s="896"/>
      <c r="V123" s="896"/>
      <c r="W123" s="897"/>
      <c r="X123" s="896"/>
      <c r="Y123" s="896"/>
      <c r="Z123" s="897"/>
      <c r="AA123" s="896"/>
      <c r="AB123" s="896"/>
      <c r="AC123" s="428"/>
      <c r="AD123" s="338"/>
      <c r="AE123" s="336"/>
      <c r="AF123" s="336"/>
      <c r="AG123" s="345"/>
      <c r="AH123" s="345"/>
      <c r="AI123" s="345"/>
      <c r="AJ123" s="345"/>
      <c r="AK123" s="345"/>
      <c r="AL123" s="345"/>
      <c r="AM123" s="345"/>
      <c r="AN123" s="345"/>
      <c r="AO123" s="345"/>
      <c r="AP123" s="345"/>
      <c r="AQ123" s="345"/>
      <c r="AR123" s="345"/>
      <c r="AS123" s="345"/>
      <c r="AT123" s="345"/>
      <c r="AU123" s="345"/>
      <c r="AV123" s="345"/>
      <c r="AW123" s="345"/>
      <c r="AX123" s="345"/>
      <c r="AY123" s="345"/>
      <c r="AZ123" s="345"/>
      <c r="BA123" s="345"/>
      <c r="BB123" s="345"/>
      <c r="BC123" s="345"/>
      <c r="BD123" s="345"/>
      <c r="BE123" s="345"/>
      <c r="BF123" s="345"/>
      <c r="BG123" s="345"/>
      <c r="BH123" s="345"/>
      <c r="BI123" s="345"/>
      <c r="BJ123" s="345"/>
    </row>
    <row r="124" spans="1:82" s="325" customFormat="1" ht="19.5" customHeight="1">
      <c r="A124" s="336"/>
      <c r="B124" s="336"/>
      <c r="C124" s="336"/>
      <c r="D124" s="336"/>
      <c r="E124" s="336"/>
      <c r="F124" s="336"/>
      <c r="G124" s="336"/>
      <c r="H124" s="336"/>
      <c r="I124" s="358"/>
      <c r="J124" s="387"/>
      <c r="K124" s="388"/>
      <c r="L124" s="389"/>
      <c r="M124" s="390"/>
      <c r="N124" s="391"/>
      <c r="O124" s="390"/>
      <c r="P124" s="392"/>
      <c r="Q124" s="331"/>
      <c r="R124" s="331"/>
      <c r="S124" s="331"/>
      <c r="T124" s="331"/>
      <c r="U124" s="331"/>
      <c r="V124" s="311"/>
      <c r="W124" s="393"/>
      <c r="X124" s="393"/>
      <c r="Y124" s="394"/>
      <c r="Z124" s="311"/>
      <c r="AA124" s="311"/>
      <c r="AB124" s="66"/>
      <c r="AC124" s="66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53"/>
      <c r="AQ124" s="428"/>
      <c r="AR124" s="428"/>
      <c r="AS124" s="428"/>
      <c r="AT124" s="428"/>
      <c r="AU124" s="428"/>
      <c r="AV124" s="428"/>
      <c r="AW124" s="428"/>
      <c r="AX124" s="428"/>
      <c r="AY124" s="428"/>
      <c r="AZ124" s="428"/>
      <c r="BA124" s="428"/>
      <c r="BB124" s="428"/>
      <c r="BC124" s="428"/>
      <c r="BD124" s="428"/>
      <c r="BE124" s="428"/>
      <c r="BF124" s="428"/>
      <c r="BG124" s="428"/>
      <c r="BH124" s="428"/>
      <c r="BI124" s="428"/>
      <c r="BJ124" s="428"/>
      <c r="BK124" s="385"/>
      <c r="BL124" s="338"/>
      <c r="BM124" s="338"/>
      <c r="BN124" s="336"/>
      <c r="BO124" s="338"/>
      <c r="BP124" s="336"/>
      <c r="BQ124" s="442"/>
      <c r="BR124" s="336"/>
      <c r="BS124" s="336"/>
      <c r="BT124" s="345"/>
      <c r="BU124" s="345"/>
      <c r="BV124" s="345"/>
      <c r="BW124" s="345"/>
      <c r="BX124" s="345"/>
      <c r="BY124" s="355"/>
      <c r="BZ124" s="355"/>
      <c r="CA124" s="355"/>
      <c r="CB124" s="382"/>
      <c r="CC124" s="382"/>
      <c r="CD124" s="382"/>
    </row>
    <row r="125" spans="1:82" s="345" customFormat="1" ht="19.5" customHeight="1">
      <c r="A125" s="919" t="s">
        <v>513</v>
      </c>
      <c r="B125" s="902"/>
      <c r="C125" s="329"/>
      <c r="D125" s="469"/>
      <c r="E125" s="469"/>
      <c r="F125" s="389"/>
      <c r="G125" s="469"/>
      <c r="H125" s="469"/>
      <c r="I125" s="469"/>
      <c r="J125" s="465"/>
      <c r="K125" s="451"/>
      <c r="L125" s="465"/>
      <c r="M125" s="465"/>
      <c r="N125" s="451"/>
      <c r="O125" s="465"/>
      <c r="P125" s="465"/>
      <c r="Q125" s="451"/>
      <c r="R125" s="465"/>
      <c r="S125" s="465"/>
      <c r="T125" s="451"/>
      <c r="U125" s="465"/>
      <c r="V125" s="465"/>
      <c r="W125" s="451"/>
      <c r="X125" s="465"/>
      <c r="Y125" s="465"/>
      <c r="Z125" s="385"/>
      <c r="AA125" s="385"/>
      <c r="AG125" s="428"/>
      <c r="AI125" s="428"/>
      <c r="AJ125" s="428"/>
      <c r="AK125" s="428"/>
      <c r="AL125" s="428"/>
      <c r="AP125" s="336"/>
      <c r="AQ125" s="442"/>
      <c r="AR125" s="336"/>
      <c r="AS125" s="336"/>
      <c r="AY125" s="355"/>
      <c r="AZ125" s="355"/>
    </row>
    <row r="126" spans="1:82" s="345" customFormat="1" ht="19.5" customHeight="1">
      <c r="B126" s="389" t="s">
        <v>560</v>
      </c>
      <c r="C126" s="329"/>
      <c r="D126" s="469"/>
      <c r="E126" s="469"/>
      <c r="F126" s="389"/>
      <c r="G126" s="469"/>
      <c r="H126" s="469"/>
      <c r="I126" s="469"/>
      <c r="J126" s="465"/>
      <c r="K126" s="451"/>
      <c r="L126" s="465"/>
      <c r="M126" s="465"/>
      <c r="N126" s="451"/>
      <c r="O126" s="465"/>
      <c r="P126" s="465"/>
      <c r="Q126" s="451"/>
      <c r="R126" s="465"/>
      <c r="S126" s="465"/>
      <c r="T126" s="451"/>
      <c r="U126" s="465"/>
      <c r="V126" s="465"/>
      <c r="W126" s="451"/>
      <c r="X126" s="465"/>
      <c r="Y126" s="465"/>
      <c r="Z126" s="385"/>
      <c r="AA126" s="385"/>
      <c r="AG126" s="428"/>
      <c r="AI126" s="428"/>
      <c r="AJ126" s="428"/>
      <c r="AK126" s="428"/>
      <c r="AL126" s="428"/>
      <c r="AP126" s="336"/>
      <c r="AQ126" s="442"/>
      <c r="AR126" s="336"/>
      <c r="AS126" s="336"/>
      <c r="AY126" s="355"/>
      <c r="AZ126" s="355"/>
    </row>
    <row r="127" spans="1:82" s="345" customFormat="1" ht="19.5" customHeight="1">
      <c r="A127" s="1633" t="s">
        <v>65</v>
      </c>
      <c r="B127" s="1653" t="s">
        <v>19</v>
      </c>
      <c r="C127" s="1692" t="s">
        <v>31</v>
      </c>
      <c r="D127" s="1692" t="s">
        <v>270</v>
      </c>
      <c r="E127" s="1694" t="s">
        <v>0</v>
      </c>
      <c r="F127" s="1692" t="s">
        <v>103</v>
      </c>
      <c r="G127" s="1379" t="s">
        <v>113</v>
      </c>
      <c r="H127" s="1380"/>
      <c r="I127" s="1367"/>
      <c r="J127" s="487" t="s">
        <v>363</v>
      </c>
      <c r="K127" s="1250" t="s">
        <v>564</v>
      </c>
      <c r="L127" s="1673">
        <f>$C$6</f>
        <v>6</v>
      </c>
      <c r="M127" s="1674"/>
      <c r="N127" s="1675"/>
      <c r="O127" s="1673">
        <f>$D$6</f>
        <v>10</v>
      </c>
      <c r="P127" s="1674"/>
      <c r="Q127" s="1675"/>
      <c r="R127" s="1673">
        <f>$E$6</f>
        <v>15</v>
      </c>
      <c r="S127" s="1674"/>
      <c r="T127" s="1675"/>
      <c r="U127" s="1673" t="str">
        <f>$F$6</f>
        <v>6 FFF</v>
      </c>
      <c r="V127" s="1674"/>
      <c r="W127" s="1675"/>
      <c r="X127" s="1673" t="str">
        <f>$G$6</f>
        <v>10 FFF</v>
      </c>
      <c r="Y127" s="1674"/>
      <c r="Z127" s="1676"/>
      <c r="AA127" s="487" t="s">
        <v>425</v>
      </c>
      <c r="AB127" s="487" t="s">
        <v>425</v>
      </c>
      <c r="AH127" s="428"/>
      <c r="AJ127" s="428"/>
      <c r="AK127" s="428"/>
      <c r="AL127" s="428"/>
      <c r="AM127" s="428"/>
      <c r="AQ127" s="336"/>
      <c r="AR127" s="442"/>
      <c r="AS127" s="336"/>
      <c r="AT127" s="336"/>
      <c r="AZ127" s="355"/>
      <c r="BA127" s="355"/>
    </row>
    <row r="128" spans="1:82" s="345" customFormat="1" ht="19.5" customHeight="1">
      <c r="A128" s="1634"/>
      <c r="B128" s="1654"/>
      <c r="C128" s="1682"/>
      <c r="D128" s="1682"/>
      <c r="E128" s="1696"/>
      <c r="F128" s="1682"/>
      <c r="G128" s="769"/>
      <c r="H128" s="762"/>
      <c r="I128" s="1368"/>
      <c r="J128" s="641" t="s">
        <v>563</v>
      </c>
      <c r="K128" s="1034" t="s">
        <v>171</v>
      </c>
      <c r="L128" s="328" t="s">
        <v>170</v>
      </c>
      <c r="M128" s="328" t="s">
        <v>329</v>
      </c>
      <c r="N128" s="328" t="s">
        <v>425</v>
      </c>
      <c r="O128" s="328" t="s">
        <v>170</v>
      </c>
      <c r="P128" s="328" t="s">
        <v>329</v>
      </c>
      <c r="Q128" s="328" t="s">
        <v>425</v>
      </c>
      <c r="R128" s="328" t="s">
        <v>170</v>
      </c>
      <c r="S128" s="328" t="s">
        <v>329</v>
      </c>
      <c r="T128" s="328" t="s">
        <v>425</v>
      </c>
      <c r="U128" s="328" t="s">
        <v>170</v>
      </c>
      <c r="V128" s="328" t="s">
        <v>329</v>
      </c>
      <c r="W128" s="328" t="s">
        <v>425</v>
      </c>
      <c r="X128" s="328" t="s">
        <v>170</v>
      </c>
      <c r="Y128" s="328" t="s">
        <v>329</v>
      </c>
      <c r="Z128" s="328" t="s">
        <v>425</v>
      </c>
      <c r="AA128" s="1034"/>
      <c r="AB128" s="641"/>
      <c r="AH128" s="428"/>
      <c r="AI128" s="428"/>
      <c r="AJ128" s="428"/>
      <c r="AK128" s="428"/>
      <c r="AL128" s="428"/>
      <c r="AM128" s="428"/>
      <c r="AQ128" s="336"/>
      <c r="AR128" s="442"/>
      <c r="AS128" s="336"/>
      <c r="AT128" s="336"/>
      <c r="AZ128" s="355"/>
      <c r="BA128" s="355"/>
    </row>
    <row r="129" spans="1:87" s="345" customFormat="1" ht="19.5" customHeight="1" thickBot="1">
      <c r="A129" s="1652"/>
      <c r="B129" s="1655"/>
      <c r="C129" s="1693"/>
      <c r="D129" s="1693"/>
      <c r="E129" s="1734"/>
      <c r="F129" s="1693"/>
      <c r="G129" s="354" t="s">
        <v>2</v>
      </c>
      <c r="H129" s="354" t="s">
        <v>96</v>
      </c>
      <c r="I129" s="354" t="s">
        <v>4</v>
      </c>
      <c r="J129" s="372" t="s">
        <v>369</v>
      </c>
      <c r="K129" s="372"/>
      <c r="L129" s="763" t="s">
        <v>331</v>
      </c>
      <c r="M129" s="763" t="s">
        <v>330</v>
      </c>
      <c r="N129" s="439" t="s">
        <v>576</v>
      </c>
      <c r="O129" s="763" t="s">
        <v>331</v>
      </c>
      <c r="P129" s="763" t="s">
        <v>330</v>
      </c>
      <c r="Q129" s="439" t="s">
        <v>576</v>
      </c>
      <c r="R129" s="764" t="s">
        <v>331</v>
      </c>
      <c r="S129" s="764" t="s">
        <v>330</v>
      </c>
      <c r="T129" s="439" t="s">
        <v>576</v>
      </c>
      <c r="U129" s="764" t="s">
        <v>331</v>
      </c>
      <c r="V129" s="764" t="s">
        <v>330</v>
      </c>
      <c r="W129" s="439" t="s">
        <v>576</v>
      </c>
      <c r="X129" s="764" t="s">
        <v>331</v>
      </c>
      <c r="Y129" s="764" t="s">
        <v>330</v>
      </c>
      <c r="Z129" s="439" t="s">
        <v>576</v>
      </c>
      <c r="AA129" s="641" t="s">
        <v>582</v>
      </c>
      <c r="AB129" s="641" t="s">
        <v>575</v>
      </c>
      <c r="AH129" s="428"/>
      <c r="AI129" s="428"/>
      <c r="AJ129" s="428"/>
      <c r="AK129" s="428"/>
      <c r="AL129" s="428"/>
      <c r="AM129" s="428"/>
      <c r="AQ129" s="336"/>
      <c r="AR129" s="442"/>
      <c r="AS129" s="336"/>
      <c r="AT129" s="336"/>
      <c r="AZ129" s="355"/>
      <c r="BA129" s="355"/>
    </row>
    <row r="130" spans="1:87" s="381" customFormat="1" ht="19.5" customHeight="1">
      <c r="A130" s="328"/>
      <c r="B130" s="1649" t="s">
        <v>535</v>
      </c>
      <c r="C130" s="1623" t="s">
        <v>333</v>
      </c>
      <c r="D130" s="1625">
        <v>6</v>
      </c>
      <c r="E130" s="1846">
        <v>0.25</v>
      </c>
      <c r="F130" s="1627" t="s">
        <v>12</v>
      </c>
      <c r="G130" s="1627">
        <v>250</v>
      </c>
      <c r="H130" s="1627">
        <v>0</v>
      </c>
      <c r="I130" s="1627">
        <v>0</v>
      </c>
      <c r="J130" s="1826">
        <v>1</v>
      </c>
      <c r="K130" s="1826">
        <v>1</v>
      </c>
      <c r="L130" s="1656">
        <f>IF($G130=0,0,IF($F130="recht",1+($G130-$C$17)/$C$18,1+($G130-$C$17-0.301*$C$18)/$C$18))+IF($H130=0,0,IF($F130="recht",$H130/$C$19,($H130-0.301*$C$19)/$C$19))+$I130/$C$20</f>
        <v>7.4545454545454541</v>
      </c>
      <c r="M130" s="1663">
        <f>10^(-L130)</f>
        <v>3.5111917342151263E-8</v>
      </c>
      <c r="N130" s="1656">
        <f>($C$7*J130/40*$C$11*$E130/$D130/$D130*M130*1000000)</f>
        <v>1.2191637966024744E-3</v>
      </c>
      <c r="O130" s="1656">
        <f>IF($G130=0,0,IF($F130="recht",1+($G130-$D$17)/$D$18,1+($G130-$D$17-0.301*$D$18)/$D$18))+IF($H130=0,0,IF($F130="recht",$H130/$D$19,($H130-0.301*$D$19)/$D$19))+$I130/$D$20</f>
        <v>6.6486486486486482</v>
      </c>
      <c r="P130" s="1663">
        <f>10^(-O130)</f>
        <v>2.2456979955397711E-7</v>
      </c>
      <c r="Q130" s="1656">
        <f>($C$7*J130/40*$D$11*$E130/$D130/$D130*P130*1000000)</f>
        <v>7.7975624845130955E-3</v>
      </c>
      <c r="R130" s="1771">
        <f>IF($G130=0,0,IF($F130="recht",1+($G130-$E$17)/$E$18,1+($G130-$E$17-0.301*$E$18)/$E$18))+IF($H130=0,0,IF($F130="recht",$H130/$E$19,($H130-0.301*$E$19)/$E$19))+$I130/$E$20</f>
        <v>6.024390243902439</v>
      </c>
      <c r="S130" s="1663">
        <f>10^(-R130)</f>
        <v>9.4538728313079291E-7</v>
      </c>
      <c r="T130" s="1656">
        <f>($C$7*J130/40*$E$11*$E130/$D130/$D130*S130*1000000)</f>
        <v>3.2825947330930312E-2</v>
      </c>
      <c r="U130" s="1771">
        <f>IF($G130=0,0,IF($F130="recht",1+($G130-$F$17)/$F$18,1+($G130-$F$17-0.301*$F$18)/$F$18))+IF($H130=0,0,IF($F130="recht",$H130/$F$19,($H130-0.301*$F$19)/$F$19))+$I130/$F$20</f>
        <v>9.1481481481481488</v>
      </c>
      <c r="V130" s="1663">
        <f>10^(-U130)</f>
        <v>7.1097094323124171E-10</v>
      </c>
      <c r="W130" s="1656">
        <f>($C$7*J130/40*$F$11*$E130/$D130/$D130*V130*1000000)</f>
        <v>2.4686491084418116E-5</v>
      </c>
      <c r="X130" s="1771">
        <f>IF($G130=0,0,IF($F130="recht",1+($G130-$G$17)/$G$18,1+($G130-$G$17-0.301*$G$18)/$G$18))+IF($H130=0,0,IF($F130="recht",$H130/$G$19,($H130-0.301*$G$19)/$G$19))+$I130/$G$20</f>
        <v>6.9444444444444446</v>
      </c>
      <c r="Y130" s="1663">
        <f>10^(-X130)</f>
        <v>1.136463666385722E-7</v>
      </c>
      <c r="Z130" s="1677">
        <f>($C$7*J130/40*$G$11*$E130/$D130/$D130*Y130*1000000)</f>
        <v>3.9460543971726455E-3</v>
      </c>
      <c r="AA130" s="1840">
        <f>(SUM(N130,Q130,T130,W130,Z130)+SUM(N132,Q132,T132,W132,Z132))/1000</f>
        <v>4.6186851134089458E-5</v>
      </c>
      <c r="AB130" s="1843">
        <f>AA130*K130</f>
        <v>4.6186851134089458E-5</v>
      </c>
    </row>
    <row r="131" spans="1:87" s="381" customFormat="1" ht="19.5" customHeight="1">
      <c r="A131" s="454"/>
      <c r="B131" s="1650"/>
      <c r="C131" s="1624"/>
      <c r="D131" s="1626"/>
      <c r="E131" s="1847"/>
      <c r="F131" s="1628"/>
      <c r="G131" s="1628"/>
      <c r="H131" s="1628"/>
      <c r="I131" s="1628"/>
      <c r="J131" s="1827"/>
      <c r="K131" s="1827"/>
      <c r="L131" s="1659"/>
      <c r="M131" s="1662"/>
      <c r="N131" s="1657"/>
      <c r="O131" s="1657"/>
      <c r="P131" s="1662"/>
      <c r="Q131" s="1657"/>
      <c r="R131" s="1772"/>
      <c r="S131" s="1662"/>
      <c r="T131" s="1657"/>
      <c r="U131" s="1772"/>
      <c r="V131" s="1662"/>
      <c r="W131" s="1657"/>
      <c r="X131" s="1772"/>
      <c r="Y131" s="1662"/>
      <c r="Z131" s="1678"/>
      <c r="AA131" s="1841"/>
      <c r="AB131" s="1844"/>
    </row>
    <row r="132" spans="1:87" s="381" customFormat="1" ht="19.5" customHeight="1">
      <c r="A132" s="326"/>
      <c r="B132" s="1650"/>
      <c r="C132" s="1687" t="s">
        <v>334</v>
      </c>
      <c r="D132" s="1626">
        <v>5</v>
      </c>
      <c r="E132" s="1824">
        <v>1</v>
      </c>
      <c r="F132" s="1628"/>
      <c r="G132" s="1628"/>
      <c r="H132" s="1628"/>
      <c r="I132" s="1628"/>
      <c r="J132" s="1827"/>
      <c r="K132" s="1827"/>
      <c r="L132" s="1658">
        <f>IF($G130=0,0,IF($F130="recht",$G130/$C$24,($G130-0.301*$C$24)/$C$24))+IF($H130=0,0,IF($F130="recht",$H130/$C$25,($H130-0.301*$C$25)/$C$25))+$I130/$C$26</f>
        <v>7.3529411764705879</v>
      </c>
      <c r="M132" s="1661">
        <f>10^(-L132)</f>
        <v>4.4366873309786093E-8</v>
      </c>
      <c r="N132" s="1658">
        <f>($C$7*J130/40*$C$8*$C$11*($C$12+$C$13*$C$14)*$E132/$D132/$D132*M132*1000000)</f>
        <v>2.6620123985871658E-5</v>
      </c>
      <c r="O132" s="1772">
        <f>IF($G130=0,0,IF(F130="recht",$G130/$D$24,($G130-0.301*$D$24)/$D$24))+IF($H130=0,0,IF($F130="recht",$H130/$D$25,($H130-0.301*$D$25)/$D$25))+$I130/$D$26</f>
        <v>6.5789473684210522</v>
      </c>
      <c r="P132" s="1661">
        <f>10^(-O132)</f>
        <v>2.636650898730358E-7</v>
      </c>
      <c r="Q132" s="1658">
        <f>($C$7*J130/40*$C$8*$D$11*($D$12+$D$13*$D$14)*$E132/$D132/$D132*P132*1000000)</f>
        <v>1.581990539238215E-4</v>
      </c>
      <c r="R132" s="1772">
        <f>IF($G130=0,0,IF($F130="recht",$G130/$E$24,($G130-0.301*$E$24)/$E$24))+IF($H130=0,0,IF($F130="recht",$H130/$E$25,($H130-0.301*$E$25)/$E$25))+$I130/$E$26</f>
        <v>6.5616797900262469</v>
      </c>
      <c r="S132" s="1661">
        <f>10^(-R132)</f>
        <v>2.7435963093132793E-7</v>
      </c>
      <c r="T132" s="1658">
        <f>($C$7*J130/40*$C$8*$E$11*($E$12+$E$13*$E$14)*$E132/$D132/$D132*S132*1000000)</f>
        <v>1.6461577855879676E-4</v>
      </c>
      <c r="U132" s="1772">
        <f>IF($G130=0,0,IF($F130="recht",$G130/$F$24,($G130-0.301*$F$24)/$F$24))+IF($H130=0,0,IF($F130="recht",$H130/$F$25,($H130-0.301*$F$25)/$F$25))+$I130/$F$26</f>
        <v>8.1967213114754092</v>
      </c>
      <c r="V132" s="1661">
        <f>10^(-U132)</f>
        <v>6.3573875711648393E-9</v>
      </c>
      <c r="W132" s="1658">
        <f>($C$7*J130/40*$C$8*$F$11*($F$12+$F$13*$F$14)*$E132/$D132/$D132*V132*1000000)</f>
        <v>2.1615117741960455E-6</v>
      </c>
      <c r="X132" s="1772">
        <f>IF($G130=0,0,IF($F130="recht",$G130/$G$24,($G130-0.301*$G$24)/$G$24))+IF($H130=0,0,IF($F130="recht",$H130/$G$25,($H130-0.301*$G$25)/$G$25))+$I130/$G$26</f>
        <v>7.0224719101123592</v>
      </c>
      <c r="Y132" s="1661">
        <f>10^(-X132)</f>
        <v>9.4957241494880226E-8</v>
      </c>
      <c r="Z132" s="1664">
        <f>($C$7*J130/40*$C$8*$G$11*($G$12+$G$13*$G$14)*$E132/$D132/$D132*Y132*1000000)</f>
        <v>2.1840165543822456E-5</v>
      </c>
      <c r="AA132" s="1841"/>
      <c r="AB132" s="1844"/>
    </row>
    <row r="133" spans="1:87" ht="19.5" customHeight="1" thickBot="1">
      <c r="A133" s="643"/>
      <c r="B133" s="1651"/>
      <c r="C133" s="1688"/>
      <c r="D133" s="1689"/>
      <c r="E133" s="1825"/>
      <c r="F133" s="1629"/>
      <c r="G133" s="1629"/>
      <c r="H133" s="1629"/>
      <c r="I133" s="1629"/>
      <c r="J133" s="1828"/>
      <c r="K133" s="1828"/>
      <c r="L133" s="1660"/>
      <c r="M133" s="1668"/>
      <c r="N133" s="1660"/>
      <c r="O133" s="1773"/>
      <c r="P133" s="1668"/>
      <c r="Q133" s="1660"/>
      <c r="R133" s="1773"/>
      <c r="S133" s="1668"/>
      <c r="T133" s="1660"/>
      <c r="U133" s="1773"/>
      <c r="V133" s="1668"/>
      <c r="W133" s="1660"/>
      <c r="X133" s="1773"/>
      <c r="Y133" s="1668"/>
      <c r="Z133" s="1665"/>
      <c r="AA133" s="1842"/>
      <c r="AB133" s="1845"/>
    </row>
    <row r="134" spans="1:87" ht="19.5" customHeight="1"/>
    <row r="135" spans="1:87" ht="19.5" customHeight="1"/>
    <row r="136" spans="1:87" s="325" customFormat="1" ht="19.5" customHeight="1" thickBot="1">
      <c r="A136" s="905" t="s">
        <v>509</v>
      </c>
      <c r="B136" s="881"/>
      <c r="C136" s="375"/>
      <c r="D136" s="376"/>
      <c r="E136" s="331"/>
      <c r="F136" s="331"/>
      <c r="G136" s="331"/>
      <c r="H136" s="331"/>
      <c r="I136" s="331"/>
      <c r="J136" s="331"/>
      <c r="K136" s="331"/>
      <c r="L136" s="377"/>
      <c r="M136" s="377"/>
      <c r="N136" s="331"/>
      <c r="O136" s="331"/>
      <c r="P136" s="331"/>
      <c r="Q136" s="331"/>
      <c r="R136" s="331"/>
      <c r="S136" s="380"/>
      <c r="T136" s="331"/>
      <c r="U136" s="311"/>
      <c r="V136" s="440"/>
      <c r="W136" s="311"/>
      <c r="X136" s="311"/>
      <c r="Y136" s="311"/>
      <c r="Z136" s="311"/>
      <c r="AA136" s="321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53"/>
      <c r="AQ136" s="428"/>
      <c r="AR136" s="428"/>
      <c r="AS136" s="428"/>
      <c r="AT136" s="428"/>
      <c r="AU136" s="428"/>
      <c r="AV136" s="428"/>
      <c r="AW136" s="428"/>
      <c r="AX136" s="428"/>
      <c r="AY136" s="428"/>
      <c r="AZ136" s="428"/>
      <c r="BA136" s="428"/>
      <c r="BB136" s="428"/>
      <c r="BC136" s="428"/>
      <c r="BD136" s="428"/>
      <c r="BE136" s="428"/>
      <c r="BF136" s="428"/>
      <c r="BG136" s="428"/>
      <c r="BH136" s="428"/>
      <c r="BI136" s="428"/>
      <c r="BJ136" s="428"/>
      <c r="BK136" s="385"/>
      <c r="BL136" s="338"/>
      <c r="BM136" s="338"/>
      <c r="BN136" s="336"/>
      <c r="BO136" s="338"/>
      <c r="BP136" s="336"/>
      <c r="BQ136" s="442"/>
      <c r="BR136" s="336"/>
      <c r="BS136" s="336"/>
      <c r="BT136" s="345"/>
      <c r="BU136" s="345"/>
      <c r="BV136" s="345"/>
      <c r="BW136" s="345"/>
      <c r="BX136" s="345"/>
      <c r="BY136" s="355"/>
      <c r="BZ136" s="355"/>
      <c r="CA136" s="355"/>
      <c r="CB136" s="382"/>
      <c r="CC136" s="382"/>
      <c r="CD136" s="382"/>
    </row>
    <row r="137" spans="1:87" s="325" customFormat="1" ht="19.5" customHeight="1">
      <c r="A137" s="1633" t="s">
        <v>65</v>
      </c>
      <c r="B137" s="1633" t="s">
        <v>19</v>
      </c>
      <c r="C137" s="1623" t="s">
        <v>31</v>
      </c>
      <c r="D137" s="1692" t="s">
        <v>332</v>
      </c>
      <c r="E137" s="1789" t="s">
        <v>0</v>
      </c>
      <c r="F137" s="1623" t="s">
        <v>103</v>
      </c>
      <c r="G137" s="493" t="s">
        <v>113</v>
      </c>
      <c r="H137" s="1382"/>
      <c r="I137" s="1383"/>
      <c r="J137" s="1673">
        <f>$C$6</f>
        <v>6</v>
      </c>
      <c r="K137" s="1674"/>
      <c r="L137" s="1675"/>
      <c r="M137" s="1673">
        <f>$D$6</f>
        <v>10</v>
      </c>
      <c r="N137" s="1674"/>
      <c r="O137" s="1675"/>
      <c r="P137" s="1673">
        <f>$E$6</f>
        <v>15</v>
      </c>
      <c r="Q137" s="1674"/>
      <c r="R137" s="1675"/>
      <c r="S137" s="1673" t="str">
        <f>$F$6</f>
        <v>6 FFF</v>
      </c>
      <c r="T137" s="1674"/>
      <c r="U137" s="1675"/>
      <c r="V137" s="1673" t="str">
        <f>$G$6</f>
        <v>10 FFF</v>
      </c>
      <c r="W137" s="1674"/>
      <c r="X137" s="1676"/>
      <c r="Y137" s="1778" t="s">
        <v>20</v>
      </c>
      <c r="Z137" s="1779"/>
      <c r="AA137" s="1780"/>
      <c r="AB137" s="45"/>
      <c r="AC137" s="45"/>
      <c r="AD137" s="45"/>
      <c r="AE137" s="45"/>
      <c r="AF137" s="66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53"/>
      <c r="AV137" s="428"/>
      <c r="AW137" s="428"/>
      <c r="AX137" s="428"/>
      <c r="AY137" s="428"/>
      <c r="AZ137" s="428"/>
      <c r="BA137" s="428"/>
      <c r="BB137" s="428"/>
      <c r="BC137" s="428"/>
      <c r="BD137" s="428"/>
      <c r="BE137" s="428"/>
      <c r="BF137" s="428"/>
      <c r="BG137" s="428"/>
      <c r="BH137" s="428"/>
      <c r="BI137" s="428"/>
      <c r="BJ137" s="428"/>
      <c r="BK137" s="428"/>
      <c r="BL137" s="428"/>
      <c r="BM137" s="428"/>
      <c r="BN137" s="428"/>
      <c r="BO137" s="428"/>
      <c r="BP137" s="385"/>
      <c r="BQ137" s="338"/>
      <c r="BR137" s="338"/>
      <c r="BS137" s="336"/>
      <c r="BT137" s="338"/>
      <c r="BU137" s="336"/>
      <c r="BV137" s="442"/>
      <c r="BW137" s="336"/>
      <c r="BX137" s="336"/>
      <c r="BY137" s="345"/>
      <c r="BZ137" s="345"/>
      <c r="CA137" s="345"/>
      <c r="CB137" s="345"/>
      <c r="CC137" s="345"/>
      <c r="CD137" s="355"/>
      <c r="CE137" s="355"/>
      <c r="CF137" s="355"/>
      <c r="CG137" s="382"/>
      <c r="CH137" s="382"/>
      <c r="CI137" s="382"/>
    </row>
    <row r="138" spans="1:87" s="325" customFormat="1" ht="19.5" customHeight="1">
      <c r="A138" s="1634"/>
      <c r="B138" s="1634"/>
      <c r="C138" s="1624"/>
      <c r="D138" s="1682"/>
      <c r="E138" s="1790"/>
      <c r="F138" s="1624"/>
      <c r="G138" s="586"/>
      <c r="H138" s="443"/>
      <c r="I138" s="1384"/>
      <c r="J138" s="1692" t="s">
        <v>343</v>
      </c>
      <c r="K138" s="328" t="s">
        <v>329</v>
      </c>
      <c r="L138" s="328" t="s">
        <v>20</v>
      </c>
      <c r="M138" s="1692" t="s">
        <v>343</v>
      </c>
      <c r="N138" s="328" t="s">
        <v>329</v>
      </c>
      <c r="O138" s="328" t="s">
        <v>20</v>
      </c>
      <c r="P138" s="1692" t="s">
        <v>343</v>
      </c>
      <c r="Q138" s="328" t="s">
        <v>329</v>
      </c>
      <c r="R138" s="328" t="s">
        <v>20</v>
      </c>
      <c r="S138" s="1692" t="s">
        <v>343</v>
      </c>
      <c r="T138" s="328" t="s">
        <v>329</v>
      </c>
      <c r="U138" s="328" t="s">
        <v>20</v>
      </c>
      <c r="V138" s="1692" t="s">
        <v>343</v>
      </c>
      <c r="W138" s="328" t="s">
        <v>329</v>
      </c>
      <c r="X138" s="765" t="s">
        <v>20</v>
      </c>
      <c r="Y138" s="882" t="s">
        <v>29</v>
      </c>
      <c r="Z138" s="1776" t="s">
        <v>297</v>
      </c>
      <c r="AA138" s="1777"/>
      <c r="AB138" s="45"/>
      <c r="AC138" s="45"/>
      <c r="AD138" s="45"/>
      <c r="AE138" s="45"/>
      <c r="AF138" s="66"/>
      <c r="AG138" s="66"/>
      <c r="AH138" s="66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53"/>
      <c r="AV138" s="428"/>
      <c r="AW138" s="428"/>
      <c r="AX138" s="428"/>
      <c r="AY138" s="428"/>
      <c r="AZ138" s="428"/>
      <c r="BA138" s="428"/>
      <c r="BB138" s="428"/>
      <c r="BC138" s="428"/>
      <c r="BD138" s="428"/>
      <c r="BE138" s="428"/>
      <c r="BF138" s="428"/>
      <c r="BG138" s="428"/>
      <c r="BH138" s="428"/>
      <c r="BI138" s="428"/>
      <c r="BJ138" s="428"/>
      <c r="BK138" s="428"/>
      <c r="BL138" s="428"/>
      <c r="BM138" s="428"/>
      <c r="BN138" s="428"/>
      <c r="BO138" s="428"/>
      <c r="BP138" s="385"/>
      <c r="BQ138" s="338"/>
      <c r="BR138" s="338"/>
      <c r="BS138" s="336"/>
      <c r="BT138" s="336"/>
      <c r="BU138" s="336"/>
      <c r="BV138" s="442"/>
      <c r="BW138" s="336"/>
      <c r="BX138" s="336"/>
      <c r="BY138" s="345"/>
      <c r="BZ138" s="345"/>
      <c r="CA138" s="345"/>
      <c r="CB138" s="345"/>
      <c r="CC138" s="345"/>
      <c r="CD138" s="355"/>
      <c r="CE138" s="355"/>
      <c r="CF138" s="355"/>
      <c r="CG138" s="382"/>
      <c r="CH138" s="382"/>
      <c r="CI138" s="382"/>
    </row>
    <row r="139" spans="1:87" s="325" customFormat="1" ht="19.5" customHeight="1" thickBot="1">
      <c r="A139" s="1634"/>
      <c r="B139" s="1634"/>
      <c r="C139" s="1726"/>
      <c r="D139" s="1682"/>
      <c r="E139" s="1790"/>
      <c r="F139" s="1624"/>
      <c r="G139" s="79" t="s">
        <v>3</v>
      </c>
      <c r="H139" s="72" t="s">
        <v>96</v>
      </c>
      <c r="I139" s="51" t="s">
        <v>4</v>
      </c>
      <c r="J139" s="1693"/>
      <c r="K139" s="764" t="s">
        <v>330</v>
      </c>
      <c r="L139" s="372" t="s">
        <v>291</v>
      </c>
      <c r="M139" s="1693"/>
      <c r="N139" s="764" t="s">
        <v>330</v>
      </c>
      <c r="O139" s="372" t="s">
        <v>291</v>
      </c>
      <c r="P139" s="1693"/>
      <c r="Q139" s="764" t="s">
        <v>330</v>
      </c>
      <c r="R139" s="372" t="s">
        <v>291</v>
      </c>
      <c r="S139" s="1693"/>
      <c r="T139" s="764" t="s">
        <v>330</v>
      </c>
      <c r="U139" s="372" t="s">
        <v>291</v>
      </c>
      <c r="V139" s="1693"/>
      <c r="W139" s="764" t="s">
        <v>330</v>
      </c>
      <c r="X139" s="347" t="s">
        <v>291</v>
      </c>
      <c r="Y139" s="883" t="s">
        <v>290</v>
      </c>
      <c r="Z139" s="884" t="s">
        <v>290</v>
      </c>
      <c r="AA139" s="885" t="s">
        <v>279</v>
      </c>
      <c r="AB139" s="45"/>
      <c r="AC139" s="45"/>
      <c r="AD139" s="45"/>
      <c r="AE139" s="45"/>
      <c r="AF139" s="78"/>
      <c r="AG139" s="66"/>
      <c r="AH139" s="66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53"/>
      <c r="AV139" s="53"/>
      <c r="AW139" s="53"/>
      <c r="AX139" s="53"/>
      <c r="AY139" s="428"/>
      <c r="AZ139" s="428"/>
      <c r="BA139" s="428"/>
      <c r="BB139" s="428"/>
      <c r="BC139" s="428"/>
      <c r="BD139" s="428"/>
      <c r="BE139" s="428"/>
      <c r="BF139" s="428"/>
      <c r="BG139" s="428"/>
      <c r="BH139" s="428"/>
      <c r="BI139" s="428"/>
      <c r="BJ139" s="428"/>
      <c r="BK139" s="428"/>
      <c r="BL139" s="428"/>
      <c r="BM139" s="428"/>
      <c r="BN139" s="428"/>
      <c r="BO139" s="428"/>
      <c r="BP139" s="385"/>
      <c r="BQ139" s="338"/>
      <c r="BR139" s="338"/>
      <c r="BS139" s="336"/>
      <c r="BT139" s="336"/>
      <c r="BU139" s="336"/>
      <c r="BV139" s="442"/>
      <c r="BW139" s="336"/>
      <c r="BX139" s="336"/>
      <c r="BY139" s="345"/>
      <c r="BZ139" s="345"/>
      <c r="CA139" s="345"/>
      <c r="CB139" s="345"/>
      <c r="CC139" s="345"/>
      <c r="CD139" s="355"/>
      <c r="CE139" s="355"/>
      <c r="CF139" s="355"/>
      <c r="CG139" s="382"/>
      <c r="CH139" s="382"/>
      <c r="CI139" s="382"/>
    </row>
    <row r="140" spans="1:87" s="325" customFormat="1" ht="19.5" customHeight="1">
      <c r="A140" s="1718" t="str">
        <f ca="1">'Linac 1'!A167</f>
        <v>T1</v>
      </c>
      <c r="B140" s="1851" t="str">
        <f ca="1">'Linac 1'!B167</f>
        <v>terreingrens 1</v>
      </c>
      <c r="C140" s="1623" t="s">
        <v>333</v>
      </c>
      <c r="D140" s="1627">
        <v>1</v>
      </c>
      <c r="E140" s="1627">
        <v>0</v>
      </c>
      <c r="F140" s="1627" t="s">
        <v>12</v>
      </c>
      <c r="G140" s="1627">
        <v>250</v>
      </c>
      <c r="H140" s="1627">
        <v>0</v>
      </c>
      <c r="I140" s="1627">
        <v>0</v>
      </c>
      <c r="J140" s="1656">
        <f>IF($G140=0,0,IF($F140="recht",1+($G140-$C$17)/$C$18,1+($G140-$C$17-0.301*$C$18)/$C$18))+IF($H140=0,0,IF($F140="recht",$H140/$C$19,($H140-0.301*$C$19)/$C$19))+$I140/$C$20</f>
        <v>7.4545454545454541</v>
      </c>
      <c r="K140" s="1791">
        <f>10^(-J140)</f>
        <v>3.5111917342151263E-8</v>
      </c>
      <c r="L140" s="1771">
        <f>$C$7*$C$11*$E140/$D140/$D140*K140*1000000</f>
        <v>0</v>
      </c>
      <c r="M140" s="1656">
        <f>IF($G140=0,0,IF($F140="recht",1+($G140-$D$17)/$D$18,1+($G140-$D$17-0.301*$D$18)/$D$18))+IF($H140=0,0,IF($F140="recht",$H140/$D$19,($H140-0.301*$D$19)/$D$19))+$I140/$D$20</f>
        <v>6.6486486486486482</v>
      </c>
      <c r="N140" s="1791">
        <f>10^(-M140)</f>
        <v>2.2456979955397711E-7</v>
      </c>
      <c r="O140" s="1771">
        <f>$C$7*$D$11*$E140/$D140/$D140*$N140*1000000</f>
        <v>0</v>
      </c>
      <c r="P140" s="1771">
        <f>IF($G140=0,0,IF($F140="recht",1+(G140-$E$17)/$E$18,1+(G140-$E$17-0.301*$E$18)/$E$18))+IF($H140=0,0,IF($F140="recht",$H140/$E$19,($H140-0.301*$E$19)/$E$19))+I140/$E$20</f>
        <v>6.024390243902439</v>
      </c>
      <c r="Q140" s="1791">
        <f>10^(-P140)</f>
        <v>9.4538728313079291E-7</v>
      </c>
      <c r="R140" s="1771">
        <f>$C$7*$E$11*$E140/$D140/$D140*$Q140*1000000</f>
        <v>0</v>
      </c>
      <c r="S140" s="1771">
        <f>IF($G140=0,0,IF($F140="recht",1+(G140-$F$17)/$F$18,1+(G140-$F$17-0.301*$F$18)/$F$18))+IF($H140=0,0,IF($F140="recht",$H140/$F$19,($H140-0.301*$F$19)/$F$19))+I140/$F$20</f>
        <v>9.1481481481481488</v>
      </c>
      <c r="T140" s="1791">
        <f>10^(-S140)</f>
        <v>7.1097094323124171E-10</v>
      </c>
      <c r="U140" s="1771">
        <f>$C$7*$F$11*$E140/$D140/$D140*$T140*1000000</f>
        <v>0</v>
      </c>
      <c r="V140" s="1771">
        <f>IF($G140=0,0,IF(F140="recht",1+(G140-$G$17)/$G$18,1+(G140-$G$17-0.301*$G$18)/$G$18))+IF($H140=0,0,IF($F140="recht",$H140/$G$19,($H140-0.301*$G$19)/$G$19))+I140/$G$20</f>
        <v>6.9444444444444446</v>
      </c>
      <c r="W140" s="1791">
        <f>10^(-V140)</f>
        <v>1.136463666385722E-7</v>
      </c>
      <c r="X140" s="1817">
        <f>$C$7*$G$11*$E140/$D140/$D140*$W140*1000000</f>
        <v>0</v>
      </c>
      <c r="Y140" s="1774">
        <f>SUM(L140,O140,R140,U140,X140)</f>
        <v>0</v>
      </c>
      <c r="Z140" s="886">
        <f>SUM(Y140:Y147)</f>
        <v>2.0415508389015229E-2</v>
      </c>
      <c r="AA140" s="887">
        <f>Z140*52/1000</f>
        <v>1.0616064362287919E-3</v>
      </c>
      <c r="AB140" s="45"/>
      <c r="AC140" s="45"/>
      <c r="AD140" s="45"/>
      <c r="AE140" s="821"/>
      <c r="AF140" s="78"/>
      <c r="AG140" s="53"/>
      <c r="AH140" s="53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53"/>
      <c r="AV140" s="53"/>
      <c r="AW140" s="53"/>
      <c r="AX140" s="53"/>
      <c r="AY140" s="428"/>
      <c r="AZ140" s="428"/>
      <c r="BA140" s="428"/>
      <c r="BB140" s="428"/>
      <c r="BC140" s="428"/>
      <c r="BD140" s="428"/>
      <c r="BE140" s="428"/>
      <c r="BF140" s="428"/>
      <c r="BG140" s="428"/>
      <c r="BH140" s="428"/>
      <c r="BI140" s="428"/>
      <c r="BJ140" s="428"/>
      <c r="BK140" s="428"/>
      <c r="BL140" s="428"/>
      <c r="BM140" s="428"/>
      <c r="BN140" s="428"/>
      <c r="BO140" s="428"/>
      <c r="BP140" s="385"/>
      <c r="BQ140" s="338"/>
      <c r="BR140" s="338"/>
      <c r="BS140" s="336"/>
      <c r="BT140" s="336"/>
      <c r="BU140" s="336"/>
      <c r="BV140" s="442"/>
      <c r="BW140" s="336"/>
      <c r="BX140" s="336"/>
      <c r="BY140" s="345"/>
      <c r="BZ140" s="345"/>
      <c r="CA140" s="345"/>
      <c r="CB140" s="345"/>
      <c r="CC140" s="345"/>
      <c r="CD140" s="355"/>
      <c r="CE140" s="355"/>
      <c r="CF140" s="355"/>
      <c r="CG140" s="382"/>
      <c r="CH140" s="382"/>
      <c r="CI140" s="382"/>
    </row>
    <row r="141" spans="1:87" s="325" customFormat="1" ht="19.5" customHeight="1">
      <c r="A141" s="1800"/>
      <c r="B141" s="1852"/>
      <c r="C141" s="1624"/>
      <c r="D141" s="1628"/>
      <c r="E141" s="1628"/>
      <c r="F141" s="1628"/>
      <c r="G141" s="1628"/>
      <c r="H141" s="1628"/>
      <c r="I141" s="1628"/>
      <c r="J141" s="1659"/>
      <c r="K141" s="1792"/>
      <c r="L141" s="1772"/>
      <c r="M141" s="1657"/>
      <c r="N141" s="1792"/>
      <c r="O141" s="1772"/>
      <c r="P141" s="1772"/>
      <c r="Q141" s="1792"/>
      <c r="R141" s="1772"/>
      <c r="S141" s="1772"/>
      <c r="T141" s="1792"/>
      <c r="U141" s="1772"/>
      <c r="V141" s="1772"/>
      <c r="W141" s="1792"/>
      <c r="X141" s="1808"/>
      <c r="Y141" s="1775"/>
      <c r="Z141" s="888"/>
      <c r="AA141" s="889"/>
      <c r="AB141" s="45"/>
      <c r="AC141" s="45"/>
      <c r="AD141" s="819"/>
      <c r="AE141" s="821"/>
      <c r="AF141" s="78"/>
      <c r="AG141" s="53"/>
      <c r="AH141" s="53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53"/>
      <c r="AV141" s="53"/>
      <c r="AW141" s="53"/>
      <c r="AX141" s="53"/>
      <c r="AY141" s="428"/>
      <c r="AZ141" s="428"/>
      <c r="BA141" s="428"/>
      <c r="BB141" s="428"/>
      <c r="BC141" s="428"/>
      <c r="BD141" s="428"/>
      <c r="BE141" s="428"/>
      <c r="BF141" s="428"/>
      <c r="BG141" s="428"/>
      <c r="BH141" s="428"/>
      <c r="BI141" s="428"/>
      <c r="BJ141" s="428"/>
      <c r="BK141" s="428"/>
      <c r="BL141" s="428"/>
      <c r="BM141" s="428"/>
      <c r="BN141" s="428"/>
      <c r="BO141" s="428"/>
      <c r="BP141" s="385"/>
      <c r="BQ141" s="338"/>
      <c r="BR141" s="338"/>
      <c r="BS141" s="336"/>
      <c r="BT141" s="336"/>
      <c r="BU141" s="336"/>
      <c r="BV141" s="442"/>
      <c r="BW141" s="336"/>
      <c r="BX141" s="336"/>
      <c r="BY141" s="345"/>
      <c r="BZ141" s="345"/>
      <c r="CA141" s="345"/>
      <c r="CB141" s="345"/>
      <c r="CC141" s="345"/>
      <c r="CD141" s="355"/>
      <c r="CE141" s="355"/>
      <c r="CF141" s="355"/>
      <c r="CG141" s="382"/>
      <c r="CH141" s="382"/>
      <c r="CI141" s="382"/>
    </row>
    <row r="142" spans="1:87" s="45" customFormat="1" ht="19.5" customHeight="1">
      <c r="A142" s="1800"/>
      <c r="B142" s="1852"/>
      <c r="C142" s="1687" t="s">
        <v>334</v>
      </c>
      <c r="D142" s="1626">
        <v>10</v>
      </c>
      <c r="E142" s="1815">
        <v>1</v>
      </c>
      <c r="F142" s="1628"/>
      <c r="G142" s="1628"/>
      <c r="H142" s="1628"/>
      <c r="I142" s="1628"/>
      <c r="J142" s="1772">
        <f>IF($G140=0,0,IF($F140="recht",$G140/$C$24,(G140-0.301*$C$24)/$C$24))+IF($H140=0,0,IF($F140="recht",$H140/$C$25,($H140-0.301*$C$25)/$C$25))+I140/$C$26</f>
        <v>7.3529411764705879</v>
      </c>
      <c r="K142" s="1792">
        <f>10^(-J142)</f>
        <v>4.4366873309786093E-8</v>
      </c>
      <c r="L142" s="1772">
        <f>$C$7*$C$8*$C$11*($C$12+$C$13*$C$14)*$E$142/$D142/$D142*$K142*1000000</f>
        <v>2.6620123985871658E-4</v>
      </c>
      <c r="M142" s="1772">
        <f>IF($G140=0,0,IF(F140="recht",$G140/$D$24,($G140-0.301*$D$24)/$D$24))+IF($H140=0,0,IF($F140="recht",$H140/$D$25,($H140-0.301*$D$25)/$D$25))+I140/$D$26</f>
        <v>6.5789473684210522</v>
      </c>
      <c r="N142" s="1792">
        <f>10^(-M142)</f>
        <v>2.636650898730358E-7</v>
      </c>
      <c r="O142" s="1772">
        <f>$C$7*$C$8*$D$11*($D$12+$D$13*$D$14)*$E$142/$D142/$D142*$N142*1000000</f>
        <v>1.581990539238215E-3</v>
      </c>
      <c r="P142" s="1772">
        <f>IF($G140=0,0,IF($F140="recht",$G140/$E$24,($G140-0.301*$E$24)/$E$24))+IF($H140=0,0,IF($F140="recht",$H140/$E$25,($H140-0.301*$E$25)/$E$25))+I140/$E$26</f>
        <v>6.5616797900262469</v>
      </c>
      <c r="Q142" s="1792">
        <f>10^(-P142)</f>
        <v>2.7435963093132793E-7</v>
      </c>
      <c r="R142" s="1772">
        <f>$C$7*$C$8*$E$11*($E$12+$E$13*$E$14)*$E142/$D142/$D142*$Q142*1000000</f>
        <v>1.6461577855879678E-3</v>
      </c>
      <c r="S142" s="1772">
        <f>IF($G140=0,0,IF($F140="recht",$G140/$F$24,(G140-0.301*$F$24)/$F$24))+IF($H140=0,0,IF($F140="recht",$H140/$F$25,($H140-0.301*$F$25)/$F$25))+I140/$F$26</f>
        <v>8.1967213114754092</v>
      </c>
      <c r="T142" s="1792">
        <f>10^(-S142)</f>
        <v>6.3573875711648393E-9</v>
      </c>
      <c r="U142" s="1772">
        <f>$C$7*$C$8*$F$11*($F$12+$F$13*$F$14)*$E$142/$D142/$D142*$T142*1000000</f>
        <v>2.1615117741960457E-5</v>
      </c>
      <c r="V142" s="1772">
        <f>IF($G140=0,0,IF($F140="recht",$G140/$G$24,($G140-0.301*$G$24)/$G$24))+IF($H140=0,0,IF($F140="recht",$H140/$G$25,($H140-0.301*$G$25)/$G$25))+I140/$G$26</f>
        <v>7.0224719101123592</v>
      </c>
      <c r="W142" s="1792">
        <f>10^(-V142)</f>
        <v>9.4957241494880226E-8</v>
      </c>
      <c r="X142" s="1808">
        <f>$C$7*$C$8*$G$11*($G$12+$G$13*$G$14)*$E$142/$D142/$D142*$W142*1000000</f>
        <v>2.1840165543822451E-4</v>
      </c>
      <c r="Y142" s="1805">
        <f>SUM(L142,O142,R142,U142,X142)</f>
        <v>3.7343663378650842E-3</v>
      </c>
      <c r="Z142" s="888"/>
      <c r="AA142" s="889"/>
      <c r="AE142" s="821"/>
      <c r="AF142" s="822"/>
      <c r="AG142" s="78"/>
      <c r="AH142" s="66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</row>
    <row r="143" spans="1:87" s="45" customFormat="1" ht="19.5" customHeight="1">
      <c r="A143" s="1800"/>
      <c r="B143" s="1852"/>
      <c r="C143" s="1688"/>
      <c r="D143" s="1689"/>
      <c r="E143" s="1816"/>
      <c r="F143" s="1628"/>
      <c r="G143" s="1628"/>
      <c r="H143" s="1628"/>
      <c r="I143" s="1628"/>
      <c r="J143" s="1773"/>
      <c r="K143" s="1793"/>
      <c r="L143" s="1773"/>
      <c r="M143" s="1773"/>
      <c r="N143" s="1793"/>
      <c r="O143" s="1773"/>
      <c r="P143" s="1773"/>
      <c r="Q143" s="1793"/>
      <c r="R143" s="1773"/>
      <c r="S143" s="1773"/>
      <c r="T143" s="1793"/>
      <c r="U143" s="1773"/>
      <c r="V143" s="1773"/>
      <c r="W143" s="1793"/>
      <c r="X143" s="1809"/>
      <c r="Y143" s="1805"/>
      <c r="Z143" s="888"/>
      <c r="AA143" s="889"/>
      <c r="AD143" s="824"/>
      <c r="AF143" s="53"/>
      <c r="AG143" s="66"/>
      <c r="AH143" s="66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</row>
    <row r="144" spans="1:87" s="45" customFormat="1" ht="19.5" customHeight="1">
      <c r="A144" s="1800"/>
      <c r="B144" s="1852"/>
      <c r="C144" s="1623" t="s">
        <v>34</v>
      </c>
      <c r="D144" s="1718">
        <f>D142</f>
        <v>10</v>
      </c>
      <c r="E144" s="1627">
        <v>0</v>
      </c>
      <c r="F144" s="1798" t="s">
        <v>12</v>
      </c>
      <c r="G144" s="1718">
        <f>X$10</f>
        <v>250</v>
      </c>
      <c r="H144" s="1718">
        <f>Y$10</f>
        <v>0</v>
      </c>
      <c r="I144" s="1718">
        <f>Z$10</f>
        <v>0</v>
      </c>
      <c r="J144" s="1801">
        <f>IF($G144=0,0,IF($F144="recht",1+(G144-$C$17)/$C$18,1+(G144-$C$17-0.301*$C$18)/$C$18))+IF($H144=0,0,IF($F144="recht",$H144/$C$19,($H144-0.301*$C$19)/$C$17))+I144/$C$20</f>
        <v>7.4545454545454541</v>
      </c>
      <c r="K144" s="1794">
        <f>10^(-J144)</f>
        <v>3.5111917342151263E-8</v>
      </c>
      <c r="L144" s="1796">
        <f>2.5*0.01*$C$7*$C$11*E$144*K144/U$10/U$10*$W$10^1.3/$D$144/$D$144*1000000</f>
        <v>0</v>
      </c>
      <c r="M144" s="1656">
        <f>IF($G144=0,0,IF($F144="recht",1+($G144-$D$17)/$D$18,1+($G144-$D$17-0.301*$D$18)/$D$18))+IF($H144=0,0,IF($F144="recht",$H144/$D$19,($H144-0.301*$D$19)/$D$19))+$I144/$D$20</f>
        <v>6.6486486486486482</v>
      </c>
      <c r="N144" s="1794">
        <f>10^(-M144)</f>
        <v>2.2456979955397711E-7</v>
      </c>
      <c r="O144" s="1796">
        <f>2.5*0.01*$C$7*$D$11*E$144*N144/U$10/U$10*$W$10^1.3/$D$144/$D$144*1000000</f>
        <v>0</v>
      </c>
      <c r="P144" s="1771">
        <f>IF($G144=0,0,IF($F144="recht",1+($G144-$E$17)/$E$18,1+($G144-$E$17-0.301*$E$18)/$E$18))+IF($H144=0,0,IF($F144="recht",$H144/$E$19,($H144-0.301*$E$19)/$E$19))+I144/$E$20</f>
        <v>6.024390243902439</v>
      </c>
      <c r="Q144" s="1794">
        <f>10^(-P144)</f>
        <v>9.4538728313079291E-7</v>
      </c>
      <c r="R144" s="1796">
        <f>2.5*0.01*$C$7*$E$11*E$144*Q144/U$10/U$10*$W$10^1.3/$D$144/$D$144*1000000</f>
        <v>0</v>
      </c>
      <c r="S144" s="1771">
        <f>IF($G144=0,0,IF(F144="recht",1+(G144-$F$17)/$F$18,1+(G144-$F$17-0.301*$F$18)/$F$18))+IF($H144=0,0,IF($F144="recht",$H144/$F$19,($H144-0.301*$F$19)/$F$19))+I144/$F$20</f>
        <v>9.1481481481481488</v>
      </c>
      <c r="T144" s="1794">
        <f>10^(-S144)</f>
        <v>7.1097094323124171E-10</v>
      </c>
      <c r="U144" s="1796">
        <f>2.5*0.01*$C$7*$F$11*E$144*T144/U$10/U$10*$W$10^1.3/$D$144/$D$144*1000000</f>
        <v>0</v>
      </c>
      <c r="V144" s="1771">
        <f>IF($G144=0,0,IF($F144="recht",1+(G144-$G$17)/$G$18,1+(G144-$G$17-0.301*$G$18)/$G$18))+IF($H144=0,0,IF($F144="recht",$H144/$G$19,($H144-0.301*$G$19)/$G$19))+I144/$G$20</f>
        <v>6.9444444444444446</v>
      </c>
      <c r="W144" s="1794">
        <f>10^(-V144)</f>
        <v>1.136463666385722E-7</v>
      </c>
      <c r="X144" s="1819">
        <f>2.5*0.01*$C$7*$G$11*E$144*W144/U$10/U$10*$W$10^1.3/$D$144/$D$144*1000000</f>
        <v>0</v>
      </c>
      <c r="Y144" s="1805">
        <f>SUM(L144,O144,R144,U144,X144)</f>
        <v>0</v>
      </c>
      <c r="Z144" s="890"/>
      <c r="AA144" s="891"/>
      <c r="AD144" s="824"/>
    </row>
    <row r="145" spans="1:87" s="45" customFormat="1" ht="19.5" customHeight="1">
      <c r="A145" s="1800"/>
      <c r="B145" s="1852"/>
      <c r="C145" s="1624"/>
      <c r="D145" s="1800"/>
      <c r="E145" s="1628"/>
      <c r="F145" s="1799"/>
      <c r="G145" s="1800"/>
      <c r="H145" s="1800"/>
      <c r="I145" s="1800"/>
      <c r="J145" s="1802"/>
      <c r="K145" s="1795"/>
      <c r="L145" s="1797"/>
      <c r="M145" s="1657"/>
      <c r="N145" s="1795"/>
      <c r="O145" s="1797"/>
      <c r="P145" s="1772"/>
      <c r="Q145" s="1795"/>
      <c r="R145" s="1797"/>
      <c r="S145" s="1772"/>
      <c r="T145" s="1812"/>
      <c r="U145" s="1818"/>
      <c r="V145" s="1772"/>
      <c r="W145" s="1812"/>
      <c r="X145" s="1820"/>
      <c r="Y145" s="1805"/>
      <c r="Z145" s="890"/>
      <c r="AA145" s="891"/>
      <c r="AE145" s="821"/>
    </row>
    <row r="146" spans="1:87" s="45" customFormat="1" ht="19.5" customHeight="1">
      <c r="A146" s="1800"/>
      <c r="B146" s="1852"/>
      <c r="C146" s="1623" t="s">
        <v>35</v>
      </c>
      <c r="D146" s="1800"/>
      <c r="E146" s="1798">
        <v>1</v>
      </c>
      <c r="F146" s="1798" t="s">
        <v>116</v>
      </c>
      <c r="G146" s="1718">
        <f>X$11</f>
        <v>200</v>
      </c>
      <c r="H146" s="1718">
        <f>Y$11</f>
        <v>0</v>
      </c>
      <c r="I146" s="1718">
        <f>Z$11</f>
        <v>0</v>
      </c>
      <c r="J146" s="1801">
        <f>IF($G146=0,0,IF($F146="recht",$GG146/$C$24,($G146-0.301*$C$24)/$C$24))+IF($H146=0,0,IF($F146="recht",$H146/$C$25,($H146-0.301*$C$25)/$C$25))+I146/$C$26</f>
        <v>5.58135294117647</v>
      </c>
      <c r="K146" s="1794">
        <f>10^(-J146)</f>
        <v>2.6220867674308296E-6</v>
      </c>
      <c r="L146" s="1796">
        <f>2.5*0.01*$C$7*$C$8*$C$11*($C$12+$C$13*$C$14)*E$146/U$11/U$11*K146*$W$11^1.3/$D$144/$D$144*1000000</f>
        <v>1.7419398413490567E-3</v>
      </c>
      <c r="M146" s="1801">
        <f>IF($G146=0,0,IF($F146="recht",$G146/$D$24,($G146-0.301*$D$24)/$D$24))+IF($H146=0,0,IF($F146="recht",$H146/$D$25,($H146-0.301*$D$25)/$D$25))+I146/$D$26</f>
        <v>4.9621578947368423</v>
      </c>
      <c r="N146" s="1794">
        <f>10^(-M146)</f>
        <v>1.0910435979026304E-5</v>
      </c>
      <c r="O146" s="1796">
        <f>2.5*0.01*$C$7*$C$8*$D$11*($D$12+$D$13*$D$14)*E$146/U$11/U$11*N146*$W$11^1.3/$D$144/$D$144*1000000</f>
        <v>7.2481671294866799E-3</v>
      </c>
      <c r="P146" s="1801">
        <f>IF($G146=0,0,IF($F146="recht",$G146/$E$24,(G146-0.301*$E$24)/$E$24))+IF($H146=0,0,IF($F146="recht",$H146/$E$25,($H146-0.301*$E$25)/$E$25))+I146/$E$26</f>
        <v>4.9483438320209974</v>
      </c>
      <c r="Q146" s="1794">
        <f>10^(-P146)</f>
        <v>1.1263054043136272E-5</v>
      </c>
      <c r="R146" s="1796">
        <f>2.5*0.01*$C$7*$C$8*$E$11*($E$12+$E$13*$E$14)*E$146/U$11/U$11*Q146*$W$11^1.3/$D$144/$D$144*1000000</f>
        <v>7.4824230901520735E-3</v>
      </c>
      <c r="S146" s="1806">
        <f>IF(G$146=0,0,IF(F146="recht",$G146/$F$146,($G146-0.301*$F$24)/$F$24))+IF($H146=0,0,IF($F146="recht",$H146/$F$25,($H146-0.301*$F$25)/$F$25))+I146/$F$26</f>
        <v>6.2563770491803279</v>
      </c>
      <c r="T146" s="1811">
        <f>10^(-S146)</f>
        <v>5.5414440263229426E-7</v>
      </c>
      <c r="U146" s="1796">
        <f>2.5*0.01*$C$7*$C$8*$F$11*($F$12+$F$13*$F$14)*E$146/U$11/U$11*T146*$W$11^1.3/$D$144/$D$144*1000000</f>
        <v>2.0861076276506701E-4</v>
      </c>
      <c r="V146" s="1806">
        <f>IF($G146=0,0,IF($F146="recht",$G146/$G$24,($G146-0.301*$G$24)/$G$24))+IF($H146=0,0,IF($F146="recht",$H146/$G$25,($H146-0.301*$G$25)/$G$25))+I146/$G$26</f>
        <v>5.3169775280898879</v>
      </c>
      <c r="W146" s="1811">
        <f>10^(-V146)</f>
        <v>4.8197273592906954E-6</v>
      </c>
      <c r="X146" s="1819">
        <f>2.5*0.01*$C$7*$C$8*$G$11*($G$12+$G$13*$G$14)*E$146/U$11/U$11*W146*$W$11^1.3/$D$144/$D$144</f>
        <v>1.2273972646840874E-9</v>
      </c>
      <c r="Y146" s="1775">
        <f>SUM(L146,O146,R146,U146,X146)</f>
        <v>1.6681142051150143E-2</v>
      </c>
      <c r="Z146" s="890"/>
      <c r="AA146" s="891"/>
      <c r="AE146" s="819"/>
      <c r="AF146" s="819"/>
    </row>
    <row r="147" spans="1:87" s="45" customFormat="1" ht="19.5" customHeight="1" thickBot="1">
      <c r="A147" s="1711"/>
      <c r="B147" s="1853"/>
      <c r="C147" s="1624"/>
      <c r="D147" s="1800"/>
      <c r="E147" s="1799"/>
      <c r="F147" s="1799"/>
      <c r="G147" s="1800"/>
      <c r="H147" s="1800"/>
      <c r="I147" s="1800"/>
      <c r="J147" s="1802"/>
      <c r="K147" s="1795"/>
      <c r="L147" s="1797"/>
      <c r="M147" s="1802"/>
      <c r="N147" s="1795"/>
      <c r="O147" s="1797"/>
      <c r="P147" s="1802"/>
      <c r="Q147" s="1795"/>
      <c r="R147" s="1797"/>
      <c r="S147" s="1802"/>
      <c r="T147" s="1795"/>
      <c r="U147" s="1797"/>
      <c r="V147" s="1802"/>
      <c r="W147" s="1795"/>
      <c r="X147" s="1823"/>
      <c r="Y147" s="1807"/>
      <c r="Z147" s="892"/>
      <c r="AA147" s="893"/>
      <c r="AD147" s="818"/>
      <c r="AE147" s="819"/>
      <c r="AF147" s="819"/>
    </row>
    <row r="148" spans="1:87" s="325" customFormat="1" ht="19.5" customHeight="1">
      <c r="A148" s="1718" t="str">
        <f ca="1">'Linac 1'!A175</f>
        <v>T2</v>
      </c>
      <c r="B148" s="1851" t="str">
        <f ca="1">'Linac 1'!B175</f>
        <v>terreingrens 2</v>
      </c>
      <c r="C148" s="1623" t="s">
        <v>333</v>
      </c>
      <c r="D148" s="1627">
        <v>1</v>
      </c>
      <c r="E148" s="1627">
        <v>0</v>
      </c>
      <c r="F148" s="1627" t="s">
        <v>12</v>
      </c>
      <c r="G148" s="1627">
        <v>250</v>
      </c>
      <c r="H148" s="1627">
        <v>0</v>
      </c>
      <c r="I148" s="1627">
        <v>0</v>
      </c>
      <c r="J148" s="1656">
        <f>IF($G148=0,0,IF($F148="recht",1+($G148-$C$17)/$C$18,1+($G148-$C$17-0.301*$C$18)/$C$18))+IF($H148=0,0,IF($F148="recht",$H148/$C$19,($H148-0.301*$C$19)/$C$19))+$I148/$C$20</f>
        <v>7.4545454545454541</v>
      </c>
      <c r="K148" s="1791">
        <f>10^(-J148)</f>
        <v>3.5111917342151263E-8</v>
      </c>
      <c r="L148" s="1771">
        <f>$C$7*$C$11*$E148/$D148/$D148*K148*1000000</f>
        <v>0</v>
      </c>
      <c r="M148" s="1656">
        <f>IF($G148=0,0,IF($F148="recht",1+($G148-$D$17)/$D$18,1+($G148-$D$17-0.301*$D$18)/$D$18))+IF($H148=0,0,IF($F148="recht",$H148/$D$19,($H148-0.301*$D$19)/$D$19))+$I148/$D$20</f>
        <v>6.6486486486486482</v>
      </c>
      <c r="N148" s="1791">
        <f>10^(-M148)</f>
        <v>2.2456979955397711E-7</v>
      </c>
      <c r="O148" s="1771">
        <f>$C$7*$D$11*$E148/$D148/$D148*$N148*1000000</f>
        <v>0</v>
      </c>
      <c r="P148" s="1771">
        <f>IF($G148=0,0,IF($F148="recht",1+(G148-$E$17)/$E$18,1+(G148-$E$17-0.301*$E$18)/$E$18))+IF($H148=0,0,IF($F148="recht",$H148/$E$19,($H148-0.301*$E$19)/$E$19))+I148/$E$20</f>
        <v>6.024390243902439</v>
      </c>
      <c r="Q148" s="1791">
        <f>10^(-P148)</f>
        <v>9.4538728313079291E-7</v>
      </c>
      <c r="R148" s="1771">
        <f>$C$7*$E$11*$E148/$D148/$D148*$Q148*1000000</f>
        <v>0</v>
      </c>
      <c r="S148" s="1771">
        <f>IF($G148=0,0,IF($F148="recht",1+(G148-$F$17)/$F$18,1+(G148-$F$17-0.301*$F$18)/$F$18))+IF($H148=0,0,IF($F148="recht",$H148/$F$19,($H148-0.301*$F$19)/$F$19))+I148/$F$20</f>
        <v>9.1481481481481488</v>
      </c>
      <c r="T148" s="1791">
        <f>10^(-S148)</f>
        <v>7.1097094323124171E-10</v>
      </c>
      <c r="U148" s="1771">
        <f>$C$7*$F$11*$E148/$D148/$D148*$T148*1000000</f>
        <v>0</v>
      </c>
      <c r="V148" s="1771">
        <f>IF($G148=0,0,IF(F148="recht",1+(G148-$G$17)/$G$18,1+(G148-$G$17-0.301*$G$18)/$G$18))+IF($H148=0,0,IF($F148="recht",$H148/$G$19,($H148-0.301*$G$19)/$G$19))+I148/$G$20</f>
        <v>6.9444444444444446</v>
      </c>
      <c r="W148" s="1791">
        <f>10^(-V148)</f>
        <v>1.136463666385722E-7</v>
      </c>
      <c r="X148" s="1817">
        <f>$C$7*$G$11*$E148/$D148/$D148*$W148*1000000</f>
        <v>0</v>
      </c>
      <c r="Y148" s="1813">
        <f>SUM(L148,O148,R148,U148,X148)</f>
        <v>0</v>
      </c>
      <c r="Z148" s="886">
        <f>SUM(Y148:Y155)</f>
        <v>2.0415508389015229E-2</v>
      </c>
      <c r="AA148" s="887">
        <f>Z148*52/1000</f>
        <v>1.0616064362287919E-3</v>
      </c>
      <c r="AB148" s="45"/>
      <c r="AC148" s="45"/>
      <c r="AD148" s="818"/>
      <c r="AE148" s="819"/>
      <c r="AF148" s="66"/>
      <c r="AG148" s="53"/>
      <c r="AH148" s="53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53"/>
      <c r="AV148" s="53"/>
      <c r="AW148" s="53"/>
      <c r="AX148" s="53"/>
      <c r="AY148" s="428"/>
      <c r="AZ148" s="428"/>
      <c r="BA148" s="428"/>
      <c r="BB148" s="428"/>
      <c r="BC148" s="428"/>
      <c r="BD148" s="428"/>
      <c r="BE148" s="428"/>
      <c r="BF148" s="428"/>
      <c r="BG148" s="428"/>
      <c r="BH148" s="428"/>
      <c r="BI148" s="428"/>
      <c r="BJ148" s="428"/>
      <c r="BK148" s="428"/>
      <c r="BL148" s="428"/>
      <c r="BM148" s="428"/>
      <c r="BN148" s="428"/>
      <c r="BO148" s="428"/>
      <c r="BP148" s="385"/>
      <c r="BQ148" s="338"/>
      <c r="BR148" s="338"/>
      <c r="BS148" s="336"/>
      <c r="BT148" s="336"/>
      <c r="BU148" s="336"/>
      <c r="BV148" s="442"/>
      <c r="BW148" s="336"/>
      <c r="BX148" s="336"/>
      <c r="BY148" s="345"/>
      <c r="BZ148" s="345"/>
      <c r="CA148" s="345"/>
      <c r="CB148" s="345"/>
      <c r="CC148" s="345"/>
      <c r="CD148" s="355"/>
      <c r="CE148" s="355"/>
      <c r="CF148" s="355"/>
      <c r="CG148" s="382"/>
      <c r="CH148" s="382"/>
      <c r="CI148" s="382"/>
    </row>
    <row r="149" spans="1:87" s="325" customFormat="1" ht="19.5" customHeight="1">
      <c r="A149" s="1800"/>
      <c r="B149" s="1852"/>
      <c r="C149" s="1624"/>
      <c r="D149" s="1628"/>
      <c r="E149" s="1628"/>
      <c r="F149" s="1628"/>
      <c r="G149" s="1628"/>
      <c r="H149" s="1628"/>
      <c r="I149" s="1628"/>
      <c r="J149" s="1659"/>
      <c r="K149" s="1792"/>
      <c r="L149" s="1772"/>
      <c r="M149" s="1657"/>
      <c r="N149" s="1792"/>
      <c r="O149" s="1772"/>
      <c r="P149" s="1772"/>
      <c r="Q149" s="1792"/>
      <c r="R149" s="1772"/>
      <c r="S149" s="1772"/>
      <c r="T149" s="1792"/>
      <c r="U149" s="1772"/>
      <c r="V149" s="1772"/>
      <c r="W149" s="1792"/>
      <c r="X149" s="1808"/>
      <c r="Y149" s="1814"/>
      <c r="Z149" s="888"/>
      <c r="AA149" s="889"/>
      <c r="AB149" s="45"/>
      <c r="AC149" s="45"/>
      <c r="AD149" s="45"/>
      <c r="AE149" s="820"/>
      <c r="AF149" s="823"/>
      <c r="AG149" s="53"/>
      <c r="AH149" s="53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53"/>
      <c r="AV149" s="53"/>
      <c r="AW149" s="53"/>
      <c r="AX149" s="53"/>
      <c r="AY149" s="428"/>
      <c r="AZ149" s="428"/>
      <c r="BA149" s="428"/>
      <c r="BB149" s="428"/>
      <c r="BC149" s="428"/>
      <c r="BD149" s="428"/>
      <c r="BE149" s="428"/>
      <c r="BF149" s="428"/>
      <c r="BG149" s="428"/>
      <c r="BH149" s="428"/>
      <c r="BI149" s="428"/>
      <c r="BJ149" s="428"/>
      <c r="BK149" s="428"/>
      <c r="BL149" s="428"/>
      <c r="BM149" s="428"/>
      <c r="BN149" s="428"/>
      <c r="BO149" s="428"/>
      <c r="BP149" s="385"/>
      <c r="BQ149" s="338"/>
      <c r="BR149" s="338"/>
      <c r="BS149" s="336"/>
      <c r="BT149" s="336"/>
      <c r="BU149" s="336"/>
      <c r="BV149" s="442"/>
      <c r="BW149" s="336"/>
      <c r="BX149" s="336"/>
      <c r="BY149" s="345"/>
      <c r="BZ149" s="345"/>
      <c r="CA149" s="345"/>
      <c r="CB149" s="345"/>
      <c r="CC149" s="345"/>
      <c r="CD149" s="355"/>
      <c r="CE149" s="355"/>
      <c r="CF149" s="355"/>
      <c r="CG149" s="382"/>
      <c r="CH149" s="382"/>
      <c r="CI149" s="382"/>
    </row>
    <row r="150" spans="1:87" s="45" customFormat="1" ht="19.5" customHeight="1">
      <c r="A150" s="1800"/>
      <c r="B150" s="1852"/>
      <c r="C150" s="1687" t="s">
        <v>334</v>
      </c>
      <c r="D150" s="1626">
        <v>10</v>
      </c>
      <c r="E150" s="1815">
        <v>1</v>
      </c>
      <c r="F150" s="1628"/>
      <c r="G150" s="1628"/>
      <c r="H150" s="1628"/>
      <c r="I150" s="1628"/>
      <c r="J150" s="1772">
        <f>IF($G148=0,0,IF($F148="recht",$G148/$C$24,(G148-0.301*$C$24)/$C$24))+IF($H148=0,0,IF($F148="recht",$H148/$C$25,($H148-0.301*$C$25)/$C$25))+I148/$C$26</f>
        <v>7.3529411764705879</v>
      </c>
      <c r="K150" s="1792">
        <f>10^(-J150)</f>
        <v>4.4366873309786093E-8</v>
      </c>
      <c r="L150" s="1772">
        <f>$C$7*$C$8*$C$11*($C$12+$C$13*$C$14)*$E150/$D150/$D150*$K150*1000000</f>
        <v>2.6620123985871658E-4</v>
      </c>
      <c r="M150" s="1772">
        <f>IF($G148=0,0,IF(F148="recht",$G148/$D$24,($G148-0.301*$D$24)/$D$24))+IF($H148=0,0,IF($F148="recht",$H148/$D$25,($H148-0.301*$D$25)/$D$25))+I148/$D$26</f>
        <v>6.5789473684210522</v>
      </c>
      <c r="N150" s="1792">
        <f>10^(-M150)</f>
        <v>2.636650898730358E-7</v>
      </c>
      <c r="O150" s="1772">
        <f>$C$7*$C$8*$D$11*($D$12+$D$13*$D$14)*$E150/$D150/$D150*$N150*1000000</f>
        <v>1.581990539238215E-3</v>
      </c>
      <c r="P150" s="1772">
        <f>IF($G148=0,0,IF($F148="recht",$G148/$E$24,($G148-0.301*$E$24)/$E$24))+IF($H148=0,0,IF($F148="recht",$H148/$E$25,($H148-0.301*$E$25)/$E$25))+I148/$E$26</f>
        <v>6.5616797900262469</v>
      </c>
      <c r="Q150" s="1792">
        <f>10^(-P150)</f>
        <v>2.7435963093132793E-7</v>
      </c>
      <c r="R150" s="1772">
        <f>$C$7*$C$8*$E$11*($E$12+$E$13*$E$14)*$E150/$D150/$D150*$Q150*1000000</f>
        <v>1.6461577855879678E-3</v>
      </c>
      <c r="S150" s="1772">
        <f>IF($G148=0,0,IF($F148="recht",$G148/$F$24,(G148-0.301*$F$24)/$F$24))+IF($H148=0,0,IF($F148="recht",$H148/$F$25,($H148-0.301*$F$25)/$F$25))+I148/$F$26</f>
        <v>8.1967213114754092</v>
      </c>
      <c r="T150" s="1792">
        <f>10^(-S150)</f>
        <v>6.3573875711648393E-9</v>
      </c>
      <c r="U150" s="1772">
        <f>$C$7*$C$8*$F$11*($F$12+$F$13*$F$14)*$E150/$D150/$D150*$T150*1000000</f>
        <v>2.1615117741960457E-5</v>
      </c>
      <c r="V150" s="1772">
        <f>IF($G148=0,0,IF($F148="recht",$G148/$G$24,($G148-0.301*$G$24)/$G$24))+IF($H148=0,0,IF($F148="recht",$H148/$G$25,($H148-0.301*$G$25)/$G$25))+I148/$G$26</f>
        <v>7.0224719101123592</v>
      </c>
      <c r="W150" s="1792">
        <f>10^(-V150)</f>
        <v>9.4957241494880226E-8</v>
      </c>
      <c r="X150" s="1808">
        <f>$C$7*$C$8*$G$11*($G$12+$G$13*$G$14)*$E150/$D150/$D150*$W150*1000000</f>
        <v>2.1840165543822451E-4</v>
      </c>
      <c r="Y150" s="1810">
        <f>SUM(L150,O150,R150,U150,X150)</f>
        <v>3.7343663378650842E-3</v>
      </c>
      <c r="Z150" s="888"/>
      <c r="AA150" s="889"/>
      <c r="AD150" s="325"/>
      <c r="AF150" s="53"/>
      <c r="AG150" s="66"/>
      <c r="AH150" s="66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</row>
    <row r="151" spans="1:87" s="45" customFormat="1" ht="19.5" customHeight="1">
      <c r="A151" s="1800"/>
      <c r="B151" s="1852"/>
      <c r="C151" s="1688"/>
      <c r="D151" s="1689"/>
      <c r="E151" s="1816"/>
      <c r="F151" s="1628"/>
      <c r="G151" s="1628"/>
      <c r="H151" s="1628"/>
      <c r="I151" s="1628"/>
      <c r="J151" s="1773"/>
      <c r="K151" s="1793"/>
      <c r="L151" s="1773"/>
      <c r="M151" s="1773"/>
      <c r="N151" s="1793"/>
      <c r="O151" s="1773"/>
      <c r="P151" s="1773"/>
      <c r="Q151" s="1793"/>
      <c r="R151" s="1773"/>
      <c r="S151" s="1773"/>
      <c r="T151" s="1793"/>
      <c r="U151" s="1773"/>
      <c r="V151" s="1773"/>
      <c r="W151" s="1793"/>
      <c r="X151" s="1809"/>
      <c r="Y151" s="1810"/>
      <c r="Z151" s="888"/>
      <c r="AA151" s="889"/>
      <c r="AF151" s="53"/>
      <c r="AG151" s="66"/>
      <c r="AH151" s="66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</row>
    <row r="152" spans="1:87" s="45" customFormat="1" ht="19.5" customHeight="1">
      <c r="A152" s="1800"/>
      <c r="B152" s="1852"/>
      <c r="C152" s="1623" t="s">
        <v>34</v>
      </c>
      <c r="D152" s="1718">
        <f>D150</f>
        <v>10</v>
      </c>
      <c r="E152" s="1718">
        <f>E144</f>
        <v>0</v>
      </c>
      <c r="F152" s="1798" t="s">
        <v>12</v>
      </c>
      <c r="G152" s="1718">
        <f>X$10</f>
        <v>250</v>
      </c>
      <c r="H152" s="1718">
        <f>Y$10</f>
        <v>0</v>
      </c>
      <c r="I152" s="1718">
        <f>Z$10</f>
        <v>0</v>
      </c>
      <c r="J152" s="1801">
        <f>IF($G152=0,0,IF($F152="recht",1+(G152-$C$17)/$C$18,1+(G152-$C$17-0.301*$C$18)/$C$18))+IF($H152=0,0,IF($F152="recht",$H152/$C$19,($H152-0.301*$C$19)/$C$17))+I152/$C$20</f>
        <v>7.4545454545454541</v>
      </c>
      <c r="K152" s="1794">
        <f>10^(-J152)</f>
        <v>3.5111917342151263E-8</v>
      </c>
      <c r="L152" s="1796">
        <f>2.5*0.01*$C$7*$C$11*E152*K152/U$10/U$10*$W$10^1.3/$D152/$D152*1000000</f>
        <v>0</v>
      </c>
      <c r="M152" s="1656">
        <f>IF($G152=0,0,IF($F152="recht",1+($G152-$D$17)/$D$18,1+($G152-$D$17-0.301*$D$18)/$D$18))+IF($H152=0,0,IF($F152="recht",$H152/$D$19,($H152-0.301*$D$19)/$D$19))+$I152/$D$20</f>
        <v>6.6486486486486482</v>
      </c>
      <c r="N152" s="1794">
        <f>10^(-M152)</f>
        <v>2.2456979955397711E-7</v>
      </c>
      <c r="O152" s="1796">
        <f>2.5*0.01*$C$7*$D$11*E152*N152/U$10/U$10*$W$10^1.3/$D152/$D152*1000000</f>
        <v>0</v>
      </c>
      <c r="P152" s="1771">
        <f>IF($G152=0,0,IF($F152="recht",1+($G152-$E$17)/$E$18,1+($G152-$E$17-0.301*$E$18)/$E$18))+IF($H152=0,0,IF($F152="recht",$H152/$E$19,($H152-0.301*$E$19)/$E$19))+I152/$E$20</f>
        <v>6.024390243902439</v>
      </c>
      <c r="Q152" s="1794">
        <f>10^(-P152)</f>
        <v>9.4538728313079291E-7</v>
      </c>
      <c r="R152" s="1796">
        <f>2.5*0.01*$C$7*$E$11*E152*Q152/U$10/U$10*$W$10^1.3/$D152/$D152*1000000</f>
        <v>0</v>
      </c>
      <c r="S152" s="1771">
        <f>IF($G152=0,0,IF(F152="recht",1+(G152-$F$17)/$F$18,1+(G152-$F$17-0.301*$F$18)/$F$18))+IF($H152=0,0,IF($F152="recht",$H152/$F$19,($H152-0.301*$F$19)/$F$19))+I152/$F$20</f>
        <v>9.1481481481481488</v>
      </c>
      <c r="T152" s="1794">
        <f>10^(-S152)</f>
        <v>7.1097094323124171E-10</v>
      </c>
      <c r="U152" s="1796">
        <f>2.5*0.01*$C$7*$F$11*E152*T152/U$10/U$10*$W$10^1.3/$D152/$D152*1000000</f>
        <v>0</v>
      </c>
      <c r="V152" s="1771">
        <f>IF($G152=0,0,IF($F152="recht",1+(G152-$G$17)/$G$18,1+(G152-$G$17-0.301*$G$18)/$G$18))+IF($H152=0,0,IF($F152="recht",$H152/$G$19,($H152-0.301*$G$19)/$G$19))+I152/$G$20</f>
        <v>6.9444444444444446</v>
      </c>
      <c r="W152" s="1794">
        <f>10^(-V152)</f>
        <v>1.136463666385722E-7</v>
      </c>
      <c r="X152" s="1819">
        <f>2.5*0.01*$C$7*$G$11*E152*W152/U$10/U$10*$W$10^1.3/$D152/$D152*1000000</f>
        <v>0</v>
      </c>
      <c r="Y152" s="1810">
        <f>SUM(L152,O152,R152,U152,X152)</f>
        <v>0</v>
      </c>
      <c r="Z152" s="890"/>
      <c r="AA152" s="891"/>
    </row>
    <row r="153" spans="1:87" s="45" customFormat="1" ht="19.5" customHeight="1">
      <c r="A153" s="1800"/>
      <c r="B153" s="1852"/>
      <c r="C153" s="1624"/>
      <c r="D153" s="1800"/>
      <c r="E153" s="1800"/>
      <c r="F153" s="1799"/>
      <c r="G153" s="1800"/>
      <c r="H153" s="1800"/>
      <c r="I153" s="1800"/>
      <c r="J153" s="1802"/>
      <c r="K153" s="1795"/>
      <c r="L153" s="1797"/>
      <c r="M153" s="1657"/>
      <c r="N153" s="1795"/>
      <c r="O153" s="1797"/>
      <c r="P153" s="1772"/>
      <c r="Q153" s="1795"/>
      <c r="R153" s="1797"/>
      <c r="S153" s="1772"/>
      <c r="T153" s="1812"/>
      <c r="U153" s="1818"/>
      <c r="V153" s="1772"/>
      <c r="W153" s="1812"/>
      <c r="X153" s="1820"/>
      <c r="Y153" s="1810"/>
      <c r="Z153" s="890"/>
      <c r="AA153" s="891"/>
    </row>
    <row r="154" spans="1:87" s="45" customFormat="1" ht="19.5" customHeight="1">
      <c r="A154" s="1800"/>
      <c r="B154" s="1852"/>
      <c r="C154" s="1623" t="s">
        <v>35</v>
      </c>
      <c r="D154" s="1800"/>
      <c r="E154" s="1798">
        <v>1</v>
      </c>
      <c r="F154" s="1798" t="s">
        <v>116</v>
      </c>
      <c r="G154" s="1718">
        <f>X$11</f>
        <v>200</v>
      </c>
      <c r="H154" s="1718">
        <f>Y$11</f>
        <v>0</v>
      </c>
      <c r="I154" s="1718">
        <f>Z$11</f>
        <v>0</v>
      </c>
      <c r="J154" s="1801">
        <f>IF($G154=0,0,IF($F154="recht",$GG154/$C$24,($G154-0.301*$C$24)/$C$24))+IF($H154=0,0,IF($F154="recht",$H154/$C$25,($H154-0.301*$C$25)/$C$25))+I154/$C$26</f>
        <v>5.58135294117647</v>
      </c>
      <c r="K154" s="1794">
        <f>10^(-J154)</f>
        <v>2.6220867674308296E-6</v>
      </c>
      <c r="L154" s="1796">
        <f>2.5*0.01*$C$7*$C$8*$C$11*($C$12+$C$13*$C$14)*E154/U$11/U$11*K154*$W$11^1.3/$D152/$D152*1000000</f>
        <v>1.7419398413490567E-3</v>
      </c>
      <c r="M154" s="1801">
        <f>IF($G154=0,0,IF($F154="recht",$G154/$D$24,($G154-0.301*$D$24)/$D$24))+IF($H154=0,0,IF($F154="recht",$H154/$D$25,($H154-0.301*$D$25)/$D$25))+I154/$D$26</f>
        <v>4.9621578947368423</v>
      </c>
      <c r="N154" s="1794">
        <f>10^(-M154)</f>
        <v>1.0910435979026304E-5</v>
      </c>
      <c r="O154" s="1796">
        <f>2.5*0.01*$C$7*$C$8*$D$11*($D$12+$D$13*$D$14)*E154/U$11/U$11*N154*$W$11^1.3/$D152/$D152*1000000</f>
        <v>7.2481671294866799E-3</v>
      </c>
      <c r="P154" s="1801">
        <f>IF($G154=0,0,IF($F154="recht",$G154/$E$24,(G154-0.301*$E$24)/$E$24))+IF($H154=0,0,IF($F154="recht",$H154/$E$25,($H154-0.301*$E$25)/$E$25))+I154/$E$26</f>
        <v>4.9483438320209974</v>
      </c>
      <c r="Q154" s="1794">
        <f>10^(-P154)</f>
        <v>1.1263054043136272E-5</v>
      </c>
      <c r="R154" s="1796">
        <f>2.5*0.01*$C$7*$C$8*$E$11*($E$12+$E$13*$E$14)*E154/U$11/U$11*Q154*$W$11^1.3/$D152/$D152*1000000</f>
        <v>7.4824230901520735E-3</v>
      </c>
      <c r="S154" s="1806">
        <f>IF(G$146=0,0,IF(F154="recht",$G154/$F$146,($G154-0.301*$F$24)/$F$24))+IF($H154=0,0,IF($F154="recht",$H154/$F$25,($H154-0.301*$F$25)/$F$25))+I154/$F$26</f>
        <v>6.2563770491803279</v>
      </c>
      <c r="T154" s="1811">
        <f>10^(-S154)</f>
        <v>5.5414440263229426E-7</v>
      </c>
      <c r="U154" s="1796">
        <f>2.5*0.01*$C$7*$C$8*$F$11*($F$12+$F$13*$F$14)*E154/U$11/U$11*T154*$W$11^1.3/$D152/$D152*1000000</f>
        <v>2.0861076276506701E-4</v>
      </c>
      <c r="V154" s="1806">
        <f>IF($G154=0,0,IF($F154="recht",$G154/$G$24,($G154-0.301*$G$24)/$G$24))+IF($H154=0,0,IF($F154="recht",$H154/$G$25,($H154-0.301*$G$25)/$G$25))+I154/$G$26</f>
        <v>5.3169775280898879</v>
      </c>
      <c r="W154" s="1811">
        <f>10^(-V154)</f>
        <v>4.8197273592906954E-6</v>
      </c>
      <c r="X154" s="1819">
        <f>2.5*0.01*$C$7*$C$8*$G$11*($G$12+$G$13*$G$14)*E154/U$11/U$11*W154*$W$11^1.3/$D152/$D152</f>
        <v>1.2273972646840874E-9</v>
      </c>
      <c r="Y154" s="1814">
        <f>SUM(L154,O154,R154,U154,X154)</f>
        <v>1.6681142051150143E-2</v>
      </c>
      <c r="Z154" s="890"/>
      <c r="AA154" s="891"/>
    </row>
    <row r="155" spans="1:87" s="45" customFormat="1" ht="19.5" customHeight="1" thickBot="1">
      <c r="A155" s="1711"/>
      <c r="B155" s="1853"/>
      <c r="C155" s="1624"/>
      <c r="D155" s="1800"/>
      <c r="E155" s="1799"/>
      <c r="F155" s="1799"/>
      <c r="G155" s="1800"/>
      <c r="H155" s="1800"/>
      <c r="I155" s="1800"/>
      <c r="J155" s="1802"/>
      <c r="K155" s="1795"/>
      <c r="L155" s="1797"/>
      <c r="M155" s="1802"/>
      <c r="N155" s="1795"/>
      <c r="O155" s="1797"/>
      <c r="P155" s="1802"/>
      <c r="Q155" s="1795"/>
      <c r="R155" s="1797"/>
      <c r="S155" s="1802"/>
      <c r="T155" s="1795"/>
      <c r="U155" s="1797"/>
      <c r="V155" s="1802"/>
      <c r="W155" s="1795"/>
      <c r="X155" s="1823"/>
      <c r="Y155" s="1821"/>
      <c r="Z155" s="892"/>
      <c r="AA155" s="893"/>
    </row>
    <row r="156" spans="1:87" s="325" customFormat="1" ht="19.5" customHeight="1">
      <c r="A156" s="1718" t="str">
        <f ca="1">'Linac 1'!A183</f>
        <v>T3</v>
      </c>
      <c r="B156" s="1851" t="str">
        <f ca="1">'Linac 1'!B183</f>
        <v>terreingrens 3</v>
      </c>
      <c r="C156" s="1623" t="s">
        <v>333</v>
      </c>
      <c r="D156" s="1627">
        <v>1</v>
      </c>
      <c r="E156" s="1627">
        <v>0</v>
      </c>
      <c r="F156" s="1627" t="s">
        <v>12</v>
      </c>
      <c r="G156" s="1627">
        <v>250</v>
      </c>
      <c r="H156" s="1627">
        <v>0</v>
      </c>
      <c r="I156" s="1627">
        <v>0</v>
      </c>
      <c r="J156" s="1656">
        <f>IF($G156=0,0,IF($F156="recht",1+($G156-$C$17)/$C$18,1+($G156-$C$17-0.301*$C$18)/$C$18))+IF($H156=0,0,IF($F156="recht",$H156/$C$19,($H156-0.301*$C$19)/$C$19))+$I156/$C$20</f>
        <v>7.4545454545454541</v>
      </c>
      <c r="K156" s="1791">
        <f>10^(-J156)</f>
        <v>3.5111917342151263E-8</v>
      </c>
      <c r="L156" s="1771">
        <f>$C$7*$C$11*$E156/$D156/$D156*K156*1000000</f>
        <v>0</v>
      </c>
      <c r="M156" s="1656">
        <f>IF($G156=0,0,IF($F156="recht",1+($G156-$D$17)/$D$18,1+($G156-$D$17-0.301*$D$18)/$D$18))+IF($H156=0,0,IF($F156="recht",$H156/$D$19,($H156-0.301*$D$19)/$D$19))+$I156/$D$20</f>
        <v>6.6486486486486482</v>
      </c>
      <c r="N156" s="1791">
        <f>10^(-M156)</f>
        <v>2.2456979955397711E-7</v>
      </c>
      <c r="O156" s="1771">
        <f>$C$7*$D$11*$E156/$D156/$D156*$N156*1000000</f>
        <v>0</v>
      </c>
      <c r="P156" s="1771">
        <f>IF($G156=0,0,IF($F156="recht",1+(G156-$E$17)/$E$18,1+(G156-$E$17-0.301*$E$18)/$E$18))+IF($H156=0,0,IF($F156="recht",$H156/$E$19,($H156-0.301*$E$19)/$E$19))+I156/$E$20</f>
        <v>6.024390243902439</v>
      </c>
      <c r="Q156" s="1791">
        <f>10^(-P156)</f>
        <v>9.4538728313079291E-7</v>
      </c>
      <c r="R156" s="1771">
        <f>$C$7*$E$11*$E156/$D156/$D156*$Q156*1000000</f>
        <v>0</v>
      </c>
      <c r="S156" s="1771">
        <f>IF($G156=0,0,IF($F156="recht",1+(G156-$F$17)/$F$18,1+(G156-$F$17-0.301*$F$18)/$F$18))+IF($H156=0,0,IF($F156="recht",$H156/$F$19,($H156-0.301*$F$19)/$F$19))+I156/$F$20</f>
        <v>9.1481481481481488</v>
      </c>
      <c r="T156" s="1791">
        <f>10^(-S156)</f>
        <v>7.1097094323124171E-10</v>
      </c>
      <c r="U156" s="1771">
        <f>$C$7*$F$11*$E156/$D156/$D156*$T156*1000000</f>
        <v>0</v>
      </c>
      <c r="V156" s="1771">
        <f>IF($G156=0,0,IF(F156="recht",1+(G156-$G$17)/$G$18,1+(G156-$G$17-0.301*$G$18)/$G$18))+IF($H156=0,0,IF($F156="recht",$H156/$G$19,($H156-0.301*$G$19)/$G$19))+I156/$G$20</f>
        <v>6.9444444444444446</v>
      </c>
      <c r="W156" s="1791">
        <f>10^(-V156)</f>
        <v>1.136463666385722E-7</v>
      </c>
      <c r="X156" s="1817">
        <f>$C$7*$G$11*$E156/$D156/$D156*$W156*1000000</f>
        <v>0</v>
      </c>
      <c r="Y156" s="1813">
        <f>SUM(L156,O156,R156,U156,X156)</f>
        <v>0</v>
      </c>
      <c r="Z156" s="886">
        <f>SUM(Y156:Y163)</f>
        <v>2.0415508389015229E-2</v>
      </c>
      <c r="AA156" s="887">
        <f>Z156*52/1000</f>
        <v>1.0616064362287919E-3</v>
      </c>
      <c r="AB156" s="45"/>
      <c r="AC156" s="45"/>
      <c r="AD156" s="45"/>
      <c r="AE156" s="45"/>
      <c r="AF156" s="66"/>
      <c r="AG156" s="53"/>
      <c r="AH156" s="53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53"/>
      <c r="AV156" s="53"/>
      <c r="AW156" s="53"/>
      <c r="AX156" s="53"/>
      <c r="AY156" s="428"/>
      <c r="AZ156" s="428"/>
      <c r="BA156" s="428"/>
      <c r="BB156" s="428"/>
      <c r="BC156" s="428"/>
      <c r="BD156" s="428"/>
      <c r="BE156" s="428"/>
      <c r="BF156" s="428"/>
      <c r="BG156" s="428"/>
      <c r="BH156" s="428"/>
      <c r="BI156" s="428"/>
      <c r="BJ156" s="428"/>
      <c r="BK156" s="428"/>
      <c r="BL156" s="428"/>
      <c r="BM156" s="428"/>
      <c r="BN156" s="428"/>
      <c r="BO156" s="428"/>
      <c r="BP156" s="385"/>
      <c r="BQ156" s="338"/>
      <c r="BR156" s="338"/>
      <c r="BS156" s="336"/>
      <c r="BT156" s="336"/>
      <c r="BU156" s="336"/>
      <c r="BV156" s="442"/>
      <c r="BW156" s="336"/>
      <c r="BX156" s="336"/>
      <c r="BY156" s="345"/>
      <c r="BZ156" s="345"/>
      <c r="CA156" s="345"/>
      <c r="CB156" s="345"/>
      <c r="CC156" s="345"/>
      <c r="CD156" s="355"/>
      <c r="CE156" s="355"/>
      <c r="CF156" s="355"/>
      <c r="CG156" s="382"/>
      <c r="CH156" s="382"/>
      <c r="CI156" s="382"/>
    </row>
    <row r="157" spans="1:87" s="325" customFormat="1" ht="19.5" customHeight="1">
      <c r="A157" s="1800"/>
      <c r="B157" s="1852"/>
      <c r="C157" s="1624"/>
      <c r="D157" s="1628"/>
      <c r="E157" s="1628"/>
      <c r="F157" s="1628"/>
      <c r="G157" s="1628"/>
      <c r="H157" s="1628"/>
      <c r="I157" s="1628"/>
      <c r="J157" s="1659"/>
      <c r="K157" s="1792"/>
      <c r="L157" s="1772"/>
      <c r="M157" s="1657"/>
      <c r="N157" s="1792"/>
      <c r="O157" s="1772"/>
      <c r="P157" s="1772"/>
      <c r="Q157" s="1792"/>
      <c r="R157" s="1772"/>
      <c r="S157" s="1772"/>
      <c r="T157" s="1792"/>
      <c r="U157" s="1772"/>
      <c r="V157" s="1772"/>
      <c r="W157" s="1792"/>
      <c r="X157" s="1808"/>
      <c r="Y157" s="1814"/>
      <c r="Z157" s="888"/>
      <c r="AA157" s="889"/>
      <c r="AB157" s="45"/>
      <c r="AC157" s="45"/>
      <c r="AD157" s="45"/>
      <c r="AE157" s="45"/>
      <c r="AF157" s="66"/>
      <c r="AG157" s="53"/>
      <c r="AH157" s="53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53"/>
      <c r="AV157" s="53"/>
      <c r="AW157" s="53"/>
      <c r="AX157" s="53"/>
      <c r="AY157" s="428"/>
      <c r="AZ157" s="428"/>
      <c r="BA157" s="428"/>
      <c r="BB157" s="428"/>
      <c r="BC157" s="428"/>
      <c r="BD157" s="428"/>
      <c r="BE157" s="428"/>
      <c r="BF157" s="428"/>
      <c r="BG157" s="428"/>
      <c r="BH157" s="428"/>
      <c r="BI157" s="428"/>
      <c r="BJ157" s="428"/>
      <c r="BK157" s="428"/>
      <c r="BL157" s="428"/>
      <c r="BM157" s="428"/>
      <c r="BN157" s="428"/>
      <c r="BO157" s="428"/>
      <c r="BP157" s="385"/>
      <c r="BQ157" s="338"/>
      <c r="BR157" s="338"/>
      <c r="BS157" s="336"/>
      <c r="BT157" s="336"/>
      <c r="BU157" s="336"/>
      <c r="BV157" s="442"/>
      <c r="BW157" s="336"/>
      <c r="BX157" s="336"/>
      <c r="BY157" s="345"/>
      <c r="BZ157" s="345"/>
      <c r="CA157" s="345"/>
      <c r="CB157" s="345"/>
      <c r="CC157" s="345"/>
      <c r="CD157" s="355"/>
      <c r="CE157" s="355"/>
      <c r="CF157" s="355"/>
      <c r="CG157" s="382"/>
      <c r="CH157" s="382"/>
      <c r="CI157" s="382"/>
    </row>
    <row r="158" spans="1:87" s="45" customFormat="1" ht="19.5" customHeight="1">
      <c r="A158" s="1800"/>
      <c r="B158" s="1852"/>
      <c r="C158" s="1687" t="s">
        <v>334</v>
      </c>
      <c r="D158" s="1626">
        <v>10</v>
      </c>
      <c r="E158" s="1815">
        <v>1</v>
      </c>
      <c r="F158" s="1628"/>
      <c r="G158" s="1628"/>
      <c r="H158" s="1628"/>
      <c r="I158" s="1628"/>
      <c r="J158" s="1772">
        <f>IF($G156=0,0,IF($F156="recht",$G156/$C$24,(G156-0.301*$C$24)/$C$24))+IF($H156=0,0,IF($F156="recht",$H156/$C$25,($H156-0.301*$C$25)/$C$25))+I156/$C$26</f>
        <v>7.3529411764705879</v>
      </c>
      <c r="K158" s="1792">
        <f>10^(-J158)</f>
        <v>4.4366873309786093E-8</v>
      </c>
      <c r="L158" s="1772">
        <f>$C$7*$C$8*$C$11*($C$12+$C$13*$C$14)*$E158/$D158/$D158*$K158*1000000</f>
        <v>2.6620123985871658E-4</v>
      </c>
      <c r="M158" s="1772">
        <f>IF($G156=0,0,IF(F156="recht",$G156/$D$24,($G156-0.301*$D$24)/$D$24))+IF($H156=0,0,IF($F156="recht",$H156/$D$25,($H156-0.301*$D$25)/$D$25))+I156/$D$26</f>
        <v>6.5789473684210522</v>
      </c>
      <c r="N158" s="1792">
        <f>10^(-M158)</f>
        <v>2.636650898730358E-7</v>
      </c>
      <c r="O158" s="1772">
        <f>$C$7*$C$8*$D$11*($D$12+$D$13*$D$14)*$E158/$D158/$D158*$N158*1000000</f>
        <v>1.581990539238215E-3</v>
      </c>
      <c r="P158" s="1772">
        <f>IF($G156=0,0,IF($F156="recht",$G156/$E$24,($G156-0.301*$E$24)/$E$24))+IF($H156=0,0,IF($F156="recht",$H156/$E$25,($H156-0.301*$E$25)/$E$25))+I156/$E$26</f>
        <v>6.5616797900262469</v>
      </c>
      <c r="Q158" s="1792">
        <f>10^(-P158)</f>
        <v>2.7435963093132793E-7</v>
      </c>
      <c r="R158" s="1772">
        <f>$C$7*$C$8*$E$11*($E$12+$E$13*$E$14)*$E158/$D158/$D158*$Q158*1000000</f>
        <v>1.6461577855879678E-3</v>
      </c>
      <c r="S158" s="1772">
        <f>IF($G156=0,0,IF($F156="recht",$G156/$F$24,(G156-0.301*$F$24)/$F$24))+IF($H156=0,0,IF($F156="recht",$H156/$F$25,($H156-0.301*$F$25)/$F$25))+I156/$F$26</f>
        <v>8.1967213114754092</v>
      </c>
      <c r="T158" s="1792">
        <f>10^(-S158)</f>
        <v>6.3573875711648393E-9</v>
      </c>
      <c r="U158" s="1772">
        <f>$C$7*$C$8*$F$11*($F$12+$F$13*$F$14)*$E158/$D158/$D158*$T158*1000000</f>
        <v>2.1615117741960457E-5</v>
      </c>
      <c r="V158" s="1772">
        <f>IF($G156=0,0,IF($F156="recht",$G156/$G$24,($G156-0.301*$G$24)/$G$24))+IF($H156=0,0,IF($F156="recht",$H156/$G$25,($H156-0.301*$G$25)/$G$25))+I156/$G$26</f>
        <v>7.0224719101123592</v>
      </c>
      <c r="W158" s="1792">
        <f>10^(-V158)</f>
        <v>9.4957241494880226E-8</v>
      </c>
      <c r="X158" s="1808">
        <f>$C$7*$C$8*$G$11*($G$12+$G$13*$G$14)*$E158/$D158/$D158*$W158*1000000</f>
        <v>2.1840165543822451E-4</v>
      </c>
      <c r="Y158" s="1810">
        <f>SUM(L158,O158,R158,U158,X158)</f>
        <v>3.7343663378650842E-3</v>
      </c>
      <c r="Z158" s="888"/>
      <c r="AA158" s="889"/>
      <c r="AF158" s="53"/>
      <c r="AG158" s="66"/>
      <c r="AH158" s="66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</row>
    <row r="159" spans="1:87" s="45" customFormat="1" ht="19.5" customHeight="1">
      <c r="A159" s="1800"/>
      <c r="B159" s="1852"/>
      <c r="C159" s="1688"/>
      <c r="D159" s="1689"/>
      <c r="E159" s="1816"/>
      <c r="F159" s="1628"/>
      <c r="G159" s="1628"/>
      <c r="H159" s="1628"/>
      <c r="I159" s="1628"/>
      <c r="J159" s="1773"/>
      <c r="K159" s="1793"/>
      <c r="L159" s="1773"/>
      <c r="M159" s="1773"/>
      <c r="N159" s="1793"/>
      <c r="O159" s="1773"/>
      <c r="P159" s="1773"/>
      <c r="Q159" s="1793"/>
      <c r="R159" s="1773"/>
      <c r="S159" s="1773"/>
      <c r="T159" s="1793"/>
      <c r="U159" s="1773"/>
      <c r="V159" s="1773"/>
      <c r="W159" s="1793"/>
      <c r="X159" s="1809"/>
      <c r="Y159" s="1810"/>
      <c r="Z159" s="888"/>
      <c r="AA159" s="889"/>
      <c r="AF159" s="53"/>
      <c r="AG159" s="66"/>
      <c r="AH159" s="66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</row>
    <row r="160" spans="1:87" s="45" customFormat="1" ht="19.5" customHeight="1">
      <c r="A160" s="1800"/>
      <c r="B160" s="1852"/>
      <c r="C160" s="1623" t="s">
        <v>34</v>
      </c>
      <c r="D160" s="1718">
        <f>D158</f>
        <v>10</v>
      </c>
      <c r="E160" s="1718">
        <f>E144</f>
        <v>0</v>
      </c>
      <c r="F160" s="1798" t="s">
        <v>12</v>
      </c>
      <c r="G160" s="1718">
        <f>X$10</f>
        <v>250</v>
      </c>
      <c r="H160" s="1718">
        <f>Y$10</f>
        <v>0</v>
      </c>
      <c r="I160" s="1718">
        <f>Z$10</f>
        <v>0</v>
      </c>
      <c r="J160" s="1801">
        <f>IF($G160=0,0,IF($F160="recht",1+(G160-$C$17)/$C$18,1+(G160-$C$17-0.301*$C$18)/$C$18))+IF($H160=0,0,IF($F160="recht",$H160/$C$19,($H160-0.301*$C$19)/$C$17))+I160/$C$20</f>
        <v>7.4545454545454541</v>
      </c>
      <c r="K160" s="1794">
        <f>10^(-J160)</f>
        <v>3.5111917342151263E-8</v>
      </c>
      <c r="L160" s="1796">
        <f>2.5*0.01*$C$7*$C$11*E160*K160/U$10/U$10*$W$10^1.3/$D160/$D160*1000000</f>
        <v>0</v>
      </c>
      <c r="M160" s="1656">
        <f>IF($G160=0,0,IF($F160="recht",1+($G160-$D$17)/$D$18,1+($G160-$D$17-0.301*$D$18)/$D$18))+IF($H160=0,0,IF($F160="recht",$H160/$D$19,($H160-0.301*$D$19)/$D$19))+$I160/$D$20</f>
        <v>6.6486486486486482</v>
      </c>
      <c r="N160" s="1794">
        <f>10^(-M160)</f>
        <v>2.2456979955397711E-7</v>
      </c>
      <c r="O160" s="1796">
        <f>2.5*0.01*$C$7*$D$11*E160*N160/U$10/U$10*$W$10^1.3/$D160/$D160*1000000</f>
        <v>0</v>
      </c>
      <c r="P160" s="1771">
        <f>IF($G160=0,0,IF($F160="recht",1+($G160-$E$17)/$E$18,1+($G160-$E$17-0.301*$E$18)/$E$18))+IF($H160=0,0,IF($F160="recht",$H160/$E$19,($H160-0.301*$E$19)/$E$19))+I160/$E$20</f>
        <v>6.024390243902439</v>
      </c>
      <c r="Q160" s="1794">
        <f>10^(-P160)</f>
        <v>9.4538728313079291E-7</v>
      </c>
      <c r="R160" s="1796">
        <f>2.5*0.01*$C$7*$E$11*E160*Q160/U$10/U$10*$W$10^1.3/$D160/$D160*1000000</f>
        <v>0</v>
      </c>
      <c r="S160" s="1771">
        <f>IF($G160=0,0,IF(F160="recht",1+(G160-$F$17)/$F$18,1+(G160-$F$17-0.301*$F$18)/$F$18))+IF($H160=0,0,IF($F160="recht",$H160/$F$19,($H160-0.301*$F$19)/$F$19))+I160/$F$20</f>
        <v>9.1481481481481488</v>
      </c>
      <c r="T160" s="1794">
        <f>10^(-S160)</f>
        <v>7.1097094323124171E-10</v>
      </c>
      <c r="U160" s="1796">
        <f>2.5*0.01*$C$7*$F$11*E160*T160/U$10/U$10*$W$10^1.3/$D160/$D160*1000000</f>
        <v>0</v>
      </c>
      <c r="V160" s="1771">
        <f>IF($G160=0,0,IF($F160="recht",1+(G160-$G$17)/$G$18,1+(G160-$G$17-0.301*$G$18)/$G$18))+IF($H160=0,0,IF($F160="recht",$H160/$G$19,($H160-0.301*$G$19)/$G$19))+I160/$G$20</f>
        <v>6.9444444444444446</v>
      </c>
      <c r="W160" s="1794">
        <f>10^(-V160)</f>
        <v>1.136463666385722E-7</v>
      </c>
      <c r="X160" s="1819">
        <f>2.5*0.01*$C$7*$G$11*E160*W160/U$10/U$10*$W$10^1.3/$D160/$D160*1000000</f>
        <v>0</v>
      </c>
      <c r="Y160" s="1810">
        <f>SUM(L160,O160,R160,U160,X160)</f>
        <v>0</v>
      </c>
      <c r="Z160" s="890"/>
      <c r="AA160" s="891"/>
    </row>
    <row r="161" spans="1:87" s="45" customFormat="1" ht="19.5" customHeight="1">
      <c r="A161" s="1800"/>
      <c r="B161" s="1852"/>
      <c r="C161" s="1624"/>
      <c r="D161" s="1800"/>
      <c r="E161" s="1800"/>
      <c r="F161" s="1799"/>
      <c r="G161" s="1800"/>
      <c r="H161" s="1800"/>
      <c r="I161" s="1800"/>
      <c r="J161" s="1802"/>
      <c r="K161" s="1795"/>
      <c r="L161" s="1797"/>
      <c r="M161" s="1657"/>
      <c r="N161" s="1795"/>
      <c r="O161" s="1797"/>
      <c r="P161" s="1772"/>
      <c r="Q161" s="1795"/>
      <c r="R161" s="1797"/>
      <c r="S161" s="1772"/>
      <c r="T161" s="1812"/>
      <c r="U161" s="1818"/>
      <c r="V161" s="1772"/>
      <c r="W161" s="1812"/>
      <c r="X161" s="1820"/>
      <c r="Y161" s="1810"/>
      <c r="Z161" s="890"/>
      <c r="AA161" s="891"/>
    </row>
    <row r="162" spans="1:87" s="45" customFormat="1" ht="19.5" customHeight="1">
      <c r="A162" s="1800"/>
      <c r="B162" s="1852"/>
      <c r="C162" s="1623" t="s">
        <v>35</v>
      </c>
      <c r="D162" s="1800"/>
      <c r="E162" s="1798">
        <v>1</v>
      </c>
      <c r="F162" s="1798" t="s">
        <v>116</v>
      </c>
      <c r="G162" s="1718">
        <f>X$11</f>
        <v>200</v>
      </c>
      <c r="H162" s="1718">
        <f>Y$11</f>
        <v>0</v>
      </c>
      <c r="I162" s="1718">
        <f>Z$11</f>
        <v>0</v>
      </c>
      <c r="J162" s="1801">
        <f>IF($G162=0,0,IF($F162="recht",$GG162/$C$24,($G162-0.301*$C$24)/$C$24))+IF($H162=0,0,IF($F162="recht",$H162/$C$25,($H162-0.301*$C$25)/$C$25))+I162/$C$26</f>
        <v>5.58135294117647</v>
      </c>
      <c r="K162" s="1794">
        <f>10^(-J162)</f>
        <v>2.6220867674308296E-6</v>
      </c>
      <c r="L162" s="1796">
        <f>2.5*0.01*$C$7*$C$8*$C$11*($C$12+$C$13*$C$14)*E162/U$11/U$11*K162*$W$11^1.3/$D160/$D160*1000000</f>
        <v>1.7419398413490567E-3</v>
      </c>
      <c r="M162" s="1801">
        <f>IF($G162=0,0,IF($F162="recht",$G162/$D$24,($G162-0.301*$D$24)/$D$24))+IF($H162=0,0,IF($F162="recht",$H162/$D$25,($H162-0.301*$D$25)/$D$25))+I162/$D$26</f>
        <v>4.9621578947368423</v>
      </c>
      <c r="N162" s="1794">
        <f>10^(-M162)</f>
        <v>1.0910435979026304E-5</v>
      </c>
      <c r="O162" s="1796">
        <f>2.5*0.01*$C$7*$C$8*$D$11*($D$12+$D$13*$D$14)*E162/U$11/U$11*N162*$W$11^1.3/$D160/$D160*1000000</f>
        <v>7.2481671294866799E-3</v>
      </c>
      <c r="P162" s="1801">
        <f>IF($G162=0,0,IF($F162="recht",$G162/$E$24,(G162-0.301*$E$24)/$E$24))+IF($H162=0,0,IF($F162="recht",$H162/$E$25,($H162-0.301*$E$25)/$E$25))+I162/$E$26</f>
        <v>4.9483438320209974</v>
      </c>
      <c r="Q162" s="1794">
        <f>10^(-P162)</f>
        <v>1.1263054043136272E-5</v>
      </c>
      <c r="R162" s="1796">
        <f>2.5*0.01*$C$7*$C$8*$E$11*($E$12+$E$13*$E$14)*E162/U$11/U$11*Q162*$W$11^1.3/$D160/$D160*1000000</f>
        <v>7.4824230901520735E-3</v>
      </c>
      <c r="S162" s="1806">
        <f>IF(G$146=0,0,IF(F162="recht",$G162/$F$146,($G162-0.301*$F$24)/$F$24))+IF($H162=0,0,IF($F162="recht",$H162/$F$25,($H162-0.301*$F$25)/$F$25))+I162/$F$26</f>
        <v>6.2563770491803279</v>
      </c>
      <c r="T162" s="1811">
        <f>10^(-S162)</f>
        <v>5.5414440263229426E-7</v>
      </c>
      <c r="U162" s="1796">
        <f>2.5*0.01*$C$7*$C$8*$F$11*($F$12+$F$13*$F$14)*E162/U$11/U$11*T162*$W$11^1.3/$D160/$D160*1000000</f>
        <v>2.0861076276506701E-4</v>
      </c>
      <c r="V162" s="1806">
        <f>IF($G162=0,0,IF($F162="recht",$G162/$G$24,($G162-0.301*$G$24)/$G$24))+IF($H162=0,0,IF($F162="recht",$H162/$G$25,($H162-0.301*$G$25)/$G$25))+I162/$G$26</f>
        <v>5.3169775280898879</v>
      </c>
      <c r="W162" s="1811">
        <f>10^(-V162)</f>
        <v>4.8197273592906954E-6</v>
      </c>
      <c r="X162" s="1819">
        <f>2.5*0.01*$C$7*$C$8*$G$11*($G$12+$G$13*$G$14)*E162/U$11/U$11*W162*$W$11^1.3/$D160/$D160</f>
        <v>1.2273972646840874E-9</v>
      </c>
      <c r="Y162" s="1814">
        <f>SUM(L162,O162,R162,U162,X162)</f>
        <v>1.6681142051150143E-2</v>
      </c>
      <c r="Z162" s="890"/>
      <c r="AA162" s="891"/>
    </row>
    <row r="163" spans="1:87" s="45" customFormat="1" ht="19.5" customHeight="1" thickBot="1">
      <c r="A163" s="1711"/>
      <c r="B163" s="1853"/>
      <c r="C163" s="1624"/>
      <c r="D163" s="1800"/>
      <c r="E163" s="1799"/>
      <c r="F163" s="1799"/>
      <c r="G163" s="1800"/>
      <c r="H163" s="1800"/>
      <c r="I163" s="1800"/>
      <c r="J163" s="1802"/>
      <c r="K163" s="1795"/>
      <c r="L163" s="1797"/>
      <c r="M163" s="1802"/>
      <c r="N163" s="1795"/>
      <c r="O163" s="1797"/>
      <c r="P163" s="1802"/>
      <c r="Q163" s="1795"/>
      <c r="R163" s="1797"/>
      <c r="S163" s="1802"/>
      <c r="T163" s="1795"/>
      <c r="U163" s="1797"/>
      <c r="V163" s="1802"/>
      <c r="W163" s="1795"/>
      <c r="X163" s="1823"/>
      <c r="Y163" s="1821"/>
      <c r="Z163" s="892"/>
      <c r="AA163" s="893"/>
    </row>
    <row r="164" spans="1:87" s="325" customFormat="1" ht="19.5" customHeight="1">
      <c r="A164" s="1718" t="str">
        <f ca="1">'Linac 1'!A191</f>
        <v>T4</v>
      </c>
      <c r="B164" s="1851" t="str">
        <f ca="1">'Linac 1'!B191</f>
        <v>terreingrens 4</v>
      </c>
      <c r="C164" s="1623" t="s">
        <v>333</v>
      </c>
      <c r="D164" s="1627">
        <v>1</v>
      </c>
      <c r="E164" s="1627">
        <v>0</v>
      </c>
      <c r="F164" s="1627" t="s">
        <v>12</v>
      </c>
      <c r="G164" s="1627">
        <v>250</v>
      </c>
      <c r="H164" s="1627">
        <v>0</v>
      </c>
      <c r="I164" s="1627">
        <v>0</v>
      </c>
      <c r="J164" s="1656">
        <f>IF($G164=0,0,IF($F164="recht",1+($G164-$C$17)/$C$18,1+($G164-$C$17-0.301*$C$18)/$C$18))+IF($H164=0,0,IF($F164="recht",$H164/$C$19,($H164-0.301*$C$19)/$C$19))+$I164/$C$20</f>
        <v>7.4545454545454541</v>
      </c>
      <c r="K164" s="1791">
        <f>10^(-J164)</f>
        <v>3.5111917342151263E-8</v>
      </c>
      <c r="L164" s="1771">
        <f>$C$7*$C$11*$E164/$D164/$D164*K164*1000000</f>
        <v>0</v>
      </c>
      <c r="M164" s="1656">
        <f>IF($G164=0,0,IF($F164="recht",1+($G164-$D$17)/$D$18,1+($G164-$D$17-0.301*$D$18)/$D$18))+IF($H164=0,0,IF($F164="recht",$H164/$D$19,($H164-0.301*$D$19)/$D$19))+$I164/$D$20</f>
        <v>6.6486486486486482</v>
      </c>
      <c r="N164" s="1791">
        <f>10^(-M164)</f>
        <v>2.2456979955397711E-7</v>
      </c>
      <c r="O164" s="1771">
        <f>$C$7*$D$11*$E164/$D164/$D164*$N164*1000000</f>
        <v>0</v>
      </c>
      <c r="P164" s="1771">
        <f>IF($G164=0,0,IF($F164="recht",1+(G164-$E$17)/$E$18,1+(G164-$E$17-0.301*$E$18)/$E$18))+IF($H164=0,0,IF($F164="recht",$H164/$E$19,($H164-0.301*$E$19)/$E$19))+I164/$E$20</f>
        <v>6.024390243902439</v>
      </c>
      <c r="Q164" s="1791">
        <f>10^(-P164)</f>
        <v>9.4538728313079291E-7</v>
      </c>
      <c r="R164" s="1771">
        <f>$C$7*$E$11*$E164/$D164/$D164*$Q164*1000000</f>
        <v>0</v>
      </c>
      <c r="S164" s="1771">
        <f>IF($G164=0,0,IF($F164="recht",1+(G164-$F$17)/$F$18,1+(G164-$F$17-0.301*$F$18)/$F$18))+IF($H164=0,0,IF($F164="recht",$H164/$F$19,($H164-0.301*$F$19)/$F$19))+I164/$F$20</f>
        <v>9.1481481481481488</v>
      </c>
      <c r="T164" s="1791">
        <f>10^(-S164)</f>
        <v>7.1097094323124171E-10</v>
      </c>
      <c r="U164" s="1771">
        <f>$C$7*$F$11*$E164/$D164/$D164*$T164*1000000</f>
        <v>0</v>
      </c>
      <c r="V164" s="1771">
        <f>IF($G164=0,0,IF(F164="recht",1+(G164-$G$17)/$G$18,1+(G164-$G$17-0.301*$G$18)/$G$18))+IF($H164=0,0,IF($F164="recht",$H164/$G$19,($H164-0.301*$G$19)/$G$19))+I164/$G$20</f>
        <v>6.9444444444444446</v>
      </c>
      <c r="W164" s="1791">
        <f>10^(-V164)</f>
        <v>1.136463666385722E-7</v>
      </c>
      <c r="X164" s="1817">
        <f>$C$7*$G$11*$E164/$D164/$D164*$W164*1000000</f>
        <v>0</v>
      </c>
      <c r="Y164" s="1813">
        <f>SUM(L164,O164,R164,U164,X164)</f>
        <v>0</v>
      </c>
      <c r="Z164" s="886">
        <f>SUM(Y164:Y171)</f>
        <v>2.0415508389015229E-2</v>
      </c>
      <c r="AA164" s="887">
        <f>Z164*52/1000</f>
        <v>1.0616064362287919E-3</v>
      </c>
      <c r="AB164" s="45"/>
      <c r="AC164" s="45"/>
      <c r="AD164" s="45"/>
      <c r="AE164" s="45"/>
      <c r="AF164" s="66"/>
      <c r="AG164" s="53"/>
      <c r="AH164" s="53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53"/>
      <c r="AV164" s="53"/>
      <c r="AW164" s="53"/>
      <c r="AX164" s="53"/>
      <c r="AY164" s="428"/>
      <c r="AZ164" s="428"/>
      <c r="BA164" s="428"/>
      <c r="BB164" s="428"/>
      <c r="BC164" s="428"/>
      <c r="BD164" s="428"/>
      <c r="BE164" s="428"/>
      <c r="BF164" s="428"/>
      <c r="BG164" s="428"/>
      <c r="BH164" s="428"/>
      <c r="BI164" s="428"/>
      <c r="BJ164" s="428"/>
      <c r="BK164" s="428"/>
      <c r="BL164" s="428"/>
      <c r="BM164" s="428"/>
      <c r="BN164" s="428"/>
      <c r="BO164" s="428"/>
      <c r="BP164" s="385"/>
      <c r="BQ164" s="338"/>
      <c r="BR164" s="338"/>
      <c r="BS164" s="336"/>
      <c r="BT164" s="336"/>
      <c r="BU164" s="336"/>
      <c r="BV164" s="442"/>
      <c r="BW164" s="336"/>
      <c r="BX164" s="336"/>
      <c r="BY164" s="345"/>
      <c r="BZ164" s="345"/>
      <c r="CA164" s="345"/>
      <c r="CB164" s="345"/>
      <c r="CC164" s="345"/>
      <c r="CD164" s="355"/>
      <c r="CE164" s="355"/>
      <c r="CF164" s="355"/>
      <c r="CG164" s="382"/>
      <c r="CH164" s="382"/>
      <c r="CI164" s="382"/>
    </row>
    <row r="165" spans="1:87" s="325" customFormat="1" ht="19.5" customHeight="1">
      <c r="A165" s="1800"/>
      <c r="B165" s="1852"/>
      <c r="C165" s="1624"/>
      <c r="D165" s="1628"/>
      <c r="E165" s="1628"/>
      <c r="F165" s="1628"/>
      <c r="G165" s="1628"/>
      <c r="H165" s="1628"/>
      <c r="I165" s="1628"/>
      <c r="J165" s="1659"/>
      <c r="K165" s="1792"/>
      <c r="L165" s="1772"/>
      <c r="M165" s="1657"/>
      <c r="N165" s="1792"/>
      <c r="O165" s="1772"/>
      <c r="P165" s="1772"/>
      <c r="Q165" s="1792"/>
      <c r="R165" s="1772"/>
      <c r="S165" s="1772"/>
      <c r="T165" s="1792"/>
      <c r="U165" s="1772"/>
      <c r="V165" s="1772"/>
      <c r="W165" s="1792"/>
      <c r="X165" s="1808"/>
      <c r="Y165" s="1814"/>
      <c r="Z165" s="888"/>
      <c r="AA165" s="889"/>
      <c r="AB165" s="45"/>
      <c r="AC165" s="45"/>
      <c r="AD165" s="45"/>
      <c r="AE165" s="45"/>
      <c r="AF165" s="66"/>
      <c r="AG165" s="53"/>
      <c r="AH165" s="53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53"/>
      <c r="AV165" s="53"/>
      <c r="AW165" s="53"/>
      <c r="AX165" s="53"/>
      <c r="AY165" s="428"/>
      <c r="AZ165" s="428"/>
      <c r="BA165" s="428"/>
      <c r="BB165" s="428"/>
      <c r="BC165" s="428"/>
      <c r="BD165" s="428"/>
      <c r="BE165" s="428"/>
      <c r="BF165" s="428"/>
      <c r="BG165" s="428"/>
      <c r="BH165" s="428"/>
      <c r="BI165" s="428"/>
      <c r="BJ165" s="428"/>
      <c r="BK165" s="428"/>
      <c r="BL165" s="428"/>
      <c r="BM165" s="428"/>
      <c r="BN165" s="428"/>
      <c r="BO165" s="428"/>
      <c r="BP165" s="385"/>
      <c r="BQ165" s="338"/>
      <c r="BR165" s="338"/>
      <c r="BS165" s="336"/>
      <c r="BT165" s="336"/>
      <c r="BU165" s="336"/>
      <c r="BV165" s="442"/>
      <c r="BW165" s="336"/>
      <c r="BX165" s="336"/>
      <c r="BY165" s="345"/>
      <c r="BZ165" s="345"/>
      <c r="CA165" s="345"/>
      <c r="CB165" s="345"/>
      <c r="CC165" s="345"/>
      <c r="CD165" s="355"/>
      <c r="CE165" s="355"/>
      <c r="CF165" s="355"/>
      <c r="CG165" s="382"/>
      <c r="CH165" s="382"/>
      <c r="CI165" s="382"/>
    </row>
    <row r="166" spans="1:87" s="45" customFormat="1" ht="19.5" customHeight="1">
      <c r="A166" s="1800"/>
      <c r="B166" s="1852"/>
      <c r="C166" s="1687" t="s">
        <v>334</v>
      </c>
      <c r="D166" s="1626">
        <v>10</v>
      </c>
      <c r="E166" s="1815">
        <v>1</v>
      </c>
      <c r="F166" s="1628"/>
      <c r="G166" s="1628"/>
      <c r="H166" s="1628"/>
      <c r="I166" s="1628"/>
      <c r="J166" s="1772">
        <f>IF($G164=0,0,IF($F164="recht",$G164/$C$24,(G164-0.301*$C$24)/$C$24))+IF($H164=0,0,IF($F164="recht",$H164/$C$25,($H164-0.301*$C$25)/$C$25))+I164/$C$26</f>
        <v>7.3529411764705879</v>
      </c>
      <c r="K166" s="1792">
        <f>10^(-J166)</f>
        <v>4.4366873309786093E-8</v>
      </c>
      <c r="L166" s="1772">
        <f>$C$7*$C$8*$C$11*($C$12+$C$13*$C$14)*$E166/$D166/$D166*$K166*1000000</f>
        <v>2.6620123985871658E-4</v>
      </c>
      <c r="M166" s="1772">
        <f>IF($G164=0,0,IF(F164="recht",$G164/$D$24,($G164-0.301*$D$24)/$D$24))+IF($H164=0,0,IF($F164="recht",$H164/$D$25,($H164-0.301*$D$25)/$D$25))+I164/$D$26</f>
        <v>6.5789473684210522</v>
      </c>
      <c r="N166" s="1792">
        <f>10^(-M166)</f>
        <v>2.636650898730358E-7</v>
      </c>
      <c r="O166" s="1772">
        <f>$C$7*$C$8*$D$11*($D$12+$D$13*$D$14)*$E166/$D166/$D166*$N166*1000000</f>
        <v>1.581990539238215E-3</v>
      </c>
      <c r="P166" s="1772">
        <f>IF($G164=0,0,IF($F164="recht",$G164/$E$24,($G164-0.301*$E$24)/$E$24))+IF($H164=0,0,IF($F164="recht",$H164/$E$25,($H164-0.301*$E$25)/$E$25))+I164/$E$26</f>
        <v>6.5616797900262469</v>
      </c>
      <c r="Q166" s="1792">
        <f>10^(-P166)</f>
        <v>2.7435963093132793E-7</v>
      </c>
      <c r="R166" s="1772">
        <f>$C$7*$C$8*$E$11*($E$12+$E$13*$E$14)*$E166/$D166/$D166*$Q166*1000000</f>
        <v>1.6461577855879678E-3</v>
      </c>
      <c r="S166" s="1772">
        <f>IF($G164=0,0,IF($F164="recht",$G164/$F$24,(G164-0.301*$F$24)/$F$24))+IF($H164=0,0,IF($F164="recht",$H164/$F$25,($H164-0.301*$F$25)/$F$25))+I164/$F$26</f>
        <v>8.1967213114754092</v>
      </c>
      <c r="T166" s="1792">
        <f>10^(-S166)</f>
        <v>6.3573875711648393E-9</v>
      </c>
      <c r="U166" s="1772">
        <f>$C$7*$C$8*$F$11*($F$12+$F$13*$F$14)*$E166/$D166/$D166*$T166*1000000</f>
        <v>2.1615117741960457E-5</v>
      </c>
      <c r="V166" s="1772">
        <f>IF($G164=0,0,IF($F164="recht",$G164/$G$24,($G164-0.301*$G$24)/$G$24))+IF($H164=0,0,IF($F164="recht",$H164/$G$25,($H164-0.301*$G$25)/$G$25))+I164/$G$26</f>
        <v>7.0224719101123592</v>
      </c>
      <c r="W166" s="1792">
        <f>10^(-V166)</f>
        <v>9.4957241494880226E-8</v>
      </c>
      <c r="X166" s="1808">
        <f>$C$7*$C$8*$G$11*($G$12+$G$13*$G$14)*$E166/$D166/$D166*$W166*1000000</f>
        <v>2.1840165543822451E-4</v>
      </c>
      <c r="Y166" s="1810">
        <f>SUM(L166,O166,R166,U166,X166)</f>
        <v>3.7343663378650842E-3</v>
      </c>
      <c r="Z166" s="888"/>
      <c r="AA166" s="889"/>
      <c r="AF166" s="53"/>
      <c r="AG166" s="66"/>
      <c r="AH166" s="66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</row>
    <row r="167" spans="1:87" s="45" customFormat="1" ht="19.5" customHeight="1">
      <c r="A167" s="1800"/>
      <c r="B167" s="1852"/>
      <c r="C167" s="1688"/>
      <c r="D167" s="1689"/>
      <c r="E167" s="1816"/>
      <c r="F167" s="1628"/>
      <c r="G167" s="1628"/>
      <c r="H167" s="1628"/>
      <c r="I167" s="1628"/>
      <c r="J167" s="1773"/>
      <c r="K167" s="1793"/>
      <c r="L167" s="1773"/>
      <c r="M167" s="1773"/>
      <c r="N167" s="1793"/>
      <c r="O167" s="1773"/>
      <c r="P167" s="1773"/>
      <c r="Q167" s="1793"/>
      <c r="R167" s="1773"/>
      <c r="S167" s="1773"/>
      <c r="T167" s="1793"/>
      <c r="U167" s="1773"/>
      <c r="V167" s="1773"/>
      <c r="W167" s="1793"/>
      <c r="X167" s="1809"/>
      <c r="Y167" s="1810"/>
      <c r="Z167" s="888"/>
      <c r="AA167" s="889"/>
      <c r="AF167" s="53"/>
      <c r="AG167" s="66"/>
      <c r="AH167" s="66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</row>
    <row r="168" spans="1:87" s="45" customFormat="1" ht="19.5" customHeight="1">
      <c r="A168" s="1800"/>
      <c r="B168" s="1852"/>
      <c r="C168" s="1623" t="s">
        <v>34</v>
      </c>
      <c r="D168" s="1718">
        <f>D166</f>
        <v>10</v>
      </c>
      <c r="E168" s="1718">
        <f>E144</f>
        <v>0</v>
      </c>
      <c r="F168" s="1798" t="s">
        <v>12</v>
      </c>
      <c r="G168" s="1718">
        <f>X$10</f>
        <v>250</v>
      </c>
      <c r="H168" s="1718">
        <f>Y$10</f>
        <v>0</v>
      </c>
      <c r="I168" s="1718">
        <f>Z$10</f>
        <v>0</v>
      </c>
      <c r="J168" s="1801">
        <f>IF($G168=0,0,IF($F168="recht",1+(G168-$C$17)/$C$18,1+(G168-$C$17-0.301*$C$18)/$C$18))+IF($H168=0,0,IF($F168="recht",$H168/$C$19,($H168-0.301*$C$19)/$C$17))+I168/$C$20</f>
        <v>7.4545454545454541</v>
      </c>
      <c r="K168" s="1794">
        <f>10^(-J168)</f>
        <v>3.5111917342151263E-8</v>
      </c>
      <c r="L168" s="1796">
        <f>2.5*0.01*$C$7*$C$11*E168*K168/U$10/U$10*$W$10^1.3/$D168/$D168*1000000</f>
        <v>0</v>
      </c>
      <c r="M168" s="1656">
        <f>IF($G168=0,0,IF($F168="recht",1+($G168-$D$17)/$D$18,1+($G168-$D$17-0.301*$D$18)/$D$18))+IF($H168=0,0,IF($F168="recht",$H168/$D$19,($H168-0.301*$D$19)/$D$19))+$I168/$D$20</f>
        <v>6.6486486486486482</v>
      </c>
      <c r="N168" s="1794">
        <f>10^(-M168)</f>
        <v>2.2456979955397711E-7</v>
      </c>
      <c r="O168" s="1796">
        <f>2.5*0.01*$C$7*$D$11*E168*N168/U$10/U$10*$W$10^1.3/$D168/$D168*1000000</f>
        <v>0</v>
      </c>
      <c r="P168" s="1771">
        <f>IF($G168=0,0,IF($F168="recht",1+($G168-$E$17)/$E$18,1+($G168-$E$17-0.301*$E$18)/$E$18))+IF($H168=0,0,IF($F168="recht",$H168/$E$19,($H168-0.301*$E$19)/$E$19))+I168/$E$20</f>
        <v>6.024390243902439</v>
      </c>
      <c r="Q168" s="1794">
        <f>10^(-P168)</f>
        <v>9.4538728313079291E-7</v>
      </c>
      <c r="R168" s="1796">
        <f>2.5*0.01*$C$7*$E$11*E168*Q168/U$10/U$10*$W$10^1.3/$D168/$D168*1000000</f>
        <v>0</v>
      </c>
      <c r="S168" s="1771">
        <f>IF($G168=0,0,IF(F168="recht",1+(G168-$F$17)/$F$18,1+(G168-$F$17-0.301*$F$18)/$F$18))+IF($H168=0,0,IF($F168="recht",$H168/$F$19,($H168-0.301*$F$19)/$F$19))+I168/$F$20</f>
        <v>9.1481481481481488</v>
      </c>
      <c r="T168" s="1794">
        <f>10^(-S168)</f>
        <v>7.1097094323124171E-10</v>
      </c>
      <c r="U168" s="1796">
        <f>2.5*0.01*$C$7*$F$11*E168*T168/U$10/U$10*$W$10^1.3/$D168/$D168*1000000</f>
        <v>0</v>
      </c>
      <c r="V168" s="1771">
        <f>IF($G168=0,0,IF($F168="recht",1+(G168-$G$17)/$G$18,1+(G168-$G$17-0.301*$G$18)/$G$18))+IF($H168=0,0,IF($F168="recht",$H168/$G$19,($H168-0.301*$G$19)/$G$19))+I168/$G$20</f>
        <v>6.9444444444444446</v>
      </c>
      <c r="W168" s="1794">
        <f>10^(-V168)</f>
        <v>1.136463666385722E-7</v>
      </c>
      <c r="X168" s="1819">
        <f>2.5*0.01*$C$7*$G$11*E168*W168/U$10/U$10*$W$10^1.3/$D168/$D168*1000000</f>
        <v>0</v>
      </c>
      <c r="Y168" s="1810">
        <f>SUM(L168,O168,R168,U168,X168)</f>
        <v>0</v>
      </c>
      <c r="Z168" s="890"/>
      <c r="AA168" s="891"/>
    </row>
    <row r="169" spans="1:87" s="45" customFormat="1" ht="19.5" customHeight="1">
      <c r="A169" s="1800"/>
      <c r="B169" s="1852"/>
      <c r="C169" s="1624"/>
      <c r="D169" s="1800"/>
      <c r="E169" s="1800"/>
      <c r="F169" s="1799"/>
      <c r="G169" s="1800"/>
      <c r="H169" s="1800"/>
      <c r="I169" s="1800"/>
      <c r="J169" s="1802"/>
      <c r="K169" s="1795"/>
      <c r="L169" s="1797"/>
      <c r="M169" s="1657"/>
      <c r="N169" s="1795"/>
      <c r="O169" s="1797"/>
      <c r="P169" s="1772"/>
      <c r="Q169" s="1795"/>
      <c r="R169" s="1797"/>
      <c r="S169" s="1772"/>
      <c r="T169" s="1812"/>
      <c r="U169" s="1818"/>
      <c r="V169" s="1772"/>
      <c r="W169" s="1812"/>
      <c r="X169" s="1820"/>
      <c r="Y169" s="1810"/>
      <c r="Z169" s="890"/>
      <c r="AA169" s="891"/>
    </row>
    <row r="170" spans="1:87" s="45" customFormat="1" ht="19.5" customHeight="1">
      <c r="A170" s="1800"/>
      <c r="B170" s="1852"/>
      <c r="C170" s="1623" t="s">
        <v>35</v>
      </c>
      <c r="D170" s="1800"/>
      <c r="E170" s="1798">
        <v>1</v>
      </c>
      <c r="F170" s="1798" t="s">
        <v>116</v>
      </c>
      <c r="G170" s="1718">
        <f>X$11</f>
        <v>200</v>
      </c>
      <c r="H170" s="1718">
        <f>Y$11</f>
        <v>0</v>
      </c>
      <c r="I170" s="1718">
        <f>Z$11</f>
        <v>0</v>
      </c>
      <c r="J170" s="1801">
        <f>IF($G170=0,0,IF($F170="recht",$GG170/$C$24,($G170-0.301*$C$24)/$C$24))+IF($H170=0,0,IF($F170="recht",$H170/$C$25,($H170-0.301*$C$25)/$C$25))+I170/$C$26</f>
        <v>5.58135294117647</v>
      </c>
      <c r="K170" s="1794">
        <f>10^(-J170)</f>
        <v>2.6220867674308296E-6</v>
      </c>
      <c r="L170" s="1796">
        <f>2.5*0.01*$C$7*$C$8*$C$11*($C$12+$C$13*$C$14)*E170/U$11/U$11*K170*$W$11^1.3/$D168/$D168*1000000</f>
        <v>1.7419398413490567E-3</v>
      </c>
      <c r="M170" s="1801">
        <f>IF($G170=0,0,IF($F170="recht",$G170/$D$24,($G170-0.301*$D$24)/$D$24))+IF($H170=0,0,IF($F170="recht",$H170/$D$25,($H170-0.301*$D$25)/$D$25))+I170/$D$26</f>
        <v>4.9621578947368423</v>
      </c>
      <c r="N170" s="1794">
        <f>10^(-M170)</f>
        <v>1.0910435979026304E-5</v>
      </c>
      <c r="O170" s="1796">
        <f>2.5*0.01*$C$7*$C$8*$D$11*($D$12+$D$13*$D$14)*E170/U$11/U$11*N170*$W$11^1.3/$D168/$D168*1000000</f>
        <v>7.2481671294866799E-3</v>
      </c>
      <c r="P170" s="1801">
        <f>IF($G170=0,0,IF($F170="recht",$G170/$E$24,(G170-0.301*$E$24)/$E$24))+IF($H170=0,0,IF($F170="recht",$H170/$E$25,($H170-0.301*$E$25)/$E$25))+I170/$E$26</f>
        <v>4.9483438320209974</v>
      </c>
      <c r="Q170" s="1794">
        <f>10^(-P170)</f>
        <v>1.1263054043136272E-5</v>
      </c>
      <c r="R170" s="1796">
        <f>2.5*0.01*$C$7*$C$8*$E$11*($E$12+$E$13*$E$14)*E170/U$11/U$11*Q170*$W$11^1.3/$D168/$D168*1000000</f>
        <v>7.4824230901520735E-3</v>
      </c>
      <c r="S170" s="1806">
        <f>IF(G$146=0,0,IF(F170="recht",$G170/$F$146,($G170-0.301*$F$24)/$F$24))+IF($H170=0,0,IF($F170="recht",$H170/$F$25,($H170-0.301*$F$25)/$F$25))+I170/$F$26</f>
        <v>6.2563770491803279</v>
      </c>
      <c r="T170" s="1811">
        <f>10^(-S170)</f>
        <v>5.5414440263229426E-7</v>
      </c>
      <c r="U170" s="1796">
        <f>2.5*0.01*$C$7*$C$8*$F$11*($F$12+$F$13*$F$14)*E170/U$11/U$11*T170*$W$11^1.3/$D$168/$D168*1000000</f>
        <v>2.0861076276506701E-4</v>
      </c>
      <c r="V170" s="1806">
        <f>IF($G170=0,0,IF($F170="recht",$G170/$G$24,($G170-0.301*$G$24)/$G$24))+IF($H170=0,0,IF($F170="recht",$H170/$G$25,($H170-0.301*$G$25)/$G$25))+I170/$G$26</f>
        <v>5.3169775280898879</v>
      </c>
      <c r="W170" s="1811">
        <f>10^(-V170)</f>
        <v>4.8197273592906954E-6</v>
      </c>
      <c r="X170" s="1819">
        <f>2.5*0.01*$C$7*$C$8*$G$11*($G$12+$G$13*$G$14)*E170/U$11/U$11*W170*$W$11^1.3/$D$168/$D168</f>
        <v>1.2273972646840874E-9</v>
      </c>
      <c r="Y170" s="1814">
        <f>SUM(L170,O170,R170,U170,X170)</f>
        <v>1.6681142051150143E-2</v>
      </c>
      <c r="Z170" s="890"/>
      <c r="AA170" s="891"/>
    </row>
    <row r="171" spans="1:87" s="45" customFormat="1" ht="19.5" customHeight="1" thickBot="1">
      <c r="A171" s="1711"/>
      <c r="B171" s="1853"/>
      <c r="C171" s="1726"/>
      <c r="D171" s="1711"/>
      <c r="E171" s="1822"/>
      <c r="F171" s="1822"/>
      <c r="G171" s="1711"/>
      <c r="H171" s="1711"/>
      <c r="I171" s="1711"/>
      <c r="J171" s="1802"/>
      <c r="K171" s="1795"/>
      <c r="L171" s="1797"/>
      <c r="M171" s="1802"/>
      <c r="N171" s="1795"/>
      <c r="O171" s="1797"/>
      <c r="P171" s="1802"/>
      <c r="Q171" s="1795"/>
      <c r="R171" s="1797"/>
      <c r="S171" s="1802"/>
      <c r="T171" s="1795"/>
      <c r="U171" s="1797"/>
      <c r="V171" s="1802"/>
      <c r="W171" s="1795"/>
      <c r="X171" s="1823"/>
      <c r="Y171" s="1821"/>
      <c r="Z171" s="892"/>
      <c r="AA171" s="893"/>
    </row>
    <row r="172" spans="1:87" s="331" customFormat="1" ht="19.5" customHeight="1">
      <c r="V172" s="311"/>
      <c r="W172" s="311"/>
      <c r="X172" s="311"/>
      <c r="Y172" s="311"/>
      <c r="Z172" s="311"/>
      <c r="AA172" s="311"/>
      <c r="AB172" s="321"/>
      <c r="AC172" s="321"/>
      <c r="AD172" s="321"/>
      <c r="AE172" s="321"/>
      <c r="AF172" s="321"/>
      <c r="AG172" s="321"/>
      <c r="AH172" s="321"/>
      <c r="AI172" s="321"/>
      <c r="AJ172" s="321"/>
      <c r="AK172" s="321"/>
      <c r="AL172" s="321"/>
      <c r="AM172" s="321"/>
      <c r="AN172" s="321"/>
      <c r="AO172" s="321"/>
      <c r="AP172" s="321"/>
      <c r="AQ172" s="321"/>
      <c r="AR172" s="321"/>
      <c r="AS172" s="321"/>
      <c r="AT172" s="321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21"/>
      <c r="BE172" s="321"/>
      <c r="BF172" s="321"/>
      <c r="BG172" s="321"/>
      <c r="BH172" s="321"/>
      <c r="BI172" s="321"/>
      <c r="BJ172" s="321"/>
      <c r="BK172" s="321"/>
      <c r="BL172" s="321"/>
      <c r="BM172" s="321"/>
      <c r="BN172" s="321"/>
      <c r="BO172" s="321"/>
      <c r="BP172" s="321"/>
      <c r="BQ172" s="321"/>
      <c r="BR172" s="321"/>
      <c r="BS172" s="321"/>
      <c r="BT172" s="321"/>
      <c r="BU172" s="321"/>
      <c r="BV172" s="321"/>
      <c r="BW172" s="321"/>
      <c r="BX172" s="321"/>
      <c r="BY172" s="321"/>
      <c r="BZ172" s="321"/>
      <c r="CA172" s="321"/>
      <c r="CB172" s="321"/>
      <c r="CC172" s="321"/>
      <c r="CD172" s="321"/>
      <c r="CE172" s="321"/>
      <c r="CF172" s="321"/>
      <c r="CG172" s="321"/>
      <c r="CH172" s="321"/>
      <c r="CI172" s="321"/>
    </row>
    <row r="173" spans="1:87" s="331" customFormat="1" ht="19.5" customHeight="1">
      <c r="V173" s="311"/>
      <c r="W173" s="311"/>
      <c r="X173" s="311"/>
      <c r="Y173" s="311"/>
      <c r="Z173" s="311"/>
      <c r="AA173" s="311"/>
      <c r="AB173" s="321"/>
      <c r="AC173" s="321"/>
      <c r="AD173" s="321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  <c r="AO173" s="321"/>
      <c r="AP173" s="321"/>
      <c r="AQ173" s="321"/>
      <c r="AR173" s="321"/>
      <c r="AS173" s="321"/>
      <c r="AT173" s="321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21"/>
      <c r="BE173" s="321"/>
      <c r="BF173" s="321"/>
      <c r="BG173" s="321"/>
      <c r="BH173" s="321"/>
      <c r="BI173" s="321"/>
      <c r="BJ173" s="321"/>
      <c r="BK173" s="321"/>
      <c r="BL173" s="321"/>
      <c r="BM173" s="321"/>
      <c r="BN173" s="321"/>
      <c r="BO173" s="321"/>
      <c r="BP173" s="321"/>
      <c r="BQ173" s="321"/>
      <c r="BR173" s="321"/>
      <c r="BS173" s="321"/>
      <c r="BT173" s="321"/>
      <c r="BU173" s="321"/>
      <c r="BV173" s="321"/>
      <c r="BW173" s="321"/>
      <c r="BX173" s="321"/>
      <c r="BY173" s="321"/>
      <c r="BZ173" s="321"/>
      <c r="CA173" s="321"/>
      <c r="CB173" s="321"/>
      <c r="CC173" s="321"/>
      <c r="CD173" s="321"/>
      <c r="CE173" s="321"/>
      <c r="CF173" s="321"/>
      <c r="CG173" s="321"/>
      <c r="CH173" s="321"/>
      <c r="CI173" s="321"/>
    </row>
    <row r="174" spans="1:87" s="331" customFormat="1" ht="19.5" customHeight="1">
      <c r="V174" s="311"/>
      <c r="W174" s="311"/>
      <c r="X174" s="311"/>
      <c r="Y174" s="311"/>
      <c r="Z174" s="311"/>
      <c r="AA174" s="311"/>
      <c r="AB174" s="321"/>
      <c r="AC174" s="321"/>
      <c r="AD174" s="321"/>
      <c r="AE174" s="321"/>
      <c r="AF174" s="321"/>
      <c r="AG174" s="321"/>
      <c r="AH174" s="321"/>
      <c r="AI174" s="321"/>
      <c r="AJ174" s="321"/>
      <c r="AK174" s="321"/>
      <c r="AL174" s="321"/>
      <c r="AM174" s="321"/>
      <c r="AN174" s="321"/>
      <c r="AO174" s="321"/>
      <c r="AP174" s="321"/>
      <c r="AQ174" s="321"/>
      <c r="AR174" s="321"/>
      <c r="AS174" s="321"/>
      <c r="AT174" s="321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21"/>
      <c r="BE174" s="321"/>
      <c r="BF174" s="321"/>
      <c r="BG174" s="321"/>
      <c r="BH174" s="321"/>
      <c r="BI174" s="321"/>
      <c r="BJ174" s="321"/>
      <c r="BK174" s="321"/>
      <c r="BL174" s="321"/>
      <c r="BM174" s="321"/>
      <c r="BN174" s="321"/>
      <c r="BO174" s="321"/>
      <c r="BP174" s="321"/>
      <c r="BQ174" s="321"/>
      <c r="BR174" s="321"/>
      <c r="BS174" s="321"/>
      <c r="BT174" s="321"/>
      <c r="BU174" s="321"/>
      <c r="BV174" s="321"/>
      <c r="BW174" s="321"/>
      <c r="BX174" s="321"/>
      <c r="BY174" s="321"/>
      <c r="BZ174" s="321"/>
      <c r="CA174" s="321"/>
      <c r="CB174" s="321"/>
      <c r="CC174" s="321"/>
      <c r="CD174" s="321"/>
      <c r="CE174" s="321"/>
      <c r="CF174" s="321"/>
      <c r="CG174" s="321"/>
      <c r="CH174" s="321"/>
      <c r="CI174" s="321"/>
    </row>
  </sheetData>
  <sheetProtection password="C526" sheet="1" objects="1" scenarios="1"/>
  <mergeCells count="990">
    <mergeCell ref="U170:U171"/>
    <mergeCell ref="N170:N171"/>
    <mergeCell ref="O170:O171"/>
    <mergeCell ref="V170:V171"/>
    <mergeCell ref="W170:W171"/>
    <mergeCell ref="G170:G171"/>
    <mergeCell ref="H170:H171"/>
    <mergeCell ref="I170:I171"/>
    <mergeCell ref="X170:X171"/>
    <mergeCell ref="Y170:Y171"/>
    <mergeCell ref="P170:P171"/>
    <mergeCell ref="Q170:Q171"/>
    <mergeCell ref="R170:R171"/>
    <mergeCell ref="S170:S171"/>
    <mergeCell ref="T170:T171"/>
    <mergeCell ref="M168:M169"/>
    <mergeCell ref="J170:J171"/>
    <mergeCell ref="K170:K171"/>
    <mergeCell ref="L170:L171"/>
    <mergeCell ref="M170:M171"/>
    <mergeCell ref="I168:I169"/>
    <mergeCell ref="J168:J169"/>
    <mergeCell ref="K168:K169"/>
    <mergeCell ref="L168:L169"/>
    <mergeCell ref="X168:X169"/>
    <mergeCell ref="Y168:Y169"/>
    <mergeCell ref="N168:N169"/>
    <mergeCell ref="O168:O169"/>
    <mergeCell ref="P168:P169"/>
    <mergeCell ref="Q168:Q169"/>
    <mergeCell ref="R168:R169"/>
    <mergeCell ref="S168:S169"/>
    <mergeCell ref="T168:T169"/>
    <mergeCell ref="U168:U169"/>
    <mergeCell ref="Y164:Y165"/>
    <mergeCell ref="R164:R165"/>
    <mergeCell ref="S164:S165"/>
    <mergeCell ref="T164:T165"/>
    <mergeCell ref="X166:X167"/>
    <mergeCell ref="Y166:Y167"/>
    <mergeCell ref="R166:R167"/>
    <mergeCell ref="S166:S167"/>
    <mergeCell ref="T166:T167"/>
    <mergeCell ref="C164:C165"/>
    <mergeCell ref="D164:D165"/>
    <mergeCell ref="E164:E165"/>
    <mergeCell ref="N166:N167"/>
    <mergeCell ref="U166:U167"/>
    <mergeCell ref="X164:X165"/>
    <mergeCell ref="O166:O167"/>
    <mergeCell ref="P166:P167"/>
    <mergeCell ref="Q166:Q167"/>
    <mergeCell ref="M164:M165"/>
    <mergeCell ref="N164:N165"/>
    <mergeCell ref="L166:L167"/>
    <mergeCell ref="M166:M167"/>
    <mergeCell ref="C166:C167"/>
    <mergeCell ref="D166:D167"/>
    <mergeCell ref="E166:E167"/>
    <mergeCell ref="J166:J167"/>
    <mergeCell ref="I164:I167"/>
    <mergeCell ref="J164:J165"/>
    <mergeCell ref="W164:W165"/>
    <mergeCell ref="F164:F167"/>
    <mergeCell ref="G164:G167"/>
    <mergeCell ref="H164:H167"/>
    <mergeCell ref="K166:K167"/>
    <mergeCell ref="O164:O165"/>
    <mergeCell ref="P164:P165"/>
    <mergeCell ref="Q164:Q165"/>
    <mergeCell ref="K164:K165"/>
    <mergeCell ref="L164:L165"/>
    <mergeCell ref="V168:V169"/>
    <mergeCell ref="W168:W169"/>
    <mergeCell ref="V162:V163"/>
    <mergeCell ref="W162:W163"/>
    <mergeCell ref="C162:C163"/>
    <mergeCell ref="E162:E163"/>
    <mergeCell ref="V166:V167"/>
    <mergeCell ref="W166:W167"/>
    <mergeCell ref="U164:U165"/>
    <mergeCell ref="V164:V165"/>
    <mergeCell ref="C170:C171"/>
    <mergeCell ref="E170:E171"/>
    <mergeCell ref="C168:C169"/>
    <mergeCell ref="D168:D171"/>
    <mergeCell ref="E168:E169"/>
    <mergeCell ref="F168:F169"/>
    <mergeCell ref="F170:F171"/>
    <mergeCell ref="F162:F163"/>
    <mergeCell ref="G162:G163"/>
    <mergeCell ref="H162:H163"/>
    <mergeCell ref="I162:I163"/>
    <mergeCell ref="G168:G169"/>
    <mergeCell ref="H168:H169"/>
    <mergeCell ref="U162:U163"/>
    <mergeCell ref="J162:J163"/>
    <mergeCell ref="K162:K163"/>
    <mergeCell ref="L162:L163"/>
    <mergeCell ref="M162:M163"/>
    <mergeCell ref="N162:N163"/>
    <mergeCell ref="O162:O163"/>
    <mergeCell ref="P162:P163"/>
    <mergeCell ref="Y162:Y163"/>
    <mergeCell ref="Y160:Y161"/>
    <mergeCell ref="Q162:Q163"/>
    <mergeCell ref="R162:R163"/>
    <mergeCell ref="T160:T161"/>
    <mergeCell ref="U160:U161"/>
    <mergeCell ref="R160:R161"/>
    <mergeCell ref="S160:S161"/>
    <mergeCell ref="S162:S163"/>
    <mergeCell ref="T162:T163"/>
    <mergeCell ref="H160:H161"/>
    <mergeCell ref="I160:I161"/>
    <mergeCell ref="J160:J161"/>
    <mergeCell ref="K160:K161"/>
    <mergeCell ref="V160:V161"/>
    <mergeCell ref="W160:W161"/>
    <mergeCell ref="L160:L161"/>
    <mergeCell ref="M160:M161"/>
    <mergeCell ref="X162:X163"/>
    <mergeCell ref="U158:U159"/>
    <mergeCell ref="V158:V159"/>
    <mergeCell ref="W158:W159"/>
    <mergeCell ref="X158:X159"/>
    <mergeCell ref="S158:S159"/>
    <mergeCell ref="T158:T159"/>
    <mergeCell ref="N158:N159"/>
    <mergeCell ref="Y158:Y159"/>
    <mergeCell ref="C160:C161"/>
    <mergeCell ref="D160:D163"/>
    <mergeCell ref="E160:E161"/>
    <mergeCell ref="F160:F161"/>
    <mergeCell ref="G160:G161"/>
    <mergeCell ref="O158:O159"/>
    <mergeCell ref="P158:P159"/>
    <mergeCell ref="Q158:Q159"/>
    <mergeCell ref="R158:R159"/>
    <mergeCell ref="U156:U157"/>
    <mergeCell ref="V156:V157"/>
    <mergeCell ref="W156:W157"/>
    <mergeCell ref="X156:X157"/>
    <mergeCell ref="N160:N161"/>
    <mergeCell ref="O160:O161"/>
    <mergeCell ref="P160:P161"/>
    <mergeCell ref="Q160:Q161"/>
    <mergeCell ref="X160:X161"/>
    <mergeCell ref="Y156:Y157"/>
    <mergeCell ref="C158:C159"/>
    <mergeCell ref="D158:D159"/>
    <mergeCell ref="E158:E159"/>
    <mergeCell ref="J158:J159"/>
    <mergeCell ref="K158:K159"/>
    <mergeCell ref="O156:O157"/>
    <mergeCell ref="P156:P157"/>
    <mergeCell ref="Q156:Q157"/>
    <mergeCell ref="R156:R157"/>
    <mergeCell ref="S156:S157"/>
    <mergeCell ref="T156:T157"/>
    <mergeCell ref="I156:I159"/>
    <mergeCell ref="J156:J157"/>
    <mergeCell ref="K156:K157"/>
    <mergeCell ref="L156:L157"/>
    <mergeCell ref="M156:M157"/>
    <mergeCell ref="N156:N157"/>
    <mergeCell ref="L158:L159"/>
    <mergeCell ref="M158:M159"/>
    <mergeCell ref="G156:G159"/>
    <mergeCell ref="H156:H159"/>
    <mergeCell ref="P154:P155"/>
    <mergeCell ref="Q154:Q155"/>
    <mergeCell ref="C156:C157"/>
    <mergeCell ref="D156:D157"/>
    <mergeCell ref="E156:E157"/>
    <mergeCell ref="F156:F159"/>
    <mergeCell ref="Y154:Y155"/>
    <mergeCell ref="S154:S155"/>
    <mergeCell ref="T154:T155"/>
    <mergeCell ref="U154:U155"/>
    <mergeCell ref="N154:N155"/>
    <mergeCell ref="O154:O155"/>
    <mergeCell ref="H152:H153"/>
    <mergeCell ref="I152:I153"/>
    <mergeCell ref="J152:J153"/>
    <mergeCell ref="K152:K153"/>
    <mergeCell ref="R154:R155"/>
    <mergeCell ref="C154:C155"/>
    <mergeCell ref="E154:E155"/>
    <mergeCell ref="L152:L153"/>
    <mergeCell ref="M152:M153"/>
    <mergeCell ref="F154:F155"/>
    <mergeCell ref="G154:G155"/>
    <mergeCell ref="H154:H155"/>
    <mergeCell ref="I154:I155"/>
    <mergeCell ref="J154:J155"/>
    <mergeCell ref="K154:K155"/>
    <mergeCell ref="L154:L155"/>
    <mergeCell ref="M154:M155"/>
    <mergeCell ref="V154:V155"/>
    <mergeCell ref="W154:W155"/>
    <mergeCell ref="X154:X155"/>
    <mergeCell ref="S152:S153"/>
    <mergeCell ref="T152:T153"/>
    <mergeCell ref="U152:U153"/>
    <mergeCell ref="V152:V153"/>
    <mergeCell ref="U150:U151"/>
    <mergeCell ref="V150:V151"/>
    <mergeCell ref="W150:W151"/>
    <mergeCell ref="R150:R151"/>
    <mergeCell ref="S150:S151"/>
    <mergeCell ref="T150:T151"/>
    <mergeCell ref="X150:X151"/>
    <mergeCell ref="Y150:Y151"/>
    <mergeCell ref="C152:C153"/>
    <mergeCell ref="D152:D155"/>
    <mergeCell ref="E152:E153"/>
    <mergeCell ref="F152:F153"/>
    <mergeCell ref="G152:G153"/>
    <mergeCell ref="O150:O151"/>
    <mergeCell ref="P150:P151"/>
    <mergeCell ref="Q150:Q151"/>
    <mergeCell ref="Y152:Y153"/>
    <mergeCell ref="N152:N153"/>
    <mergeCell ref="O152:O153"/>
    <mergeCell ref="P152:P153"/>
    <mergeCell ref="Q152:Q153"/>
    <mergeCell ref="R152:R153"/>
    <mergeCell ref="W152:W153"/>
    <mergeCell ref="X152:X153"/>
    <mergeCell ref="W148:W149"/>
    <mergeCell ref="R148:R149"/>
    <mergeCell ref="S148:S149"/>
    <mergeCell ref="T148:T149"/>
    <mergeCell ref="V146:V147"/>
    <mergeCell ref="W146:W147"/>
    <mergeCell ref="R146:R147"/>
    <mergeCell ref="C150:C151"/>
    <mergeCell ref="D150:D151"/>
    <mergeCell ref="E150:E151"/>
    <mergeCell ref="J150:J151"/>
    <mergeCell ref="K150:K151"/>
    <mergeCell ref="O148:O149"/>
    <mergeCell ref="M150:M151"/>
    <mergeCell ref="N150:N151"/>
    <mergeCell ref="I148:I151"/>
    <mergeCell ref="J148:J149"/>
    <mergeCell ref="K148:K149"/>
    <mergeCell ref="L148:L149"/>
    <mergeCell ref="X148:X149"/>
    <mergeCell ref="Y148:Y149"/>
    <mergeCell ref="P148:P149"/>
    <mergeCell ref="Q148:Q149"/>
    <mergeCell ref="U148:U149"/>
    <mergeCell ref="V148:V149"/>
    <mergeCell ref="M148:M149"/>
    <mergeCell ref="N148:N149"/>
    <mergeCell ref="L150:L151"/>
    <mergeCell ref="L140:L141"/>
    <mergeCell ref="L142:L143"/>
    <mergeCell ref="M142:M143"/>
    <mergeCell ref="L144:L145"/>
    <mergeCell ref="M144:M145"/>
    <mergeCell ref="N142:N143"/>
    <mergeCell ref="X146:X147"/>
    <mergeCell ref="Y146:Y147"/>
    <mergeCell ref="C148:C149"/>
    <mergeCell ref="D148:D149"/>
    <mergeCell ref="E148:E149"/>
    <mergeCell ref="F148:F151"/>
    <mergeCell ref="G148:G151"/>
    <mergeCell ref="H148:H151"/>
    <mergeCell ref="P146:P147"/>
    <mergeCell ref="Q146:Q147"/>
    <mergeCell ref="M146:M147"/>
    <mergeCell ref="N146:N147"/>
    <mergeCell ref="C146:C147"/>
    <mergeCell ref="E146:E147"/>
    <mergeCell ref="S146:S147"/>
    <mergeCell ref="T146:T147"/>
    <mergeCell ref="G146:G147"/>
    <mergeCell ref="H146:H147"/>
    <mergeCell ref="I146:I147"/>
    <mergeCell ref="O146:O147"/>
    <mergeCell ref="Y144:Y145"/>
    <mergeCell ref="N144:N145"/>
    <mergeCell ref="O144:O145"/>
    <mergeCell ref="P144:P145"/>
    <mergeCell ref="Q144:Q145"/>
    <mergeCell ref="R144:R145"/>
    <mergeCell ref="S144:S145"/>
    <mergeCell ref="T144:T145"/>
    <mergeCell ref="U144:U145"/>
    <mergeCell ref="V144:V145"/>
    <mergeCell ref="X144:X145"/>
    <mergeCell ref="O142:O143"/>
    <mergeCell ref="P142:P143"/>
    <mergeCell ref="Q142:Q143"/>
    <mergeCell ref="R142:R143"/>
    <mergeCell ref="W142:W143"/>
    <mergeCell ref="X142:X143"/>
    <mergeCell ref="C144:C145"/>
    <mergeCell ref="D144:D147"/>
    <mergeCell ref="E144:E145"/>
    <mergeCell ref="F144:F145"/>
    <mergeCell ref="F146:F147"/>
    <mergeCell ref="W144:W145"/>
    <mergeCell ref="U146:U147"/>
    <mergeCell ref="J146:J147"/>
    <mergeCell ref="K146:K147"/>
    <mergeCell ref="L146:L147"/>
    <mergeCell ref="H144:H145"/>
    <mergeCell ref="I144:I145"/>
    <mergeCell ref="J144:J145"/>
    <mergeCell ref="K144:K145"/>
    <mergeCell ref="G144:G145"/>
    <mergeCell ref="B130:B133"/>
    <mergeCell ref="C130:C131"/>
    <mergeCell ref="D130:D131"/>
    <mergeCell ref="E130:E131"/>
    <mergeCell ref="F130:F133"/>
    <mergeCell ref="S137:U137"/>
    <mergeCell ref="V137:X137"/>
    <mergeCell ref="K142:K143"/>
    <mergeCell ref="O140:O141"/>
    <mergeCell ref="P140:P141"/>
    <mergeCell ref="Q140:Q141"/>
    <mergeCell ref="R140:R141"/>
    <mergeCell ref="U140:U141"/>
    <mergeCell ref="U142:U143"/>
    <mergeCell ref="V142:V143"/>
    <mergeCell ref="S140:S141"/>
    <mergeCell ref="T140:T141"/>
    <mergeCell ref="C140:C141"/>
    <mergeCell ref="D140:D141"/>
    <mergeCell ref="E140:E141"/>
    <mergeCell ref="F140:F143"/>
    <mergeCell ref="C142:C143"/>
    <mergeCell ref="D142:D143"/>
    <mergeCell ref="E142:E143"/>
    <mergeCell ref="J142:J143"/>
    <mergeCell ref="Y137:AA137"/>
    <mergeCell ref="J138:J139"/>
    <mergeCell ref="M138:M139"/>
    <mergeCell ref="V140:V141"/>
    <mergeCell ref="W140:W141"/>
    <mergeCell ref="X140:X141"/>
    <mergeCell ref="J140:J141"/>
    <mergeCell ref="K140:K141"/>
    <mergeCell ref="M140:M141"/>
    <mergeCell ref="N140:N141"/>
    <mergeCell ref="S138:S139"/>
    <mergeCell ref="V138:V139"/>
    <mergeCell ref="Z138:AA138"/>
    <mergeCell ref="Y140:Y141"/>
    <mergeCell ref="A137:A139"/>
    <mergeCell ref="B137:B139"/>
    <mergeCell ref="C137:C139"/>
    <mergeCell ref="D137:D139"/>
    <mergeCell ref="E137:E139"/>
    <mergeCell ref="F137:F139"/>
    <mergeCell ref="M132:M133"/>
    <mergeCell ref="J137:L137"/>
    <mergeCell ref="M137:O137"/>
    <mergeCell ref="G140:G143"/>
    <mergeCell ref="H140:H143"/>
    <mergeCell ref="P138:P139"/>
    <mergeCell ref="I140:I143"/>
    <mergeCell ref="P137:R137"/>
    <mergeCell ref="G130:G133"/>
    <mergeCell ref="H130:H133"/>
    <mergeCell ref="I130:I133"/>
    <mergeCell ref="J130:J133"/>
    <mergeCell ref="Y142:Y143"/>
    <mergeCell ref="S142:S143"/>
    <mergeCell ref="T142:T143"/>
    <mergeCell ref="D127:D129"/>
    <mergeCell ref="E127:E129"/>
    <mergeCell ref="U130:U131"/>
    <mergeCell ref="N130:N131"/>
    <mergeCell ref="N132:N133"/>
    <mergeCell ref="U127:W127"/>
    <mergeCell ref="A127:A129"/>
    <mergeCell ref="B127:B129"/>
    <mergeCell ref="C127:C129"/>
    <mergeCell ref="F127:F129"/>
    <mergeCell ref="L127:N127"/>
    <mergeCell ref="O127:Q127"/>
    <mergeCell ref="R127:T127"/>
    <mergeCell ref="X121:X122"/>
    <mergeCell ref="Y121:Y122"/>
    <mergeCell ref="J119:J122"/>
    <mergeCell ref="K119:K122"/>
    <mergeCell ref="L119:L122"/>
    <mergeCell ref="M119:M120"/>
    <mergeCell ref="N121:N122"/>
    <mergeCell ref="O121:O122"/>
    <mergeCell ref="P121:P122"/>
    <mergeCell ref="C121:C122"/>
    <mergeCell ref="D121:D122"/>
    <mergeCell ref="E121:E122"/>
    <mergeCell ref="M121:M122"/>
    <mergeCell ref="H119:H122"/>
    <mergeCell ref="I119:I122"/>
    <mergeCell ref="T119:T120"/>
    <mergeCell ref="U119:U120"/>
    <mergeCell ref="N119:N120"/>
    <mergeCell ref="O119:O120"/>
    <mergeCell ref="P119:P120"/>
    <mergeCell ref="Q119:Q120"/>
    <mergeCell ref="R119:R120"/>
    <mergeCell ref="S119:S120"/>
    <mergeCell ref="AA121:AA122"/>
    <mergeCell ref="AB121:AB122"/>
    <mergeCell ref="Q121:Q122"/>
    <mergeCell ref="R121:R122"/>
    <mergeCell ref="S121:S122"/>
    <mergeCell ref="T121:T122"/>
    <mergeCell ref="U121:U122"/>
    <mergeCell ref="V121:V122"/>
    <mergeCell ref="Z121:Z122"/>
    <mergeCell ref="W121:W122"/>
    <mergeCell ref="Z119:Z120"/>
    <mergeCell ref="AA119:AA120"/>
    <mergeCell ref="AB119:AB120"/>
    <mergeCell ref="V119:V120"/>
    <mergeCell ref="W119:W120"/>
    <mergeCell ref="X119:X120"/>
    <mergeCell ref="Y119:Y120"/>
    <mergeCell ref="N95:N96"/>
    <mergeCell ref="V95:V96"/>
    <mergeCell ref="W95:W96"/>
    <mergeCell ref="AB97:AB98"/>
    <mergeCell ref="C119:C120"/>
    <mergeCell ref="D119:D120"/>
    <mergeCell ref="E119:E120"/>
    <mergeCell ref="F119:F122"/>
    <mergeCell ref="G119:G122"/>
    <mergeCell ref="R97:R98"/>
    <mergeCell ref="Y117:Y118"/>
    <mergeCell ref="Z117:Z118"/>
    <mergeCell ref="AA117:AA118"/>
    <mergeCell ref="AB117:AB118"/>
    <mergeCell ref="V97:V98"/>
    <mergeCell ref="W97:W98"/>
    <mergeCell ref="AA95:AA96"/>
    <mergeCell ref="AB95:AB96"/>
    <mergeCell ref="C97:C98"/>
    <mergeCell ref="D97:D98"/>
    <mergeCell ref="X97:X98"/>
    <mergeCell ref="M97:M98"/>
    <mergeCell ref="N97:N98"/>
    <mergeCell ref="O97:O98"/>
    <mergeCell ref="Z97:Z98"/>
    <mergeCell ref="U95:U96"/>
    <mergeCell ref="H99:H102"/>
    <mergeCell ref="I99:I102"/>
    <mergeCell ref="C95:C96"/>
    <mergeCell ref="D95:D96"/>
    <mergeCell ref="E95:E96"/>
    <mergeCell ref="F95:F98"/>
    <mergeCell ref="G95:G98"/>
    <mergeCell ref="H95:H98"/>
    <mergeCell ref="E97:E98"/>
    <mergeCell ref="I95:I98"/>
    <mergeCell ref="J95:J98"/>
    <mergeCell ref="P103:P104"/>
    <mergeCell ref="Q103:Q104"/>
    <mergeCell ref="R103:R104"/>
    <mergeCell ref="S103:S104"/>
    <mergeCell ref="Q97:Q98"/>
    <mergeCell ref="K95:K98"/>
    <mergeCell ref="L95:L98"/>
    <mergeCell ref="M95:M96"/>
    <mergeCell ref="Q105:Q106"/>
    <mergeCell ref="R105:R106"/>
    <mergeCell ref="S105:S106"/>
    <mergeCell ref="T105:T106"/>
    <mergeCell ref="U103:U104"/>
    <mergeCell ref="I103:I104"/>
    <mergeCell ref="O103:O104"/>
    <mergeCell ref="C113:C114"/>
    <mergeCell ref="E113:E114"/>
    <mergeCell ref="M113:M114"/>
    <mergeCell ref="N113:N114"/>
    <mergeCell ref="G107:G114"/>
    <mergeCell ref="O105:O106"/>
    <mergeCell ref="D115:D116"/>
    <mergeCell ref="H107:H114"/>
    <mergeCell ref="I107:I114"/>
    <mergeCell ref="M107:M108"/>
    <mergeCell ref="K103:K118"/>
    <mergeCell ref="L103:L118"/>
    <mergeCell ref="E115:E116"/>
    <mergeCell ref="F115:F116"/>
    <mergeCell ref="G115:G116"/>
    <mergeCell ref="H115:H116"/>
    <mergeCell ref="E105:E106"/>
    <mergeCell ref="F105:F106"/>
    <mergeCell ref="G105:G106"/>
    <mergeCell ref="H105:H106"/>
    <mergeCell ref="O113:O114"/>
    <mergeCell ref="I115:I116"/>
    <mergeCell ref="M115:M116"/>
    <mergeCell ref="Z115:Z116"/>
    <mergeCell ref="AA115:AA116"/>
    <mergeCell ref="V115:V116"/>
    <mergeCell ref="W115:W116"/>
    <mergeCell ref="X115:X116"/>
    <mergeCell ref="Y115:Y116"/>
    <mergeCell ref="H117:H118"/>
    <mergeCell ref="I117:I118"/>
    <mergeCell ref="T115:T116"/>
    <mergeCell ref="U115:U116"/>
    <mergeCell ref="I105:I106"/>
    <mergeCell ref="M105:M106"/>
    <mergeCell ref="N115:N116"/>
    <mergeCell ref="O115:O116"/>
    <mergeCell ref="U105:U106"/>
    <mergeCell ref="P105:P106"/>
    <mergeCell ref="P115:P116"/>
    <mergeCell ref="Q115:Q116"/>
    <mergeCell ref="R115:R116"/>
    <mergeCell ref="S115:S116"/>
    <mergeCell ref="AB115:AB116"/>
    <mergeCell ref="C117:C118"/>
    <mergeCell ref="D117:D118"/>
    <mergeCell ref="E117:E118"/>
    <mergeCell ref="F117:F118"/>
    <mergeCell ref="G117:G118"/>
    <mergeCell ref="C115:C116"/>
    <mergeCell ref="S117:S118"/>
    <mergeCell ref="Z109:Z110"/>
    <mergeCell ref="AA109:AA110"/>
    <mergeCell ref="V109:V110"/>
    <mergeCell ref="W109:W110"/>
    <mergeCell ref="X109:X110"/>
    <mergeCell ref="W111:W112"/>
    <mergeCell ref="X111:X112"/>
    <mergeCell ref="Y111:Y112"/>
    <mergeCell ref="AB109:AB110"/>
    <mergeCell ref="C111:C112"/>
    <mergeCell ref="E111:E112"/>
    <mergeCell ref="M111:M112"/>
    <mergeCell ref="N111:N112"/>
    <mergeCell ref="O111:O112"/>
    <mergeCell ref="P111:P112"/>
    <mergeCell ref="S109:S110"/>
    <mergeCell ref="T109:T110"/>
    <mergeCell ref="U109:U110"/>
    <mergeCell ref="Z111:Z112"/>
    <mergeCell ref="AA111:AA112"/>
    <mergeCell ref="AB111:AB112"/>
    <mergeCell ref="Q111:Q112"/>
    <mergeCell ref="R111:R112"/>
    <mergeCell ref="S111:S112"/>
    <mergeCell ref="Q113:Q114"/>
    <mergeCell ref="R113:R114"/>
    <mergeCell ref="S113:S114"/>
    <mergeCell ref="T113:T114"/>
    <mergeCell ref="U113:U114"/>
    <mergeCell ref="V113:V114"/>
    <mergeCell ref="W113:W114"/>
    <mergeCell ref="X113:X114"/>
    <mergeCell ref="Y113:Y114"/>
    <mergeCell ref="Z113:Z114"/>
    <mergeCell ref="AA113:AA114"/>
    <mergeCell ref="AB113:AB114"/>
    <mergeCell ref="W117:W118"/>
    <mergeCell ref="X117:X118"/>
    <mergeCell ref="M117:M118"/>
    <mergeCell ref="N117:N118"/>
    <mergeCell ref="O117:O118"/>
    <mergeCell ref="P117:P118"/>
    <mergeCell ref="Q117:Q118"/>
    <mergeCell ref="R117:R118"/>
    <mergeCell ref="T117:T118"/>
    <mergeCell ref="U117:U118"/>
    <mergeCell ref="P113:P114"/>
    <mergeCell ref="M103:M104"/>
    <mergeCell ref="N103:N104"/>
    <mergeCell ref="U107:U108"/>
    <mergeCell ref="V117:V118"/>
    <mergeCell ref="T107:T108"/>
    <mergeCell ref="N107:N108"/>
    <mergeCell ref="T111:T112"/>
    <mergeCell ref="U111:U112"/>
    <mergeCell ref="AB107:AB108"/>
    <mergeCell ref="C109:C110"/>
    <mergeCell ref="E109:E110"/>
    <mergeCell ref="M109:M110"/>
    <mergeCell ref="N109:N110"/>
    <mergeCell ref="O109:O110"/>
    <mergeCell ref="P109:P110"/>
    <mergeCell ref="Q109:Q110"/>
    <mergeCell ref="R109:R110"/>
    <mergeCell ref="Y109:Y110"/>
    <mergeCell ref="S107:S108"/>
    <mergeCell ref="V107:V108"/>
    <mergeCell ref="W107:W108"/>
    <mergeCell ref="X107:X108"/>
    <mergeCell ref="Y107:Y108"/>
    <mergeCell ref="AA107:AA108"/>
    <mergeCell ref="AA99:AA100"/>
    <mergeCell ref="C107:C108"/>
    <mergeCell ref="D107:D108"/>
    <mergeCell ref="E107:E108"/>
    <mergeCell ref="F107:F114"/>
    <mergeCell ref="Z107:Z108"/>
    <mergeCell ref="O107:O108"/>
    <mergeCell ref="P107:P108"/>
    <mergeCell ref="Q107:Q108"/>
    <mergeCell ref="R107:R108"/>
    <mergeCell ref="Z105:Z106"/>
    <mergeCell ref="AB99:AB100"/>
    <mergeCell ref="C101:C102"/>
    <mergeCell ref="D101:D102"/>
    <mergeCell ref="E101:E102"/>
    <mergeCell ref="M101:M102"/>
    <mergeCell ref="N101:N102"/>
    <mergeCell ref="O101:O102"/>
    <mergeCell ref="P101:P102"/>
    <mergeCell ref="Z99:Z100"/>
    <mergeCell ref="Y103:Y104"/>
    <mergeCell ref="Z103:Z104"/>
    <mergeCell ref="N105:N106"/>
    <mergeCell ref="T103:T104"/>
    <mergeCell ref="AA105:AA106"/>
    <mergeCell ref="AB105:AB106"/>
    <mergeCell ref="V105:V106"/>
    <mergeCell ref="W105:W106"/>
    <mergeCell ref="X105:X106"/>
    <mergeCell ref="Y105:Y106"/>
    <mergeCell ref="C105:C106"/>
    <mergeCell ref="D105:D106"/>
    <mergeCell ref="AB101:AB102"/>
    <mergeCell ref="Q101:Q102"/>
    <mergeCell ref="R101:R102"/>
    <mergeCell ref="S101:S102"/>
    <mergeCell ref="T101:T102"/>
    <mergeCell ref="U101:U102"/>
    <mergeCell ref="V101:V102"/>
    <mergeCell ref="C103:C104"/>
    <mergeCell ref="M99:M100"/>
    <mergeCell ref="W99:W100"/>
    <mergeCell ref="X99:X100"/>
    <mergeCell ref="D103:D104"/>
    <mergeCell ref="E103:E104"/>
    <mergeCell ref="F103:F104"/>
    <mergeCell ref="G103:G104"/>
    <mergeCell ref="X103:X104"/>
    <mergeCell ref="J103:J118"/>
    <mergeCell ref="V111:V112"/>
    <mergeCell ref="AA103:AA104"/>
    <mergeCell ref="AB103:AB104"/>
    <mergeCell ref="V103:V104"/>
    <mergeCell ref="W103:W104"/>
    <mergeCell ref="H103:H104"/>
    <mergeCell ref="W101:W102"/>
    <mergeCell ref="X101:X102"/>
    <mergeCell ref="Y101:Y102"/>
    <mergeCell ref="J99:J102"/>
    <mergeCell ref="K99:K102"/>
    <mergeCell ref="Z101:Z102"/>
    <mergeCell ref="AA101:AA102"/>
    <mergeCell ref="I91:I94"/>
    <mergeCell ref="J91:J94"/>
    <mergeCell ref="X93:X94"/>
    <mergeCell ref="Y93:Y94"/>
    <mergeCell ref="Z93:Z94"/>
    <mergeCell ref="AA93:AA94"/>
    <mergeCell ref="P97:P98"/>
    <mergeCell ref="L99:L102"/>
    <mergeCell ref="X95:X96"/>
    <mergeCell ref="Y95:Y96"/>
    <mergeCell ref="Z95:Z96"/>
    <mergeCell ref="O95:O96"/>
    <mergeCell ref="P95:P96"/>
    <mergeCell ref="Q95:Q96"/>
    <mergeCell ref="R95:R96"/>
    <mergeCell ref="S95:S96"/>
    <mergeCell ref="T95:T96"/>
    <mergeCell ref="AA97:AA98"/>
    <mergeCell ref="Y99:Y100"/>
    <mergeCell ref="N99:N100"/>
    <mergeCell ref="O99:O100"/>
    <mergeCell ref="P99:P100"/>
    <mergeCell ref="Q99:Q100"/>
    <mergeCell ref="R99:R100"/>
    <mergeCell ref="S99:S100"/>
    <mergeCell ref="V99:V100"/>
    <mergeCell ref="Y97:Y98"/>
    <mergeCell ref="T99:T100"/>
    <mergeCell ref="U99:U100"/>
    <mergeCell ref="O91:O92"/>
    <mergeCell ref="P91:P92"/>
    <mergeCell ref="Q91:Q92"/>
    <mergeCell ref="R91:R92"/>
    <mergeCell ref="Q93:Q94"/>
    <mergeCell ref="S97:S98"/>
    <mergeCell ref="T97:T98"/>
    <mergeCell ref="U97:U98"/>
    <mergeCell ref="AB93:AB94"/>
    <mergeCell ref="C99:C100"/>
    <mergeCell ref="D99:D100"/>
    <mergeCell ref="E99:E100"/>
    <mergeCell ref="F99:F102"/>
    <mergeCell ref="G99:G102"/>
    <mergeCell ref="R93:R94"/>
    <mergeCell ref="S93:S94"/>
    <mergeCell ref="T93:T94"/>
    <mergeCell ref="U93:U94"/>
    <mergeCell ref="K91:K94"/>
    <mergeCell ref="L91:L94"/>
    <mergeCell ref="M91:M92"/>
    <mergeCell ref="N91:N92"/>
    <mergeCell ref="U91:U92"/>
    <mergeCell ref="V91:V92"/>
    <mergeCell ref="S91:S92"/>
    <mergeCell ref="T91:T92"/>
    <mergeCell ref="Y91:Y92"/>
    <mergeCell ref="Z91:Z92"/>
    <mergeCell ref="X78:X79"/>
    <mergeCell ref="Y78:Y79"/>
    <mergeCell ref="V93:V94"/>
    <mergeCell ref="W93:W94"/>
    <mergeCell ref="W91:W92"/>
    <mergeCell ref="AC89:AD89"/>
    <mergeCell ref="AB88:AD88"/>
    <mergeCell ref="C91:C92"/>
    <mergeCell ref="D91:D92"/>
    <mergeCell ref="E91:E92"/>
    <mergeCell ref="F91:F94"/>
    <mergeCell ref="G91:G94"/>
    <mergeCell ref="H91:H94"/>
    <mergeCell ref="F88:F90"/>
    <mergeCell ref="J88:L88"/>
    <mergeCell ref="AB91:AB92"/>
    <mergeCell ref="C93:C94"/>
    <mergeCell ref="D93:D94"/>
    <mergeCell ref="E93:E94"/>
    <mergeCell ref="M93:M94"/>
    <mergeCell ref="N93:N94"/>
    <mergeCell ref="O93:O94"/>
    <mergeCell ref="P93:P94"/>
    <mergeCell ref="AA91:AA92"/>
    <mergeCell ref="X91:X92"/>
    <mergeCell ref="Y80:Y81"/>
    <mergeCell ref="A88:A90"/>
    <mergeCell ref="B88:B89"/>
    <mergeCell ref="C88:C90"/>
    <mergeCell ref="D88:D90"/>
    <mergeCell ref="E88:E90"/>
    <mergeCell ref="O80:O81"/>
    <mergeCell ref="P80:P81"/>
    <mergeCell ref="M88:O88"/>
    <mergeCell ref="P88:R88"/>
    <mergeCell ref="Y88:AA88"/>
    <mergeCell ref="J80:J81"/>
    <mergeCell ref="K80:K81"/>
    <mergeCell ref="U80:U81"/>
    <mergeCell ref="V80:V81"/>
    <mergeCell ref="Q80:Q81"/>
    <mergeCell ref="R80:R81"/>
    <mergeCell ref="S80:S81"/>
    <mergeCell ref="T80:T81"/>
    <mergeCell ref="W80:W81"/>
    <mergeCell ref="O78:O79"/>
    <mergeCell ref="P78:P79"/>
    <mergeCell ref="Q78:Q79"/>
    <mergeCell ref="R78:R79"/>
    <mergeCell ref="N80:N81"/>
    <mergeCell ref="V88:X88"/>
    <mergeCell ref="X80:X81"/>
    <mergeCell ref="S88:U88"/>
    <mergeCell ref="M80:M81"/>
    <mergeCell ref="H78:H81"/>
    <mergeCell ref="I78:I81"/>
    <mergeCell ref="J78:J79"/>
    <mergeCell ref="K78:K79"/>
    <mergeCell ref="D78:D79"/>
    <mergeCell ref="E78:E79"/>
    <mergeCell ref="F78:F81"/>
    <mergeCell ref="G78:G81"/>
    <mergeCell ref="C80:C81"/>
    <mergeCell ref="D80:D81"/>
    <mergeCell ref="E80:E81"/>
    <mergeCell ref="W78:W79"/>
    <mergeCell ref="S78:S79"/>
    <mergeCell ref="T78:T79"/>
    <mergeCell ref="L78:L79"/>
    <mergeCell ref="M78:M79"/>
    <mergeCell ref="N78:N79"/>
    <mergeCell ref="L80:L81"/>
    <mergeCell ref="J74:J75"/>
    <mergeCell ref="K74:K75"/>
    <mergeCell ref="L74:L75"/>
    <mergeCell ref="C76:C77"/>
    <mergeCell ref="D76:D77"/>
    <mergeCell ref="E76:E77"/>
    <mergeCell ref="J76:J77"/>
    <mergeCell ref="W76:W77"/>
    <mergeCell ref="C78:C79"/>
    <mergeCell ref="M74:M75"/>
    <mergeCell ref="M76:M77"/>
    <mergeCell ref="U78:U79"/>
    <mergeCell ref="V78:V79"/>
    <mergeCell ref="Q74:Q75"/>
    <mergeCell ref="R74:R75"/>
    <mergeCell ref="S74:S75"/>
    <mergeCell ref="P74:P75"/>
    <mergeCell ref="C74:C75"/>
    <mergeCell ref="D74:D75"/>
    <mergeCell ref="E74:E75"/>
    <mergeCell ref="F74:F77"/>
    <mergeCell ref="G74:G77"/>
    <mergeCell ref="O72:O73"/>
    <mergeCell ref="K76:K77"/>
    <mergeCell ref="L76:L77"/>
    <mergeCell ref="H74:H77"/>
    <mergeCell ref="I74:I77"/>
    <mergeCell ref="R72:R73"/>
    <mergeCell ref="S72:S73"/>
    <mergeCell ref="T72:T73"/>
    <mergeCell ref="W72:W73"/>
    <mergeCell ref="X72:X73"/>
    <mergeCell ref="Y72:Y73"/>
    <mergeCell ref="X74:X75"/>
    <mergeCell ref="Y74:Y75"/>
    <mergeCell ref="N74:N75"/>
    <mergeCell ref="O74:O75"/>
    <mergeCell ref="N72:N73"/>
    <mergeCell ref="T74:T75"/>
    <mergeCell ref="U74:U75"/>
    <mergeCell ref="V74:V75"/>
    <mergeCell ref="U72:U73"/>
    <mergeCell ref="Q72:Q73"/>
    <mergeCell ref="N76:N77"/>
    <mergeCell ref="O76:O77"/>
    <mergeCell ref="P76:P77"/>
    <mergeCell ref="Q76:Q77"/>
    <mergeCell ref="R76:R77"/>
    <mergeCell ref="S76:S77"/>
    <mergeCell ref="V76:V77"/>
    <mergeCell ref="W70:W71"/>
    <mergeCell ref="X70:X71"/>
    <mergeCell ref="Y70:Y71"/>
    <mergeCell ref="V72:V73"/>
    <mergeCell ref="T76:T77"/>
    <mergeCell ref="X76:X77"/>
    <mergeCell ref="Y76:Y77"/>
    <mergeCell ref="U76:U77"/>
    <mergeCell ref="W74:W75"/>
    <mergeCell ref="O70:O71"/>
    <mergeCell ref="P70:P71"/>
    <mergeCell ref="Q70:Q71"/>
    <mergeCell ref="M72:M73"/>
    <mergeCell ref="C72:C73"/>
    <mergeCell ref="D72:D73"/>
    <mergeCell ref="E72:E73"/>
    <mergeCell ref="J72:J73"/>
    <mergeCell ref="P72:P73"/>
    <mergeCell ref="I70:I73"/>
    <mergeCell ref="J70:J71"/>
    <mergeCell ref="K70:K71"/>
    <mergeCell ref="L70:L71"/>
    <mergeCell ref="M70:M71"/>
    <mergeCell ref="N70:N71"/>
    <mergeCell ref="L72:L73"/>
    <mergeCell ref="K72:K73"/>
    <mergeCell ref="R68:R69"/>
    <mergeCell ref="S68:S69"/>
    <mergeCell ref="X68:X69"/>
    <mergeCell ref="R70:R71"/>
    <mergeCell ref="S70:S71"/>
    <mergeCell ref="T70:T71"/>
    <mergeCell ref="W68:W69"/>
    <mergeCell ref="M68:M69"/>
    <mergeCell ref="T68:T69"/>
    <mergeCell ref="U68:U69"/>
    <mergeCell ref="V68:V69"/>
    <mergeCell ref="Y68:Y69"/>
    <mergeCell ref="N68:N69"/>
    <mergeCell ref="O68:O69"/>
    <mergeCell ref="P68:P69"/>
    <mergeCell ref="Q68:Q69"/>
    <mergeCell ref="E66:E67"/>
    <mergeCell ref="F66:F69"/>
    <mergeCell ref="G66:G69"/>
    <mergeCell ref="H66:H69"/>
    <mergeCell ref="J68:J69"/>
    <mergeCell ref="K68:K69"/>
    <mergeCell ref="I66:I69"/>
    <mergeCell ref="F63:F65"/>
    <mergeCell ref="J63:L63"/>
    <mergeCell ref="L66:L67"/>
    <mergeCell ref="K66:K67"/>
    <mergeCell ref="J66:J67"/>
    <mergeCell ref="L68:L69"/>
    <mergeCell ref="X66:X67"/>
    <mergeCell ref="Y66:Y67"/>
    <mergeCell ref="M66:M67"/>
    <mergeCell ref="N66:N67"/>
    <mergeCell ref="O66:O67"/>
    <mergeCell ref="P66:P67"/>
    <mergeCell ref="W66:W67"/>
    <mergeCell ref="S66:S67"/>
    <mergeCell ref="T66:T67"/>
    <mergeCell ref="U66:U67"/>
    <mergeCell ref="V66:V67"/>
    <mergeCell ref="Q66:Q67"/>
    <mergeCell ref="R66:R67"/>
    <mergeCell ref="X6:Z6"/>
    <mergeCell ref="C35:G35"/>
    <mergeCell ref="N31:N32"/>
    <mergeCell ref="L47:L48"/>
    <mergeCell ref="M63:O63"/>
    <mergeCell ref="P63:R63"/>
    <mergeCell ref="S63:U63"/>
    <mergeCell ref="V63:X63"/>
    <mergeCell ref="Y63:AA63"/>
    <mergeCell ref="N61:P61"/>
    <mergeCell ref="Q61:S61"/>
    <mergeCell ref="W61:Y61"/>
    <mergeCell ref="A63:A65"/>
    <mergeCell ref="B63:B65"/>
    <mergeCell ref="C63:C65"/>
    <mergeCell ref="D63:D65"/>
    <mergeCell ref="E63:E65"/>
    <mergeCell ref="C66:C67"/>
    <mergeCell ref="D66:D67"/>
    <mergeCell ref="A91:A94"/>
    <mergeCell ref="A95:A98"/>
    <mergeCell ref="A119:A122"/>
    <mergeCell ref="C70:C71"/>
    <mergeCell ref="A66:A69"/>
    <mergeCell ref="A70:A73"/>
    <mergeCell ref="A74:A77"/>
    <mergeCell ref="A78:A81"/>
    <mergeCell ref="E70:E71"/>
    <mergeCell ref="F70:F73"/>
    <mergeCell ref="G70:G73"/>
    <mergeCell ref="H70:H73"/>
    <mergeCell ref="D70:D71"/>
    <mergeCell ref="C68:C69"/>
    <mergeCell ref="D68:D69"/>
    <mergeCell ref="U70:U71"/>
    <mergeCell ref="V70:V71"/>
    <mergeCell ref="E68:E69"/>
    <mergeCell ref="AB130:AB133"/>
    <mergeCell ref="Y130:Y131"/>
    <mergeCell ref="Z130:Z131"/>
    <mergeCell ref="O130:O131"/>
    <mergeCell ref="P130:P131"/>
    <mergeCell ref="Q130:Q131"/>
    <mergeCell ref="R130:R131"/>
    <mergeCell ref="B148:B155"/>
    <mergeCell ref="B156:B163"/>
    <mergeCell ref="B164:B171"/>
    <mergeCell ref="A140:A147"/>
    <mergeCell ref="A148:A155"/>
    <mergeCell ref="A156:A163"/>
    <mergeCell ref="A164:A171"/>
    <mergeCell ref="L130:L131"/>
    <mergeCell ref="M130:M131"/>
    <mergeCell ref="X132:X133"/>
    <mergeCell ref="W130:W131"/>
    <mergeCell ref="X130:X131"/>
    <mergeCell ref="B140:B147"/>
    <mergeCell ref="C132:C133"/>
    <mergeCell ref="D132:D133"/>
    <mergeCell ref="E132:E133"/>
    <mergeCell ref="L132:L133"/>
    <mergeCell ref="Y132:Y133"/>
    <mergeCell ref="Z132:Z133"/>
    <mergeCell ref="O132:O133"/>
    <mergeCell ref="P132:P133"/>
    <mergeCell ref="Q132:Q133"/>
    <mergeCell ref="S130:S131"/>
    <mergeCell ref="T130:T131"/>
    <mergeCell ref="X127:Z127"/>
    <mergeCell ref="K130:K133"/>
    <mergeCell ref="AA130:AA133"/>
    <mergeCell ref="R132:R133"/>
    <mergeCell ref="S132:S133"/>
    <mergeCell ref="T132:T133"/>
    <mergeCell ref="U132:U133"/>
    <mergeCell ref="V132:V133"/>
    <mergeCell ref="W132:W133"/>
    <mergeCell ref="V130:V131"/>
  </mergeCells>
  <phoneticPr fontId="0" type="noConversion"/>
  <dataValidations count="24">
    <dataValidation type="list" allowBlank="1" showInputMessage="1" showErrorMessage="1" sqref="F130 F91 F66 F78 F74 F70 F99 F103 F119 F95">
      <formula1>"recht, schuin"</formula1>
    </dataValidation>
    <dataValidation type="list" allowBlank="1" showInputMessage="1" showErrorMessage="1" sqref="F140 F148 F156 F164">
      <formula1>"recht,schuin"</formula1>
    </dataValidation>
    <dataValidation allowBlank="1" showInputMessage="1" showErrorMessage="1" prompt="Fr richting  opp A1_x000a_" sqref="E105:E106"/>
    <dataValidation allowBlank="1" showInputMessage="1" showErrorMessage="1" promptTitle="let op" prompt="Fr richting opp A2" sqref="E103:E104"/>
    <dataValidation allowBlank="1" showInputMessage="1" showErrorMessage="1" prompt="Fr richting opp A1 als versneller parallel aan labyrint draait of Fr richting opp A2 als versneller loodrecht op labyrint draait" sqref="E109:E110"/>
    <dataValidation allowBlank="1" showInputMessage="1" showErrorMessage="1" prompt="Fr richting vloer (gantry 0 graden ) en plafond (gantry 180 graden)_x000a_" sqref="E111:E112"/>
    <dataValidation allowBlank="1" showInputMessage="1" showErrorMessage="1" prompt="Fr voor gantry 90/270 graden als primaire bundel van labyrint is afgericht._x000a_" sqref="E113:E114"/>
    <dataValidation type="list" allowBlank="1" showInputMessage="1" showErrorMessage="1" prompt="alleen van belang als de verstrooide straling door het binnenmuurtje van het labyrint gaat op weg naar het tweede verstrooiiende oppervlak_x000a_" sqref="F105:F106">
      <formula1>"recht, schuin"</formula1>
    </dataValidation>
    <dataValidation type="list" allowBlank="1" showInputMessage="1" showErrorMessage="1" prompt="alleen van belang als de lekstraling of door patient verstrooide straling door het binnenmuurtje van het labyrint gaat op weg naar 1e hoek van labyrint_x000a__x000a_" sqref="F107:F114">
      <formula1>"recht, schuin"</formula1>
    </dataValidation>
    <dataValidation allowBlank="1" showInputMessage="1" showErrorMessage="1" prompt="alleen van belang als de lekstraling of door patient verstrooide straling door het binnenmuurtje van het labyrint gaat op weg naar 1e hoek labyrint_x000a_" sqref="G107:G114"/>
    <dataValidation allowBlank="1" showInputMessage="1" showErrorMessage="1" prompt="alleen van belang als de verstrooide straling door het binnenmuurtje van het labyrint gaat op weg naar het tweede verstrooiiende oppervlak" sqref="G105:I106"/>
    <dataValidation allowBlank="1" showInputMessage="1" showErrorMessage="1" prompt="Als labyrint 1 bocht heeft dan dan is er geen A5: 1 invullen_x000a_" sqref="N38"/>
    <dataValidation allowBlank="1" showInputMessage="1" showErrorMessage="1" promptTitle="let op" prompt="Als labyrint 1 bocht heeft dan dan is er geen A5: 1 invullen" sqref="P26"/>
    <dataValidation allowBlank="1" showInputMessage="1" showErrorMessage="1" prompt="als versneller parallel aan het labyrint draait is er geen A2_x000a_: 1 invullen" sqref="P23"/>
    <dataValidation allowBlank="1" showInputMessage="1" showErrorMessage="1" promptTitle="let op" prompt="Als labyrint 1 bocht heeft dan dan is er geen dz5: 1 invullen_x000a_" sqref="P18"/>
    <dataValidation allowBlank="1" showInputMessage="1" showErrorMessage="1" promptTitle="let op" prompt="als versneller parallel aan het labyrint draait is er geen dz2:_x000a_ 1 invullen" sqref="P15"/>
    <dataValidation allowBlank="1" showInputMessage="1" showErrorMessage="1" promptTitle="let op" prompt="is 1 las versneller parallel aan het labyrint draait" sqref="R8"/>
    <dataValidation type="list" allowBlank="1" showInputMessage="1" showErrorMessage="1" sqref="P6">
      <formula1>"parallel,loodrecht"</formula1>
    </dataValidation>
    <dataValidation type="list" allowBlank="1" showInputMessage="1" showErrorMessage="1" sqref="P7">
      <formula1>"1,2"</formula1>
    </dataValidation>
    <dataValidation allowBlank="1" showInputMessage="1" showErrorMessage="1" promptTitle="let op" prompt="als versneller parallel aan het labyrint draait is er geen dp2: 1 invullen" sqref="P11"/>
    <dataValidation allowBlank="1" showInputMessage="1" showErrorMessage="1" promptTitle="let op" prompt="als er geen afstand dp is: 1 invullen_x000a_Bij de voorbeeld plattegronden is er alleen een afstand dp in fig 6. " sqref="P9"/>
    <dataValidation allowBlank="1" showInputMessage="1" showErrorMessage="1" promptTitle="let op" prompt="Alleen van belang als E &gt; 10 MV (neutronenproduktie)" sqref="P45:P46"/>
    <dataValidation allowBlank="1" showInputMessage="1" showErrorMessage="1" prompt="alleen van belang als de lekstraling of door patient verstrooide straling door het binnenmuurtje van het labyrint gaat op weg naar de 1e hoek labyrint" sqref="H107:H114"/>
    <dataValidation allowBlank="1" showInputMessage="1" showErrorMessage="1" prompt="alleen van belang als de lekstraling of door patient verstrooide straling door het binnenmuurtje van het labyrint gaat op weg naar de 1e hoek _x000a_labyrint" sqref="I107:I114"/>
  </dataValidations>
  <pageMargins left="0.70866141732283472" right="0.70866141732283472" top="0.74803149606299213" bottom="0.74803149606299213" header="0.31496062992125984" footer="0.31496062992125984"/>
  <pageSetup paperSize="8" scale="20" orientation="landscape" r:id="rId1"/>
  <headerFooter>
    <oddFooter>&amp;C&amp;F 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Blad8">
    <tabColor theme="0" tint="-0.249977111117893"/>
  </sheetPr>
  <dimension ref="A1:CI174"/>
  <sheetViews>
    <sheetView showGridLines="0" zoomScale="25" zoomScaleNormal="25" workbookViewId="0">
      <selection activeCell="AE1" sqref="AE1:AJ1"/>
    </sheetView>
  </sheetViews>
  <sheetFormatPr defaultRowHeight="15.75"/>
  <cols>
    <col min="1" max="1" width="6.7109375" style="331" customWidth="1"/>
    <col min="2" max="2" width="20.7109375" style="331" customWidth="1"/>
    <col min="3" max="21" width="12.7109375" style="331" customWidth="1"/>
    <col min="22" max="27" width="12.7109375" style="311" customWidth="1"/>
    <col min="28" max="36" width="12.7109375" style="321" customWidth="1"/>
    <col min="37" max="39" width="10" style="321" bestFit="1" customWidth="1"/>
    <col min="40" max="43" width="10.140625" style="321" bestFit="1" customWidth="1"/>
    <col min="44" max="45" width="10" style="321" bestFit="1" customWidth="1"/>
    <col min="46" max="48" width="10.140625" style="321" bestFit="1" customWidth="1"/>
    <col min="49" max="55" width="12.140625" style="321" customWidth="1"/>
    <col min="56" max="60" width="10.140625" style="321" bestFit="1" customWidth="1"/>
    <col min="61" max="16384" width="9.140625" style="321"/>
  </cols>
  <sheetData>
    <row r="1" spans="1:31" s="381" customFormat="1" ht="26.25" customHeight="1" thickBot="1">
      <c r="A1" s="18" t="s">
        <v>66</v>
      </c>
      <c r="B1" s="19"/>
      <c r="C1" s="21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20"/>
      <c r="W1" s="20"/>
      <c r="X1" s="20"/>
      <c r="Y1" s="20"/>
      <c r="Z1" s="20"/>
      <c r="AA1" s="20"/>
      <c r="AB1" s="21"/>
      <c r="AC1" s="21"/>
      <c r="AD1" s="21"/>
      <c r="AE1" s="642"/>
    </row>
    <row r="2" spans="1:31" s="311" customFormat="1" ht="18.75" thickBot="1">
      <c r="A2" s="330"/>
      <c r="F2" s="440"/>
      <c r="G2" s="440"/>
      <c r="H2" s="440"/>
    </row>
    <row r="3" spans="1:31" s="311" customFormat="1" ht="26.25" customHeight="1" thickBot="1">
      <c r="A3" s="1015" t="s">
        <v>529</v>
      </c>
      <c r="B3" s="1016"/>
      <c r="C3" s="1099" t="s">
        <v>530</v>
      </c>
      <c r="D3" s="1017"/>
      <c r="E3" s="1017"/>
      <c r="F3" s="1018"/>
      <c r="G3" s="1019"/>
      <c r="H3" s="440"/>
    </row>
    <row r="4" spans="1:31" ht="22.5" customHeight="1">
      <c r="A4" s="330"/>
      <c r="S4" s="311"/>
      <c r="T4" s="311"/>
      <c r="U4" s="311"/>
      <c r="Z4" s="321"/>
      <c r="AA4" s="321"/>
    </row>
    <row r="5" spans="1:31" ht="19.5" customHeight="1" thickBot="1">
      <c r="A5" s="332" t="s">
        <v>189</v>
      </c>
      <c r="B5" s="333"/>
      <c r="C5" s="333"/>
      <c r="F5" s="399"/>
      <c r="G5" s="399"/>
      <c r="H5" s="399"/>
      <c r="I5" s="399"/>
      <c r="J5" s="334" t="s">
        <v>393</v>
      </c>
      <c r="K5" s="335"/>
      <c r="L5" s="336"/>
      <c r="M5" s="336"/>
      <c r="N5" s="336"/>
      <c r="O5" s="336"/>
      <c r="P5" s="336"/>
      <c r="Q5" s="442"/>
      <c r="R5" s="336"/>
      <c r="S5" s="334" t="s">
        <v>391</v>
      </c>
      <c r="T5" s="336"/>
      <c r="U5" s="336"/>
      <c r="V5" s="336"/>
      <c r="W5" s="321"/>
      <c r="X5" s="321"/>
      <c r="Y5" s="325"/>
      <c r="Z5" s="325"/>
      <c r="AD5" s="762"/>
    </row>
    <row r="6" spans="1:31" s="325" customFormat="1" ht="19.5" customHeight="1" thickBot="1">
      <c r="A6" s="1425" t="s">
        <v>70</v>
      </c>
      <c r="B6" s="1426"/>
      <c r="C6" s="1427">
        <v>6</v>
      </c>
      <c r="D6" s="1427">
        <v>10</v>
      </c>
      <c r="E6" s="1428">
        <v>15</v>
      </c>
      <c r="F6" s="1427" t="s">
        <v>309</v>
      </c>
      <c r="G6" s="1429" t="s">
        <v>310</v>
      </c>
      <c r="H6" s="399"/>
      <c r="I6" s="399"/>
      <c r="J6" s="356" t="s">
        <v>402</v>
      </c>
      <c r="K6" s="340"/>
      <c r="L6" s="340"/>
      <c r="M6" s="340"/>
      <c r="N6" s="340"/>
      <c r="O6" s="340"/>
      <c r="P6" s="1108" t="s">
        <v>456</v>
      </c>
      <c r="S6" s="493" t="s">
        <v>31</v>
      </c>
      <c r="T6" s="1383"/>
      <c r="U6" s="96"/>
      <c r="V6" s="49" t="s">
        <v>36</v>
      </c>
      <c r="W6" s="49" t="s">
        <v>32</v>
      </c>
      <c r="X6" s="1669" t="s">
        <v>287</v>
      </c>
      <c r="Y6" s="1670"/>
      <c r="Z6" s="1671"/>
      <c r="AD6" s="311"/>
    </row>
    <row r="7" spans="1:31" s="325" customFormat="1" ht="19.5" customHeight="1" thickBot="1">
      <c r="A7" s="339" t="s">
        <v>392</v>
      </c>
      <c r="B7" s="532"/>
      <c r="C7" s="1369">
        <v>1000</v>
      </c>
      <c r="D7" s="1370"/>
      <c r="E7" s="1370"/>
      <c r="F7" s="1370"/>
      <c r="G7" s="1371"/>
      <c r="H7" s="311"/>
      <c r="I7" s="311"/>
      <c r="J7" s="373" t="s">
        <v>401</v>
      </c>
      <c r="K7" s="447"/>
      <c r="L7" s="447"/>
      <c r="M7" s="447"/>
      <c r="N7" s="447"/>
      <c r="O7" s="447"/>
      <c r="P7" s="1109">
        <v>1</v>
      </c>
      <c r="S7" s="586"/>
      <c r="T7" s="1384"/>
      <c r="U7" s="68" t="s">
        <v>286</v>
      </c>
      <c r="V7" s="51" t="s">
        <v>37</v>
      </c>
      <c r="W7" s="51" t="s">
        <v>28</v>
      </c>
      <c r="X7" s="79" t="s">
        <v>3</v>
      </c>
      <c r="Y7" s="51" t="s">
        <v>96</v>
      </c>
      <c r="Z7" s="309" t="s">
        <v>4</v>
      </c>
    </row>
    <row r="8" spans="1:31" s="325" customFormat="1" ht="19.5" customHeight="1" thickBot="1">
      <c r="A8" s="448" t="s">
        <v>227</v>
      </c>
      <c r="B8" s="534"/>
      <c r="C8" s="1372">
        <v>1E-3</v>
      </c>
      <c r="D8" s="1373"/>
      <c r="E8" s="1373"/>
      <c r="F8" s="1373"/>
      <c r="G8" s="1374"/>
      <c r="H8" s="311"/>
      <c r="I8" s="311"/>
      <c r="J8" s="529" t="s">
        <v>271</v>
      </c>
      <c r="K8" s="340"/>
      <c r="L8" s="340"/>
      <c r="M8" s="340"/>
      <c r="N8" s="340"/>
      <c r="O8" s="340"/>
      <c r="P8" s="1129"/>
      <c r="S8" s="586"/>
      <c r="T8" s="1384"/>
      <c r="U8" s="69"/>
      <c r="V8" s="51" t="s">
        <v>117</v>
      </c>
      <c r="W8" s="51" t="s">
        <v>115</v>
      </c>
      <c r="X8" s="79"/>
      <c r="Y8" s="51"/>
      <c r="Z8" s="309"/>
      <c r="AD8" s="451"/>
    </row>
    <row r="9" spans="1:31" s="325" customFormat="1" ht="19.5" customHeight="1" thickBot="1">
      <c r="A9" s="356" t="s">
        <v>335</v>
      </c>
      <c r="B9" s="361"/>
      <c r="C9" s="1101">
        <v>0</v>
      </c>
      <c r="D9" s="983">
        <v>0</v>
      </c>
      <c r="E9" s="1102">
        <v>0.76</v>
      </c>
      <c r="F9" s="1101">
        <v>0</v>
      </c>
      <c r="G9" s="1103">
        <v>0</v>
      </c>
      <c r="J9" s="343" t="s">
        <v>464</v>
      </c>
      <c r="K9" s="344"/>
      <c r="L9" s="336"/>
      <c r="M9" s="336"/>
      <c r="N9" s="336"/>
      <c r="O9" s="336"/>
      <c r="P9" s="1110">
        <v>1</v>
      </c>
      <c r="Q9" s="336"/>
      <c r="S9" s="586"/>
      <c r="T9" s="1384"/>
      <c r="U9" s="69"/>
      <c r="V9" s="51" t="s">
        <v>38</v>
      </c>
      <c r="W9" s="51" t="s">
        <v>39</v>
      </c>
      <c r="X9" s="79" t="s">
        <v>33</v>
      </c>
      <c r="Y9" s="51" t="s">
        <v>33</v>
      </c>
      <c r="Z9" s="309" t="s">
        <v>33</v>
      </c>
    </row>
    <row r="10" spans="1:31" s="325" customFormat="1" ht="19.5" customHeight="1" thickBot="1">
      <c r="A10" s="448" t="s">
        <v>337</v>
      </c>
      <c r="B10" s="447"/>
      <c r="C10" s="449">
        <f>$C$9*10^12/(4*PI()*$P$19^2)+5.4*$C$9*10^12/(2*PI()*$P$28)+1.26*$C$9*10^12/(2*PI()*$P$28)</f>
        <v>0</v>
      </c>
      <c r="D10" s="449">
        <f>$D$9*10^12/(4*PI()*$P$19^2)+5.4*$D$9*10^12/(2*PI()*$P$28)+1.26*$D$9*10^12/(2*PI()*$P$28)</f>
        <v>0</v>
      </c>
      <c r="E10" s="449">
        <f>$E$9*10^12/(4*PI()*$P$19^2)+5.4*$E$9*10^12/(2*PI()*$P$28)+1.26*$E$9*10^12/(2*PI()*$P$28)</f>
        <v>5999504734.7920866</v>
      </c>
      <c r="F10" s="449">
        <f>$F$9*10^12/(4*PI()*$P$19^2)+5.4*$F$9*10^12/(2*PI()*$P$28)+1.26*$F$9*10^12/(2*PI()*$P$28)</f>
        <v>0</v>
      </c>
      <c r="G10" s="450">
        <f>$G$9*10^12/(4*PI()*$P$19^2)+5.4*$G$9*10^12/(2*PI()*$P$28)+1.26*$G$9*10^12/(2*PI()*$P$28)</f>
        <v>0</v>
      </c>
      <c r="J10" s="343" t="s">
        <v>465</v>
      </c>
      <c r="K10" s="344"/>
      <c r="L10" s="336"/>
      <c r="M10" s="336"/>
      <c r="N10" s="336"/>
      <c r="O10" s="336"/>
      <c r="P10" s="1111">
        <v>5</v>
      </c>
      <c r="Q10" s="336"/>
      <c r="R10" s="336"/>
      <c r="S10" s="1375" t="s">
        <v>288</v>
      </c>
      <c r="T10" s="1376"/>
      <c r="U10" s="1116">
        <v>1</v>
      </c>
      <c r="V10" s="1117">
        <v>15</v>
      </c>
      <c r="W10" s="452">
        <f>2*PI()*(1-COS(V10/180*PI()))</f>
        <v>0.21409434761481089</v>
      </c>
      <c r="X10" s="1116">
        <v>250</v>
      </c>
      <c r="Y10" s="1116">
        <v>0</v>
      </c>
      <c r="Z10" s="1118">
        <v>0</v>
      </c>
    </row>
    <row r="11" spans="1:31" s="325" customFormat="1" ht="19.5" customHeight="1" thickBot="1">
      <c r="A11" s="339" t="s">
        <v>228</v>
      </c>
      <c r="B11" s="532"/>
      <c r="C11" s="1101">
        <v>0.2</v>
      </c>
      <c r="D11" s="1101">
        <v>0.2</v>
      </c>
      <c r="E11" s="983">
        <v>0.2</v>
      </c>
      <c r="F11" s="1101">
        <v>0.2</v>
      </c>
      <c r="G11" s="1103">
        <v>0.2</v>
      </c>
      <c r="H11" s="311"/>
      <c r="I11" s="311"/>
      <c r="J11" s="343" t="s">
        <v>488</v>
      </c>
      <c r="K11" s="344"/>
      <c r="L11" s="336"/>
      <c r="M11" s="336"/>
      <c r="N11" s="336"/>
      <c r="O11" s="336"/>
      <c r="P11" s="1112">
        <v>1</v>
      </c>
      <c r="Q11" s="336"/>
      <c r="R11" s="336"/>
      <c r="S11" s="1377" t="s">
        <v>289</v>
      </c>
      <c r="T11" s="1378"/>
      <c r="U11" s="1100">
        <v>1</v>
      </c>
      <c r="V11" s="1372">
        <v>60</v>
      </c>
      <c r="W11" s="453">
        <f>2*PI()*(1-COS(V11/180*PI()))</f>
        <v>3.1415926535897922</v>
      </c>
      <c r="X11" s="1100">
        <v>200</v>
      </c>
      <c r="Y11" s="1100">
        <v>0</v>
      </c>
      <c r="Z11" s="1119">
        <v>0</v>
      </c>
    </row>
    <row r="12" spans="1:31" s="325" customFormat="1" ht="19.5" customHeight="1">
      <c r="A12" s="533" t="s">
        <v>229</v>
      </c>
      <c r="B12" s="467"/>
      <c r="C12" s="1104">
        <v>0.5</v>
      </c>
      <c r="D12" s="1104">
        <v>0.5</v>
      </c>
      <c r="E12" s="1105">
        <v>0.5</v>
      </c>
      <c r="F12" s="1104">
        <v>0.5</v>
      </c>
      <c r="G12" s="1106">
        <v>0.5</v>
      </c>
      <c r="H12" s="311"/>
      <c r="I12" s="311"/>
      <c r="J12" s="343" t="s">
        <v>466</v>
      </c>
      <c r="K12" s="344"/>
      <c r="L12" s="442"/>
      <c r="M12" s="336"/>
      <c r="N12" s="336"/>
      <c r="O12" s="336"/>
      <c r="P12" s="1111">
        <v>5</v>
      </c>
      <c r="Q12" s="336"/>
      <c r="R12" s="336"/>
      <c r="S12" s="336"/>
      <c r="T12" s="336"/>
      <c r="U12" s="336"/>
      <c r="V12" s="345"/>
      <c r="W12" s="345"/>
      <c r="X12" s="345"/>
      <c r="Y12" s="345"/>
      <c r="Z12" s="345"/>
      <c r="AA12" s="345"/>
      <c r="AB12" s="345"/>
      <c r="AC12" s="345"/>
    </row>
    <row r="13" spans="1:31" s="325" customFormat="1" ht="19.5" customHeight="1">
      <c r="A13" s="533" t="s">
        <v>230</v>
      </c>
      <c r="B13" s="467"/>
      <c r="C13" s="347">
        <f>1-C12</f>
        <v>0.5</v>
      </c>
      <c r="D13" s="347">
        <f>1-D12</f>
        <v>0.5</v>
      </c>
      <c r="E13" s="372">
        <f>1-E12</f>
        <v>0.5</v>
      </c>
      <c r="F13" s="347">
        <f>1-F12</f>
        <v>0.5</v>
      </c>
      <c r="G13" s="445">
        <f>1-G12</f>
        <v>0.5</v>
      </c>
      <c r="H13" s="311"/>
      <c r="I13" s="311"/>
      <c r="J13" s="343" t="s">
        <v>489</v>
      </c>
      <c r="K13" s="344"/>
      <c r="L13" s="336"/>
      <c r="M13" s="336"/>
      <c r="N13" s="336"/>
      <c r="O13" s="336"/>
      <c r="P13" s="1111">
        <v>5</v>
      </c>
      <c r="Q13" s="336"/>
      <c r="R13" s="336"/>
      <c r="S13" s="336"/>
      <c r="T13" s="338"/>
      <c r="U13" s="336"/>
      <c r="V13" s="345"/>
      <c r="W13" s="345"/>
      <c r="X13" s="345"/>
      <c r="Y13" s="345"/>
      <c r="Z13" s="345"/>
      <c r="AA13" s="345"/>
      <c r="AB13" s="345"/>
      <c r="AC13" s="345"/>
    </row>
    <row r="14" spans="1:31" s="325" customFormat="1" ht="19.5" customHeight="1" thickBot="1">
      <c r="A14" s="533" t="s">
        <v>231</v>
      </c>
      <c r="B14" s="467"/>
      <c r="C14" s="1104">
        <v>5</v>
      </c>
      <c r="D14" s="1104">
        <v>5</v>
      </c>
      <c r="E14" s="1107">
        <v>5</v>
      </c>
      <c r="F14" s="1104">
        <v>2.4</v>
      </c>
      <c r="G14" s="1106">
        <v>1.3</v>
      </c>
      <c r="H14" s="311"/>
      <c r="I14" s="311"/>
      <c r="J14" s="343" t="s">
        <v>467</v>
      </c>
      <c r="K14" s="344"/>
      <c r="L14" s="336"/>
      <c r="M14" s="336"/>
      <c r="N14" s="336"/>
      <c r="O14" s="336"/>
      <c r="P14" s="1111">
        <v>10</v>
      </c>
      <c r="Q14" s="336"/>
      <c r="R14" s="336"/>
      <c r="S14" s="336"/>
      <c r="T14" s="338"/>
      <c r="U14" s="336"/>
      <c r="V14" s="345"/>
      <c r="W14" s="345"/>
      <c r="X14" s="345"/>
      <c r="Y14" s="345"/>
      <c r="Z14" s="345"/>
      <c r="AA14" s="345"/>
      <c r="AB14" s="345"/>
      <c r="AC14" s="345"/>
    </row>
    <row r="15" spans="1:31" s="325" customFormat="1" ht="19.5" customHeight="1">
      <c r="A15" s="356" t="s">
        <v>268</v>
      </c>
      <c r="B15" s="366"/>
      <c r="C15" s="871" t="s">
        <v>18</v>
      </c>
      <c r="D15" s="872"/>
      <c r="E15" s="872"/>
      <c r="F15" s="872"/>
      <c r="G15" s="873"/>
      <c r="H15" s="533"/>
      <c r="I15" s="467"/>
      <c r="J15" s="343" t="s">
        <v>480</v>
      </c>
      <c r="K15" s="344"/>
      <c r="L15" s="336"/>
      <c r="M15" s="336"/>
      <c r="N15" s="336"/>
      <c r="O15" s="336"/>
      <c r="P15" s="1110">
        <v>5</v>
      </c>
      <c r="Q15" s="336"/>
      <c r="R15" s="336"/>
      <c r="S15" s="336"/>
      <c r="T15" s="338"/>
      <c r="U15" s="336"/>
      <c r="V15" s="345"/>
      <c r="W15" s="345"/>
      <c r="X15" s="345"/>
      <c r="Y15" s="345"/>
      <c r="Z15" s="345"/>
      <c r="AA15" s="345"/>
      <c r="AB15" s="345"/>
      <c r="AC15" s="345"/>
    </row>
    <row r="16" spans="1:31" s="325" customFormat="1" ht="19.5" customHeight="1">
      <c r="A16" s="446"/>
      <c r="B16" s="442" t="s">
        <v>70</v>
      </c>
      <c r="C16" s="752">
        <f>C6</f>
        <v>6</v>
      </c>
      <c r="D16" s="752">
        <f>D6</f>
        <v>10</v>
      </c>
      <c r="E16" s="752">
        <f>E6</f>
        <v>15</v>
      </c>
      <c r="F16" s="752" t="str">
        <f>F6</f>
        <v>6 FFF</v>
      </c>
      <c r="G16" s="752" t="str">
        <f>G6</f>
        <v>10 FFF</v>
      </c>
      <c r="H16" s="444"/>
      <c r="I16" s="345"/>
      <c r="J16" s="343" t="s">
        <v>479</v>
      </c>
      <c r="K16" s="344"/>
      <c r="L16" s="336"/>
      <c r="M16" s="336"/>
      <c r="N16" s="336"/>
      <c r="O16" s="336"/>
      <c r="P16" s="1111">
        <v>10</v>
      </c>
      <c r="Q16" s="336"/>
      <c r="R16" s="336"/>
      <c r="S16" s="336"/>
      <c r="T16" s="338"/>
      <c r="U16" s="336"/>
      <c r="V16" s="345"/>
      <c r="W16" s="345"/>
      <c r="X16" s="345"/>
      <c r="Y16" s="345"/>
      <c r="Z16" s="345"/>
      <c r="AA16" s="345"/>
      <c r="AB16" s="345"/>
      <c r="AC16" s="345"/>
    </row>
    <row r="17" spans="1:29" s="350" customFormat="1" ht="19.5" customHeight="1">
      <c r="A17" s="348"/>
      <c r="B17" s="962" t="s">
        <v>437</v>
      </c>
      <c r="C17" s="723">
        <f ca="1">VLOOKUP($C$16,'TVT''s afscherming'!$A$10:$J$23,2)</f>
        <v>37</v>
      </c>
      <c r="D17" s="724">
        <f ca="1">VLOOKUP($D$16,'TVT''s afscherming'!$A$10:$J$23,2)</f>
        <v>41</v>
      </c>
      <c r="E17" s="724">
        <f ca="1">VLOOKUP($E$16,'TVT''s afscherming'!$A$10:$J$23,2)</f>
        <v>44</v>
      </c>
      <c r="F17" s="724">
        <f ca="1">VLOOKUP($F$16,'TVT''s afscherming'!$A$10:$J$23,2)</f>
        <v>30</v>
      </c>
      <c r="G17" s="723">
        <f ca="1">VLOOKUP($G$16,'TVT''s afscherming'!$A$10:$J$23,2)</f>
        <v>36</v>
      </c>
      <c r="H17" s="721"/>
      <c r="I17" s="538"/>
      <c r="J17" s="343" t="s">
        <v>491</v>
      </c>
      <c r="K17" s="344"/>
      <c r="L17" s="336"/>
      <c r="M17" s="336"/>
      <c r="N17" s="336"/>
      <c r="O17" s="336"/>
      <c r="P17" s="1111">
        <v>10</v>
      </c>
      <c r="Q17" s="336"/>
      <c r="R17" s="336"/>
      <c r="S17" s="336"/>
      <c r="U17" s="336"/>
      <c r="V17" s="336"/>
      <c r="W17" s="336"/>
      <c r="X17" s="538"/>
      <c r="Y17" s="538"/>
      <c r="Z17" s="345"/>
      <c r="AA17" s="345"/>
      <c r="AB17" s="345"/>
      <c r="AC17" s="345"/>
    </row>
    <row r="18" spans="1:29" s="350" customFormat="1" ht="19.5" customHeight="1">
      <c r="A18" s="441"/>
      <c r="B18" s="311" t="s">
        <v>438</v>
      </c>
      <c r="C18" s="725">
        <f ca="1">VLOOKUP($C$16,'TVT''s afscherming'!$A$10:$J$23,3)</f>
        <v>33</v>
      </c>
      <c r="D18" s="725">
        <f ca="1">VLOOKUP($D$16,'TVT''s afscherming'!$A$10:$J$23,3)</f>
        <v>37</v>
      </c>
      <c r="E18" s="725">
        <f ca="1">VLOOKUP($E$16,'TVT''s afscherming'!$A$10:$J$23,3)</f>
        <v>41</v>
      </c>
      <c r="F18" s="725">
        <f ca="1">VLOOKUP($F$16,'TVT''s afscherming'!$A$10:$J$23,3)</f>
        <v>27</v>
      </c>
      <c r="G18" s="726">
        <f ca="1">VLOOKUP($G$16,'TVT''s afscherming'!$A$10:$J$23,3)</f>
        <v>36</v>
      </c>
      <c r="H18" s="719"/>
      <c r="I18" s="538"/>
      <c r="J18" s="343" t="s">
        <v>468</v>
      </c>
      <c r="K18" s="344"/>
      <c r="L18" s="336"/>
      <c r="M18" s="336"/>
      <c r="N18" s="336"/>
      <c r="O18" s="336"/>
      <c r="P18" s="1110">
        <v>1</v>
      </c>
      <c r="Q18" s="336"/>
      <c r="R18" s="336"/>
      <c r="S18" s="336"/>
      <c r="U18" s="336"/>
      <c r="V18" s="539"/>
      <c r="W18" s="336"/>
      <c r="X18" s="538"/>
      <c r="Y18" s="538"/>
      <c r="Z18" s="538"/>
      <c r="AA18" s="345"/>
      <c r="AB18" s="345"/>
      <c r="AC18" s="345"/>
    </row>
    <row r="19" spans="1:29" s="325" customFormat="1" ht="19.5" customHeight="1">
      <c r="A19" s="348"/>
      <c r="B19" s="442" t="s">
        <v>96</v>
      </c>
      <c r="C19" s="727">
        <f ca="1">VLOOKUP($C$16,'TVT''s afscherming'!$A$10:$J$23,4)</f>
        <v>24.2</v>
      </c>
      <c r="D19" s="725">
        <f ca="1">VLOOKUP($D$16,'TVT''s afscherming'!$A$10:$J$23,4)</f>
        <v>27</v>
      </c>
      <c r="E19" s="725">
        <f ca="1">VLOOKUP($E$16,'TVT''s afscherming'!$A$10:$J$23,4)</f>
        <v>29.5</v>
      </c>
      <c r="F19" s="725">
        <f ca="1">VLOOKUP($F$16,'TVT''s afscherming'!$A$10:$J$23,4)</f>
        <v>19.7</v>
      </c>
      <c r="G19" s="727">
        <f ca="1">VLOOKUP($G$16,'TVT''s afscherming'!$A$10:$J$23,4)</f>
        <v>23.6</v>
      </c>
      <c r="H19" s="441"/>
      <c r="I19" s="345"/>
      <c r="J19" s="343" t="s">
        <v>469</v>
      </c>
      <c r="K19" s="344"/>
      <c r="L19" s="336"/>
      <c r="M19" s="336"/>
      <c r="N19" s="336"/>
      <c r="O19" s="350"/>
      <c r="P19" s="1111">
        <v>5</v>
      </c>
      <c r="Q19" s="350"/>
      <c r="R19" s="350"/>
      <c r="S19" s="350"/>
      <c r="T19" s="338"/>
      <c r="U19" s="336"/>
      <c r="V19" s="397"/>
      <c r="W19" s="346"/>
      <c r="X19" s="345"/>
      <c r="Y19" s="345"/>
      <c r="Z19" s="538"/>
      <c r="AA19" s="345"/>
      <c r="AB19" s="345"/>
      <c r="AC19" s="345"/>
    </row>
    <row r="20" spans="1:29" s="325" customFormat="1" ht="19.5" customHeight="1" thickBot="1">
      <c r="A20" s="348"/>
      <c r="B20" s="442" t="s">
        <v>4</v>
      </c>
      <c r="C20" s="727">
        <f ca="1">VLOOKUP($C$16,'TVT''s afscherming'!$A$10:$J$23,5)</f>
        <v>9.9</v>
      </c>
      <c r="D20" s="725">
        <f ca="1">VLOOKUP($D$16,'TVT''s afscherming'!$A$10:$J$23,5)</f>
        <v>10</v>
      </c>
      <c r="E20" s="725">
        <f ca="1">VLOOKUP($E$16,'TVT''s afscherming'!$A$10:$J$23,5)</f>
        <v>11</v>
      </c>
      <c r="F20" s="725">
        <f ca="1">VLOOKUP($F$16,'TVT''s afscherming'!$A$10:$J$23,5)</f>
        <v>10.199999999999999</v>
      </c>
      <c r="G20" s="727">
        <f ca="1">VLOOKUP($G$16,'TVT''s afscherming'!$A$10:$J$23,5)</f>
        <v>10.199999999999999</v>
      </c>
      <c r="H20" s="441"/>
      <c r="I20" s="345"/>
      <c r="J20" s="409" t="s">
        <v>470</v>
      </c>
      <c r="K20" s="374"/>
      <c r="L20" s="336"/>
      <c r="M20" s="336"/>
      <c r="N20" s="336"/>
      <c r="O20" s="350"/>
      <c r="P20" s="1111">
        <v>10</v>
      </c>
      <c r="Q20" s="350"/>
      <c r="R20" s="350"/>
      <c r="S20" s="350"/>
      <c r="U20" s="336"/>
      <c r="V20" s="336"/>
      <c r="W20" s="336"/>
      <c r="X20" s="345"/>
      <c r="Y20" s="345"/>
      <c r="Z20" s="345"/>
      <c r="AA20" s="345"/>
      <c r="AB20" s="345"/>
      <c r="AC20" s="345"/>
    </row>
    <row r="21" spans="1:29" s="325" customFormat="1" ht="19.5" customHeight="1">
      <c r="A21" s="348"/>
      <c r="B21" s="442" t="s">
        <v>27</v>
      </c>
      <c r="C21" s="727">
        <f ca="1">VLOOKUP($C$16,'TVT''s afscherming'!$A$10:$J$23,6)</f>
        <v>5.7</v>
      </c>
      <c r="D21" s="725">
        <f ca="1">VLOOKUP($D$16,'TVT''s afscherming'!$A$10:$J$23,6)</f>
        <v>5.7</v>
      </c>
      <c r="E21" s="725">
        <f ca="1">VLOOKUP($E$16,'TVT''s afscherming'!$A$10:$J$23,6)</f>
        <v>5.7</v>
      </c>
      <c r="F21" s="725">
        <f ca="1">VLOOKUP($F$16,'TVT''s afscherming'!$A$10:$J$23,6)</f>
        <v>5.7</v>
      </c>
      <c r="G21" s="727">
        <f ca="1">VLOOKUP($G$16,'TVT''s afscherming'!$A$10:$J$23,6)</f>
        <v>5.7</v>
      </c>
      <c r="H21" s="441"/>
      <c r="I21" s="345"/>
      <c r="J21" s="530" t="s">
        <v>395</v>
      </c>
      <c r="K21" s="340"/>
      <c r="L21" s="340"/>
      <c r="M21" s="340"/>
      <c r="N21" s="340"/>
      <c r="O21" s="340"/>
      <c r="P21" s="1129"/>
      <c r="S21" s="336"/>
      <c r="U21" s="336"/>
      <c r="V21" s="336"/>
      <c r="W21" s="336"/>
      <c r="X21" s="345"/>
      <c r="Y21" s="345"/>
      <c r="Z21" s="345"/>
      <c r="AA21" s="345"/>
      <c r="AB21" s="345"/>
      <c r="AC21" s="345"/>
    </row>
    <row r="22" spans="1:29" s="325" customFormat="1" ht="19.5" customHeight="1">
      <c r="A22" s="441"/>
      <c r="B22" s="720"/>
      <c r="C22" s="868" t="s">
        <v>1</v>
      </c>
      <c r="D22" s="869"/>
      <c r="E22" s="869"/>
      <c r="F22" s="869"/>
      <c r="G22" s="870"/>
      <c r="H22" s="441"/>
      <c r="I22" s="345"/>
      <c r="J22" s="357" t="s">
        <v>403</v>
      </c>
      <c r="K22" s="358"/>
      <c r="L22" s="336"/>
      <c r="M22" s="336"/>
      <c r="N22" s="336"/>
      <c r="O22" s="336"/>
      <c r="P22" s="1111">
        <v>4</v>
      </c>
      <c r="Q22" s="336"/>
      <c r="U22" s="336"/>
      <c r="V22" s="336"/>
      <c r="W22" s="336"/>
      <c r="X22" s="345"/>
      <c r="Y22" s="345"/>
      <c r="Z22" s="345"/>
      <c r="AA22" s="345"/>
      <c r="AB22" s="345"/>
      <c r="AC22" s="345"/>
    </row>
    <row r="23" spans="1:29" s="325" customFormat="1" ht="19.5" customHeight="1">
      <c r="A23" s="441"/>
      <c r="B23" s="442" t="s">
        <v>70</v>
      </c>
      <c r="C23" s="752">
        <f ca="1">C6</f>
        <v>6</v>
      </c>
      <c r="D23" s="752">
        <f ca="1">D6</f>
        <v>10</v>
      </c>
      <c r="E23" s="753">
        <f ca="1">E6</f>
        <v>15</v>
      </c>
      <c r="F23" s="752" t="str">
        <f ca="1">F6</f>
        <v>6 FFF</v>
      </c>
      <c r="G23" s="754" t="str">
        <f ca="1">G6</f>
        <v>10 FFF</v>
      </c>
      <c r="H23" s="441"/>
      <c r="I23" s="345"/>
      <c r="J23" s="357" t="s">
        <v>482</v>
      </c>
      <c r="K23" s="358"/>
      <c r="L23" s="336"/>
      <c r="M23" s="336"/>
      <c r="N23" s="336"/>
      <c r="O23" s="336"/>
      <c r="P23" s="1110">
        <v>5</v>
      </c>
      <c r="Q23" s="336"/>
      <c r="U23" s="336"/>
      <c r="V23" s="345"/>
      <c r="W23" s="345"/>
      <c r="X23" s="345"/>
      <c r="Y23" s="345"/>
      <c r="Z23" s="345"/>
      <c r="AA23" s="538"/>
      <c r="AB23" s="538"/>
      <c r="AC23" s="538"/>
    </row>
    <row r="24" spans="1:29" s="325" customFormat="1" ht="19.5" customHeight="1">
      <c r="A24" s="441"/>
      <c r="B24" s="962" t="s">
        <v>3</v>
      </c>
      <c r="C24" s="723">
        <f ca="1">VLOOKUP($C$23,'TVT''s afscherming'!$A$10:$J$23,7)</f>
        <v>34</v>
      </c>
      <c r="D24" s="723">
        <f ca="1">VLOOKUP($D$23,'TVT''s afscherming'!$A$10:$J$23,7)</f>
        <v>38</v>
      </c>
      <c r="E24" s="724">
        <f ca="1">VLOOKUP($E$23,'TVT''s afscherming'!$A$10:$J$23,7)</f>
        <v>38.1</v>
      </c>
      <c r="F24" s="723">
        <f ca="1">VLOOKUP($F$23,'TVT''s afscherming'!$A$10:$J$23,7)</f>
        <v>30.5</v>
      </c>
      <c r="G24" s="728">
        <f ca="1">VLOOKUP($G$23,'TVT''s afscherming'!$A$10:$J$23,7)</f>
        <v>35.6</v>
      </c>
      <c r="J24" s="357" t="s">
        <v>307</v>
      </c>
      <c r="K24" s="358"/>
      <c r="L24" s="336"/>
      <c r="M24" s="336"/>
      <c r="N24" s="336"/>
      <c r="O24" s="336"/>
      <c r="P24" s="1111">
        <v>5</v>
      </c>
      <c r="Q24" s="336"/>
      <c r="U24" s="336"/>
      <c r="V24" s="336"/>
      <c r="W24" s="336"/>
      <c r="X24" s="336"/>
    </row>
    <row r="25" spans="1:29" s="325" customFormat="1" ht="19.5" customHeight="1">
      <c r="A25" s="441"/>
      <c r="B25" s="442" t="s">
        <v>96</v>
      </c>
      <c r="C25" s="727">
        <f ca="1">VLOOKUP($C$23,'TVT''s afscherming'!$A$10:$J$23,8)</f>
        <v>20</v>
      </c>
      <c r="D25" s="727">
        <f ca="1">VLOOKUP($D$23,'TVT''s afscherming'!$A$10:$J$23,8)</f>
        <v>24</v>
      </c>
      <c r="E25" s="725">
        <f ca="1">VLOOKUP($E$23,'TVT''s afscherming'!$A$10:$J$23,8)</f>
        <v>25.3</v>
      </c>
      <c r="F25" s="727">
        <f ca="1">VLOOKUP($F$23,'TVT''s afscherming'!$A$10:$J$23,8)</f>
        <v>20.3</v>
      </c>
      <c r="G25" s="726">
        <f ca="1">VLOOKUP($G$23,'TVT''s afscherming'!$A$10:$J$23,8)</f>
        <v>23.7</v>
      </c>
      <c r="I25" s="442"/>
      <c r="J25" s="357" t="s">
        <v>490</v>
      </c>
      <c r="K25" s="358"/>
      <c r="L25" s="336"/>
      <c r="M25" s="336"/>
      <c r="N25" s="336"/>
      <c r="O25" s="336"/>
      <c r="P25" s="1111">
        <v>5</v>
      </c>
      <c r="Q25" s="336"/>
      <c r="U25" s="336"/>
      <c r="V25" s="336"/>
      <c r="W25" s="336"/>
      <c r="X25" s="336"/>
    </row>
    <row r="26" spans="1:29" s="325" customFormat="1" ht="19.5" customHeight="1">
      <c r="A26" s="441"/>
      <c r="B26" s="442" t="s">
        <v>4</v>
      </c>
      <c r="C26" s="727">
        <f ca="1">VLOOKUP($C$23,'TVT''s afscherming'!$A$10:$J$23,9)</f>
        <v>9.9</v>
      </c>
      <c r="D26" s="727">
        <f ca="1">VLOOKUP($D$23,'TVT''s afscherming'!$A$10:$J$23,9)</f>
        <v>10</v>
      </c>
      <c r="E26" s="725">
        <f ca="1">VLOOKUP($E$23,'TVT''s afscherming'!$A$10:$J$23,9)</f>
        <v>10.7</v>
      </c>
      <c r="F26" s="727">
        <f ca="1">VLOOKUP($F$23,'TVT''s afscherming'!$A$10:$J$23,9)</f>
        <v>10.199999999999999</v>
      </c>
      <c r="G26" s="726">
        <f ca="1">VLOOKUP($G$23,'TVT''s afscherming'!$A$10:$J$23,9)</f>
        <v>10.7</v>
      </c>
      <c r="J26" s="357" t="s">
        <v>308</v>
      </c>
      <c r="K26" s="358"/>
      <c r="L26" s="336"/>
      <c r="M26" s="336"/>
      <c r="N26" s="336"/>
      <c r="O26" s="336"/>
      <c r="P26" s="1110">
        <v>1</v>
      </c>
      <c r="Q26" s="336"/>
      <c r="T26" s="336"/>
      <c r="U26" s="337"/>
      <c r="V26" s="336"/>
      <c r="W26" s="336"/>
      <c r="X26" s="336"/>
      <c r="Y26" s="336"/>
    </row>
    <row r="27" spans="1:29" s="325" customFormat="1" ht="19.5" customHeight="1" thickBot="1">
      <c r="A27" s="777"/>
      <c r="B27" s="455" t="s">
        <v>27</v>
      </c>
      <c r="C27" s="729">
        <f ca="1">VLOOKUP($C$23,'TVT''s afscherming'!$A$10:$J$23,10)</f>
        <v>5.7</v>
      </c>
      <c r="D27" s="729">
        <f ca="1">VLOOKUP($D$23,'TVT''s afscherming'!$A$10:$J$23,10)</f>
        <v>5.7</v>
      </c>
      <c r="E27" s="730">
        <f ca="1">VLOOKUP($E$23,'TVT''s afscherming'!$A$10:$J$23,10)</f>
        <v>5.7</v>
      </c>
      <c r="F27" s="729">
        <f ca="1">VLOOKUP($F$23,'TVT''s afscherming'!$A$10:$J$23,10)</f>
        <v>5</v>
      </c>
      <c r="G27" s="731">
        <f ca="1">VLOOKUP($G$23,'TVT''s afscherming'!$A$10:$J$23,10)</f>
        <v>5.7</v>
      </c>
      <c r="J27" s="357" t="s">
        <v>481</v>
      </c>
      <c r="K27" s="358"/>
      <c r="L27" s="336"/>
      <c r="M27" s="336"/>
      <c r="N27" s="336"/>
      <c r="O27" s="336"/>
      <c r="P27" s="1111">
        <f>20*20</f>
        <v>400</v>
      </c>
      <c r="Q27" s="336"/>
      <c r="T27" s="336"/>
      <c r="U27" s="337"/>
      <c r="V27" s="336"/>
      <c r="W27" s="336"/>
      <c r="X27" s="336"/>
      <c r="Y27" s="336"/>
    </row>
    <row r="28" spans="1:29" s="325" customFormat="1" ht="19.5" customHeight="1">
      <c r="A28" s="441"/>
      <c r="B28" s="720"/>
      <c r="C28" s="1430" t="s">
        <v>453</v>
      </c>
      <c r="D28" s="869"/>
      <c r="E28" s="869"/>
      <c r="F28" s="869"/>
      <c r="G28" s="870"/>
      <c r="J28" s="357" t="s">
        <v>394</v>
      </c>
      <c r="K28" s="345"/>
      <c r="L28" s="345"/>
      <c r="M28" s="345"/>
      <c r="N28" s="345"/>
      <c r="O28" s="345"/>
      <c r="P28" s="1111">
        <v>225</v>
      </c>
      <c r="T28" s="336"/>
      <c r="U28" s="337"/>
      <c r="V28" s="336"/>
      <c r="W28" s="336"/>
      <c r="X28" s="336"/>
      <c r="Y28" s="336"/>
    </row>
    <row r="29" spans="1:29" s="325" customFormat="1" ht="19.5" customHeight="1">
      <c r="A29" s="441"/>
      <c r="B29" s="442" t="s">
        <v>70</v>
      </c>
      <c r="C29" s="783">
        <v>0.5</v>
      </c>
      <c r="D29" s="765"/>
      <c r="E29" s="962"/>
      <c r="F29" s="962"/>
      <c r="G29" s="786"/>
      <c r="J29" s="343" t="s">
        <v>471</v>
      </c>
      <c r="K29" s="374"/>
      <c r="L29" s="336"/>
      <c r="M29" s="336"/>
      <c r="N29" s="336"/>
      <c r="O29" s="336"/>
      <c r="P29" s="1111">
        <v>1</v>
      </c>
      <c r="T29" s="336"/>
      <c r="U29" s="337"/>
      <c r="V29" s="336"/>
      <c r="W29" s="336"/>
      <c r="X29" s="336"/>
      <c r="Y29" s="336"/>
    </row>
    <row r="30" spans="1:29" s="325" customFormat="1" ht="19.5" customHeight="1" thickBot="1">
      <c r="A30" s="441"/>
      <c r="B30" s="962" t="s">
        <v>3</v>
      </c>
      <c r="C30" s="723">
        <f ca="1">VLOOKUP($C$29,'TVT''s afscherming'!$A$10:$J$23,2)</f>
        <v>11.9</v>
      </c>
      <c r="D30" s="784"/>
      <c r="E30" s="359"/>
      <c r="F30" s="359"/>
      <c r="G30" s="787"/>
      <c r="J30" s="373" t="s">
        <v>472</v>
      </c>
      <c r="K30" s="352"/>
      <c r="L30" s="353"/>
      <c r="M30" s="353"/>
      <c r="N30" s="353"/>
      <c r="O30" s="353"/>
      <c r="P30" s="1113">
        <v>1</v>
      </c>
      <c r="T30" s="336"/>
      <c r="U30" s="337"/>
      <c r="V30" s="336"/>
      <c r="X30" s="336"/>
      <c r="Y30" s="336"/>
    </row>
    <row r="31" spans="1:29" s="325" customFormat="1" ht="19.5" customHeight="1">
      <c r="A31" s="441"/>
      <c r="B31" s="442" t="s">
        <v>96</v>
      </c>
      <c r="C31" s="727">
        <f ca="1">VLOOKUP($C$29,'TVT''s afscherming'!$A$10:$J$23,4)</f>
        <v>9.4</v>
      </c>
      <c r="D31" s="784"/>
      <c r="E31" s="359"/>
      <c r="F31" s="359"/>
      <c r="G31" s="787"/>
      <c r="J31" s="531" t="s">
        <v>398</v>
      </c>
      <c r="K31" s="360"/>
      <c r="L31" s="361"/>
      <c r="M31" s="361"/>
      <c r="N31" s="1681" t="s">
        <v>295</v>
      </c>
      <c r="O31" s="323"/>
      <c r="P31" s="396"/>
      <c r="Q31" s="361"/>
      <c r="R31" s="427"/>
      <c r="S31" s="426"/>
      <c r="T31" s="336"/>
      <c r="U31" s="337"/>
      <c r="V31" s="336"/>
      <c r="W31" s="336"/>
      <c r="X31" s="336"/>
      <c r="Y31" s="336"/>
    </row>
    <row r="32" spans="1:29" s="325" customFormat="1" ht="19.5" customHeight="1">
      <c r="A32" s="441"/>
      <c r="B32" s="442" t="s">
        <v>4</v>
      </c>
      <c r="C32" s="727">
        <f ca="1">VLOOKUP($C$29,'TVT''s afscherming'!$A$10:$J$23,5)</f>
        <v>3.2</v>
      </c>
      <c r="D32" s="784"/>
      <c r="E32" s="359"/>
      <c r="F32" s="359"/>
      <c r="G32" s="787"/>
      <c r="J32" s="546"/>
      <c r="K32" s="467"/>
      <c r="L32" s="345"/>
      <c r="M32" s="349"/>
      <c r="N32" s="1682"/>
      <c r="O32" s="326"/>
      <c r="P32" s="454"/>
      <c r="Q32" s="336"/>
      <c r="R32" s="513"/>
      <c r="S32" s="383"/>
      <c r="T32" s="337"/>
      <c r="U32" s="338"/>
      <c r="V32" s="336"/>
      <c r="W32" s="336"/>
      <c r="X32" s="336"/>
      <c r="Y32" s="336"/>
    </row>
    <row r="33" spans="1:34" s="325" customFormat="1" ht="19.5" customHeight="1" thickBot="1">
      <c r="A33" s="777"/>
      <c r="B33" s="455" t="s">
        <v>27</v>
      </c>
      <c r="C33" s="729">
        <f ca="1">VLOOKUP($C$29,'TVT''s afscherming'!$A$10:$J$23,6)</f>
        <v>1.03</v>
      </c>
      <c r="D33" s="785"/>
      <c r="E33" s="788"/>
      <c r="F33" s="788"/>
      <c r="G33" s="789"/>
      <c r="J33" s="348"/>
      <c r="K33" s="814" t="s">
        <v>103</v>
      </c>
      <c r="L33" s="813" t="s">
        <v>129</v>
      </c>
      <c r="M33" s="563" t="s">
        <v>70</v>
      </c>
      <c r="N33" s="564">
        <v>0.5</v>
      </c>
      <c r="O33" s="755">
        <f>$C$6</f>
        <v>6</v>
      </c>
      <c r="P33" s="756">
        <f>$D$6</f>
        <v>10</v>
      </c>
      <c r="Q33" s="756">
        <f>$E$6</f>
        <v>15</v>
      </c>
      <c r="R33" s="755" t="str">
        <f>$F$6</f>
        <v>6 FFF</v>
      </c>
      <c r="S33" s="757" t="str">
        <f>$G$6</f>
        <v>10 FFF</v>
      </c>
      <c r="T33" s="397"/>
      <c r="U33" s="338"/>
      <c r="V33" s="336"/>
      <c r="W33" s="336"/>
      <c r="X33" s="336"/>
      <c r="Y33" s="336"/>
    </row>
    <row r="34" spans="1:34" s="325" customFormat="1" ht="19.5" customHeight="1">
      <c r="A34" s="336" t="s">
        <v>439</v>
      </c>
      <c r="H34" s="345"/>
      <c r="J34" s="362" t="s">
        <v>483</v>
      </c>
      <c r="K34" s="809" t="s">
        <v>456</v>
      </c>
      <c r="L34" s="767">
        <f>IF($P$6="parallel",75,30)</f>
        <v>30</v>
      </c>
      <c r="M34" s="364"/>
      <c r="N34" s="732"/>
      <c r="O34" s="733">
        <f ca="1">IF($P$6="parallel",VLOOKUP($O$33,reflectiecoeff!$A$10:$F$18,2),VLOOKUP($O$33,reflectiecoeff!$A$26:$F$34,2))</f>
        <v>1.7500000000000002E-2</v>
      </c>
      <c r="P34" s="733">
        <f ca="1">IF($P$6="parallel",VLOOKUP($P$33,reflectiecoeff!$A$10:$F$18,2),VLOOKUP($P$33,reflectiecoeff!$A$26:$F$34,2))</f>
        <v>2.2499999999999999E-2</v>
      </c>
      <c r="Q34" s="733">
        <f ca="1">IF($P$6="parallel",VLOOKUP($Q$33,reflectiecoeff!$A$10:$F$18,2),VLOOKUP($Q$33,reflectiecoeff!$A$26:$F$34,2))</f>
        <v>3.2500000000000001E-2</v>
      </c>
      <c r="R34" s="734">
        <f ca="1">IF($P$6="parallel",VLOOKUP($R$33,reflectiecoeff!$A$10:$F$18,2),VLOOKUP($R$33,reflectiecoeff!$A$26:$F$34,2))</f>
        <v>1.4999999999999999E-2</v>
      </c>
      <c r="S34" s="735">
        <f ca="1">IF($P$6="parallel",VLOOKUP($S$33,reflectiecoeff!$A$10:$F$18,2),VLOOKUP($S$33,reflectiecoeff!$A$26:$F$34,2))</f>
        <v>1.49E-2</v>
      </c>
      <c r="T34" s="562"/>
      <c r="U34" s="338"/>
      <c r="V34" s="336"/>
      <c r="W34" s="336"/>
      <c r="X34" s="336"/>
      <c r="Y34" s="336"/>
    </row>
    <row r="35" spans="1:34" s="325" customFormat="1" ht="19.5" customHeight="1">
      <c r="J35" s="365" t="s">
        <v>484</v>
      </c>
      <c r="K35" s="810" t="s">
        <v>456</v>
      </c>
      <c r="L35" s="768">
        <v>75</v>
      </c>
      <c r="M35" s="545"/>
      <c r="N35" s="736"/>
      <c r="O35" s="737">
        <f ca="1">IF($P$6="parallel",VLOOKUP($O$33,reflectiecoeff!$A$10:$F$18,3),VLOOKUP($O$33,reflectiecoeff!$A$26:$F$34,3))</f>
        <v>1.7500000000000002E-2</v>
      </c>
      <c r="P35" s="737">
        <f ca="1">IF($P$6="parallel",VLOOKUP($P$33,reflectiecoeff!$A$10:$F$18,3),VLOOKUP($P$33,reflectiecoeff!$A$26:$F$34,3))</f>
        <v>2.2499999999999999E-2</v>
      </c>
      <c r="Q35" s="737">
        <f ca="1">IF($P$6="parallel",VLOOKUP($Q$33,reflectiecoeff!$A$10:$F$18,3),VLOOKUP($Q$33,reflectiecoeff!$A$26:$F$34,3))</f>
        <v>3.2500000000000001E-2</v>
      </c>
      <c r="R35" s="738">
        <f ca="1">IF($P$6="parallel",VLOOKUP($R$33,reflectiecoeff!$A$10:$F$18,3),VLOOKUP($R$33,reflectiecoeff!$A$26:$F$34,3))</f>
        <v>1.4999999999999999E-2</v>
      </c>
      <c r="S35" s="739">
        <f ca="1">IF($P$6="parallel",VLOOKUP($S$33,reflectiecoeff!$A$10:$F$18,3),VLOOKUP($S$33,reflectiecoeff!$A$26:$F$34,3))</f>
        <v>1.49E-2</v>
      </c>
      <c r="T35" s="336"/>
      <c r="U35" s="338"/>
      <c r="V35" s="338"/>
      <c r="W35" s="336"/>
      <c r="X35" s="336"/>
      <c r="Y35" s="336"/>
    </row>
    <row r="36" spans="1:34" s="325" customFormat="1" ht="19.5" customHeight="1">
      <c r="J36" s="365" t="s">
        <v>485</v>
      </c>
      <c r="K36" s="768">
        <f>IF($P$6="parallel",0,45)</f>
        <v>45</v>
      </c>
      <c r="L36" s="768">
        <f>IF($P$6="parallel",75,0)</f>
        <v>0</v>
      </c>
      <c r="M36" s="545"/>
      <c r="N36" s="740">
        <f ca="1">IF($P$6="parallel",VLOOKUP($N$33,reflectiecoeff!$A$10:$F$18,4),VLOOKUP($N$33,reflectiecoeff!$A$26:$F$34,4))</f>
        <v>2.375E-2</v>
      </c>
      <c r="O36" s="741"/>
      <c r="P36" s="737"/>
      <c r="Q36" s="737"/>
      <c r="R36" s="738"/>
      <c r="S36" s="739"/>
      <c r="T36" s="336"/>
      <c r="U36" s="338"/>
      <c r="V36" s="338"/>
      <c r="W36" s="336"/>
      <c r="X36" s="336"/>
      <c r="Y36" s="336"/>
    </row>
    <row r="37" spans="1:34" s="325" customFormat="1" ht="19.5" customHeight="1">
      <c r="I37" s="311"/>
      <c r="J37" s="365" t="s">
        <v>486</v>
      </c>
      <c r="K37" s="810">
        <v>45</v>
      </c>
      <c r="L37" s="768">
        <v>0</v>
      </c>
      <c r="M37" s="545"/>
      <c r="N37" s="736"/>
      <c r="O37" s="737">
        <f ca="1">IF($P$6="parallel",VLOOKUP($O$33,reflectiecoeff!$A$10:$F$18,5),VLOOKUP($O$33,reflectiecoeff!$A$26:$F$34,5))</f>
        <v>1.7500000000000002E-2</v>
      </c>
      <c r="P37" s="737">
        <f ca="1">IF($P$6="parallel",VLOOKUP($P$33,reflectiecoeff!$A$10:$F$18,5),VLOOKUP($P$33,reflectiecoeff!$A$26:$F$34,5))</f>
        <v>2.2499999999999999E-2</v>
      </c>
      <c r="Q37" s="737">
        <f ca="1">IF($P$6="parallel",VLOOKUP($Q$33,reflectiecoeff!$A$10:$F$18,5),VLOOKUP($Q$33,reflectiecoeff!$A$26:$F$34,5))</f>
        <v>3.2500000000000001E-2</v>
      </c>
      <c r="R37" s="738">
        <f ca="1">IF($P$6="parallel",VLOOKUP($R$33,reflectiecoeff!$A$10:$F$18,5),VLOOKUP($R$33,reflectiecoeff!$A$26:$F$34,5))</f>
        <v>1.4999999999999999E-2</v>
      </c>
      <c r="S37" s="739">
        <f ca="1">IF($P$6="parallel",VLOOKUP($S$33,reflectiecoeff!$A$10:$F$18,5),VLOOKUP($S$33,reflectiecoeff!$A$26:$F$34,5))</f>
        <v>1.49E-2</v>
      </c>
      <c r="T37" s="336"/>
      <c r="U37" s="338"/>
      <c r="V37" s="338"/>
      <c r="W37" s="336"/>
      <c r="X37" s="336"/>
      <c r="Y37" s="336"/>
    </row>
    <row r="38" spans="1:34" s="325" customFormat="1" ht="19.5" customHeight="1" thickBot="1">
      <c r="I38" s="311"/>
      <c r="J38" s="365" t="s">
        <v>487</v>
      </c>
      <c r="K38" s="812" t="s">
        <v>456</v>
      </c>
      <c r="L38" s="811">
        <v>75</v>
      </c>
      <c r="M38" s="534"/>
      <c r="N38" s="1176">
        <f ca="1">IF(P7=1,1,(IF($P$6="parallel",VLOOKUP($N$33,reflectiecoeff!$A$10:$F$18,6),VLOOKUP($N$33,reflectiecoeff!$A$26:$F$34,6))))</f>
        <v>1</v>
      </c>
      <c r="O38" s="736"/>
      <c r="P38" s="737"/>
      <c r="Q38" s="742"/>
      <c r="R38" s="742"/>
      <c r="S38" s="743"/>
      <c r="U38" s="338"/>
      <c r="V38" s="338"/>
      <c r="W38" s="336"/>
      <c r="X38" s="336"/>
      <c r="Y38" s="336"/>
    </row>
    <row r="39" spans="1:34" s="325" customFormat="1" ht="19.5" customHeight="1">
      <c r="I39" s="311"/>
      <c r="J39" s="531" t="s">
        <v>454</v>
      </c>
      <c r="K39" s="360"/>
      <c r="L39" s="361"/>
      <c r="M39" s="361"/>
      <c r="N39" s="815"/>
      <c r="O39" s="323"/>
      <c r="P39" s="396"/>
      <c r="Q39" s="361"/>
      <c r="R39" s="427"/>
      <c r="S39" s="426"/>
      <c r="T39" s="336"/>
      <c r="U39" s="338"/>
      <c r="V39" s="338"/>
      <c r="W39" s="336"/>
      <c r="X39" s="336"/>
      <c r="Y39" s="336"/>
    </row>
    <row r="40" spans="1:34" ht="19.5" customHeight="1">
      <c r="B40" s="375"/>
      <c r="C40" s="375"/>
      <c r="D40" s="376"/>
      <c r="J40" s="348" t="s">
        <v>474</v>
      </c>
      <c r="K40" s="344"/>
      <c r="L40" s="805" t="s">
        <v>463</v>
      </c>
      <c r="M40" s="346"/>
      <c r="N40" s="804"/>
      <c r="O40" s="768"/>
      <c r="P40" s="769"/>
      <c r="Q40" s="769"/>
      <c r="R40" s="768"/>
      <c r="S40" s="778"/>
      <c r="T40" s="311"/>
      <c r="U40" s="311"/>
      <c r="X40" s="321"/>
      <c r="Y40" s="321"/>
      <c r="Z40" s="321"/>
      <c r="AA40" s="321"/>
      <c r="AC40" s="378"/>
      <c r="AD40" s="378"/>
      <c r="AE40" s="378"/>
      <c r="AF40" s="378"/>
    </row>
    <row r="41" spans="1:34" ht="19.5" customHeight="1">
      <c r="A41" s="321"/>
      <c r="B41" s="375"/>
      <c r="C41" s="375"/>
      <c r="D41" s="376"/>
      <c r="J41" s="790" t="s">
        <v>455</v>
      </c>
      <c r="K41" s="793"/>
      <c r="L41" s="806" t="s">
        <v>461</v>
      </c>
      <c r="M41" s="794"/>
      <c r="N41" s="795"/>
      <c r="O41" s="733">
        <f ca="1">VLOOKUP($O$33,scatterfactoren!$A$17:$I$27,5)</f>
        <v>1.39E-3</v>
      </c>
      <c r="P41" s="733">
        <f ca="1">VLOOKUP($P$33,scatterfactoren!$A$17:$I$27,5)</f>
        <v>1.3500000000000001E-3</v>
      </c>
      <c r="Q41" s="733">
        <f ca="1">VLOOKUP($Q$33,scatterfactoren!$A$17:$I$27,5)</f>
        <v>1.0499999999999999E-3</v>
      </c>
      <c r="R41" s="733">
        <f ca="1">VLOOKUP($R$33,scatterfactoren!$A$17:$I$27,5)</f>
        <v>1.2999999999999999E-3</v>
      </c>
      <c r="S41" s="735">
        <f ca="1">VLOOKUP($S$33,scatterfactoren!$A$17:$I$27,5)</f>
        <v>1.1999999999999999E-3</v>
      </c>
      <c r="T41" s="311"/>
      <c r="U41" s="311"/>
      <c r="X41" s="321"/>
      <c r="Y41" s="321"/>
      <c r="Z41" s="321"/>
      <c r="AA41" s="378"/>
      <c r="AB41" s="378"/>
      <c r="AC41" s="379"/>
      <c r="AD41" s="379"/>
      <c r="AE41" s="379"/>
      <c r="AF41" s="378"/>
      <c r="AG41" s="378"/>
      <c r="AH41" s="378"/>
    </row>
    <row r="42" spans="1:34" ht="19.5" customHeight="1">
      <c r="A42" s="321"/>
      <c r="B42" s="375"/>
      <c r="C42" s="375"/>
      <c r="D42" s="376"/>
      <c r="J42" s="796" t="s">
        <v>458</v>
      </c>
      <c r="K42" s="797"/>
      <c r="L42" s="807" t="s">
        <v>459</v>
      </c>
      <c r="M42" s="467"/>
      <c r="N42" s="798"/>
      <c r="O42" s="737">
        <f ca="1">VLOOKUP($O$33,scatterfactoren!$A$17:$I$27,7)</f>
        <v>4.26E-4</v>
      </c>
      <c r="P42" s="737">
        <f ca="1">VLOOKUP($P$33,scatterfactoren!$A$17:$I$27,7)</f>
        <v>3.8099999999999999E-4</v>
      </c>
      <c r="Q42" s="737">
        <f ca="1">VLOOKUP($Q$33,scatterfactoren!$A$17:$I$27,7)</f>
        <v>2.61E-4</v>
      </c>
      <c r="R42" s="737">
        <f ca="1">VLOOKUP($R$33,scatterfactoren!$A$17:$I$27,7)</f>
        <v>4.46E-4</v>
      </c>
      <c r="S42" s="739">
        <f ca="1">VLOOKUP($S$33,scatterfactoren!$A$17:$I$27,7)</f>
        <v>4.0299999999999998E-4</v>
      </c>
      <c r="T42" s="311"/>
      <c r="U42" s="311"/>
      <c r="X42" s="321"/>
      <c r="Y42" s="321"/>
      <c r="Z42" s="321"/>
      <c r="AA42" s="378"/>
      <c r="AB42" s="378"/>
      <c r="AC42" s="379"/>
      <c r="AD42" s="379"/>
      <c r="AE42" s="379"/>
      <c r="AF42" s="378"/>
      <c r="AG42" s="378"/>
      <c r="AH42" s="378"/>
    </row>
    <row r="43" spans="1:34" ht="19.5" customHeight="1" thickBot="1">
      <c r="A43" s="321"/>
      <c r="B43" s="375"/>
      <c r="C43" s="375"/>
      <c r="D43" s="376"/>
      <c r="J43" s="799" t="s">
        <v>460</v>
      </c>
      <c r="K43" s="800"/>
      <c r="L43" s="808" t="s">
        <v>462</v>
      </c>
      <c r="M43" s="534"/>
      <c r="N43" s="801"/>
      <c r="O43" s="737">
        <f ca="1">VLOOKUP($O$33,scatterfactoren!$A$17:$I$27,8)</f>
        <v>2.9999999999999997E-4</v>
      </c>
      <c r="P43" s="737">
        <f ca="1">VLOOKUP($P$33,scatterfactoren!$A$17:$I$27,8)</f>
        <v>3.0200000000000002E-4</v>
      </c>
      <c r="Q43" s="803">
        <f ca="1">VLOOKUP($Q$33,scatterfactoren!$A$17:$I$27,8)</f>
        <v>1.9100000000000001E-4</v>
      </c>
      <c r="R43" s="803">
        <f ca="1">VLOOKUP($R$33,scatterfactoren!$A$17:$I$27,8)</f>
        <v>3.4200000000000002E-4</v>
      </c>
      <c r="S43" s="743">
        <f ca="1">VLOOKUP($S$33,scatterfactoren!$A$17:$I$27,8)</f>
        <v>3.8200000000000002E-4</v>
      </c>
      <c r="T43" s="311"/>
      <c r="U43" s="311"/>
      <c r="X43" s="321"/>
      <c r="Y43" s="321"/>
      <c r="Z43" s="321"/>
      <c r="AA43" s="378"/>
      <c r="AB43" s="378"/>
      <c r="AC43" s="379"/>
      <c r="AD43" s="379"/>
      <c r="AE43" s="379"/>
      <c r="AF43" s="378"/>
      <c r="AG43" s="378"/>
      <c r="AH43" s="378"/>
    </row>
    <row r="44" spans="1:34" ht="19.5" customHeight="1">
      <c r="A44" s="321"/>
      <c r="B44" s="375"/>
      <c r="C44" s="375"/>
      <c r="D44" s="376"/>
      <c r="J44" s="365" t="s">
        <v>399</v>
      </c>
      <c r="K44" s="345"/>
      <c r="L44" s="345"/>
      <c r="M44" s="442"/>
      <c r="N44" s="762"/>
      <c r="O44" s="340"/>
      <c r="P44" s="341"/>
      <c r="Q44" s="325"/>
      <c r="R44" s="325"/>
      <c r="S44" s="336"/>
      <c r="T44" s="311"/>
      <c r="U44" s="311"/>
      <c r="X44" s="321"/>
      <c r="Y44" s="321"/>
      <c r="Z44" s="321"/>
      <c r="AA44" s="378"/>
      <c r="AB44" s="378"/>
      <c r="AC44" s="379"/>
      <c r="AD44" s="379"/>
      <c r="AE44" s="379"/>
      <c r="AF44" s="378"/>
      <c r="AG44" s="378"/>
      <c r="AH44" s="378"/>
    </row>
    <row r="45" spans="1:34" ht="19.5" customHeight="1">
      <c r="A45" s="321"/>
      <c r="B45" s="375"/>
      <c r="C45" s="375"/>
      <c r="D45" s="376"/>
      <c r="J45" s="409" t="s">
        <v>396</v>
      </c>
      <c r="K45" s="374"/>
      <c r="L45" s="336"/>
      <c r="M45" s="336"/>
      <c r="N45" s="336"/>
      <c r="O45" s="336"/>
      <c r="P45" s="1114">
        <v>0.5</v>
      </c>
      <c r="Q45" s="325"/>
      <c r="R45" s="325"/>
      <c r="S45" s="336"/>
      <c r="T45" s="311"/>
      <c r="U45" s="311"/>
      <c r="X45" s="321"/>
      <c r="Y45" s="321"/>
      <c r="Z45" s="321"/>
      <c r="AA45" s="378"/>
      <c r="AB45" s="378"/>
      <c r="AC45" s="379"/>
      <c r="AD45" s="379"/>
      <c r="AE45" s="379"/>
      <c r="AF45" s="378"/>
      <c r="AG45" s="378"/>
      <c r="AH45" s="378"/>
    </row>
    <row r="46" spans="1:34" ht="19.5" customHeight="1" thickBot="1">
      <c r="A46" s="321"/>
      <c r="B46" s="375"/>
      <c r="C46" s="375"/>
      <c r="D46" s="376"/>
      <c r="J46" s="536" t="s">
        <v>397</v>
      </c>
      <c r="K46" s="537"/>
      <c r="L46" s="537"/>
      <c r="M46" s="537"/>
      <c r="N46" s="537"/>
      <c r="O46" s="537"/>
      <c r="P46" s="802">
        <v>0.32</v>
      </c>
      <c r="Q46" s="325"/>
      <c r="R46" s="325"/>
      <c r="S46" s="336"/>
      <c r="T46" s="311"/>
      <c r="U46" s="311"/>
      <c r="X46" s="321"/>
      <c r="Y46" s="321"/>
      <c r="Z46" s="321"/>
      <c r="AA46" s="378"/>
      <c r="AB46" s="378"/>
      <c r="AC46" s="379"/>
      <c r="AD46" s="379"/>
      <c r="AE46" s="379"/>
      <c r="AF46" s="378"/>
      <c r="AG46" s="378"/>
      <c r="AH46" s="378"/>
    </row>
    <row r="47" spans="1:34" ht="19.5" customHeight="1">
      <c r="A47" s="321"/>
      <c r="B47" s="375"/>
      <c r="C47" s="375"/>
      <c r="D47" s="376"/>
      <c r="J47" s="535" t="s">
        <v>268</v>
      </c>
      <c r="K47" s="327"/>
      <c r="L47" s="1681" t="s">
        <v>295</v>
      </c>
      <c r="M47" s="367" t="s">
        <v>49</v>
      </c>
      <c r="N47" s="368" t="s">
        <v>267</v>
      </c>
      <c r="O47" s="325"/>
      <c r="P47" s="325"/>
      <c r="Q47" s="325"/>
      <c r="R47" s="325"/>
      <c r="S47" s="336"/>
      <c r="T47" s="311"/>
      <c r="U47" s="311"/>
      <c r="X47" s="321"/>
      <c r="Y47" s="321"/>
      <c r="Z47" s="321"/>
      <c r="AA47" s="378"/>
      <c r="AB47" s="378"/>
      <c r="AC47" s="379"/>
      <c r="AD47" s="379"/>
      <c r="AE47" s="379"/>
      <c r="AF47" s="378"/>
      <c r="AG47" s="378"/>
      <c r="AH47" s="378"/>
    </row>
    <row r="48" spans="1:34" ht="19.5" customHeight="1">
      <c r="A48" s="321"/>
      <c r="B48" s="375"/>
      <c r="C48" s="375"/>
      <c r="D48" s="376"/>
      <c r="J48" s="444" t="s">
        <v>336</v>
      </c>
      <c r="K48" s="336"/>
      <c r="L48" s="1693"/>
      <c r="M48" s="454" t="s">
        <v>44</v>
      </c>
      <c r="N48" s="778" t="s">
        <v>400</v>
      </c>
      <c r="O48" s="325"/>
      <c r="P48" s="325"/>
      <c r="Q48" s="325"/>
      <c r="R48" s="325"/>
      <c r="S48" s="336"/>
      <c r="T48" s="311"/>
      <c r="U48" s="311"/>
      <c r="X48" s="321"/>
      <c r="Y48" s="321"/>
      <c r="Z48" s="321"/>
      <c r="AA48" s="378"/>
      <c r="AB48" s="378"/>
      <c r="AC48" s="379"/>
      <c r="AD48" s="379"/>
      <c r="AE48" s="379"/>
      <c r="AF48" s="378"/>
      <c r="AG48" s="378"/>
      <c r="AH48" s="378"/>
    </row>
    <row r="49" spans="1:52" ht="19.5" customHeight="1">
      <c r="A49" s="321"/>
      <c r="B49" s="375"/>
      <c r="C49" s="375"/>
      <c r="D49" s="376"/>
      <c r="J49" s="369"/>
      <c r="K49" s="370" t="s">
        <v>70</v>
      </c>
      <c r="L49" s="363">
        <f>N33</f>
        <v>0.5</v>
      </c>
      <c r="M49" s="767">
        <v>0.1</v>
      </c>
      <c r="N49" s="371">
        <v>3.6</v>
      </c>
      <c r="O49" s="325"/>
      <c r="P49" s="325"/>
      <c r="Q49" s="325"/>
      <c r="R49" s="325"/>
      <c r="S49" s="336"/>
      <c r="T49" s="311"/>
      <c r="U49" s="311"/>
      <c r="X49" s="321"/>
      <c r="Y49" s="321"/>
      <c r="Z49" s="321"/>
      <c r="AA49" s="378"/>
      <c r="AB49" s="378"/>
      <c r="AC49" s="379"/>
      <c r="AD49" s="379"/>
      <c r="AE49" s="379"/>
      <c r="AF49" s="378"/>
      <c r="AG49" s="378"/>
      <c r="AH49" s="378"/>
    </row>
    <row r="50" spans="1:52" ht="19.5" customHeight="1">
      <c r="A50" s="321"/>
      <c r="B50" s="375"/>
      <c r="C50" s="375"/>
      <c r="D50" s="376"/>
      <c r="J50" s="369"/>
      <c r="K50" s="342" t="s">
        <v>3</v>
      </c>
      <c r="L50" s="724">
        <f ca="1">VLOOKUP($L$49,'TVT''s afscherming'!$A$11:$J$23,2)</f>
        <v>11.9</v>
      </c>
      <c r="M50" s="767"/>
      <c r="N50" s="371"/>
      <c r="O50" s="325"/>
      <c r="P50" s="325"/>
      <c r="Q50" s="325"/>
      <c r="R50" s="325"/>
      <c r="S50" s="336"/>
      <c r="T50" s="311"/>
      <c r="U50" s="311"/>
      <c r="X50" s="321"/>
      <c r="Y50" s="321"/>
      <c r="Z50" s="321"/>
      <c r="AA50" s="378"/>
      <c r="AB50" s="378"/>
      <c r="AC50" s="379"/>
      <c r="AD50" s="379"/>
      <c r="AE50" s="379"/>
      <c r="AF50" s="378"/>
      <c r="AG50" s="378"/>
      <c r="AH50" s="378"/>
    </row>
    <row r="51" spans="1:52" ht="19.5" customHeight="1">
      <c r="A51" s="321"/>
      <c r="B51" s="375"/>
      <c r="C51" s="375"/>
      <c r="D51" s="376"/>
      <c r="J51" s="446"/>
      <c r="K51" s="336" t="s">
        <v>96</v>
      </c>
      <c r="L51" s="727">
        <f ca="1">VLOOKUP($L$49,'TVT''s afscherming'!$A$11:$J$23,4)</f>
        <v>9.4</v>
      </c>
      <c r="M51" s="768"/>
      <c r="N51" s="778"/>
      <c r="O51" s="325"/>
      <c r="P51" s="325"/>
      <c r="Q51" s="325"/>
      <c r="R51" s="325"/>
      <c r="S51" s="336"/>
      <c r="T51" s="311"/>
      <c r="U51" s="311"/>
      <c r="X51" s="321"/>
      <c r="Y51" s="321"/>
      <c r="Z51" s="321"/>
      <c r="AA51" s="378"/>
      <c r="AB51" s="378"/>
      <c r="AC51" s="379"/>
      <c r="AD51" s="379"/>
      <c r="AE51" s="379"/>
      <c r="AF51" s="378"/>
      <c r="AG51" s="378"/>
      <c r="AH51" s="378"/>
    </row>
    <row r="52" spans="1:52" ht="19.5" customHeight="1">
      <c r="A52" s="321"/>
      <c r="B52" s="375"/>
      <c r="C52" s="375"/>
      <c r="D52" s="376"/>
      <c r="J52" s="348"/>
      <c r="K52" s="336" t="s">
        <v>4</v>
      </c>
      <c r="L52" s="727">
        <f ca="1">VLOOKUP($L$49,'TVT''s afscherming'!$A$11:$J$23,5)</f>
        <v>3.2</v>
      </c>
      <c r="M52" s="744">
        <f ca="1">'TVT''s afscherming'!C28</f>
        <v>37</v>
      </c>
      <c r="N52" s="745">
        <f ca="1">'TVT''s afscherming'!C30</f>
        <v>13.5</v>
      </c>
      <c r="O52" s="325"/>
      <c r="P52" s="325"/>
      <c r="Q52" s="325"/>
      <c r="R52" s="325"/>
      <c r="S52" s="336"/>
      <c r="T52" s="311"/>
      <c r="U52" s="311"/>
      <c r="X52" s="321"/>
      <c r="Y52" s="321"/>
      <c r="Z52" s="321"/>
      <c r="AA52" s="378"/>
      <c r="AB52" s="378"/>
      <c r="AC52" s="379"/>
      <c r="AD52" s="379"/>
      <c r="AE52" s="379"/>
      <c r="AF52" s="378"/>
      <c r="AG52" s="378"/>
      <c r="AH52" s="378"/>
    </row>
    <row r="53" spans="1:52" ht="19.5" customHeight="1">
      <c r="A53" s="321"/>
      <c r="B53" s="375"/>
      <c r="C53" s="375"/>
      <c r="D53" s="376"/>
      <c r="J53" s="348"/>
      <c r="K53" s="336" t="s">
        <v>27</v>
      </c>
      <c r="L53" s="727">
        <f ca="1">VLOOKUP($L$49,'TVT''s afscherming'!$A$11:$J$23,6)</f>
        <v>1.03</v>
      </c>
      <c r="M53" s="744">
        <f ca="1">'TVT''s afscherming'!C28</f>
        <v>37</v>
      </c>
      <c r="N53" s="745">
        <f ca="1">IF(P20&gt;5,'TVT''s afscherming'!D31,'TVT''s afscherming'!D30)</f>
        <v>0.6</v>
      </c>
      <c r="O53" s="325"/>
      <c r="P53" s="325"/>
      <c r="Q53" s="325"/>
      <c r="R53" s="325"/>
      <c r="S53" s="336"/>
      <c r="T53" s="311"/>
      <c r="U53" s="311"/>
      <c r="X53" s="321"/>
      <c r="Y53" s="321"/>
      <c r="Z53" s="321"/>
      <c r="AA53" s="378"/>
      <c r="AB53" s="378"/>
      <c r="AC53" s="379"/>
      <c r="AD53" s="379"/>
      <c r="AE53" s="379"/>
      <c r="AF53" s="378"/>
      <c r="AG53" s="378"/>
      <c r="AH53" s="378"/>
    </row>
    <row r="54" spans="1:52" ht="19.5" customHeight="1" thickBot="1">
      <c r="A54" s="321"/>
      <c r="B54" s="375"/>
      <c r="C54" s="375"/>
      <c r="D54" s="376"/>
      <c r="J54" s="373"/>
      <c r="K54" s="353" t="s">
        <v>52</v>
      </c>
      <c r="L54" s="816"/>
      <c r="M54" s="746">
        <f ca="1">'TVT''s afscherming'!E28</f>
        <v>4.5</v>
      </c>
      <c r="N54" s="817"/>
      <c r="O54" s="325"/>
      <c r="P54" s="325"/>
      <c r="Q54" s="325"/>
      <c r="R54" s="325"/>
      <c r="S54" s="336"/>
      <c r="T54" s="311"/>
      <c r="U54" s="311"/>
      <c r="X54" s="321"/>
      <c r="Y54" s="321"/>
      <c r="Z54" s="321"/>
      <c r="AA54" s="378"/>
      <c r="AB54" s="378"/>
      <c r="AC54" s="379"/>
      <c r="AD54" s="379"/>
      <c r="AE54" s="379"/>
      <c r="AF54" s="378"/>
      <c r="AG54" s="378"/>
      <c r="AH54" s="378"/>
    </row>
    <row r="55" spans="1:52" ht="19.5" customHeight="1">
      <c r="A55" s="321"/>
      <c r="B55" s="375"/>
      <c r="C55" s="375"/>
      <c r="D55" s="376"/>
      <c r="Q55" s="311"/>
      <c r="R55" s="311"/>
      <c r="S55" s="311"/>
      <c r="T55" s="311"/>
      <c r="U55" s="311"/>
      <c r="X55" s="321"/>
      <c r="Y55" s="321"/>
      <c r="Z55" s="321"/>
      <c r="AA55" s="378"/>
      <c r="AB55" s="378"/>
      <c r="AC55" s="379"/>
      <c r="AD55" s="379"/>
      <c r="AE55" s="379"/>
      <c r="AF55" s="378"/>
      <c r="AG55" s="378"/>
      <c r="AH55" s="378"/>
    </row>
    <row r="56" spans="1:52" ht="19.5" customHeight="1">
      <c r="A56" s="321"/>
      <c r="B56" s="375"/>
      <c r="C56" s="375"/>
      <c r="D56" s="376"/>
      <c r="Q56" s="311"/>
      <c r="R56" s="311"/>
      <c r="S56" s="311"/>
      <c r="T56" s="311"/>
      <c r="U56" s="311"/>
      <c r="X56" s="321"/>
      <c r="Y56" s="321"/>
      <c r="Z56" s="321"/>
      <c r="AA56" s="378"/>
      <c r="AB56" s="378"/>
      <c r="AC56" s="379"/>
      <c r="AD56" s="379"/>
      <c r="AE56" s="379"/>
      <c r="AF56" s="378"/>
      <c r="AG56" s="378"/>
      <c r="AH56" s="378"/>
    </row>
    <row r="57" spans="1:52" ht="19.5" customHeight="1">
      <c r="A57" s="321"/>
      <c r="B57" s="375"/>
      <c r="C57" s="375"/>
      <c r="D57" s="376"/>
      <c r="Q57" s="311"/>
      <c r="R57" s="311"/>
      <c r="S57" s="311"/>
      <c r="T57" s="311"/>
      <c r="U57" s="311"/>
      <c r="X57" s="321"/>
      <c r="Y57" s="321"/>
      <c r="Z57" s="321"/>
      <c r="AA57" s="378"/>
      <c r="AB57" s="378"/>
      <c r="AC57" s="379"/>
      <c r="AD57" s="379"/>
      <c r="AE57" s="379"/>
      <c r="AF57" s="378"/>
      <c r="AG57" s="378"/>
      <c r="AH57" s="378"/>
    </row>
    <row r="58" spans="1:52" ht="19.5" customHeight="1">
      <c r="A58" s="321"/>
      <c r="B58" s="375"/>
      <c r="C58" s="375"/>
      <c r="D58" s="376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11"/>
      <c r="U58" s="311"/>
      <c r="X58" s="321"/>
      <c r="Y58" s="321"/>
      <c r="Z58" s="321"/>
      <c r="AA58" s="378"/>
      <c r="AB58" s="378"/>
      <c r="AC58" s="379"/>
      <c r="AD58" s="379"/>
      <c r="AE58" s="379"/>
      <c r="AF58" s="378"/>
      <c r="AG58" s="378"/>
      <c r="AH58" s="378"/>
    </row>
    <row r="59" spans="1:52" ht="19.5" customHeight="1">
      <c r="A59" s="332" t="s">
        <v>421</v>
      </c>
      <c r="B59" s="638"/>
      <c r="C59" s="375"/>
      <c r="D59" s="376"/>
      <c r="J59" s="321"/>
      <c r="K59" s="321"/>
      <c r="L59" s="321"/>
      <c r="M59" s="321"/>
      <c r="N59" s="321"/>
      <c r="O59" s="321"/>
      <c r="P59" s="321"/>
      <c r="Q59" s="325"/>
      <c r="R59" s="325"/>
      <c r="S59" s="336"/>
      <c r="T59" s="311"/>
      <c r="U59" s="311"/>
      <c r="X59" s="321"/>
      <c r="Y59" s="321"/>
      <c r="Z59" s="321"/>
      <c r="AA59" s="378"/>
      <c r="AB59" s="378"/>
      <c r="AC59" s="379"/>
      <c r="AD59" s="379"/>
      <c r="AE59" s="379"/>
      <c r="AF59" s="378"/>
      <c r="AG59" s="378"/>
      <c r="AH59" s="378"/>
    </row>
    <row r="60" spans="1:52" ht="19.5" customHeight="1">
      <c r="A60" s="332"/>
      <c r="B60" s="375"/>
      <c r="C60" s="375"/>
      <c r="D60" s="376"/>
      <c r="J60" s="336"/>
      <c r="K60" s="336"/>
      <c r="L60" s="359"/>
      <c r="M60" s="325"/>
      <c r="N60" s="325"/>
      <c r="Q60" s="311"/>
      <c r="R60" s="311"/>
      <c r="S60" s="311"/>
      <c r="T60" s="311"/>
      <c r="U60" s="311"/>
      <c r="X60" s="321"/>
      <c r="Y60" s="321"/>
      <c r="Z60" s="321"/>
      <c r="AA60" s="378"/>
      <c r="AB60" s="378"/>
      <c r="AC60" s="379"/>
      <c r="AD60" s="379"/>
      <c r="AE60" s="379"/>
      <c r="AF60" s="378"/>
      <c r="AG60" s="378"/>
      <c r="AH60" s="378"/>
    </row>
    <row r="61" spans="1:52" ht="19.5" customHeight="1">
      <c r="A61" s="906" t="s">
        <v>511</v>
      </c>
      <c r="B61" s="639"/>
      <c r="C61" s="375"/>
      <c r="D61" s="376"/>
      <c r="M61" s="518"/>
      <c r="N61" s="1672"/>
      <c r="O61" s="1672"/>
      <c r="P61" s="1672"/>
      <c r="Q61" s="1672"/>
      <c r="R61" s="1672"/>
      <c r="S61" s="1672"/>
      <c r="T61" s="840"/>
      <c r="U61" s="840"/>
      <c r="V61" s="840"/>
      <c r="W61" s="1672"/>
      <c r="X61" s="1672"/>
      <c r="Y61" s="1672"/>
      <c r="AB61" s="311"/>
      <c r="AC61" s="311"/>
      <c r="AG61" s="378"/>
      <c r="AH61" s="378"/>
      <c r="AI61" s="379"/>
      <c r="AJ61" s="379"/>
    </row>
    <row r="62" spans="1:52" ht="19.5" customHeight="1" thickBot="1">
      <c r="A62" s="332"/>
      <c r="B62" s="391" t="s">
        <v>26</v>
      </c>
      <c r="C62" s="375"/>
      <c r="D62" s="376"/>
      <c r="M62" s="437"/>
      <c r="N62" s="929"/>
      <c r="O62" s="929"/>
      <c r="P62" s="929"/>
      <c r="Q62" s="929"/>
      <c r="R62" s="929"/>
      <c r="S62" s="929"/>
      <c r="T62" s="840"/>
      <c r="U62" s="840"/>
      <c r="V62" s="840"/>
      <c r="W62" s="840"/>
      <c r="X62" s="840"/>
      <c r="Y62" s="840"/>
      <c r="AB62" s="311"/>
      <c r="AC62" s="311"/>
      <c r="AG62" s="378"/>
      <c r="AH62" s="378"/>
      <c r="AI62" s="379"/>
      <c r="AJ62" s="379"/>
    </row>
    <row r="63" spans="1:52" s="325" customFormat="1" ht="19.5" customHeight="1">
      <c r="A63" s="1633" t="s">
        <v>65</v>
      </c>
      <c r="B63" s="1653" t="s">
        <v>19</v>
      </c>
      <c r="C63" s="1692" t="s">
        <v>31</v>
      </c>
      <c r="D63" s="1692" t="s">
        <v>270</v>
      </c>
      <c r="E63" s="1633" t="s">
        <v>0</v>
      </c>
      <c r="F63" s="1692" t="s">
        <v>103</v>
      </c>
      <c r="G63" s="1694" t="s">
        <v>113</v>
      </c>
      <c r="H63" s="1695"/>
      <c r="I63" s="1653"/>
      <c r="J63" s="1673">
        <f>$C$6</f>
        <v>6</v>
      </c>
      <c r="K63" s="1674"/>
      <c r="L63" s="1675"/>
      <c r="M63" s="1673">
        <f>$D$6</f>
        <v>10</v>
      </c>
      <c r="N63" s="1674"/>
      <c r="O63" s="1675"/>
      <c r="P63" s="1673">
        <f>$E$6</f>
        <v>15</v>
      </c>
      <c r="Q63" s="1674"/>
      <c r="R63" s="1675"/>
      <c r="S63" s="1673" t="str">
        <f>$F$6</f>
        <v>6 FFF</v>
      </c>
      <c r="T63" s="1674"/>
      <c r="U63" s="1675"/>
      <c r="V63" s="1673" t="str">
        <f>$G$6</f>
        <v>10 FFF</v>
      </c>
      <c r="W63" s="1674"/>
      <c r="X63" s="1676"/>
      <c r="Y63" s="1683" t="s">
        <v>20</v>
      </c>
      <c r="Z63" s="1684"/>
      <c r="AA63" s="1685"/>
      <c r="AB63" s="441"/>
      <c r="AC63" s="345"/>
      <c r="AG63" s="436"/>
      <c r="AH63" s="436"/>
      <c r="AI63" s="436"/>
      <c r="AJ63" s="436"/>
      <c r="AK63" s="436"/>
      <c r="AL63" s="436"/>
      <c r="AP63" s="336"/>
      <c r="AQ63" s="442"/>
      <c r="AR63" s="346"/>
      <c r="AS63" s="336"/>
      <c r="AT63" s="381"/>
      <c r="AU63" s="381"/>
      <c r="AV63" s="381"/>
      <c r="AW63" s="381"/>
      <c r="AX63" s="381"/>
      <c r="AY63" s="355"/>
      <c r="AZ63" s="355"/>
    </row>
    <row r="64" spans="1:52" s="325" customFormat="1" ht="19.5" customHeight="1">
      <c r="A64" s="1634"/>
      <c r="B64" s="1654"/>
      <c r="C64" s="1682"/>
      <c r="D64" s="1682"/>
      <c r="E64" s="1634"/>
      <c r="F64" s="1682"/>
      <c r="G64" s="1696"/>
      <c r="H64" s="1697"/>
      <c r="I64" s="1654"/>
      <c r="J64" s="328" t="s">
        <v>170</v>
      </c>
      <c r="K64" s="328" t="s">
        <v>329</v>
      </c>
      <c r="L64" s="328" t="s">
        <v>20</v>
      </c>
      <c r="M64" s="328" t="s">
        <v>170</v>
      </c>
      <c r="N64" s="328" t="s">
        <v>329</v>
      </c>
      <c r="O64" s="328" t="s">
        <v>20</v>
      </c>
      <c r="P64" s="328" t="s">
        <v>170</v>
      </c>
      <c r="Q64" s="328" t="s">
        <v>329</v>
      </c>
      <c r="R64" s="328" t="s">
        <v>20</v>
      </c>
      <c r="S64" s="328" t="s">
        <v>170</v>
      </c>
      <c r="T64" s="328" t="s">
        <v>329</v>
      </c>
      <c r="U64" s="328" t="s">
        <v>20</v>
      </c>
      <c r="V64" s="328" t="s">
        <v>170</v>
      </c>
      <c r="W64" s="328" t="s">
        <v>329</v>
      </c>
      <c r="X64" s="328" t="s">
        <v>20</v>
      </c>
      <c r="Y64" s="547" t="s">
        <v>29</v>
      </c>
      <c r="Z64" s="548" t="s">
        <v>15</v>
      </c>
      <c r="AA64" s="549" t="s">
        <v>15</v>
      </c>
      <c r="AG64" s="766"/>
      <c r="AH64" s="766"/>
      <c r="AI64" s="766"/>
      <c r="AJ64" s="766"/>
      <c r="AK64" s="766"/>
      <c r="AL64" s="766"/>
      <c r="AP64" s="336"/>
      <c r="AQ64" s="442"/>
      <c r="AR64" s="337"/>
      <c r="AS64" s="336"/>
      <c r="AT64" s="345"/>
      <c r="AU64" s="345"/>
      <c r="AV64" s="351"/>
      <c r="AW64" s="345"/>
      <c r="AX64" s="345"/>
      <c r="AY64" s="355"/>
      <c r="AZ64" s="355"/>
    </row>
    <row r="65" spans="1:52" s="325" customFormat="1" ht="19.5" customHeight="1" thickBot="1">
      <c r="A65" s="1652"/>
      <c r="B65" s="1655"/>
      <c r="C65" s="1693"/>
      <c r="D65" s="1693"/>
      <c r="E65" s="1652"/>
      <c r="F65" s="1693"/>
      <c r="G65" s="354" t="s">
        <v>2</v>
      </c>
      <c r="H65" s="354" t="s">
        <v>96</v>
      </c>
      <c r="I65" s="354" t="s">
        <v>4</v>
      </c>
      <c r="J65" s="763" t="s">
        <v>331</v>
      </c>
      <c r="K65" s="763" t="s">
        <v>330</v>
      </c>
      <c r="L65" s="439" t="s">
        <v>291</v>
      </c>
      <c r="M65" s="763" t="s">
        <v>331</v>
      </c>
      <c r="N65" s="763" t="s">
        <v>330</v>
      </c>
      <c r="O65" s="439" t="s">
        <v>291</v>
      </c>
      <c r="P65" s="764" t="s">
        <v>331</v>
      </c>
      <c r="Q65" s="764" t="s">
        <v>330</v>
      </c>
      <c r="R65" s="372" t="s">
        <v>291</v>
      </c>
      <c r="S65" s="764" t="s">
        <v>331</v>
      </c>
      <c r="T65" s="764" t="s">
        <v>330</v>
      </c>
      <c r="U65" s="372" t="s">
        <v>291</v>
      </c>
      <c r="V65" s="764" t="s">
        <v>331</v>
      </c>
      <c r="W65" s="764" t="s">
        <v>330</v>
      </c>
      <c r="X65" s="372" t="s">
        <v>291</v>
      </c>
      <c r="Y65" s="550" t="s">
        <v>290</v>
      </c>
      <c r="Z65" s="551" t="s">
        <v>290</v>
      </c>
      <c r="AA65" s="549" t="s">
        <v>279</v>
      </c>
      <c r="AG65" s="766"/>
      <c r="AH65" s="766"/>
      <c r="AI65" s="766"/>
      <c r="AJ65" s="766"/>
      <c r="AK65" s="766"/>
      <c r="AL65" s="766"/>
      <c r="AP65" s="336"/>
      <c r="AQ65" s="442"/>
      <c r="AR65" s="336"/>
      <c r="AS65" s="336"/>
      <c r="AT65" s="345"/>
      <c r="AU65" s="345"/>
      <c r="AV65" s="345"/>
      <c r="AW65" s="345"/>
      <c r="AX65" s="345"/>
      <c r="AY65" s="355"/>
      <c r="AZ65" s="355"/>
    </row>
    <row r="66" spans="1:52" s="325" customFormat="1" ht="19.5" customHeight="1">
      <c r="A66" s="1638" t="str">
        <f ca="1">'Linac 1'!A$66</f>
        <v>B1</v>
      </c>
      <c r="B66" s="1006"/>
      <c r="C66" s="1623" t="s">
        <v>333</v>
      </c>
      <c r="D66" s="1625">
        <v>1</v>
      </c>
      <c r="E66" s="1625">
        <v>0</v>
      </c>
      <c r="F66" s="1627" t="s">
        <v>12</v>
      </c>
      <c r="G66" s="1627">
        <v>250</v>
      </c>
      <c r="H66" s="1627">
        <v>0</v>
      </c>
      <c r="I66" s="1627">
        <v>0</v>
      </c>
      <c r="J66" s="1656">
        <f>IF($G66=0,0,IF($F66="recht",1+($G66-$C$17)/$C$18,1+($G66-$C$17-0.301*$C$18)/$C$18))+IF($H66=0,0,IF($F66="recht",$H66/$C$19,($H66-0.301*$C$19)/$C$19))+$I66/$C$20</f>
        <v>7.4545454545454541</v>
      </c>
      <c r="K66" s="1663">
        <f>10^(-J66)</f>
        <v>3.5111917342151263E-8</v>
      </c>
      <c r="L66" s="1656">
        <f>($C$7*$C$11*$E66/$D66/$D66*K66*1000000)</f>
        <v>0</v>
      </c>
      <c r="M66" s="1656">
        <f>IF($G66=0,0,IF($F$66="recht",1+($G66-$D$17)/$D$18,1+($G66-$D$17-0.301*$D$18)/$D$18))+IF($H66=0,0,IF($F66="recht",$H66/$D$19,($H66-0.301*$D$19)/$D$19))+$I66/$D$20</f>
        <v>6.6486486486486482</v>
      </c>
      <c r="N66" s="1663">
        <f>10^(-M66)</f>
        <v>2.2456979955397711E-7</v>
      </c>
      <c r="O66" s="1656">
        <f>($C$7*$D$11*$E66/$D66/$D66*N66*1000000)</f>
        <v>0</v>
      </c>
      <c r="P66" s="1656">
        <f>IF($G$66=0,0,IF($F66="recht",1+($G66-$E$17)/$E$18,1+($G66-$E$17-0.301*$E$18)/$E$18))+IF($H66=0,0,IF($F66="recht",$H66/$E$19,($H66-0.301*$E$19)/$E$19))+$I66/$E$20</f>
        <v>6.024390243902439</v>
      </c>
      <c r="Q66" s="1663">
        <f>10^(-P66)</f>
        <v>9.4538728313079291E-7</v>
      </c>
      <c r="R66" s="1656">
        <f>($C$7*$E$11*$E66/$D66/$D66*Q66*1000000)</f>
        <v>0</v>
      </c>
      <c r="S66" s="1656">
        <f>IF($G66=0,0,IF($F66="recht",1+($G66-$F$17)/$F$18,1+($G66-$F$17-0.301*$F$18)/$F$18))+IF($H66=0,0,IF($F66="recht",$H66/$F$19,($H66-0.301*$F$19)/$F$19))+$I66/$F$20</f>
        <v>9.1481481481481488</v>
      </c>
      <c r="T66" s="1663">
        <f>10^(-S66)</f>
        <v>7.1097094323124171E-10</v>
      </c>
      <c r="U66" s="1656">
        <f>($C$7*$F$11*$E66/$D66/$D66*T66*1000000)</f>
        <v>0</v>
      </c>
      <c r="V66" s="1656">
        <f>IF($G66=0,0,IF($F66="recht",1+($G66-$G$17)/$G$18,1+($G66-$G$17-0.301*$G$18)/$G$18))+IF($H66=0,0,IF($F66="recht",$H66/$G$19,($H66-0.301*$G$19)/$G$19))+$I66/$G$20</f>
        <v>6.9444444444444446</v>
      </c>
      <c r="W66" s="1663">
        <f>10^(-V66)</f>
        <v>1.136463666385722E-7</v>
      </c>
      <c r="X66" s="1677">
        <f>($C$7*$G$11*$E66/$D66/$D66*W66*1000000)</f>
        <v>0</v>
      </c>
      <c r="Y66" s="1679">
        <f>SUM(L66,O66,R66,U66,X66)</f>
        <v>0</v>
      </c>
      <c r="Z66" s="1179">
        <f>SUM(Y66:Y68)</f>
        <v>1.4937465351460337E-2</v>
      </c>
      <c r="AA66" s="552">
        <f>Z66*52/1000</f>
        <v>7.7674819827593751E-4</v>
      </c>
      <c r="AG66" s="428"/>
      <c r="AI66" s="428"/>
      <c r="AJ66" s="428"/>
      <c r="AK66" s="428"/>
      <c r="AL66" s="428"/>
      <c r="AP66" s="336"/>
      <c r="AQ66" s="442"/>
      <c r="AR66" s="336"/>
      <c r="AS66" s="336"/>
      <c r="AT66" s="345"/>
      <c r="AU66" s="345"/>
      <c r="AV66" s="345"/>
      <c r="AW66" s="345"/>
      <c r="AX66" s="345"/>
      <c r="AY66" s="355"/>
      <c r="AZ66" s="355"/>
    </row>
    <row r="67" spans="1:52" s="325" customFormat="1" ht="19.5" customHeight="1">
      <c r="A67" s="1639"/>
      <c r="B67" s="1130" t="s">
        <v>26</v>
      </c>
      <c r="C67" s="1624"/>
      <c r="D67" s="1626"/>
      <c r="E67" s="1626"/>
      <c r="F67" s="1628"/>
      <c r="G67" s="1628"/>
      <c r="H67" s="1628"/>
      <c r="I67" s="1628"/>
      <c r="J67" s="1659"/>
      <c r="K67" s="1662"/>
      <c r="L67" s="1657"/>
      <c r="M67" s="1657"/>
      <c r="N67" s="1662"/>
      <c r="O67" s="1657"/>
      <c r="P67" s="1657"/>
      <c r="Q67" s="1662"/>
      <c r="R67" s="1657"/>
      <c r="S67" s="1657"/>
      <c r="T67" s="1662"/>
      <c r="U67" s="1657"/>
      <c r="V67" s="1657"/>
      <c r="W67" s="1662"/>
      <c r="X67" s="1678"/>
      <c r="Y67" s="1680"/>
      <c r="Z67" s="553"/>
      <c r="AA67" s="554"/>
      <c r="AG67" s="428"/>
      <c r="AI67" s="428"/>
      <c r="AJ67" s="428"/>
      <c r="AK67" s="428"/>
      <c r="AL67" s="428"/>
      <c r="AP67" s="336"/>
      <c r="AQ67" s="442"/>
      <c r="AR67" s="336"/>
      <c r="AS67" s="336"/>
      <c r="AT67" s="345"/>
      <c r="AU67" s="345"/>
      <c r="AV67" s="345"/>
      <c r="AW67" s="345"/>
      <c r="AX67" s="345"/>
      <c r="AY67" s="355"/>
      <c r="AZ67" s="355"/>
    </row>
    <row r="68" spans="1:52" s="325" customFormat="1" ht="19.5" customHeight="1">
      <c r="A68" s="1639"/>
      <c r="B68" s="1007" t="str">
        <f ca="1">'Linac 1'!C$3</f>
        <v>Linac 1</v>
      </c>
      <c r="C68" s="1687" t="s">
        <v>334</v>
      </c>
      <c r="D68" s="1626">
        <v>5</v>
      </c>
      <c r="E68" s="1854">
        <v>1</v>
      </c>
      <c r="F68" s="1628"/>
      <c r="G68" s="1628"/>
      <c r="H68" s="1628"/>
      <c r="I68" s="1628"/>
      <c r="J68" s="1658">
        <f>IF($G66=0,0,IF($F66="recht",$G66/$C$24,($G66-0.301*$C$24)/$C$24))+IF($H66=0,0,IF($F66="recht",$H66/$C$25,($H66-0.301*$C$25)/$C$25))+$I66/$C$26</f>
        <v>7.3529411764705879</v>
      </c>
      <c r="K68" s="1661">
        <f>10^(-J68)</f>
        <v>4.4366873309786093E-8</v>
      </c>
      <c r="L68" s="1658">
        <f>($C$7*$C$8*$C$11*($C$12+$C$13*$C$14)*$E68/$D68/$D68*K68*1000000)</f>
        <v>1.0648049594348663E-3</v>
      </c>
      <c r="M68" s="1658">
        <f>IF($G66=0,0,IF($F66="recht",$G66/$D$24,($G66-0.301*$D$24)/$D$24))+IF($H66=0,0,IF($F66="recht",$H66/$D$25,($H66-0.301*$D$25)/$D$25))+$I66/$D$26</f>
        <v>6.5789473684210522</v>
      </c>
      <c r="N68" s="1661">
        <f>10^(-M68)</f>
        <v>2.636650898730358E-7</v>
      </c>
      <c r="O68" s="1658">
        <f>($C$7*$C$8*$D$11*($D$12+$D$13*$D$14)*$E68/$D68/$D68*N68*1000000)</f>
        <v>6.3279621569528599E-3</v>
      </c>
      <c r="P68" s="1658">
        <f>IF($G$66=0,0,IF($F66="recht",$G66/$E$24,($G66-0.301*$E$24)/$E$24))+IF($H66=0,0,IF($F66="recht",$H66/$E$25,($H66-0.301*$E$25)/$E$25))+$I66/$E$26*1</f>
        <v>6.5616797900262469</v>
      </c>
      <c r="Q68" s="1661">
        <f>10^(-P68)</f>
        <v>2.7435963093132793E-7</v>
      </c>
      <c r="R68" s="1658">
        <f>($C$7*$C$8*$E$11*($E$12+$E$13*$E$14)*$E68/$D68/$D68*Q68*1000000)</f>
        <v>6.5846311423518713E-3</v>
      </c>
      <c r="S68" s="1658">
        <f>IF($G66=0,0,IF($F66="recht",$G66/$F$24,($G66-0.301*$F$24)/$F$24))+IF($H66=0,0,IF($F66="recht",$H66/$F$25,($H66-0.301*$F$25)/$F$25))+$I66/$F$26</f>
        <v>8.1967213114754092</v>
      </c>
      <c r="T68" s="1661">
        <f>10^(-S68)</f>
        <v>6.3573875711648393E-9</v>
      </c>
      <c r="U68" s="1658">
        <f>($C$7*$C$8*$F$11*($F$12+$F$13*$F$14)*$E68/$D68/$D68*T68*1000000)</f>
        <v>8.6460470967841829E-5</v>
      </c>
      <c r="V68" s="1658">
        <f>IF($G66=0,0,IF($F66="recht",$G66/$G$24,($G66-0.301*$G$24)/$G$24))+IF($H66=0,0,IF($F66="recht",$H66/$G$25,($H66-0.301*$G$25)/$G$25))+$I66/$G$26</f>
        <v>7.0224719101123592</v>
      </c>
      <c r="W68" s="1661">
        <f>10^(-V68)</f>
        <v>9.4957241494880226E-8</v>
      </c>
      <c r="X68" s="1664">
        <f>($C$7*$C$8*$G$11*($G$12+$G$13*$G$14)*$E68/$D68/$D68*W68*1000000)</f>
        <v>8.7360662175289805E-4</v>
      </c>
      <c r="Y68" s="1666">
        <f>SUM(L68,O68,R68,U68,X68)</f>
        <v>1.4937465351460337E-2</v>
      </c>
      <c r="Z68" s="555"/>
      <c r="AA68" s="556"/>
      <c r="AG68" s="428"/>
      <c r="AH68" s="428"/>
      <c r="AI68" s="428"/>
      <c r="AJ68" s="428"/>
      <c r="AK68" s="428"/>
      <c r="AL68" s="428"/>
      <c r="AP68" s="336"/>
      <c r="AQ68" s="442"/>
      <c r="AR68" s="336"/>
      <c r="AS68" s="336"/>
      <c r="AT68" s="345"/>
      <c r="AU68" s="345"/>
      <c r="AV68" s="345"/>
      <c r="AW68" s="345"/>
      <c r="AX68" s="345"/>
      <c r="AY68" s="355"/>
      <c r="AZ68" s="355"/>
    </row>
    <row r="69" spans="1:52" s="325" customFormat="1" ht="19.5" customHeight="1" thickBot="1">
      <c r="A69" s="1640"/>
      <c r="B69" s="1009"/>
      <c r="C69" s="1688"/>
      <c r="D69" s="1689"/>
      <c r="E69" s="1855"/>
      <c r="F69" s="1629"/>
      <c r="G69" s="1629"/>
      <c r="H69" s="1629"/>
      <c r="I69" s="1629"/>
      <c r="J69" s="1660"/>
      <c r="K69" s="1662"/>
      <c r="L69" s="1657"/>
      <c r="M69" s="1659"/>
      <c r="N69" s="1662"/>
      <c r="O69" s="1657"/>
      <c r="P69" s="1660"/>
      <c r="Q69" s="1668"/>
      <c r="R69" s="1660"/>
      <c r="S69" s="1660"/>
      <c r="T69" s="1668"/>
      <c r="U69" s="1660"/>
      <c r="V69" s="1660"/>
      <c r="W69" s="1668"/>
      <c r="X69" s="1665"/>
      <c r="Y69" s="1667"/>
      <c r="Z69" s="557"/>
      <c r="AA69" s="558"/>
      <c r="AG69" s="428"/>
      <c r="AH69" s="428"/>
      <c r="AI69" s="428"/>
      <c r="AJ69" s="428"/>
      <c r="AK69" s="428"/>
      <c r="AL69" s="428"/>
      <c r="AP69" s="336"/>
      <c r="AQ69" s="442"/>
      <c r="AR69" s="336"/>
      <c r="AS69" s="336"/>
      <c r="AT69" s="345"/>
      <c r="AU69" s="345"/>
      <c r="AV69" s="345"/>
      <c r="AW69" s="345"/>
      <c r="AX69" s="345"/>
      <c r="AY69" s="355"/>
      <c r="AZ69" s="355"/>
    </row>
    <row r="70" spans="1:52" s="325" customFormat="1" ht="19.5" customHeight="1">
      <c r="A70" s="1638" t="str">
        <f ca="1">'Linac 2'!A$70</f>
        <v>B2</v>
      </c>
      <c r="B70" s="1008"/>
      <c r="C70" s="1623" t="s">
        <v>333</v>
      </c>
      <c r="D70" s="1625">
        <v>1</v>
      </c>
      <c r="E70" s="1625">
        <v>0</v>
      </c>
      <c r="F70" s="1627" t="s">
        <v>12</v>
      </c>
      <c r="G70" s="1627">
        <v>250</v>
      </c>
      <c r="H70" s="1627">
        <v>0</v>
      </c>
      <c r="I70" s="1627">
        <v>0</v>
      </c>
      <c r="J70" s="1656">
        <f>IF($G70=0,0,IF($F70="recht",1+($G70-$C$17)/$C$18,1+($G70-$C$17-0.301*$C$18)/$C$18))+IF($H70=0,0,IF($F70="recht",$H70/$C$19,($H70-0.301*$C$19)/$C$19))+$I70/$C$20</f>
        <v>7.4545454545454541</v>
      </c>
      <c r="K70" s="1663">
        <f>10^(-J70)</f>
        <v>3.5111917342151263E-8</v>
      </c>
      <c r="L70" s="1656">
        <f>($C$7*$C$11*$E70/$D70/$D70*K70*1000000)</f>
        <v>0</v>
      </c>
      <c r="M70" s="1656">
        <f>IF($G70=0,0,IF($F$70="recht",1+($G70-$D$17)/$D$18,1+($G70-$D$17-0.301*$D$18)/$D$18))+IF($H70=0,0,IF($F70="recht",$H70/$D$19,($H70-0.301*$D$19)/$D$19))+$I70/$D$20</f>
        <v>6.6486486486486482</v>
      </c>
      <c r="N70" s="1663">
        <f>10^(-M70)</f>
        <v>2.2456979955397711E-7</v>
      </c>
      <c r="O70" s="1656">
        <f>($C$7*$D$11*$E70/$D70/$D70*N70*1000000)</f>
        <v>0</v>
      </c>
      <c r="P70" s="1656">
        <f>IF($G$70=0,0,IF($F70="recht",1+($G70-$E$17)/$E$18,1+($G70-$E$17-0.301*$E$18)/$E$18))+IF($H70=0,0,IF($F70="recht",$H70/$E$19,($H70-0.301*$E$19)/$E$19))+$I70/$E$20</f>
        <v>6.024390243902439</v>
      </c>
      <c r="Q70" s="1663">
        <f>10^(-P70)</f>
        <v>9.4538728313079291E-7</v>
      </c>
      <c r="R70" s="1656">
        <f>($C$7*$E$11*$E70/$D70/$D70*Q70*1000000)</f>
        <v>0</v>
      </c>
      <c r="S70" s="1656">
        <f>IF($G70=0,0,IF($F70="recht",1+($G70-$F$17)/$F$18,1+($G70-$F$17-0.301*$F$18)/$F$18))+IF($H70=0,0,IF($F70="recht",$H70/$F$19,($H70-0.301*$F$19)/$F$19))+$I70/$F$20</f>
        <v>9.1481481481481488</v>
      </c>
      <c r="T70" s="1663">
        <f>10^(-S70)</f>
        <v>7.1097094323124171E-10</v>
      </c>
      <c r="U70" s="1656">
        <f>($C$7*$F$11*$E70/$D70/$D70*T70*1000000)</f>
        <v>0</v>
      </c>
      <c r="V70" s="1656">
        <f>IF($G70=0,0,IF($F70="recht",1+($G70-$G$17)/$G$18,1+($G70-$G$17-0.301*$G$18)/$G$18))+IF($H70=0,0,IF($F70="recht",$H70/$G$19,($H70-0.301*$G$19)/$G$19))+$I70/$G$20</f>
        <v>6.9444444444444446</v>
      </c>
      <c r="W70" s="1663">
        <f>10^(-V70)</f>
        <v>1.136463666385722E-7</v>
      </c>
      <c r="X70" s="1677">
        <f>($C$7*$G$11*$E70/$D70/$D70*W70*1000000)</f>
        <v>0</v>
      </c>
      <c r="Y70" s="1679">
        <f>SUM(L70,O70,R70,U70,X70)</f>
        <v>0</v>
      </c>
      <c r="Z70" s="1179">
        <f>SUM(Y70:Y72)</f>
        <v>1.4937465351460337E-2</v>
      </c>
      <c r="AA70" s="552">
        <f>Z70*52/1000</f>
        <v>7.7674819827593751E-4</v>
      </c>
      <c r="AG70" s="428"/>
      <c r="AI70" s="428"/>
      <c r="AJ70" s="428"/>
      <c r="AK70" s="428"/>
      <c r="AL70" s="428"/>
      <c r="AP70" s="336"/>
      <c r="AQ70" s="442"/>
      <c r="AR70" s="336"/>
      <c r="AS70" s="336"/>
      <c r="AT70" s="345"/>
      <c r="AU70" s="345"/>
      <c r="AV70" s="345"/>
      <c r="AW70" s="345"/>
      <c r="AX70" s="345"/>
      <c r="AY70" s="355"/>
      <c r="AZ70" s="355"/>
    </row>
    <row r="71" spans="1:52" s="325" customFormat="1" ht="19.5" customHeight="1">
      <c r="A71" s="1639"/>
      <c r="B71" s="1008" t="s">
        <v>26</v>
      </c>
      <c r="C71" s="1624"/>
      <c r="D71" s="1626"/>
      <c r="E71" s="1626"/>
      <c r="F71" s="1628"/>
      <c r="G71" s="1628"/>
      <c r="H71" s="1628"/>
      <c r="I71" s="1628"/>
      <c r="J71" s="1659"/>
      <c r="K71" s="1662"/>
      <c r="L71" s="1657"/>
      <c r="M71" s="1657"/>
      <c r="N71" s="1662"/>
      <c r="O71" s="1657"/>
      <c r="P71" s="1657"/>
      <c r="Q71" s="1662"/>
      <c r="R71" s="1657"/>
      <c r="S71" s="1657"/>
      <c r="T71" s="1662"/>
      <c r="U71" s="1657"/>
      <c r="V71" s="1657"/>
      <c r="W71" s="1662"/>
      <c r="X71" s="1678"/>
      <c r="Y71" s="1686"/>
      <c r="Z71" s="553"/>
      <c r="AA71" s="554"/>
      <c r="AG71" s="428"/>
      <c r="AI71" s="428"/>
      <c r="AJ71" s="428"/>
      <c r="AK71" s="428"/>
      <c r="AL71" s="428"/>
      <c r="AP71" s="336"/>
      <c r="AQ71" s="442"/>
      <c r="AR71" s="336"/>
      <c r="AS71" s="336"/>
      <c r="AT71" s="345"/>
      <c r="AU71" s="345"/>
      <c r="AV71" s="345"/>
      <c r="AW71" s="345"/>
      <c r="AX71" s="345"/>
      <c r="AY71" s="355"/>
      <c r="AZ71" s="355"/>
    </row>
    <row r="72" spans="1:52" s="325" customFormat="1" ht="19.5" customHeight="1">
      <c r="A72" s="1639"/>
      <c r="B72" s="1008" t="str">
        <f ca="1">'Linac 2'!C$3</f>
        <v>Linac 2</v>
      </c>
      <c r="C72" s="1687" t="s">
        <v>334</v>
      </c>
      <c r="D72" s="1626">
        <v>5</v>
      </c>
      <c r="E72" s="1854">
        <v>1</v>
      </c>
      <c r="F72" s="1628"/>
      <c r="G72" s="1628"/>
      <c r="H72" s="1628"/>
      <c r="I72" s="1628"/>
      <c r="J72" s="1658">
        <f>IF($G70=0,0,IF($F70="recht",$G70/$C$24,($G70-0.301*$C$24)/$C$24))+IF($H70=0,0,IF($F70="recht",$H70/$C$25,($H70-0.301*$C$25)/$C$25))+$I70/$C$26</f>
        <v>7.3529411764705879</v>
      </c>
      <c r="K72" s="1661">
        <f>10^(-J72)</f>
        <v>4.4366873309786093E-8</v>
      </c>
      <c r="L72" s="1658">
        <f>($C$7*$C$8*$C$11*($C$12+$C$13*$C$14)*$E72/$D72/$D72*K72*1000000)</f>
        <v>1.0648049594348663E-3</v>
      </c>
      <c r="M72" s="1658">
        <f>IF($G70=0,0,IF($F70="recht",$G70/$D$24,($G70-0.301*$D$24)/$D$24))+IF($H70=0,0,IF($F70="recht",$H70/$D$25,($H70-0.301*$D$25)/$D$25))+$I70/$D$26</f>
        <v>6.5789473684210522</v>
      </c>
      <c r="N72" s="1661">
        <f>10^(-M72)</f>
        <v>2.636650898730358E-7</v>
      </c>
      <c r="O72" s="1658">
        <f>($C$7*$C$8*$D$11*($D$12+$D$13*$D$14)*$E72/$D72/$D72*N72*1000000)</f>
        <v>6.3279621569528599E-3</v>
      </c>
      <c r="P72" s="1658">
        <f>IF($G$70=0,0,IF($F70="recht",$G70/$E$24,($G70-0.301*$E$24)/$E$24))+IF($H70=0,0,IF($F70="recht",$H70/$E$25,($H70-0.301*$E$25)/$E$25))+$I70/$E$26*1</f>
        <v>6.5616797900262469</v>
      </c>
      <c r="Q72" s="1661">
        <f>10^(-P72)</f>
        <v>2.7435963093132793E-7</v>
      </c>
      <c r="R72" s="1658">
        <f>($C$7*$C$8*$E$11*($E$12+$E$13*$E$14)*$E72/$D72/$D72*Q72*1000000)</f>
        <v>6.5846311423518713E-3</v>
      </c>
      <c r="S72" s="1658">
        <f>IF($G70=0,0,IF($F70="recht",$G70/$F$24,($G70-0.301*$F$24)/$F$24))+IF($H70=0,0,IF($F70="recht",$H70/$F$25,($H70-0.301*$F$25)/$F$25))+$I70/$F$26</f>
        <v>8.1967213114754092</v>
      </c>
      <c r="T72" s="1661">
        <f>10^(-S72)</f>
        <v>6.3573875711648393E-9</v>
      </c>
      <c r="U72" s="1658">
        <f>($C$7*$C$8*$F$11*($F$12+$F$13*$F$14)*$E72/$D72/$D72*T72*1000000)</f>
        <v>8.6460470967841829E-5</v>
      </c>
      <c r="V72" s="1658">
        <f>IF($G70=0,0,IF($F70="recht",$G70/$G$24,($G70-0.301*$G$24)/$G$24))+IF($H70=0,0,IF($F70="recht",$H70/$G$25,($H70-0.301*$G$25)/$G$25))+$I70/$G$26</f>
        <v>7.0224719101123592</v>
      </c>
      <c r="W72" s="1661">
        <f>10^(-V72)</f>
        <v>9.4957241494880226E-8</v>
      </c>
      <c r="X72" s="1664">
        <f>($C$7*$C$8*$G$11*($G$12+$G$13*$G$14)*$E72/$D72/$D72*W72*1000000)</f>
        <v>8.7360662175289805E-4</v>
      </c>
      <c r="Y72" s="1680">
        <f>SUM(L72,O72,R72,U72,X72)</f>
        <v>1.4937465351460337E-2</v>
      </c>
      <c r="Z72" s="555"/>
      <c r="AA72" s="556"/>
      <c r="AG72" s="428"/>
      <c r="AH72" s="428"/>
      <c r="AI72" s="428"/>
      <c r="AJ72" s="428"/>
      <c r="AK72" s="428"/>
      <c r="AL72" s="428"/>
      <c r="AP72" s="336"/>
      <c r="AQ72" s="442"/>
      <c r="AR72" s="336"/>
      <c r="AS72" s="336"/>
      <c r="AT72" s="345"/>
      <c r="AU72" s="345"/>
      <c r="AV72" s="345"/>
      <c r="AW72" s="345"/>
      <c r="AX72" s="345"/>
      <c r="AY72" s="355"/>
      <c r="AZ72" s="355"/>
    </row>
    <row r="73" spans="1:52" s="325" customFormat="1" ht="19.5" customHeight="1" thickBot="1">
      <c r="A73" s="1640"/>
      <c r="B73" s="1008"/>
      <c r="C73" s="1688"/>
      <c r="D73" s="1689"/>
      <c r="E73" s="1855"/>
      <c r="F73" s="1629"/>
      <c r="G73" s="1629"/>
      <c r="H73" s="1629"/>
      <c r="I73" s="1629"/>
      <c r="J73" s="1660"/>
      <c r="K73" s="1662"/>
      <c r="L73" s="1657"/>
      <c r="M73" s="1659"/>
      <c r="N73" s="1662"/>
      <c r="O73" s="1657"/>
      <c r="P73" s="1660"/>
      <c r="Q73" s="1668"/>
      <c r="R73" s="1660"/>
      <c r="S73" s="1660"/>
      <c r="T73" s="1668"/>
      <c r="U73" s="1660"/>
      <c r="V73" s="1660"/>
      <c r="W73" s="1668"/>
      <c r="X73" s="1665"/>
      <c r="Y73" s="1667"/>
      <c r="Z73" s="557"/>
      <c r="AA73" s="558"/>
      <c r="AG73" s="428"/>
      <c r="AH73" s="428"/>
      <c r="AI73" s="428"/>
      <c r="AJ73" s="428"/>
      <c r="AK73" s="428"/>
      <c r="AL73" s="428"/>
      <c r="AP73" s="336"/>
      <c r="AQ73" s="442"/>
      <c r="AR73" s="336"/>
      <c r="AS73" s="336"/>
      <c r="AT73" s="345"/>
      <c r="AU73" s="345"/>
      <c r="AV73" s="345"/>
      <c r="AW73" s="345"/>
      <c r="AX73" s="345"/>
      <c r="AY73" s="355"/>
      <c r="AZ73" s="355"/>
    </row>
    <row r="74" spans="1:52" s="325" customFormat="1" ht="19.5" customHeight="1">
      <c r="A74" s="1638" t="str">
        <f ca="1">'Linac 3'!A$74</f>
        <v>B3</v>
      </c>
      <c r="B74" s="1011"/>
      <c r="C74" s="1623" t="s">
        <v>333</v>
      </c>
      <c r="D74" s="1625">
        <v>1</v>
      </c>
      <c r="E74" s="1625">
        <v>0</v>
      </c>
      <c r="F74" s="1627" t="s">
        <v>12</v>
      </c>
      <c r="G74" s="1627">
        <v>250</v>
      </c>
      <c r="H74" s="1627">
        <v>0</v>
      </c>
      <c r="I74" s="1627">
        <v>0</v>
      </c>
      <c r="J74" s="1656">
        <f>IF($G74=0,0,IF($F74="recht",1+($G74-$C$17)/$C$18,1+($G74-$C$17-0.301*$C$18)/$C$18))+IF($H74=0,0,IF($F74="recht",$H74/$C$19,($H74-0.301*$C$19)/$C$19))+$I74/$C$20</f>
        <v>7.4545454545454541</v>
      </c>
      <c r="K74" s="1663">
        <f>10^(-J74)</f>
        <v>3.5111917342151263E-8</v>
      </c>
      <c r="L74" s="1656">
        <f>($C$7*$C$11*$E74/$D74/$D74*K74*1000000)</f>
        <v>0</v>
      </c>
      <c r="M74" s="1656">
        <f>IF($G74=0,0,IF($F$74="recht",1+($G74-$D$17)/$D$18,1+($G74-$D$17-0.301*$D$18)/$D$18))+IF($H74=0,0,IF($F74="recht",$H74/$D$19,($H74-0.301*$D$19)/$D$19))+$I74/$D$20</f>
        <v>6.6486486486486482</v>
      </c>
      <c r="N74" s="1663">
        <f>10^(-M74)</f>
        <v>2.2456979955397711E-7</v>
      </c>
      <c r="O74" s="1656">
        <f>($C$7*$D$11*$E74/$D74/$D74*N74*1000000)</f>
        <v>0</v>
      </c>
      <c r="P74" s="1656">
        <f>IF($G$74=0,0,IF($F74="recht",1+($G74-$E$17)/$E$18,1+($G74-$E$17-0.301*$E$18)/$E$18))+IF($H74=0,0,IF($F74="recht",$H74/$E$19,($H74-0.301*$E$19)/$E$19))+$I74/$E$20</f>
        <v>6.024390243902439</v>
      </c>
      <c r="Q74" s="1663">
        <f>10^(-P74)</f>
        <v>9.4538728313079291E-7</v>
      </c>
      <c r="R74" s="1656">
        <f>($C$7*$E$11*$E74/$D74/$D74*Q74*1000000)</f>
        <v>0</v>
      </c>
      <c r="S74" s="1656">
        <f>IF($G74=0,0,IF($F74="recht",1+($G74-$F$17)/$F$18,1+($G74-$F$17-0.301*$F$18)/$F$18))+IF($H74=0,0,IF($F74="recht",$H74/$F$19,($H74-0.301*$F$19)/$F$19))+$I74/$F$20</f>
        <v>9.1481481481481488</v>
      </c>
      <c r="T74" s="1699">
        <f>10^(-S74)</f>
        <v>7.1097094323124171E-10</v>
      </c>
      <c r="U74" s="1659">
        <f>($C$7*$F$11*$E74/$D74/$D74*T74*1000000)</f>
        <v>0</v>
      </c>
      <c r="V74" s="1656">
        <f>IF($G74=0,0,IF($F74="recht",1+($G74-$G$17)/$G$18,1+($G74-$G$17-0.301*$G$18)/$G$18))+IF($H74=0,0,IF($F74="recht",$H74/$G$19,($H74-0.301*$G$19)/$G$19))+$I74/$G$20</f>
        <v>6.9444444444444446</v>
      </c>
      <c r="W74" s="1699">
        <f>10^(-V74)</f>
        <v>1.136463666385722E-7</v>
      </c>
      <c r="X74" s="1698">
        <f>($C$7*$G$11*$E74/$D74/$D74*W74*1000000)</f>
        <v>0</v>
      </c>
      <c r="Y74" s="1679">
        <f>SUM(L74,O74,R74,U74,X74)</f>
        <v>0</v>
      </c>
      <c r="Z74" s="1179">
        <f>SUM(Y74:Y76)</f>
        <v>1.4937465351460337E-2</v>
      </c>
      <c r="AA74" s="552">
        <f>Z74*52/1000</f>
        <v>7.7674819827593751E-4</v>
      </c>
      <c r="AG74" s="428"/>
      <c r="AI74" s="428"/>
      <c r="AJ74" s="428"/>
      <c r="AK74" s="428"/>
      <c r="AL74" s="428"/>
      <c r="AP74" s="336"/>
      <c r="AQ74" s="442"/>
      <c r="AR74" s="336"/>
      <c r="AS74" s="336"/>
      <c r="AT74" s="345"/>
      <c r="AU74" s="345"/>
      <c r="AV74" s="345"/>
      <c r="AW74" s="345"/>
      <c r="AX74" s="345"/>
      <c r="AY74" s="355"/>
      <c r="AZ74" s="355"/>
    </row>
    <row r="75" spans="1:52" s="325" customFormat="1" ht="19.5" customHeight="1">
      <c r="A75" s="1639"/>
      <c r="B75" s="1010" t="s">
        <v>26</v>
      </c>
      <c r="C75" s="1624"/>
      <c r="D75" s="1626"/>
      <c r="E75" s="1626"/>
      <c r="F75" s="1628"/>
      <c r="G75" s="1628"/>
      <c r="H75" s="1628"/>
      <c r="I75" s="1628"/>
      <c r="J75" s="1659"/>
      <c r="K75" s="1662"/>
      <c r="L75" s="1657"/>
      <c r="M75" s="1657"/>
      <c r="N75" s="1662"/>
      <c r="O75" s="1657"/>
      <c r="P75" s="1657"/>
      <c r="Q75" s="1662"/>
      <c r="R75" s="1657"/>
      <c r="S75" s="1657"/>
      <c r="T75" s="1662"/>
      <c r="U75" s="1657"/>
      <c r="V75" s="1657"/>
      <c r="W75" s="1662"/>
      <c r="X75" s="1678"/>
      <c r="Y75" s="1680"/>
      <c r="Z75" s="553"/>
      <c r="AA75" s="554"/>
      <c r="AG75" s="428"/>
      <c r="AI75" s="428"/>
      <c r="AJ75" s="428"/>
      <c r="AK75" s="428"/>
      <c r="AL75" s="428"/>
      <c r="AP75" s="336"/>
      <c r="AQ75" s="442"/>
      <c r="AR75" s="336"/>
      <c r="AS75" s="336"/>
      <c r="AT75" s="345"/>
      <c r="AU75" s="345"/>
      <c r="AV75" s="345"/>
      <c r="AW75" s="345"/>
      <c r="AX75" s="345"/>
      <c r="AY75" s="355"/>
      <c r="AZ75" s="355"/>
    </row>
    <row r="76" spans="1:52" s="325" customFormat="1" ht="19.5" customHeight="1">
      <c r="A76" s="1639"/>
      <c r="B76" s="1008" t="str">
        <f ca="1">'Linac 3'!C$3</f>
        <v>Linac 3</v>
      </c>
      <c r="C76" s="1687" t="s">
        <v>334</v>
      </c>
      <c r="D76" s="1626">
        <v>5</v>
      </c>
      <c r="E76" s="1854">
        <v>1</v>
      </c>
      <c r="F76" s="1628"/>
      <c r="G76" s="1628"/>
      <c r="H76" s="1628"/>
      <c r="I76" s="1628"/>
      <c r="J76" s="1658">
        <f>IF($G74=0,0,IF($F74="recht",$G74/$C$24,($G74-0.301*$C$24)/$C$24))+IF($H74=0,0,IF($F74="recht",$H74/$C$25,($H74-0.301*$C$25)/$C$25))+$I74/$C$26</f>
        <v>7.3529411764705879</v>
      </c>
      <c r="K76" s="1661">
        <f>10^(-J76)</f>
        <v>4.4366873309786093E-8</v>
      </c>
      <c r="L76" s="1658">
        <f>($C$7*$C$8*$C$11*($C$12+$C$13*$C$14)*$E76/$D76/$D76*K76*1000000)</f>
        <v>1.0648049594348663E-3</v>
      </c>
      <c r="M76" s="1658">
        <f>IF($G74=0,0,IF($F74="recht",$G74/$D$24,($G74-0.301*$D$24)/$D$24))+IF($H74=0,0,IF($F74="recht",$H74/$D$25,($H74-0.301*$D$25)/$D$25))+$I74/$D$26</f>
        <v>6.5789473684210522</v>
      </c>
      <c r="N76" s="1661">
        <f>10^(-M76)</f>
        <v>2.636650898730358E-7</v>
      </c>
      <c r="O76" s="1658">
        <f>($C$7*$C$8*$D$11*($D$12+$D$13*$D$14)*$E76/$D76/$D76*N76*1000000)</f>
        <v>6.3279621569528599E-3</v>
      </c>
      <c r="P76" s="1658">
        <f>IF($G$74=0,0,IF($F74="recht",$G74/$E$24,($G74-0.301*$E$24)/$E$24))+IF($H74=0,0,IF($F74="recht",$H74/$E$25,($H74-0.301*$E$25)/$E$25))+$I74/$E$26*1</f>
        <v>6.5616797900262469</v>
      </c>
      <c r="Q76" s="1661">
        <f>10^(-P76)</f>
        <v>2.7435963093132793E-7</v>
      </c>
      <c r="R76" s="1658">
        <f>($C$7*$C$8*$E$11*($E$12+$E$13*$E$14)*$E76/$D76/$D76*Q76*1000000)</f>
        <v>6.5846311423518713E-3</v>
      </c>
      <c r="S76" s="1658">
        <f>IF($G74=0,0,IF($F74="recht",$G74/$F$24,($G74-0.301*$F$24)/$F$24))+IF($H74=0,0,IF($F74="recht",$H74/$F$25,($H74-0.301*$F$25)/$F$25))+$I74/$F$26</f>
        <v>8.1967213114754092</v>
      </c>
      <c r="T76" s="1661">
        <f>10^(-S76)</f>
        <v>6.3573875711648393E-9</v>
      </c>
      <c r="U76" s="1658">
        <f>($C$7*$C$8*$F$11*($F$12+$F$13*$F$14)*$E76/$D76/$D76*T76*1000000)</f>
        <v>8.6460470967841829E-5</v>
      </c>
      <c r="V76" s="1658">
        <f>IF($G74=0,0,IF($F74="recht",$G74/$G$24,($G74-0.301*$G$24)/$G$24))+IF($H74=0,0,IF($F74="recht",$H74/$G$25,($H74-0.301*$G$25)/$G$25))+$I74/$G$26</f>
        <v>7.0224719101123592</v>
      </c>
      <c r="W76" s="1661">
        <f>10^(-V76)</f>
        <v>9.4957241494880226E-8</v>
      </c>
      <c r="X76" s="1664">
        <f>($C$7*$C$8*$G$11*($G$12+$G$13*$G$14)*$E76/$D76/$D76*W76*1000000)</f>
        <v>8.7360662175289805E-4</v>
      </c>
      <c r="Y76" s="1666">
        <f>SUM(L76,O76,R76,U76,X76)</f>
        <v>1.4937465351460337E-2</v>
      </c>
      <c r="Z76" s="555"/>
      <c r="AA76" s="556"/>
      <c r="AG76" s="428"/>
      <c r="AH76" s="428"/>
      <c r="AI76" s="428"/>
      <c r="AJ76" s="428"/>
      <c r="AK76" s="428"/>
      <c r="AL76" s="428"/>
      <c r="AP76" s="336"/>
      <c r="AQ76" s="442"/>
      <c r="AR76" s="336"/>
      <c r="AS76" s="336"/>
      <c r="AT76" s="345"/>
      <c r="AU76" s="345"/>
      <c r="AV76" s="345"/>
      <c r="AW76" s="345"/>
      <c r="AX76" s="345"/>
      <c r="AY76" s="355"/>
      <c r="AZ76" s="355"/>
    </row>
    <row r="77" spans="1:52" s="325" customFormat="1" ht="19.5" customHeight="1" thickBot="1">
      <c r="A77" s="1640"/>
      <c r="B77" s="1009"/>
      <c r="C77" s="1688"/>
      <c r="D77" s="1689"/>
      <c r="E77" s="1855"/>
      <c r="F77" s="1629"/>
      <c r="G77" s="1629"/>
      <c r="H77" s="1629"/>
      <c r="I77" s="1629"/>
      <c r="J77" s="1660"/>
      <c r="K77" s="1662"/>
      <c r="L77" s="1657"/>
      <c r="M77" s="1659"/>
      <c r="N77" s="1662"/>
      <c r="O77" s="1657"/>
      <c r="P77" s="1660"/>
      <c r="Q77" s="1668"/>
      <c r="R77" s="1660"/>
      <c r="S77" s="1660"/>
      <c r="T77" s="1699"/>
      <c r="U77" s="1659"/>
      <c r="V77" s="1660"/>
      <c r="W77" s="1699"/>
      <c r="X77" s="1698"/>
      <c r="Y77" s="1667"/>
      <c r="Z77" s="557"/>
      <c r="AA77" s="558"/>
      <c r="AG77" s="428"/>
      <c r="AH77" s="428"/>
      <c r="AI77" s="428"/>
      <c r="AJ77" s="428"/>
      <c r="AK77" s="428"/>
      <c r="AL77" s="428"/>
      <c r="AP77" s="336"/>
      <c r="AQ77" s="442"/>
      <c r="AR77" s="336"/>
      <c r="AS77" s="336"/>
      <c r="AT77" s="345"/>
      <c r="AU77" s="345"/>
      <c r="AV77" s="345"/>
      <c r="AW77" s="345"/>
      <c r="AX77" s="345"/>
      <c r="AY77" s="355"/>
      <c r="AZ77" s="355"/>
    </row>
    <row r="78" spans="1:52" s="325" customFormat="1" ht="19.5" customHeight="1">
      <c r="A78" s="1856" t="s">
        <v>301</v>
      </c>
      <c r="B78" s="1008"/>
      <c r="C78" s="1623" t="s">
        <v>333</v>
      </c>
      <c r="D78" s="1625">
        <v>6</v>
      </c>
      <c r="E78" s="1625">
        <v>0</v>
      </c>
      <c r="F78" s="1627" t="s">
        <v>12</v>
      </c>
      <c r="G78" s="1627">
        <v>250</v>
      </c>
      <c r="H78" s="1627">
        <v>0</v>
      </c>
      <c r="I78" s="1627">
        <v>0</v>
      </c>
      <c r="J78" s="1656">
        <f>IF($G78=0,0,IF($F78="recht",1+($G78-$C$17)/$C$18,1+($G78-$C$17-0.301*$C$18)/$C$18))+IF($H78=0,0,IF($F78="recht",$H78/$C$19,($H78-0.301*$C$19)/$C$19))+$I78/$C$20</f>
        <v>7.4545454545454541</v>
      </c>
      <c r="K78" s="1663">
        <f>10^(-J78)</f>
        <v>3.5111917342151263E-8</v>
      </c>
      <c r="L78" s="1656">
        <f>($C$7*$C$11*$E78/$D78/$D78*K78*1000000)</f>
        <v>0</v>
      </c>
      <c r="M78" s="1656">
        <f>IF($G78=0,0,IF($F$78="recht",1+($G78-$D$17)/$D$18,1+($G78-$D$17-0.301*$D$18)/$D$18))+IF($H78=0,0,IF($F78="recht",$H78/$D$19,($H78-0.301*$D$19)/$D$19))+$I78/$D$20</f>
        <v>6.6486486486486482</v>
      </c>
      <c r="N78" s="1663">
        <f>10^(-M78)</f>
        <v>2.2456979955397711E-7</v>
      </c>
      <c r="O78" s="1656">
        <f>($C$7*$D$11*$E78/$D78/$D78*N78*1000000)</f>
        <v>0</v>
      </c>
      <c r="P78" s="1656">
        <f>IF($G$78=0,0,IF($F78="recht",1+($G78-$E$17)/$E$18,1+($G78-$E$17-0.301*$E$18)/$E$18))+IF($H78=0,0,IF($F78="recht",$H78/$E$19,($H78-0.301*$E$19)/$E$19))+$I78/$E$20</f>
        <v>6.024390243902439</v>
      </c>
      <c r="Q78" s="1663">
        <f>10^(-P78)</f>
        <v>9.4538728313079291E-7</v>
      </c>
      <c r="R78" s="1656">
        <f>($C$7*$E$11*$E78/$D78/$D78*Q78*1000000)</f>
        <v>0</v>
      </c>
      <c r="S78" s="1656">
        <f>IF($G78=0,0,IF($F78="recht",1+($G78-$F$17)/$F$18,1+($G78-$F$17-0.301*$F$18)/$F$18))+IF($H78=0,0,IF($F78="recht",$H78/$F$19,($H78-0.301*$F$19)/$F$19))+$I78/$F$20</f>
        <v>9.1481481481481488</v>
      </c>
      <c r="T78" s="1663">
        <f>10^(-S78)</f>
        <v>7.1097094323124171E-10</v>
      </c>
      <c r="U78" s="1656">
        <f>($C$7*$F$11*$E78/$D78/$D78*T78*1000000)</f>
        <v>0</v>
      </c>
      <c r="V78" s="1656">
        <f>IF($G78=0,0,IF($F78="recht",1+($G78-$G$17)/$G$18,1+($G78-$G$17-0.301*$G$18)/$G$18))+IF($H78=0,0,IF($F78="recht",$H78/$G$19,($H78-0.301*$G$19)/$G$19))+$I78/$G$20</f>
        <v>6.9444444444444446</v>
      </c>
      <c r="W78" s="1663">
        <f>10^(-V78)</f>
        <v>1.136463666385722E-7</v>
      </c>
      <c r="X78" s="1677">
        <f>($C$7*$G$11*$E78/$D78/$D78*W78*1000000)</f>
        <v>0</v>
      </c>
      <c r="Y78" s="1679">
        <f>SUM(L78,O78,R78,U78,X78)</f>
        <v>0</v>
      </c>
      <c r="Z78" s="1179">
        <f>SUM(Y78:Y80)</f>
        <v>1.4937465351460337E-2</v>
      </c>
      <c r="AA78" s="552">
        <f>Z78*52/1000</f>
        <v>7.7674819827593751E-4</v>
      </c>
      <c r="AG78" s="428"/>
      <c r="AI78" s="428"/>
      <c r="AJ78" s="428"/>
      <c r="AK78" s="428"/>
      <c r="AL78" s="428"/>
      <c r="AP78" s="336"/>
      <c r="AQ78" s="442"/>
      <c r="AR78" s="336"/>
      <c r="AS78" s="336"/>
      <c r="AT78" s="345"/>
      <c r="AU78" s="345"/>
      <c r="AV78" s="345"/>
      <c r="AW78" s="345"/>
      <c r="AX78" s="345"/>
      <c r="AY78" s="355"/>
      <c r="AZ78" s="355"/>
    </row>
    <row r="79" spans="1:52" s="325" customFormat="1" ht="19.5" customHeight="1">
      <c r="A79" s="1857"/>
      <c r="B79" s="1008" t="s">
        <v>26</v>
      </c>
      <c r="C79" s="1624"/>
      <c r="D79" s="1626"/>
      <c r="E79" s="1626"/>
      <c r="F79" s="1628"/>
      <c r="G79" s="1628"/>
      <c r="H79" s="1628"/>
      <c r="I79" s="1628"/>
      <c r="J79" s="1659"/>
      <c r="K79" s="1662"/>
      <c r="L79" s="1657"/>
      <c r="M79" s="1657"/>
      <c r="N79" s="1662"/>
      <c r="O79" s="1657"/>
      <c r="P79" s="1657"/>
      <c r="Q79" s="1662"/>
      <c r="R79" s="1657"/>
      <c r="S79" s="1657"/>
      <c r="T79" s="1662"/>
      <c r="U79" s="1657"/>
      <c r="V79" s="1657"/>
      <c r="W79" s="1662"/>
      <c r="X79" s="1678"/>
      <c r="Y79" s="1686"/>
      <c r="Z79" s="553"/>
      <c r="AA79" s="554"/>
      <c r="AG79" s="428"/>
      <c r="AI79" s="428"/>
      <c r="AJ79" s="428"/>
      <c r="AK79" s="428"/>
      <c r="AL79" s="428"/>
      <c r="AP79" s="336"/>
      <c r="AQ79" s="442"/>
      <c r="AR79" s="336"/>
      <c r="AS79" s="336"/>
      <c r="AT79" s="345"/>
      <c r="AU79" s="345"/>
      <c r="AV79" s="345"/>
      <c r="AW79" s="345"/>
      <c r="AX79" s="345"/>
      <c r="AY79" s="355"/>
      <c r="AZ79" s="355"/>
    </row>
    <row r="80" spans="1:52" s="325" customFormat="1" ht="19.5" customHeight="1">
      <c r="A80" s="1857"/>
      <c r="B80" s="1008" t="str">
        <f>C$3</f>
        <v>Linac 4</v>
      </c>
      <c r="C80" s="1687" t="s">
        <v>334</v>
      </c>
      <c r="D80" s="1626">
        <v>5</v>
      </c>
      <c r="E80" s="1854">
        <v>1</v>
      </c>
      <c r="F80" s="1628"/>
      <c r="G80" s="1628"/>
      <c r="H80" s="1628"/>
      <c r="I80" s="1628"/>
      <c r="J80" s="1658">
        <f>IF($G78=0,0,IF($F78="recht",$G78/$C$24,($G78-0.301*$C$24)/$C$24))+IF($H78=0,0,IF($F78="recht",$H78/$C$25,($H78-0.301*$C$25)/$C$25))+$I78/$C$26</f>
        <v>7.3529411764705879</v>
      </c>
      <c r="K80" s="1661">
        <f>10^(-J80)</f>
        <v>4.4366873309786093E-8</v>
      </c>
      <c r="L80" s="1658">
        <f>($C$7*$C$8*$C$11*($C$12+$C$13*$C$14)*$E80/$D80/$D80*K80*1000000)</f>
        <v>1.0648049594348663E-3</v>
      </c>
      <c r="M80" s="1658">
        <f>IF($G78=0,0,IF($F78="recht",$G78/$D$24,($G78-0.301*$D$24)/$D$24))+IF($H78=0,0,IF($F78="recht",$H78/$D$25,($H78-0.301*$D$25)/$D$25))+$I78/$D$26</f>
        <v>6.5789473684210522</v>
      </c>
      <c r="N80" s="1661">
        <f>10^(-M80)</f>
        <v>2.636650898730358E-7</v>
      </c>
      <c r="O80" s="1658">
        <f>($C$7*$C$8*$D$11*($D$12+$D$13*$D$14)*$E80/$D80/$D80*N80*1000000)</f>
        <v>6.3279621569528599E-3</v>
      </c>
      <c r="P80" s="1658">
        <f>IF($G$78=0,0,IF($F78="recht",$G78/$E$24,($G78-0.301*$E$24)/$E$24))+IF($H78=0,0,IF($F78="recht",$H78/$E$25,($H78-0.301*$E$25)/$E$25))+$I78/$E$26*1</f>
        <v>6.5616797900262469</v>
      </c>
      <c r="Q80" s="1661">
        <f>10^(-P80)</f>
        <v>2.7435963093132793E-7</v>
      </c>
      <c r="R80" s="1658">
        <f>($C$7*$C$8*$E$11*($E$12+$E$13*$E$14)*$E80/$D80/$D80*Q80*1000000)</f>
        <v>6.5846311423518713E-3</v>
      </c>
      <c r="S80" s="1658">
        <f>IF($G78=0,0,IF($F78="recht",$G78/$F$24,($G78-0.301*$F$24)/$F$24))+IF($H78=0,0,IF($F78="recht",$H78/$F$25,($H78-0.301*$F$25)/$F$25))+$I78/$F$26</f>
        <v>8.1967213114754092</v>
      </c>
      <c r="T80" s="1661">
        <f>10^(-S80)</f>
        <v>6.3573875711648393E-9</v>
      </c>
      <c r="U80" s="1658">
        <f>($C$7*$C$8*$F$11*($F$12+$F$13*$F$14)*$E80/$D80/$D80*T80*1000000)</f>
        <v>8.6460470967841829E-5</v>
      </c>
      <c r="V80" s="1658">
        <f>IF($G78=0,0,IF($F78="recht",$G78/$G$24,($G78-0.301*$G$24)/$G$24))+IF($H78=0,0,IF($F78="recht",$H78/$G$25,($H78-0.301*$G$25)/$G$25))+$I78/$G$26</f>
        <v>7.0224719101123592</v>
      </c>
      <c r="W80" s="1661">
        <f>10^(-V80)</f>
        <v>9.4957241494880226E-8</v>
      </c>
      <c r="X80" s="1664">
        <f>($C$7*$C$8*$G$11*($G$12+$G$13*$G$14)*$E80/$D80/$D80*W80*1000000)</f>
        <v>8.7360662175289805E-4</v>
      </c>
      <c r="Y80" s="1680">
        <f>SUM(L80,O80,R80,U80,X80)</f>
        <v>1.4937465351460337E-2</v>
      </c>
      <c r="Z80" s="555"/>
      <c r="AA80" s="556"/>
      <c r="AG80" s="428"/>
      <c r="AH80" s="428"/>
      <c r="AI80" s="428"/>
      <c r="AJ80" s="428"/>
      <c r="AK80" s="428"/>
      <c r="AL80" s="428"/>
      <c r="AP80" s="336"/>
      <c r="AQ80" s="442"/>
      <c r="AR80" s="336"/>
      <c r="AS80" s="336"/>
      <c r="AT80" s="345"/>
      <c r="AU80" s="345"/>
      <c r="AV80" s="345"/>
      <c r="AW80" s="345"/>
      <c r="AX80" s="345"/>
      <c r="AY80" s="355"/>
      <c r="AZ80" s="355"/>
    </row>
    <row r="81" spans="1:62" s="325" customFormat="1" ht="19.5" customHeight="1" thickBot="1">
      <c r="A81" s="1858"/>
      <c r="B81" s="1013"/>
      <c r="C81" s="1688"/>
      <c r="D81" s="1689"/>
      <c r="E81" s="1855"/>
      <c r="F81" s="1629"/>
      <c r="G81" s="1629"/>
      <c r="H81" s="1629"/>
      <c r="I81" s="1629"/>
      <c r="J81" s="1660"/>
      <c r="K81" s="1668"/>
      <c r="L81" s="1660"/>
      <c r="M81" s="1660"/>
      <c r="N81" s="1668"/>
      <c r="O81" s="1660"/>
      <c r="P81" s="1660"/>
      <c r="Q81" s="1668"/>
      <c r="R81" s="1660"/>
      <c r="S81" s="1660"/>
      <c r="T81" s="1668"/>
      <c r="U81" s="1660"/>
      <c r="V81" s="1660"/>
      <c r="W81" s="1668"/>
      <c r="X81" s="1665"/>
      <c r="Y81" s="1667"/>
      <c r="Z81" s="557"/>
      <c r="AA81" s="558"/>
      <c r="AG81" s="428"/>
      <c r="AH81" s="428"/>
      <c r="AI81" s="428"/>
      <c r="AJ81" s="428"/>
      <c r="AK81" s="428"/>
      <c r="AL81" s="428"/>
      <c r="AP81" s="336"/>
      <c r="AQ81" s="442"/>
      <c r="AR81" s="336"/>
      <c r="AS81" s="336"/>
      <c r="AT81" s="345"/>
      <c r="AU81" s="345"/>
      <c r="AV81" s="345"/>
      <c r="AW81" s="345"/>
      <c r="AX81" s="345"/>
      <c r="AY81" s="355"/>
      <c r="AZ81" s="355"/>
    </row>
    <row r="82" spans="1:62" s="345" customFormat="1" ht="19.5" customHeight="1">
      <c r="A82" s="336"/>
      <c r="B82" s="336"/>
      <c r="C82" s="499"/>
      <c r="D82" s="895"/>
      <c r="E82" s="895"/>
      <c r="F82" s="895"/>
      <c r="G82" s="895"/>
      <c r="H82" s="895"/>
      <c r="I82" s="895"/>
      <c r="J82" s="896"/>
      <c r="K82" s="897"/>
      <c r="L82" s="896"/>
      <c r="M82" s="896"/>
      <c r="N82" s="897"/>
      <c r="O82" s="896"/>
      <c r="P82" s="896"/>
      <c r="Q82" s="897"/>
      <c r="R82" s="896"/>
      <c r="S82" s="896"/>
      <c r="T82" s="897"/>
      <c r="U82" s="896"/>
      <c r="V82" s="896"/>
      <c r="W82" s="897"/>
      <c r="X82" s="896"/>
      <c r="Y82" s="896"/>
      <c r="Z82" s="338"/>
      <c r="AA82" s="338"/>
      <c r="AG82" s="428"/>
      <c r="AH82" s="428"/>
      <c r="AI82" s="428"/>
      <c r="AJ82" s="428"/>
      <c r="AK82" s="428"/>
      <c r="AL82" s="428"/>
      <c r="AP82" s="336"/>
      <c r="AQ82" s="442"/>
      <c r="AR82" s="336"/>
      <c r="AS82" s="336"/>
      <c r="AY82" s="355"/>
      <c r="AZ82" s="355"/>
    </row>
    <row r="83" spans="1:62" s="325" customFormat="1" ht="19.5" customHeight="1">
      <c r="A83" s="336"/>
      <c r="B83" s="336"/>
      <c r="C83" s="442"/>
      <c r="D83" s="442"/>
      <c r="E83" s="762"/>
      <c r="F83" s="966"/>
      <c r="G83" s="967"/>
      <c r="H83" s="967"/>
      <c r="I83" s="966"/>
      <c r="J83" s="966"/>
      <c r="K83" s="966"/>
      <c r="L83" s="968"/>
      <c r="M83" s="968"/>
      <c r="N83" s="908"/>
      <c r="O83" s="908"/>
      <c r="P83" s="908"/>
      <c r="Q83" s="908"/>
      <c r="R83" s="428"/>
      <c r="S83" s="384"/>
      <c r="T83" s="336"/>
      <c r="U83" s="336"/>
      <c r="V83" s="311"/>
      <c r="W83" s="311"/>
      <c r="X83" s="336"/>
      <c r="Y83" s="442"/>
      <c r="Z83" s="336"/>
      <c r="AA83" s="336"/>
      <c r="AB83" s="345"/>
      <c r="AC83" s="345"/>
      <c r="AD83" s="345"/>
      <c r="AE83" s="345"/>
      <c r="AF83" s="345"/>
    </row>
    <row r="84" spans="1:62" ht="19.5" customHeight="1">
      <c r="A84" s="903" t="s">
        <v>512</v>
      </c>
      <c r="B84" s="894"/>
      <c r="C84" s="375"/>
      <c r="D84" s="376"/>
      <c r="L84" s="377"/>
      <c r="M84" s="377"/>
      <c r="S84" s="380"/>
      <c r="V84" s="331"/>
      <c r="W84" s="331"/>
      <c r="X84" s="331"/>
      <c r="Y84" s="331"/>
      <c r="Z84" s="331"/>
      <c r="AB84" s="440"/>
      <c r="AC84" s="311"/>
      <c r="AD84" s="311"/>
      <c r="AE84" s="311"/>
      <c r="AF84" s="311"/>
      <c r="AJ84" s="378"/>
      <c r="AK84" s="378"/>
      <c r="AL84" s="379"/>
      <c r="AM84" s="379"/>
      <c r="AN84" s="379"/>
      <c r="AO84" s="378"/>
      <c r="AP84" s="378"/>
      <c r="AQ84" s="378"/>
    </row>
    <row r="85" spans="1:62" ht="19.5" customHeight="1">
      <c r="A85" s="907"/>
      <c r="B85" s="391" t="s">
        <v>533</v>
      </c>
      <c r="C85" s="375"/>
      <c r="D85" s="376"/>
      <c r="L85" s="377"/>
      <c r="M85" s="377"/>
      <c r="S85" s="380"/>
      <c r="V85" s="331"/>
      <c r="W85" s="331"/>
      <c r="X85" s="331"/>
      <c r="Y85" s="331"/>
      <c r="Z85" s="331"/>
      <c r="AB85" s="440"/>
      <c r="AC85" s="311"/>
      <c r="AD85" s="311"/>
      <c r="AE85" s="311"/>
      <c r="AF85" s="311"/>
      <c r="AJ85" s="378"/>
      <c r="AK85" s="378"/>
      <c r="AL85" s="379"/>
      <c r="AM85" s="379"/>
      <c r="AN85" s="379"/>
      <c r="AO85" s="378"/>
      <c r="AP85" s="378"/>
      <c r="AQ85" s="378"/>
    </row>
    <row r="86" spans="1:62" ht="19.5" customHeight="1">
      <c r="A86" s="907"/>
      <c r="B86" s="1340" t="s">
        <v>577</v>
      </c>
      <c r="C86" s="1341"/>
      <c r="D86" s="1342">
        <v>5</v>
      </c>
      <c r="L86" s="377"/>
      <c r="M86" s="377"/>
      <c r="S86" s="380"/>
      <c r="V86" s="331"/>
      <c r="W86" s="331"/>
      <c r="X86" s="331"/>
      <c r="Y86" s="331"/>
      <c r="Z86" s="331"/>
      <c r="AB86" s="440"/>
      <c r="AC86" s="311"/>
      <c r="AD86" s="311"/>
      <c r="AE86" s="311"/>
      <c r="AF86" s="311"/>
      <c r="AJ86" s="378"/>
      <c r="AK86" s="378"/>
      <c r="AL86" s="379"/>
      <c r="AM86" s="379"/>
      <c r="AN86" s="379"/>
      <c r="AO86" s="378"/>
      <c r="AP86" s="378"/>
      <c r="AQ86" s="378"/>
    </row>
    <row r="87" spans="1:62" ht="19.5" customHeight="1" thickBot="1">
      <c r="A87" s="907"/>
      <c r="B87" s="1340" t="s">
        <v>578</v>
      </c>
      <c r="C87" s="1341"/>
      <c r="D87" s="1342">
        <v>5</v>
      </c>
      <c r="L87" s="377"/>
      <c r="M87" s="377"/>
      <c r="S87" s="380"/>
      <c r="V87" s="331"/>
      <c r="W87" s="331"/>
      <c r="X87" s="331"/>
      <c r="Y87" s="331"/>
      <c r="Z87" s="331"/>
      <c r="AB87" s="440"/>
      <c r="AC87" s="311"/>
      <c r="AD87" s="311"/>
      <c r="AE87" s="311"/>
      <c r="AF87" s="311"/>
      <c r="AJ87" s="378"/>
      <c r="AK87" s="378"/>
      <c r="AL87" s="379"/>
      <c r="AM87" s="379"/>
      <c r="AN87" s="379"/>
      <c r="AO87" s="378"/>
      <c r="AP87" s="378"/>
      <c r="AQ87" s="378"/>
    </row>
    <row r="88" spans="1:62" s="325" customFormat="1" ht="19.5" customHeight="1">
      <c r="A88" s="1633" t="s">
        <v>65</v>
      </c>
      <c r="B88" s="1700" t="s">
        <v>19</v>
      </c>
      <c r="C88" s="1692" t="s">
        <v>31</v>
      </c>
      <c r="D88" s="1692" t="s">
        <v>270</v>
      </c>
      <c r="E88" s="1633" t="s">
        <v>0</v>
      </c>
      <c r="F88" s="1692" t="s">
        <v>103</v>
      </c>
      <c r="G88" s="1721" t="s">
        <v>113</v>
      </c>
      <c r="H88" s="1722"/>
      <c r="I88" s="1723"/>
      <c r="J88" s="1721" t="s">
        <v>570</v>
      </c>
      <c r="K88" s="1722"/>
      <c r="L88" s="1723"/>
      <c r="M88" s="1673">
        <f>$C$6</f>
        <v>6</v>
      </c>
      <c r="N88" s="1674"/>
      <c r="O88" s="1675"/>
      <c r="P88" s="1673">
        <f>$D$6</f>
        <v>10</v>
      </c>
      <c r="Q88" s="1674"/>
      <c r="R88" s="1675"/>
      <c r="S88" s="1673">
        <f>$E$6</f>
        <v>15</v>
      </c>
      <c r="T88" s="1674"/>
      <c r="U88" s="1675"/>
      <c r="V88" s="1673" t="str">
        <f>$F$6</f>
        <v>6 FFF</v>
      </c>
      <c r="W88" s="1674"/>
      <c r="X88" s="1675"/>
      <c r="Y88" s="1673" t="str">
        <f>$G$6</f>
        <v>10 FFF</v>
      </c>
      <c r="Z88" s="1674"/>
      <c r="AA88" s="1675"/>
      <c r="AB88" s="1643" t="s">
        <v>20</v>
      </c>
      <c r="AC88" s="1644"/>
      <c r="AD88" s="1645"/>
      <c r="AE88" s="533"/>
      <c r="AF88" s="336"/>
      <c r="AG88" s="345"/>
      <c r="AH88" s="345"/>
      <c r="AI88" s="345"/>
      <c r="AJ88" s="345"/>
      <c r="AK88" s="345"/>
    </row>
    <row r="89" spans="1:62" s="325" customFormat="1" ht="19.5" customHeight="1">
      <c r="A89" s="1634"/>
      <c r="B89" s="1701"/>
      <c r="C89" s="1682"/>
      <c r="D89" s="1682"/>
      <c r="E89" s="1634"/>
      <c r="F89" s="1682"/>
      <c r="G89" s="311"/>
      <c r="H89" s="336"/>
      <c r="I89" s="327"/>
      <c r="M89" s="328" t="s">
        <v>170</v>
      </c>
      <c r="N89" s="328" t="s">
        <v>329</v>
      </c>
      <c r="O89" s="328" t="s">
        <v>20</v>
      </c>
      <c r="P89" s="328" t="s">
        <v>170</v>
      </c>
      <c r="Q89" s="328" t="s">
        <v>329</v>
      </c>
      <c r="R89" s="328" t="s">
        <v>20</v>
      </c>
      <c r="S89" s="328" t="s">
        <v>170</v>
      </c>
      <c r="T89" s="328" t="s">
        <v>329</v>
      </c>
      <c r="U89" s="328" t="s">
        <v>20</v>
      </c>
      <c r="V89" s="328" t="s">
        <v>170</v>
      </c>
      <c r="W89" s="328" t="s">
        <v>329</v>
      </c>
      <c r="X89" s="328" t="s">
        <v>20</v>
      </c>
      <c r="Y89" s="328" t="s">
        <v>170</v>
      </c>
      <c r="Z89" s="328" t="s">
        <v>329</v>
      </c>
      <c r="AA89" s="328" t="s">
        <v>20</v>
      </c>
      <c r="AB89" s="444"/>
      <c r="AC89" s="1641" t="s">
        <v>579</v>
      </c>
      <c r="AD89" s="1848"/>
      <c r="AE89" s="444"/>
      <c r="AF89" s="336"/>
      <c r="AG89" s="345"/>
      <c r="AH89" s="345"/>
      <c r="AI89" s="345"/>
      <c r="AJ89" s="345"/>
      <c r="AK89" s="345"/>
    </row>
    <row r="90" spans="1:62" s="325" customFormat="1" ht="19.5" customHeight="1" thickBot="1">
      <c r="A90" s="1634"/>
      <c r="B90" s="386"/>
      <c r="C90" s="1682"/>
      <c r="D90" s="1682"/>
      <c r="E90" s="1634"/>
      <c r="F90" s="1682"/>
      <c r="G90" s="513" t="s">
        <v>2</v>
      </c>
      <c r="H90" s="454" t="s">
        <v>96</v>
      </c>
      <c r="I90" s="424" t="s">
        <v>4</v>
      </c>
      <c r="J90" s="454" t="s">
        <v>4</v>
      </c>
      <c r="K90" s="764" t="s">
        <v>27</v>
      </c>
      <c r="L90" s="428" t="s">
        <v>52</v>
      </c>
      <c r="M90" s="763" t="s">
        <v>331</v>
      </c>
      <c r="N90" s="763" t="s">
        <v>330</v>
      </c>
      <c r="O90" s="439" t="s">
        <v>291</v>
      </c>
      <c r="P90" s="763" t="s">
        <v>331</v>
      </c>
      <c r="Q90" s="763" t="s">
        <v>330</v>
      </c>
      <c r="R90" s="439" t="s">
        <v>291</v>
      </c>
      <c r="S90" s="764" t="s">
        <v>331</v>
      </c>
      <c r="T90" s="764" t="s">
        <v>330</v>
      </c>
      <c r="U90" s="372" t="s">
        <v>291</v>
      </c>
      <c r="V90" s="764" t="s">
        <v>331</v>
      </c>
      <c r="W90" s="764" t="s">
        <v>330</v>
      </c>
      <c r="X90" s="372" t="s">
        <v>291</v>
      </c>
      <c r="Y90" s="764" t="s">
        <v>331</v>
      </c>
      <c r="Z90" s="764" t="s">
        <v>330</v>
      </c>
      <c r="AA90" s="372" t="s">
        <v>291</v>
      </c>
      <c r="AB90" s="1348" t="s">
        <v>291</v>
      </c>
      <c r="AC90" s="1349" t="s">
        <v>574</v>
      </c>
      <c r="AD90" s="941" t="s">
        <v>279</v>
      </c>
      <c r="AE90" s="1043"/>
      <c r="AF90" s="336"/>
      <c r="AG90" s="345"/>
      <c r="AH90" s="345"/>
      <c r="AI90" s="345"/>
      <c r="AJ90" s="345"/>
      <c r="AK90" s="345"/>
    </row>
    <row r="91" spans="1:62" s="325" customFormat="1" ht="19.5" customHeight="1">
      <c r="A91" s="1638" t="str">
        <f ca="1">'Linac 1'!A$91</f>
        <v>L1</v>
      </c>
      <c r="B91" s="1011"/>
      <c r="C91" s="1623" t="s">
        <v>333</v>
      </c>
      <c r="D91" s="1627">
        <v>1</v>
      </c>
      <c r="E91" s="1627">
        <v>0</v>
      </c>
      <c r="F91" s="1627" t="s">
        <v>12</v>
      </c>
      <c r="G91" s="1627">
        <v>250</v>
      </c>
      <c r="H91" s="1627">
        <v>0</v>
      </c>
      <c r="I91" s="1627">
        <v>0</v>
      </c>
      <c r="J91" s="1765"/>
      <c r="K91" s="1765"/>
      <c r="L91" s="1768"/>
      <c r="M91" s="1656">
        <f>IF($G91=0,0,IF($F91="recht",1+($G91-$C$17)/$C$18,1+($G91-$C$17-0.301*$C$18)/$C$18))+IF($H91=0,0,IF($F91="recht",$H91/$C$19,($H91-0.301*$C$19)/$C$19))+$I91/$C$20</f>
        <v>7.4545454545454541</v>
      </c>
      <c r="N91" s="1663">
        <f>10^(-M91)</f>
        <v>3.5111917342151263E-8</v>
      </c>
      <c r="O91" s="1656">
        <f>($C$7*$C$11*$E91/$D91/$D91*N91*1000000)</f>
        <v>0</v>
      </c>
      <c r="P91" s="1656">
        <f>IF($G91=0,0,IF($F91="recht",1+($G91-$D$17)/$D$18,1+($G91-$D$17-0.301*$D$18)/$D$18))+IF($H91=0,0,IF($F91="recht",$H91/$D$19,($H91-0.301*$D$19)/$D$19))+$I91/$D$20</f>
        <v>6.6486486486486482</v>
      </c>
      <c r="Q91" s="1663">
        <f>10^(-P91)</f>
        <v>2.2456979955397711E-7</v>
      </c>
      <c r="R91" s="1656">
        <f>($C$7*$D$11*$E91/$D91/$D91*Q91*1000000)</f>
        <v>0</v>
      </c>
      <c r="S91" s="1656">
        <f>IF($G91=0,0,IF($F91="recht",1+($G91-$E$17)/$E$18,1+($G91-$E$17-0.301*$E$18)/$E$18))+IF($H91=0,0,IF($F91="recht",$H91/$E$19,($H91-0.301*$E$19)/$E$19))+$I91/$E$20</f>
        <v>6.024390243902439</v>
      </c>
      <c r="T91" s="1663">
        <f>10^(-S91)</f>
        <v>9.4538728313079291E-7</v>
      </c>
      <c r="U91" s="1656">
        <f>($C$7*$E$11*$E91/$D91/$D91*T91*1000000)</f>
        <v>0</v>
      </c>
      <c r="V91" s="1656">
        <f>IF($G91=0,0,IF($F91="recht",1+($G91-$F$17)/$F$18,1+($G91-$F$17-0.301*$F$18)/$F$18))+IF($H91=0,0,IF($F91="recht",$H91/$F$19,($H91-0.301*$F$19)/$F$19))+$I91/$F$20</f>
        <v>9.1481481481481488</v>
      </c>
      <c r="W91" s="1661">
        <f>10^(-V91)</f>
        <v>7.1097094323124171E-10</v>
      </c>
      <c r="X91" s="1658">
        <f>($C$7*$F$11*$E91/$D91/$D91*W91*1000000)</f>
        <v>0</v>
      </c>
      <c r="Y91" s="1656">
        <f>IF($G91=0,0,IF($F91="recht",1+($G91-$G$17)/$G$18,1+($G91-$G$17-0.301*$G$18)/$G$18))+IF($H91=0,0,IF($F91="recht",$H91/$G$19,($H91-0.301*$G$19)/$G$19))+$I91/$G$20</f>
        <v>6.9444444444444446</v>
      </c>
      <c r="Z91" s="1661">
        <f>10^(-Y91)</f>
        <v>1.136463666385722E-7</v>
      </c>
      <c r="AA91" s="1658">
        <f>($C$7*$G$11*$E91/$D91/$D91*Z91*1000000)</f>
        <v>0</v>
      </c>
      <c r="AB91" s="1708">
        <f>SUM(O91,R91,U91,X91,AA91)</f>
        <v>0</v>
      </c>
      <c r="AC91" s="1180">
        <f>SUM(AB91:AB94)*$D$86/2400/1000</f>
        <v>7.7799298705522589E-7</v>
      </c>
      <c r="AD91" s="942">
        <f>AC91*$D$87</f>
        <v>3.8899649352761298E-6</v>
      </c>
      <c r="AE91" s="1233"/>
      <c r="AF91" s="336"/>
      <c r="AG91" s="345"/>
      <c r="AH91" s="345"/>
      <c r="AI91" s="345"/>
      <c r="AJ91" s="345"/>
      <c r="AK91" s="345"/>
      <c r="AL91" s="345"/>
      <c r="AM91" s="345"/>
      <c r="AN91" s="345"/>
      <c r="AO91" s="345"/>
      <c r="AP91" s="345"/>
      <c r="AQ91" s="345"/>
      <c r="AR91" s="345"/>
      <c r="AS91" s="345"/>
      <c r="AT91" s="345"/>
      <c r="AU91" s="345"/>
      <c r="AV91" s="345"/>
      <c r="AW91" s="345"/>
      <c r="AX91" s="345"/>
      <c r="AY91" s="345"/>
      <c r="AZ91" s="345"/>
      <c r="BA91" s="345"/>
      <c r="BB91" s="345"/>
      <c r="BC91" s="345"/>
      <c r="BD91" s="345"/>
      <c r="BE91" s="345"/>
      <c r="BF91" s="345"/>
      <c r="BG91" s="345"/>
      <c r="BH91" s="345"/>
      <c r="BI91" s="345"/>
      <c r="BJ91" s="345"/>
    </row>
    <row r="92" spans="1:62" s="325" customFormat="1" ht="19.5" customHeight="1">
      <c r="A92" s="1639"/>
      <c r="B92" s="1010" t="s">
        <v>168</v>
      </c>
      <c r="C92" s="1624"/>
      <c r="D92" s="1720"/>
      <c r="E92" s="1720"/>
      <c r="F92" s="1628"/>
      <c r="G92" s="1628"/>
      <c r="H92" s="1628"/>
      <c r="I92" s="1628"/>
      <c r="J92" s="1766"/>
      <c r="K92" s="1766"/>
      <c r="L92" s="1769"/>
      <c r="M92" s="1659"/>
      <c r="N92" s="1662"/>
      <c r="O92" s="1657"/>
      <c r="P92" s="1657"/>
      <c r="Q92" s="1662"/>
      <c r="R92" s="1657"/>
      <c r="S92" s="1657"/>
      <c r="T92" s="1662"/>
      <c r="U92" s="1657"/>
      <c r="V92" s="1657"/>
      <c r="W92" s="1662"/>
      <c r="X92" s="1657"/>
      <c r="Y92" s="1657"/>
      <c r="Z92" s="1662"/>
      <c r="AA92" s="1657"/>
      <c r="AB92" s="1709"/>
      <c r="AC92" s="1181"/>
      <c r="AD92" s="943"/>
      <c r="AE92" s="348"/>
      <c r="AF92" s="336"/>
      <c r="AG92" s="345"/>
      <c r="AH92" s="345"/>
      <c r="AI92" s="345"/>
      <c r="AJ92" s="345"/>
      <c r="AK92" s="345"/>
      <c r="AL92" s="345"/>
      <c r="AM92" s="345"/>
      <c r="AN92" s="345"/>
      <c r="AO92" s="345"/>
      <c r="AP92" s="345"/>
      <c r="AQ92" s="345"/>
      <c r="AR92" s="345"/>
      <c r="AS92" s="345"/>
      <c r="AT92" s="345"/>
      <c r="AU92" s="345"/>
      <c r="AV92" s="345"/>
      <c r="AW92" s="345"/>
      <c r="AX92" s="345"/>
      <c r="AY92" s="345"/>
      <c r="AZ92" s="345"/>
      <c r="BA92" s="345"/>
      <c r="BB92" s="345"/>
      <c r="BC92" s="345"/>
      <c r="BD92" s="345"/>
      <c r="BE92" s="345"/>
      <c r="BF92" s="345"/>
      <c r="BG92" s="345"/>
      <c r="BH92" s="345"/>
      <c r="BI92" s="345"/>
      <c r="BJ92" s="345"/>
    </row>
    <row r="93" spans="1:62" s="325" customFormat="1" ht="19.5" customHeight="1">
      <c r="A93" s="1639"/>
      <c r="B93" s="1012" t="str">
        <f ca="1">'Linac 1'!C$3</f>
        <v>Linac 1</v>
      </c>
      <c r="C93" s="1687" t="s">
        <v>334</v>
      </c>
      <c r="D93" s="1770">
        <v>1</v>
      </c>
      <c r="E93" s="1860">
        <v>1</v>
      </c>
      <c r="F93" s="1628"/>
      <c r="G93" s="1628"/>
      <c r="H93" s="1628"/>
      <c r="I93" s="1628"/>
      <c r="J93" s="1766"/>
      <c r="K93" s="1766"/>
      <c r="L93" s="1769"/>
      <c r="M93" s="1714">
        <f>IF($G91=0,0,IF($F91="recht",$G91/$C$24,($G91-0.301*$C$24)/$C$24))+IF($H91=0,0,IF($F91="recht",$H91/$C$25,($H91-0.301*$C$25)/$C$25))+$I91/$C$26</f>
        <v>7.3529411764705879</v>
      </c>
      <c r="N93" s="1661">
        <f>10^(-M93)</f>
        <v>4.4366873309786093E-8</v>
      </c>
      <c r="O93" s="1658">
        <f>($C$7*$C$8*$C$11*($C$12+$C$13*$C$14)*$E93/$D93/$D93*N93*1000000)</f>
        <v>2.6620123985871658E-2</v>
      </c>
      <c r="P93" s="1658">
        <f>IF($G91=0,0,IF($F91="recht",$G91/$D$24,($G91-0.301*$D$24)/$D$24))+IF($H91=0,0,IF($F91="recht",$H91/$D$25,($H91-0.301*$D$25)/$D$25))+$I91/$D$26</f>
        <v>6.5789473684210522</v>
      </c>
      <c r="Q93" s="1661">
        <f>10^(-P93)</f>
        <v>2.636650898730358E-7</v>
      </c>
      <c r="R93" s="1658">
        <f>($C$7*$C$8*$D$11*($D$12+$D$13*$D$14)*$E93/$D93/$D93*Q93*1000000)</f>
        <v>0.1581990539238215</v>
      </c>
      <c r="S93" s="1658">
        <f>IF($G91=0,0,IF($F91="recht",$G91/$E$24,($G91-0.301*$E$24)/$E$24))+IF($H91=0,0,IF($F91="recht",$H91/$E$25,($H91-0.301*$E$25)/$E$25))+$I91/$E$26</f>
        <v>6.5616797900262469</v>
      </c>
      <c r="T93" s="1661">
        <f>10^(-S93)</f>
        <v>2.7435963093132793E-7</v>
      </c>
      <c r="U93" s="1658">
        <f>($C$7*$C$8*$E$11*($E$12+$E$13*$E$14)*$E93/$D93/$D93*T93*1000000)</f>
        <v>0.16461577855879678</v>
      </c>
      <c r="V93" s="1658">
        <f>IF($G91=0,0,IF($F91="recht",$G91/$F$24,($G91-0.301*$F$24)/$F$24))+IF($H91=0,0,IF($F91="recht",$H91/$F$25,($H91-0.301*$F$25)/$F$25))+$I91/$F$26</f>
        <v>8.1967213114754092</v>
      </c>
      <c r="W93" s="1661">
        <f>10^(-V93)</f>
        <v>6.3573875711648393E-9</v>
      </c>
      <c r="X93" s="1658">
        <f>($C$7*$C$8*$F$11*($F$12+$F$13*$F$14)*$E93/$D93/$D93*W93*1000000)</f>
        <v>2.1615117741960455E-3</v>
      </c>
      <c r="Y93" s="1658">
        <f>IF($G91=0,0,IF($F91="recht",$G91/$G$24,($G91-0.301*$G$24)/$G$24))+IF($H91=0,0,IF($F91="recht",$H91/$G$25,($H91-0.301*$G$25)/$G$25))+$I91/$G$26</f>
        <v>7.0224719101123592</v>
      </c>
      <c r="Z93" s="1661">
        <f>10^(-Y93)</f>
        <v>9.4957241494880226E-8</v>
      </c>
      <c r="AA93" s="1658">
        <f>($C$7*$C$8*$G$11*($G$12+$G$13*$G$14)*$E93/$D93/$D93*Z93*1000000)</f>
        <v>2.1840165543822451E-2</v>
      </c>
      <c r="AB93" s="1716">
        <f>SUM(O93,R93,U93,X93,AA93)</f>
        <v>0.37343663378650843</v>
      </c>
      <c r="AC93" s="1181"/>
      <c r="AD93" s="944"/>
      <c r="AE93" s="348"/>
      <c r="AF93" s="336"/>
      <c r="AG93" s="345"/>
      <c r="AH93" s="345"/>
      <c r="AI93" s="345"/>
      <c r="AJ93" s="345"/>
      <c r="AK93" s="345"/>
      <c r="AL93" s="345"/>
      <c r="AM93" s="345"/>
      <c r="AN93" s="345"/>
      <c r="AO93" s="345"/>
      <c r="AP93" s="345"/>
      <c r="AQ93" s="345"/>
      <c r="AR93" s="345"/>
      <c r="AS93" s="345"/>
      <c r="AT93" s="345"/>
      <c r="AU93" s="345"/>
      <c r="AV93" s="345"/>
      <c r="AW93" s="345"/>
      <c r="AX93" s="345"/>
      <c r="AY93" s="345"/>
      <c r="AZ93" s="345"/>
      <c r="BA93" s="345"/>
      <c r="BB93" s="345"/>
      <c r="BC93" s="345"/>
      <c r="BD93" s="345"/>
      <c r="BE93" s="345"/>
      <c r="BF93" s="345"/>
      <c r="BG93" s="345"/>
      <c r="BH93" s="345"/>
      <c r="BI93" s="345"/>
      <c r="BJ93" s="345"/>
    </row>
    <row r="94" spans="1:62" s="325" customFormat="1" ht="19.5" customHeight="1" thickBot="1">
      <c r="A94" s="1640"/>
      <c r="B94" s="1012"/>
      <c r="C94" s="1688"/>
      <c r="D94" s="1629"/>
      <c r="E94" s="1861"/>
      <c r="F94" s="1629"/>
      <c r="G94" s="1629"/>
      <c r="H94" s="1629"/>
      <c r="I94" s="1629"/>
      <c r="J94" s="1767"/>
      <c r="K94" s="1767"/>
      <c r="L94" s="1769"/>
      <c r="M94" s="1715"/>
      <c r="N94" s="1668"/>
      <c r="O94" s="1660"/>
      <c r="P94" s="1660"/>
      <c r="Q94" s="1668"/>
      <c r="R94" s="1660"/>
      <c r="S94" s="1660"/>
      <c r="T94" s="1668"/>
      <c r="U94" s="1660"/>
      <c r="V94" s="1660"/>
      <c r="W94" s="1668"/>
      <c r="X94" s="1660"/>
      <c r="Y94" s="1660"/>
      <c r="Z94" s="1668"/>
      <c r="AA94" s="1660"/>
      <c r="AB94" s="1717"/>
      <c r="AC94" s="1181"/>
      <c r="AD94" s="944"/>
      <c r="AE94" s="348"/>
      <c r="AF94" s="336"/>
      <c r="AG94" s="345"/>
      <c r="AH94" s="345"/>
      <c r="AI94" s="345"/>
      <c r="AJ94" s="345"/>
      <c r="AK94" s="345"/>
      <c r="AL94" s="345"/>
      <c r="AM94" s="345"/>
      <c r="AN94" s="345"/>
      <c r="AO94" s="345"/>
      <c r="AP94" s="345"/>
      <c r="AQ94" s="345"/>
      <c r="AR94" s="345"/>
      <c r="AS94" s="345"/>
      <c r="AT94" s="345"/>
      <c r="AU94" s="345"/>
      <c r="AV94" s="345"/>
      <c r="AW94" s="345"/>
      <c r="AX94" s="345"/>
      <c r="AY94" s="345"/>
      <c r="AZ94" s="345"/>
      <c r="BA94" s="345"/>
      <c r="BB94" s="345"/>
      <c r="BC94" s="345"/>
      <c r="BD94" s="345"/>
      <c r="BE94" s="345"/>
      <c r="BF94" s="345"/>
      <c r="BG94" s="345"/>
      <c r="BH94" s="345"/>
      <c r="BI94" s="345"/>
      <c r="BJ94" s="345"/>
    </row>
    <row r="95" spans="1:62" s="325" customFormat="1" ht="19.5" customHeight="1">
      <c r="A95" s="1638" t="str">
        <f ca="1">'Linac 2'!A$95</f>
        <v>L2</v>
      </c>
      <c r="B95" s="1011"/>
      <c r="C95" s="1623" t="s">
        <v>333</v>
      </c>
      <c r="D95" s="1627">
        <v>1</v>
      </c>
      <c r="E95" s="1627">
        <v>0</v>
      </c>
      <c r="F95" s="1627" t="s">
        <v>12</v>
      </c>
      <c r="G95" s="1627">
        <v>250</v>
      </c>
      <c r="H95" s="1627">
        <v>0</v>
      </c>
      <c r="I95" s="1627">
        <v>0</v>
      </c>
      <c r="J95" s="1765"/>
      <c r="K95" s="1765"/>
      <c r="L95" s="1768"/>
      <c r="M95" s="1656">
        <f>IF($G95=0,0,IF($F95="recht",1+($G95-$C$17)/$C$18,1+($G95-$C$17-0.301*$C$18)/$C$18))+IF($H95=0,0,IF($F95="recht",$H95/$C$19,($H95-0.301*$C$19)/$C$19))+$I95/$C$20</f>
        <v>7.4545454545454541</v>
      </c>
      <c r="N95" s="1663">
        <f>10^(-M95)</f>
        <v>3.5111917342151263E-8</v>
      </c>
      <c r="O95" s="1656">
        <f>($C$7*$C$11*$E95/$D95/$D95*N95*1000000)</f>
        <v>0</v>
      </c>
      <c r="P95" s="1656">
        <f>IF($G$103=0,0,IF($F95="recht",1+($G95-$D$17)/$D$18,1+($G95-$D$17-0.301*$D$18)/$D$18))+IF($H95=0,0,IF($F95="recht",$H95/$D$19,($H95-0.301*$D$19)/$D$19))+$I95/$D$20</f>
        <v>6.6486486486486482</v>
      </c>
      <c r="Q95" s="1663">
        <f>10^(-P95)</f>
        <v>2.2456979955397711E-7</v>
      </c>
      <c r="R95" s="1656">
        <f>($C$7*$D$11*$E95/$D95/$D95*Q95*1000000)</f>
        <v>0</v>
      </c>
      <c r="S95" s="1656">
        <f>IF($G95=0,0,IF($F95="recht",1+($G95-$E$17)/$E$18,1+($G95-$E$17-0.301*$E$18)/$E$18))+IF($H95=0,0,IF($F95="recht",$H95/$E$19,($H95-0.301*$E$19)/$E$19))+$I95/$E$20</f>
        <v>6.024390243902439</v>
      </c>
      <c r="T95" s="1663">
        <f>10^(-S95)</f>
        <v>9.4538728313079291E-7</v>
      </c>
      <c r="U95" s="1656">
        <f>($C$7*$E$11*$E95/$D95/$D95*T95*1000000)</f>
        <v>0</v>
      </c>
      <c r="V95" s="1656">
        <f>IF($G95=0,0,IF($F95="recht",1+($G95-$F$17)/$F$18,1+($G95-$F$17-0.301*$F$18)/$F$18))+IF($H95=0,0,IF($F95="recht",$H95/$F$19,($H95-0.301*$F$19)/$F$19))+$I95/$F$20</f>
        <v>9.1481481481481488</v>
      </c>
      <c r="W95" s="1661">
        <f>10^(-V95)</f>
        <v>7.1097094323124171E-10</v>
      </c>
      <c r="X95" s="1658">
        <f>($C$7*$F$11*$E95/$D95/$D95*W95*1000000)</f>
        <v>0</v>
      </c>
      <c r="Y95" s="1656">
        <f>IF($G95=0,0,IF($F95="recht",1+($G95-$G$17)/$G$18,1+($G95-$G$17-0.301*$G$18)/$G$18))+IF($H95=0,0,IF($F95="recht",$H95/$G$19,($H95-0.301*$G$19)/$G$19))+$I95/$G$20</f>
        <v>6.9444444444444446</v>
      </c>
      <c r="Z95" s="1661">
        <f>10^(-Y95)</f>
        <v>1.136463666385722E-7</v>
      </c>
      <c r="AA95" s="1658">
        <f>($C$7*$G$11*$E95/$D95/$D95*Z95*1000000)</f>
        <v>0</v>
      </c>
      <c r="AB95" s="1708">
        <f>SUM(O95,R95,U95,X95,AA95)</f>
        <v>0</v>
      </c>
      <c r="AC95" s="1180">
        <f>SUM(AB95:AB98)*$D$86/2400/1000</f>
        <v>7.7799298705522589E-7</v>
      </c>
      <c r="AD95" s="942">
        <f>AC95*$D$87</f>
        <v>3.8899649352761298E-6</v>
      </c>
      <c r="AE95" s="1233"/>
      <c r="AF95" s="336"/>
      <c r="AG95" s="345"/>
      <c r="AH95" s="345"/>
      <c r="AI95" s="345"/>
      <c r="AJ95" s="345"/>
      <c r="AK95" s="345"/>
      <c r="AL95" s="345"/>
      <c r="AM95" s="345"/>
      <c r="AN95" s="345"/>
      <c r="AO95" s="345"/>
      <c r="AP95" s="345"/>
      <c r="AQ95" s="345"/>
      <c r="AR95" s="345"/>
      <c r="AS95" s="345"/>
      <c r="AT95" s="345"/>
      <c r="AU95" s="345"/>
      <c r="AV95" s="345"/>
      <c r="AW95" s="345"/>
      <c r="AX95" s="345"/>
      <c r="AY95" s="345"/>
      <c r="AZ95" s="345"/>
      <c r="BA95" s="345"/>
      <c r="BB95" s="345"/>
      <c r="BC95" s="345"/>
      <c r="BD95" s="345"/>
      <c r="BE95" s="345"/>
      <c r="BF95" s="345"/>
      <c r="BG95" s="345"/>
      <c r="BH95" s="345"/>
      <c r="BI95" s="345"/>
      <c r="BJ95" s="345"/>
    </row>
    <row r="96" spans="1:62" s="325" customFormat="1" ht="19.5" customHeight="1">
      <c r="A96" s="1639"/>
      <c r="B96" s="1010" t="s">
        <v>168</v>
      </c>
      <c r="C96" s="1624"/>
      <c r="D96" s="1720"/>
      <c r="E96" s="1720"/>
      <c r="F96" s="1628"/>
      <c r="G96" s="1628"/>
      <c r="H96" s="1628"/>
      <c r="I96" s="1628"/>
      <c r="J96" s="1766"/>
      <c r="K96" s="1766"/>
      <c r="L96" s="1769"/>
      <c r="M96" s="1659"/>
      <c r="N96" s="1662"/>
      <c r="O96" s="1657"/>
      <c r="P96" s="1657"/>
      <c r="Q96" s="1662"/>
      <c r="R96" s="1657"/>
      <c r="S96" s="1657"/>
      <c r="T96" s="1662"/>
      <c r="U96" s="1657"/>
      <c r="V96" s="1657"/>
      <c r="W96" s="1662"/>
      <c r="X96" s="1657"/>
      <c r="Y96" s="1657"/>
      <c r="Z96" s="1662"/>
      <c r="AA96" s="1657"/>
      <c r="AB96" s="1709"/>
      <c r="AC96" s="1181"/>
      <c r="AD96" s="943"/>
      <c r="AE96" s="348"/>
      <c r="AF96" s="336"/>
      <c r="AG96" s="345"/>
      <c r="AH96" s="345"/>
      <c r="AI96" s="345"/>
      <c r="AJ96" s="345"/>
      <c r="AK96" s="345"/>
      <c r="AL96" s="345"/>
      <c r="AM96" s="345"/>
      <c r="AN96" s="345"/>
      <c r="AO96" s="345"/>
      <c r="AP96" s="345"/>
      <c r="AQ96" s="345"/>
      <c r="AR96" s="345"/>
      <c r="AS96" s="345"/>
      <c r="AT96" s="345"/>
      <c r="AU96" s="345"/>
      <c r="AV96" s="345"/>
      <c r="AW96" s="345"/>
      <c r="AX96" s="345"/>
      <c r="AY96" s="345"/>
      <c r="AZ96" s="345"/>
      <c r="BA96" s="345"/>
      <c r="BB96" s="345"/>
      <c r="BC96" s="345"/>
      <c r="BD96" s="345"/>
      <c r="BE96" s="345"/>
      <c r="BF96" s="345"/>
      <c r="BG96" s="345"/>
      <c r="BH96" s="345"/>
      <c r="BI96" s="345"/>
      <c r="BJ96" s="345"/>
    </row>
    <row r="97" spans="1:62" s="325" customFormat="1" ht="19.5" customHeight="1">
      <c r="A97" s="1639"/>
      <c r="B97" s="1012" t="str">
        <f ca="1">'Linac 2'!C$3</f>
        <v>Linac 2</v>
      </c>
      <c r="C97" s="1687" t="s">
        <v>334</v>
      </c>
      <c r="D97" s="1770">
        <v>1</v>
      </c>
      <c r="E97" s="1860">
        <v>1</v>
      </c>
      <c r="F97" s="1628"/>
      <c r="G97" s="1628"/>
      <c r="H97" s="1628"/>
      <c r="I97" s="1628"/>
      <c r="J97" s="1766"/>
      <c r="K97" s="1766"/>
      <c r="L97" s="1769"/>
      <c r="M97" s="1714">
        <f>IF($G95=0,0,IF($F95="recht",$G95/$C$24,($G95-0.301*$C$24)/$C$24))+IF($H95=0,0,IF($F95="recht",$H95/$C$25,($H95-0.301*$C$25)/$C$25))+$I95/$C$26</f>
        <v>7.3529411764705879</v>
      </c>
      <c r="N97" s="1661">
        <f>10^(-M97)</f>
        <v>4.4366873309786093E-8</v>
      </c>
      <c r="O97" s="1658">
        <f>($C$7*$C$8*$C$11*($C$12+$C$13*$C$14)*$E97/$D97/$D97*N97*1000000)</f>
        <v>2.6620123985871658E-2</v>
      </c>
      <c r="P97" s="1658">
        <f>IF($G95=0,0,IF($F95="recht",$G95/$D$24,($G95-0.301*$D$24)/$D$24))+IF($H95=0,0,IF($F95="recht",$H95/$D$25,($H95-0.301*$D$25)/$D$25))+$I95/$D$26</f>
        <v>6.5789473684210522</v>
      </c>
      <c r="Q97" s="1661">
        <f>10^(-P97)</f>
        <v>2.636650898730358E-7</v>
      </c>
      <c r="R97" s="1658">
        <f>($C$7*$C$8*$D$11*($D$12+$D$13*$D$14)*$E97/$D97/$D97*Q97*1000000)</f>
        <v>0.1581990539238215</v>
      </c>
      <c r="S97" s="1658">
        <f>IF($G95=0,0,IF($F95="recht",$G95/$E$24,($G95-0.301*$E$24)/$E$24))+IF($H95=0,0,IF($F95="recht",$H95/$E$25,($H95-0.301*$E$25)/$E$25))+$I95/$E$26</f>
        <v>6.5616797900262469</v>
      </c>
      <c r="T97" s="1661">
        <f>10^(-S97)</f>
        <v>2.7435963093132793E-7</v>
      </c>
      <c r="U97" s="1658">
        <f>($C$7*$C$8*$E$11*($E$12+$E$13*$E$14)*$E97/$D97/$D97*T97*1000000)</f>
        <v>0.16461577855879678</v>
      </c>
      <c r="V97" s="1658">
        <f>IF($G95=0,0,IF($F95="recht",$G95/$F$24,($G95-0.301*$F$24)/$F$24))+IF($H95=0,0,IF($F95="recht",$H95/$F$25,($H95-0.301*$F$25)/$F$25))+$I95/$F$26</f>
        <v>8.1967213114754092</v>
      </c>
      <c r="W97" s="1661">
        <f>10^(-V97)</f>
        <v>6.3573875711648393E-9</v>
      </c>
      <c r="X97" s="1658">
        <f>($C$7*$C$8*$F$11*($F$12+$F$13*$F$14)*$E97/$D97/$D97*W97*1000000)</f>
        <v>2.1615117741960455E-3</v>
      </c>
      <c r="Y97" s="1658">
        <f>IF($G95=0,0,IF($F95="recht",$G95/$G$24,($G95-0.301*$G$24)/$G$24))+IF($H95=0,0,IF($F95="recht",$H95/$G$25,($H95-0.301*$G$25)/$G$25))+$I95/$G$26</f>
        <v>7.0224719101123592</v>
      </c>
      <c r="Z97" s="1661">
        <f>10^(-Y97)</f>
        <v>9.4957241494880226E-8</v>
      </c>
      <c r="AA97" s="1658">
        <f>($C$7*$C$8*$G$11*($G$12+$G$13*$G$14)*$E97/$D97/$D97*Z97*1000000)</f>
        <v>2.1840165543822451E-2</v>
      </c>
      <c r="AB97" s="1716">
        <f>SUM(O97,R97,U97,X97,AA97)</f>
        <v>0.37343663378650843</v>
      </c>
      <c r="AC97" s="1181"/>
      <c r="AD97" s="944"/>
      <c r="AE97" s="348"/>
      <c r="AF97" s="336"/>
      <c r="AG97" s="345"/>
      <c r="AH97" s="345"/>
      <c r="AI97" s="345"/>
      <c r="AJ97" s="345"/>
      <c r="AK97" s="345"/>
      <c r="AL97" s="345"/>
      <c r="AM97" s="345"/>
      <c r="AN97" s="345"/>
      <c r="AO97" s="345"/>
      <c r="AP97" s="345"/>
      <c r="AQ97" s="345"/>
      <c r="AR97" s="345"/>
      <c r="AS97" s="345"/>
      <c r="AT97" s="345"/>
      <c r="AU97" s="345"/>
      <c r="AV97" s="345"/>
      <c r="AW97" s="345"/>
      <c r="AX97" s="345"/>
      <c r="AY97" s="345"/>
      <c r="AZ97" s="345"/>
      <c r="BA97" s="345"/>
      <c r="BB97" s="345"/>
      <c r="BC97" s="345"/>
      <c r="BD97" s="345"/>
      <c r="BE97" s="345"/>
      <c r="BF97" s="345"/>
      <c r="BG97" s="345"/>
      <c r="BH97" s="345"/>
      <c r="BI97" s="345"/>
      <c r="BJ97" s="345"/>
    </row>
    <row r="98" spans="1:62" s="325" customFormat="1" ht="19.5" customHeight="1" thickBot="1">
      <c r="A98" s="1640"/>
      <c r="B98" s="1012"/>
      <c r="C98" s="1688"/>
      <c r="D98" s="1629"/>
      <c r="E98" s="1861"/>
      <c r="F98" s="1629"/>
      <c r="G98" s="1629"/>
      <c r="H98" s="1629"/>
      <c r="I98" s="1629"/>
      <c r="J98" s="1767"/>
      <c r="K98" s="1767"/>
      <c r="L98" s="1769"/>
      <c r="M98" s="1715"/>
      <c r="N98" s="1668"/>
      <c r="O98" s="1660"/>
      <c r="P98" s="1660"/>
      <c r="Q98" s="1668"/>
      <c r="R98" s="1660"/>
      <c r="S98" s="1660"/>
      <c r="T98" s="1668"/>
      <c r="U98" s="1660"/>
      <c r="V98" s="1660"/>
      <c r="W98" s="1668"/>
      <c r="X98" s="1660"/>
      <c r="Y98" s="1660"/>
      <c r="Z98" s="1668"/>
      <c r="AA98" s="1660"/>
      <c r="AB98" s="1717"/>
      <c r="AC98" s="1181"/>
      <c r="AD98" s="944"/>
      <c r="AE98" s="348"/>
      <c r="AF98" s="336"/>
      <c r="AG98" s="345"/>
      <c r="AH98" s="345"/>
      <c r="AI98" s="345"/>
      <c r="AJ98" s="345"/>
      <c r="AK98" s="345"/>
      <c r="AL98" s="345"/>
      <c r="AM98" s="345"/>
      <c r="AN98" s="345"/>
      <c r="AO98" s="345"/>
      <c r="AP98" s="345"/>
      <c r="AQ98" s="345"/>
      <c r="AR98" s="345"/>
      <c r="AS98" s="345"/>
      <c r="AT98" s="345"/>
      <c r="AU98" s="345"/>
      <c r="AV98" s="345"/>
      <c r="AW98" s="345"/>
      <c r="AX98" s="345"/>
      <c r="AY98" s="345"/>
      <c r="AZ98" s="345"/>
      <c r="BA98" s="345"/>
      <c r="BB98" s="345"/>
      <c r="BC98" s="345"/>
      <c r="BD98" s="345"/>
      <c r="BE98" s="345"/>
      <c r="BF98" s="345"/>
      <c r="BG98" s="345"/>
      <c r="BH98" s="345"/>
      <c r="BI98" s="345"/>
      <c r="BJ98" s="345"/>
    </row>
    <row r="99" spans="1:62" s="325" customFormat="1" ht="19.5" customHeight="1">
      <c r="A99" s="1638" t="str">
        <f ca="1">'Linac 3'!A$99</f>
        <v>L3</v>
      </c>
      <c r="B99" s="1011"/>
      <c r="C99" s="1623" t="s">
        <v>333</v>
      </c>
      <c r="D99" s="1627">
        <v>1</v>
      </c>
      <c r="E99" s="1627">
        <v>0</v>
      </c>
      <c r="F99" s="1627" t="s">
        <v>12</v>
      </c>
      <c r="G99" s="1627">
        <v>250</v>
      </c>
      <c r="H99" s="1627">
        <v>0</v>
      </c>
      <c r="I99" s="1627">
        <v>0</v>
      </c>
      <c r="J99" s="1765"/>
      <c r="K99" s="1765"/>
      <c r="L99" s="1768"/>
      <c r="M99" s="1656">
        <f>IF($G99=0,0,IF($F99="recht",1+($G99-$C$17)/$C$18,1+($G99-$C$17-0.301*$C$18)/$C$18))+IF($H99=0,0,IF($F99="recht",$H99/$C$19,($H99-0.301*$C$19)/$C$19))+$I99/$C$20</f>
        <v>7.4545454545454541</v>
      </c>
      <c r="N99" s="1663">
        <f>10^(-M99)</f>
        <v>3.5111917342151263E-8</v>
      </c>
      <c r="O99" s="1656">
        <f>($C$7*$C$11*$E99/$D99/$D99*N99*1000000)</f>
        <v>0</v>
      </c>
      <c r="P99" s="1656">
        <f>IF($G$103=0,0,IF($F99="recht",1+($G99-$D$17)/$D$18,1+($G99-$D$17-0.301*$D$18)/$D$18))+IF($H99=0,0,IF($F99="recht",$H99/$D$19,($H99-0.301*$D$19)/$D$19))+$I99/$D$20</f>
        <v>6.6486486486486482</v>
      </c>
      <c r="Q99" s="1663">
        <f>10^(-P99)</f>
        <v>2.2456979955397711E-7</v>
      </c>
      <c r="R99" s="1656">
        <f>($C$7*$D$11*$E99/$D99/$D99*Q99*1000000)</f>
        <v>0</v>
      </c>
      <c r="S99" s="1656">
        <f>IF($G99=0,0,IF($F99="recht",1+($G99-$E$17)/$E$18,1+($G99-$E$17-0.301*$E$18)/$E$18))+IF($H99=0,0,IF($F99="recht",$H99/$E$19,($H99-0.301*$E$19)/$E$19))+$I99/$E$20</f>
        <v>6.024390243902439</v>
      </c>
      <c r="T99" s="1663">
        <f>10^(-S99)</f>
        <v>9.4538728313079291E-7</v>
      </c>
      <c r="U99" s="1656">
        <f>($C$7*$E$11*$E99/$D99/$D99*T99*1000000)</f>
        <v>0</v>
      </c>
      <c r="V99" s="1656">
        <f>IF($G99=0,0,IF($F99="recht",1+($G99-$F$17)/$F$18,1+($G99-$F$17-0.301*$F$18)/$F$18))+IF($H99=0,0,IF($F99="recht",$H99/$F$19,($H99-0.301*$F$19)/$F$19))+$I99/$F$20</f>
        <v>9.1481481481481488</v>
      </c>
      <c r="W99" s="1661">
        <f>10^(-V99)</f>
        <v>7.1097094323124171E-10</v>
      </c>
      <c r="X99" s="1658">
        <f>($C$7*$F$11*$E99/$D99/$D99*W99*1000000)</f>
        <v>0</v>
      </c>
      <c r="Y99" s="1656">
        <f>IF($G99=0,0,IF($F99="recht",1+($G99-$G$17)/$G$18,1+($G99-$G$17-0.301*$G$18)/$G$18))+IF($H99=0,0,IF($F99="recht",$H99/$G$19,($H99-0.301*$G$19)/$G$19))+$I99/$G$20</f>
        <v>6.9444444444444446</v>
      </c>
      <c r="Z99" s="1661">
        <f>10^(-Y99)</f>
        <v>1.136463666385722E-7</v>
      </c>
      <c r="AA99" s="1658">
        <f>($C$7*$G$11*$E99/$D99/$D99*Z99*1000000)</f>
        <v>0</v>
      </c>
      <c r="AB99" s="1708">
        <f>SUM(O99,R99,U99,X99,AA99)</f>
        <v>0</v>
      </c>
      <c r="AC99" s="1180">
        <f>SUM(AB99:AB102)*$D$86/2400/1000</f>
        <v>7.7799298705522589E-7</v>
      </c>
      <c r="AD99" s="942">
        <f>AC99*$D$87</f>
        <v>3.8899649352761298E-6</v>
      </c>
      <c r="AE99" s="1233"/>
      <c r="AF99" s="336"/>
      <c r="AG99" s="345"/>
      <c r="AH99" s="345"/>
      <c r="AI99" s="345"/>
      <c r="AJ99" s="345"/>
      <c r="AK99" s="345"/>
      <c r="AL99" s="345"/>
      <c r="AM99" s="345"/>
      <c r="AN99" s="345"/>
      <c r="AO99" s="345"/>
      <c r="AP99" s="345"/>
      <c r="AQ99" s="345"/>
      <c r="AR99" s="345"/>
      <c r="AS99" s="345"/>
      <c r="AT99" s="345"/>
      <c r="AU99" s="345"/>
      <c r="AV99" s="345"/>
      <c r="AW99" s="345"/>
      <c r="AX99" s="345"/>
      <c r="AY99" s="345"/>
      <c r="AZ99" s="345"/>
      <c r="BA99" s="345"/>
      <c r="BB99" s="345"/>
      <c r="BC99" s="345"/>
      <c r="BD99" s="345"/>
      <c r="BE99" s="345"/>
      <c r="BF99" s="345"/>
      <c r="BG99" s="345"/>
      <c r="BH99" s="345"/>
      <c r="BI99" s="345"/>
      <c r="BJ99" s="345"/>
    </row>
    <row r="100" spans="1:62" s="325" customFormat="1" ht="19.5" customHeight="1">
      <c r="A100" s="1639"/>
      <c r="B100" s="1010" t="s">
        <v>168</v>
      </c>
      <c r="C100" s="1624"/>
      <c r="D100" s="1720"/>
      <c r="E100" s="1720"/>
      <c r="F100" s="1628"/>
      <c r="G100" s="1628"/>
      <c r="H100" s="1628"/>
      <c r="I100" s="1628"/>
      <c r="J100" s="1766"/>
      <c r="K100" s="1766"/>
      <c r="L100" s="1769"/>
      <c r="M100" s="1659"/>
      <c r="N100" s="1662"/>
      <c r="O100" s="1657"/>
      <c r="P100" s="1657"/>
      <c r="Q100" s="1662"/>
      <c r="R100" s="1657"/>
      <c r="S100" s="1657"/>
      <c r="T100" s="1662"/>
      <c r="U100" s="1657"/>
      <c r="V100" s="1657"/>
      <c r="W100" s="1662"/>
      <c r="X100" s="1657"/>
      <c r="Y100" s="1657"/>
      <c r="Z100" s="1662"/>
      <c r="AA100" s="1657"/>
      <c r="AB100" s="1709"/>
      <c r="AC100" s="1182"/>
      <c r="AD100" s="944"/>
      <c r="AE100" s="348"/>
      <c r="AF100" s="336"/>
      <c r="AG100" s="345"/>
      <c r="AH100" s="345"/>
      <c r="AI100" s="345"/>
      <c r="AJ100" s="345"/>
      <c r="AK100" s="345"/>
      <c r="AL100" s="345"/>
      <c r="AM100" s="345"/>
      <c r="AN100" s="345"/>
      <c r="AO100" s="345"/>
      <c r="AP100" s="345"/>
      <c r="AQ100" s="345"/>
      <c r="AR100" s="345"/>
      <c r="AS100" s="345"/>
      <c r="AT100" s="345"/>
      <c r="AU100" s="345"/>
      <c r="AV100" s="345"/>
      <c r="AW100" s="345"/>
      <c r="AX100" s="345"/>
      <c r="AY100" s="345"/>
      <c r="AZ100" s="345"/>
      <c r="BA100" s="345"/>
      <c r="BB100" s="345"/>
      <c r="BC100" s="345"/>
      <c r="BD100" s="345"/>
      <c r="BE100" s="345"/>
      <c r="BF100" s="345"/>
      <c r="BG100" s="345"/>
      <c r="BH100" s="345"/>
      <c r="BI100" s="345"/>
      <c r="BJ100" s="345"/>
    </row>
    <row r="101" spans="1:62" s="325" customFormat="1" ht="19.5" customHeight="1">
      <c r="A101" s="1639"/>
      <c r="B101" s="1012" t="str">
        <f ca="1">'Linac 3'!C$3</f>
        <v>Linac 3</v>
      </c>
      <c r="C101" s="1687" t="s">
        <v>334</v>
      </c>
      <c r="D101" s="1770">
        <v>1</v>
      </c>
      <c r="E101" s="1860">
        <v>1</v>
      </c>
      <c r="F101" s="1628"/>
      <c r="G101" s="1628"/>
      <c r="H101" s="1628"/>
      <c r="I101" s="1628"/>
      <c r="J101" s="1766"/>
      <c r="K101" s="1766"/>
      <c r="L101" s="1769"/>
      <c r="M101" s="1714">
        <f>IF($G99=0,0,IF($F99="recht",$G99/$C$24,($G99-0.301*$C$24)/$C$24))+IF($H99=0,0,IF($F99="recht",$H99/$C$25,($H99-0.301*$C$25)/$C$25))+$I99/$C$26</f>
        <v>7.3529411764705879</v>
      </c>
      <c r="N101" s="1661">
        <f>10^(-M101)</f>
        <v>4.4366873309786093E-8</v>
      </c>
      <c r="O101" s="1658">
        <f>($C$7*$C$8*$C$11*($C$12+$C$13*$C$14)*$E101/$D101/$D101*N101*1000000)</f>
        <v>2.6620123985871658E-2</v>
      </c>
      <c r="P101" s="1658">
        <f>IF($G99=0,0,IF($F99="recht",$G99/$D$24,($G99-0.301*$D$24)/$D$24))+IF($H99=0,0,IF($F99="recht",$H99/$D$25,($H99-0.301*$D$25)/$D$25))+$I99/$D$26</f>
        <v>6.5789473684210522</v>
      </c>
      <c r="Q101" s="1661">
        <f>10^(-P101)</f>
        <v>2.636650898730358E-7</v>
      </c>
      <c r="R101" s="1658">
        <f>($C$7*$C$8*$D$11*($D$12+$D$13*$D$14)*$E101/$D101/$D101*Q101*1000000)</f>
        <v>0.1581990539238215</v>
      </c>
      <c r="S101" s="1658">
        <f>IF($G99=0,0,IF($F99="recht",$G99/$E$24,($G99-0.301*$E$24)/$E$24))+IF($H99=0,0,IF($F99="recht",$H99/$E$25,($H99-0.301*$E$25)/$E$25))+$I99/$E$26</f>
        <v>6.5616797900262469</v>
      </c>
      <c r="T101" s="1661">
        <f>10^(-S101)</f>
        <v>2.7435963093132793E-7</v>
      </c>
      <c r="U101" s="1658">
        <f>($C$7*$C$8*$E$11*($E$12+$E$13*$E$14)*$E101/$D101/$D101*T101*1000000)</f>
        <v>0.16461577855879678</v>
      </c>
      <c r="V101" s="1658">
        <f>IF($G99=0,0,IF($F99="recht",$G99/$F$24,($G99-0.301*$F$24)/$F$24))+IF($H99=0,0,IF($F99="recht",$H99/$F$25,($H99-0.301*$F$25)/$F$25))+$I99/$F$26</f>
        <v>8.1967213114754092</v>
      </c>
      <c r="W101" s="1661">
        <f>10^(-V101)</f>
        <v>6.3573875711648393E-9</v>
      </c>
      <c r="X101" s="1658">
        <f>($C$7*$C$8*$F$11*($F$12+$F$13*$F$14)*$E101/$D101/$D101*W101*1000000)</f>
        <v>2.1615117741960455E-3</v>
      </c>
      <c r="Y101" s="1658">
        <f>IF($G99=0,0,IF($F99="recht",$G99/$G$24,($G99-0.301*$G$24)/$G$24))+IF($H99=0,0,IF($F99="recht",$H99/$G$25,($H99-0.301*$G$25)/$G$25))+$I99/$G$26</f>
        <v>7.0224719101123592</v>
      </c>
      <c r="Z101" s="1661">
        <f>10^(-Y101)</f>
        <v>9.4957241494880226E-8</v>
      </c>
      <c r="AA101" s="1658">
        <f>($C$7*$C$8*$G$11*($G$12+$G$13*$G$14)*$E101/$D101/$D101*Z101*1000000)</f>
        <v>2.1840165543822451E-2</v>
      </c>
      <c r="AB101" s="1716">
        <f>SUM(O101,R101,U101,X101,AA101)</f>
        <v>0.37343663378650843</v>
      </c>
      <c r="AC101" s="1182"/>
      <c r="AD101" s="944"/>
      <c r="AE101" s="348"/>
      <c r="AF101" s="336"/>
      <c r="AG101" s="345"/>
      <c r="AH101" s="345"/>
      <c r="AI101" s="345"/>
      <c r="AJ101" s="345"/>
      <c r="AK101" s="345"/>
      <c r="AL101" s="345"/>
      <c r="AM101" s="345"/>
      <c r="AN101" s="345"/>
      <c r="AO101" s="345"/>
      <c r="AP101" s="345"/>
      <c r="AQ101" s="345"/>
      <c r="AR101" s="345"/>
      <c r="AS101" s="345"/>
      <c r="AT101" s="345"/>
      <c r="AU101" s="345"/>
      <c r="AV101" s="345"/>
      <c r="AW101" s="345"/>
      <c r="AX101" s="345"/>
      <c r="AY101" s="345"/>
      <c r="AZ101" s="345"/>
      <c r="BA101" s="345"/>
      <c r="BB101" s="345"/>
      <c r="BC101" s="345"/>
      <c r="BD101" s="345"/>
      <c r="BE101" s="345"/>
      <c r="BF101" s="345"/>
      <c r="BG101" s="345"/>
      <c r="BH101" s="345"/>
      <c r="BI101" s="345"/>
      <c r="BJ101" s="345"/>
    </row>
    <row r="102" spans="1:62" s="325" customFormat="1" ht="19.5" customHeight="1" thickBot="1">
      <c r="A102" s="1640"/>
      <c r="B102" s="1021"/>
      <c r="C102" s="1688"/>
      <c r="D102" s="1629"/>
      <c r="E102" s="1861"/>
      <c r="F102" s="1629"/>
      <c r="G102" s="1629"/>
      <c r="H102" s="1629"/>
      <c r="I102" s="1629"/>
      <c r="J102" s="1767"/>
      <c r="K102" s="1767"/>
      <c r="L102" s="1788"/>
      <c r="M102" s="1715"/>
      <c r="N102" s="1668"/>
      <c r="O102" s="1660"/>
      <c r="P102" s="1660"/>
      <c r="Q102" s="1668"/>
      <c r="R102" s="1660"/>
      <c r="S102" s="1660"/>
      <c r="T102" s="1668"/>
      <c r="U102" s="1660"/>
      <c r="V102" s="1660"/>
      <c r="W102" s="1668"/>
      <c r="X102" s="1660"/>
      <c r="Y102" s="1660"/>
      <c r="Z102" s="1668"/>
      <c r="AA102" s="1660"/>
      <c r="AB102" s="1781"/>
      <c r="AC102" s="1354"/>
      <c r="AD102" s="1353"/>
      <c r="AE102" s="348"/>
      <c r="AF102" s="336"/>
      <c r="AG102" s="345"/>
      <c r="AH102" s="345"/>
      <c r="AI102" s="345"/>
      <c r="AJ102" s="345"/>
      <c r="AK102" s="345"/>
      <c r="AL102" s="345"/>
      <c r="AM102" s="345"/>
      <c r="AN102" s="345"/>
      <c r="AO102" s="345"/>
      <c r="AP102" s="345"/>
      <c r="AQ102" s="345"/>
      <c r="AR102" s="345"/>
      <c r="AS102" s="345"/>
      <c r="AT102" s="345"/>
      <c r="AU102" s="345"/>
      <c r="AV102" s="345"/>
      <c r="AW102" s="345"/>
      <c r="AX102" s="345"/>
      <c r="AY102" s="345"/>
      <c r="AZ102" s="345"/>
      <c r="BA102" s="345"/>
      <c r="BB102" s="345"/>
      <c r="BC102" s="345"/>
      <c r="BD102" s="345"/>
      <c r="BE102" s="345"/>
      <c r="BF102" s="345"/>
      <c r="BG102" s="345"/>
      <c r="BH102" s="345"/>
      <c r="BI102" s="345"/>
      <c r="BJ102" s="345"/>
    </row>
    <row r="103" spans="1:62" s="325" customFormat="1" ht="19.5" customHeight="1">
      <c r="A103" s="1001" t="s">
        <v>305</v>
      </c>
      <c r="B103" s="1011" t="s">
        <v>168</v>
      </c>
      <c r="C103" s="1623" t="s">
        <v>333</v>
      </c>
      <c r="D103" s="1718">
        <f>P9</f>
        <v>1</v>
      </c>
      <c r="E103" s="1627">
        <v>0</v>
      </c>
      <c r="F103" s="1627" t="s">
        <v>12</v>
      </c>
      <c r="G103" s="1627">
        <v>250</v>
      </c>
      <c r="H103" s="1627">
        <v>0</v>
      </c>
      <c r="I103" s="1627">
        <v>0</v>
      </c>
      <c r="J103" s="1866">
        <v>0</v>
      </c>
      <c r="K103" s="1866">
        <v>0</v>
      </c>
      <c r="L103" s="1705"/>
      <c r="M103" s="1656">
        <f>IF($G103=0,0,IF($F103="recht",1+($G103-$C$17)/$C$18,1+($G103-$C$17-0.301*$C$18)/$C$18))+IF($H103=0,0,IF($F103="recht",$H103/$C$19,($H103-0.301*$C$19)/$C$19))+$I103/$C$20</f>
        <v>7.4545454545454541</v>
      </c>
      <c r="N103" s="1663">
        <f>10^(-M103)</f>
        <v>3.5111917342151263E-8</v>
      </c>
      <c r="O103" s="1656">
        <f>($C$7*$C$11*$E103/$D103/$D103*N103*1000000)</f>
        <v>0</v>
      </c>
      <c r="P103" s="1656">
        <f>IF($G$103=0,0,IF($F103="recht",1+($G103-$D$17)/$D$18,1+($G103-$D$17-0.301*$D$18)/$D$18))+IF($H103=0,0,IF($F103="recht",$H103/$D$19,($H103-0.301*$D$19)/$D$19))+$I103/$D$20</f>
        <v>6.6486486486486482</v>
      </c>
      <c r="Q103" s="1663">
        <f>10^(-P103)</f>
        <v>2.2456979955397711E-7</v>
      </c>
      <c r="R103" s="1656">
        <f>($C$7*$D$11*$E103/$D103/$D103*Q103*1000000)</f>
        <v>0</v>
      </c>
      <c r="S103" s="1656">
        <f>IF($G103=0,0,IF($F103="recht",1+($G103-$E$17)/$E$18,1+($G103-$E$17-0.301*$E$18)/$E$18))+IF($H103=0,0,IF($F103="recht",$H103/$E$19,($H103-0.301*$E$19)/$E$19))+$I103/$E$20</f>
        <v>6.024390243902439</v>
      </c>
      <c r="T103" s="1663">
        <f>10^(-S103)</f>
        <v>9.4538728313079291E-7</v>
      </c>
      <c r="U103" s="1656">
        <f>($C$7*$E$11*$E103/$D103/$D103*T103*1000000)</f>
        <v>0</v>
      </c>
      <c r="V103" s="1656">
        <f>IF($G103=0,0,IF($F103="recht",1+($G103-$F$17)/$F$18,1+($G103-$F$17-0.301*$F$18)/$F$18))+IF($H103=0,0,IF($F103="recht",$H103/$F$19,($H103-0.301*$F$19)/$F$19))+$I103/$F$20</f>
        <v>9.1481481481481488</v>
      </c>
      <c r="W103" s="1661">
        <f>10^(-V103)</f>
        <v>7.1097094323124171E-10</v>
      </c>
      <c r="X103" s="1658">
        <f>($C$7*$F$11*$E103/$D103/$D103*W103*1000000)</f>
        <v>0</v>
      </c>
      <c r="Y103" s="1656">
        <f>IF($G103=0,0,IF($F103="recht",1+($G103-$G$17)/$G$18,1+($G103-$G$17-0.301*$G$18)/$G$18))+IF($H103=0,0,IF($F103="recht",$H103/$G$19,($H103-0.301*$G$19)/$G$19))+$I103/$G$20</f>
        <v>6.9444444444444446</v>
      </c>
      <c r="Z103" s="1661">
        <f>10^(-Y103)</f>
        <v>1.136463666385722E-7</v>
      </c>
      <c r="AA103" s="1658">
        <f>($C$7*$G$11*$E103/$D103/$D103*Z103*1000000)</f>
        <v>0</v>
      </c>
      <c r="AB103" s="1708">
        <f>SUM(O103,R103,U103,X103,AA103)</f>
        <v>0</v>
      </c>
      <c r="AC103" s="1180">
        <f>SUM(AB103:AB122)*$D$86/2400/1000</f>
        <v>3.4549245040549982E-4</v>
      </c>
      <c r="AD103" s="942">
        <f>AC103*$D$87</f>
        <v>1.7274622520274991E-3</v>
      </c>
      <c r="AE103" s="1233"/>
      <c r="AF103" s="336"/>
      <c r="AG103" s="345"/>
      <c r="AH103" s="345"/>
      <c r="AI103" s="345"/>
      <c r="AJ103" s="345"/>
      <c r="AK103" s="345"/>
    </row>
    <row r="104" spans="1:62" s="325" customFormat="1" ht="19.5" customHeight="1">
      <c r="A104" s="964"/>
      <c r="B104" s="1012" t="str">
        <f>C$3</f>
        <v>Linac 4</v>
      </c>
      <c r="C104" s="1624"/>
      <c r="D104" s="1719"/>
      <c r="E104" s="1720"/>
      <c r="F104" s="1628"/>
      <c r="G104" s="1628"/>
      <c r="H104" s="1628"/>
      <c r="I104" s="1628"/>
      <c r="J104" s="1867"/>
      <c r="K104" s="1867"/>
      <c r="L104" s="1706"/>
      <c r="M104" s="1659"/>
      <c r="N104" s="1662"/>
      <c r="O104" s="1657"/>
      <c r="P104" s="1657"/>
      <c r="Q104" s="1662"/>
      <c r="R104" s="1657"/>
      <c r="S104" s="1657"/>
      <c r="T104" s="1662"/>
      <c r="U104" s="1657"/>
      <c r="V104" s="1657"/>
      <c r="W104" s="1662"/>
      <c r="X104" s="1657"/>
      <c r="Y104" s="1657"/>
      <c r="Z104" s="1662"/>
      <c r="AA104" s="1657"/>
      <c r="AB104" s="1709"/>
      <c r="AC104" s="1182"/>
      <c r="AD104" s="944"/>
      <c r="AE104" s="348"/>
      <c r="AF104" s="336"/>
      <c r="AG104" s="345"/>
      <c r="AH104" s="345"/>
      <c r="AI104" s="345"/>
      <c r="AJ104" s="345"/>
      <c r="AK104" s="345"/>
    </row>
    <row r="105" spans="1:62" s="325" customFormat="1" ht="19.5" customHeight="1">
      <c r="A105" s="1002"/>
      <c r="B105" s="1005"/>
      <c r="C105" s="1687" t="s">
        <v>334</v>
      </c>
      <c r="D105" s="1710">
        <f>P12</f>
        <v>5</v>
      </c>
      <c r="E105" s="1860">
        <v>1</v>
      </c>
      <c r="F105" s="1628"/>
      <c r="G105" s="1628"/>
      <c r="H105" s="1628"/>
      <c r="I105" s="1628"/>
      <c r="J105" s="1867"/>
      <c r="K105" s="1867"/>
      <c r="L105" s="1706"/>
      <c r="M105" s="1714">
        <f>IF($G103=0,0,IF($F103="recht",$G103/$C$24,($G103-0.301*$C$24)/$C$24))+IF($H103=0,0,IF($F103="recht",$H103/$C$25,($H103-0.301*$C$25)/$C$25))+$I103/$C$26+$J103/$C$26+$K103/$C$27</f>
        <v>7.3529411764705879</v>
      </c>
      <c r="N105" s="1661">
        <f>10^(-M105)</f>
        <v>4.4366873309786093E-8</v>
      </c>
      <c r="O105" s="1658">
        <f>($C$7*$C$8*$C$11*($C$12+$C$13*$C$14)*$E105/$D105/$D105*N105*1000000)</f>
        <v>1.0648049594348663E-3</v>
      </c>
      <c r="P105" s="1658">
        <f>IF($G103=0,0,IF($F103="recht",$G103/$D$24,($G103-0.301*$D$24)/$D$24))+IF($H103=0,0,IF($F103="recht",$H103/$D$25,($H103-0.301*$D$25)/$D$25))+$I103/$D$26+$J103/$D$26+$K103/$D$27</f>
        <v>6.5789473684210522</v>
      </c>
      <c r="Q105" s="1661">
        <f>10^(-P105)</f>
        <v>2.636650898730358E-7</v>
      </c>
      <c r="R105" s="1658">
        <f>($C$7*$C$8*$D$11*($D$12+$D$13*$D$14)*$E105/$D105/$D105*Q105*1000000)</f>
        <v>6.3279621569528599E-3</v>
      </c>
      <c r="S105" s="1658">
        <f>IF($G103=0,0,IF($F103="recht",$G103/$E$24,($G103-0.301*$E$24)/$E$24))+IF($H103=0,0,IF($F103="recht",$H103/$E$25,($H103-0.301*$E$25)/$E$25))+$I103/$E$26*1+$J103/$E$26+$K103/$E$27</f>
        <v>6.5616797900262469</v>
      </c>
      <c r="T105" s="1661">
        <f>10^(-S105)</f>
        <v>2.7435963093132793E-7</v>
      </c>
      <c r="U105" s="1658">
        <f>($C$7*$C$8*$E$11*($E$12+$E$13*$E$14)*$E105/$D105/$D105*T105*1000000)</f>
        <v>6.5846311423518713E-3</v>
      </c>
      <c r="V105" s="1658">
        <f>IF($G103=0,0,IF($F103="recht",$G103/$F$24,($G103-0.301*$F$24)/$F$24))+IF($H103=0,0,IF($F103="recht",$H103/$F$25,($H103-0.301*$F$25)/$F$25))+$I103/$F$26+$J103/$F$26+$K103/$F$27</f>
        <v>8.1967213114754092</v>
      </c>
      <c r="W105" s="1661">
        <f>10^(-V105)</f>
        <v>6.3573875711648393E-9</v>
      </c>
      <c r="X105" s="1658">
        <f>($C$7*$C$8*$F$11*($F$12+$F$13*$F$14)*$E105/$D105/$D105*W105*1000000)</f>
        <v>8.6460470967841829E-5</v>
      </c>
      <c r="Y105" s="1658">
        <f>IF($G103=0,0,IF($F103="recht",$G103/$G$24,($G103-0.301*$G$24)/$G$24))+IF($H103=0,0,IF($F103="recht",$H103/$G$25,($H103-0.301*$G$25)/$G$25))+$I103/$G$26+$J103/$G$26+$K103/$G$27</f>
        <v>7.0224719101123592</v>
      </c>
      <c r="Z105" s="1661">
        <f>10^(-Y105)</f>
        <v>9.4957241494880226E-8</v>
      </c>
      <c r="AA105" s="1658">
        <f>($C$7*$C$8*$G$11*($G$12+$G$13*$G$14)*$E105/$D105/$D105*Z105*1000000)</f>
        <v>8.7360662175289805E-4</v>
      </c>
      <c r="AB105" s="1716">
        <f>SUM(O105,R105,U105,X105,AA105)</f>
        <v>1.4937465351460337E-2</v>
      </c>
      <c r="AC105" s="1182"/>
      <c r="AD105" s="944"/>
      <c r="AE105" s="348"/>
      <c r="AF105" s="336"/>
      <c r="AG105" s="345"/>
      <c r="AH105" s="345"/>
      <c r="AI105" s="345"/>
      <c r="AJ105" s="345"/>
      <c r="AK105" s="345"/>
    </row>
    <row r="106" spans="1:62" s="325" customFormat="1" ht="19.5" customHeight="1">
      <c r="A106" s="1002"/>
      <c r="B106" s="1005"/>
      <c r="C106" s="1688"/>
      <c r="D106" s="1711"/>
      <c r="E106" s="1876"/>
      <c r="F106" s="1629"/>
      <c r="G106" s="1629"/>
      <c r="H106" s="1629"/>
      <c r="I106" s="1629"/>
      <c r="J106" s="1868"/>
      <c r="K106" s="1868"/>
      <c r="L106" s="1707"/>
      <c r="M106" s="1715"/>
      <c r="N106" s="1668"/>
      <c r="O106" s="1660"/>
      <c r="P106" s="1660"/>
      <c r="Q106" s="1668"/>
      <c r="R106" s="1660"/>
      <c r="S106" s="1660"/>
      <c r="T106" s="1668"/>
      <c r="U106" s="1660"/>
      <c r="V106" s="1660"/>
      <c r="W106" s="1668"/>
      <c r="X106" s="1660"/>
      <c r="Y106" s="1660"/>
      <c r="Z106" s="1668"/>
      <c r="AA106" s="1660"/>
      <c r="AB106" s="1717"/>
      <c r="AC106" s="1182"/>
      <c r="AD106" s="944"/>
      <c r="AE106" s="348"/>
      <c r="AF106" s="336"/>
      <c r="AG106" s="345"/>
      <c r="AH106" s="345"/>
      <c r="AI106" s="345"/>
      <c r="AJ106" s="345"/>
      <c r="AK106" s="345"/>
    </row>
    <row r="107" spans="1:62" s="325" customFormat="1" ht="19.5" customHeight="1">
      <c r="A107" s="1000"/>
      <c r="B107" s="1008"/>
      <c r="C107" s="1692" t="s">
        <v>322</v>
      </c>
      <c r="D107" s="1694"/>
      <c r="E107" s="1737">
        <v>0</v>
      </c>
      <c r="F107" s="1739" t="s">
        <v>12</v>
      </c>
      <c r="G107" s="1724">
        <v>0</v>
      </c>
      <c r="H107" s="1724">
        <v>0</v>
      </c>
      <c r="I107" s="1702">
        <v>0</v>
      </c>
      <c r="J107" s="1751">
        <v>0</v>
      </c>
      <c r="K107" s="1627">
        <v>0</v>
      </c>
      <c r="L107" s="1731">
        <v>0</v>
      </c>
      <c r="M107" s="1735">
        <f>IF($G107=0,0,IF($F107="recht",1+($G107-$C$17)/$C$18,1+($G107-$C$17-0.301*$C$18)/$C$18))+IF($H107=0,0,IF($F107="recht",$H107/$C$19,($H107-0.301*$C$19)/$C$19))+$I107/$C$20+$J107/$L$52+$K107/$L$53</f>
        <v>0</v>
      </c>
      <c r="N107" s="1663">
        <f>10^(-M107)</f>
        <v>1</v>
      </c>
      <c r="O107" s="1656">
        <f>$C$7*$C$11*$E$107/$P$11/$P$11*$P$23*$O$35/$P$15/$P$15*$P$26*$N$38/$P$18/$P$18*N107*1000000</f>
        <v>0</v>
      </c>
      <c r="P107" s="1656">
        <f>IF($G107=0,0,IF($F107="recht",1+($G107-$D$17)/$D$18,1+($G107-$D$17-0.301*$D$18)/$D$18))+IF($H107=0,0,IF($F107="recht",$H107/$D$19,($H107-0.301*$D$19)/$D$19))+$I107/$D$20+$J107/$L$52+$K107/$L$53</f>
        <v>0</v>
      </c>
      <c r="Q107" s="1663">
        <f>10^(-P107)</f>
        <v>1</v>
      </c>
      <c r="R107" s="1656">
        <f>$C$7*$D$11*$E$107/$P$11/$P$11*$P$23*$P$35/$P$15/$P$15*$P$26*$N$38/$P$18/$P$18*Q107*1000000</f>
        <v>0</v>
      </c>
      <c r="S107" s="1656">
        <f>IF($G107=0,0,IF($F107="recht",1+($G107-$E$17)/$E$18,1+($G107-$E$17-0.301*$E$18)/$E$18))+IF($H107=0,0,IF($F107="recht",$H107/$E$19,($H107-0.301*$E$19)/$E$19))+$I107/$E$20+$J107/$L$52+$K107/$L$53</f>
        <v>0</v>
      </c>
      <c r="T107" s="1663">
        <f>10^(-S107)</f>
        <v>1</v>
      </c>
      <c r="U107" s="1656">
        <f>$C$7*$E$11*$E$107/$P$11/$P$11*$P$23*$Q$35/$P$15/$P$15*$P$26*$N$38/$P$18/$P$18*T107*1000000</f>
        <v>0</v>
      </c>
      <c r="V107" s="1656">
        <f>IF($G107=0,0,IF($F107="recht",1+($G107-$F$17)/$F$18,1+($G107-$F$17-0.301*$F$18)/$F$18))+IF($H107=0,0,IF($F107="recht",$H107/$F$19,($H107-0.301*$F$19)/$F$19))+$I107/$F$20+$J107/$L$52+$K107/$L$53</f>
        <v>0</v>
      </c>
      <c r="W107" s="1663">
        <f>10^(-V107)</f>
        <v>1</v>
      </c>
      <c r="X107" s="1656">
        <f>$C$7*$F$11*$E$107/$P$11/$P$11*$P$23*$R$35/$P$15/$P$15*$P$26*$N$38/$P$18/$P$18*W107*1000000</f>
        <v>0</v>
      </c>
      <c r="Y107" s="1656">
        <f>IF($G107=0,0,IF($F107="recht",1+($G107-$G$17)/$G$18,1+($G107-$G$17-0.301*$G$18)/$G$18))+IF($H107=0,0,IF($F107="recht",$H107/$G$19,($H107-0.301*$G$19)/$G$19))+$I107/$G$20+$J107/$L$52+$K107/$L$53</f>
        <v>0</v>
      </c>
      <c r="Z107" s="1663">
        <f>10^(-Y107)</f>
        <v>1</v>
      </c>
      <c r="AA107" s="1656">
        <f>$C$7*$G$11*$E$107/$P$11/$P$11*$P$23*$S$35/$P$15/$P$15*$P$26*$N$38/$P$18/$P$18*Z107*1000000</f>
        <v>0</v>
      </c>
      <c r="AB107" s="1745">
        <f>SUM(O107,R107,U107,X107,AA107)</f>
        <v>0</v>
      </c>
      <c r="AC107" s="1182"/>
      <c r="AD107" s="944"/>
      <c r="AE107" s="348"/>
      <c r="AF107" s="410"/>
      <c r="AG107" s="336"/>
      <c r="AH107" s="442"/>
      <c r="AI107" s="336"/>
      <c r="AJ107" s="336"/>
      <c r="AK107" s="345"/>
    </row>
    <row r="108" spans="1:62" s="325" customFormat="1" ht="19.5" customHeight="1">
      <c r="A108" s="1000"/>
      <c r="B108" s="1008"/>
      <c r="C108" s="1693"/>
      <c r="D108" s="1734"/>
      <c r="E108" s="1738"/>
      <c r="F108" s="1740"/>
      <c r="G108" s="1725"/>
      <c r="H108" s="1725"/>
      <c r="I108" s="1703"/>
      <c r="J108" s="1752"/>
      <c r="K108" s="1628"/>
      <c r="L108" s="1732"/>
      <c r="M108" s="1736"/>
      <c r="N108" s="1668"/>
      <c r="O108" s="1660"/>
      <c r="P108" s="1660"/>
      <c r="Q108" s="1668"/>
      <c r="R108" s="1660"/>
      <c r="S108" s="1660"/>
      <c r="T108" s="1668"/>
      <c r="U108" s="1660"/>
      <c r="V108" s="1660"/>
      <c r="W108" s="1668"/>
      <c r="X108" s="1660"/>
      <c r="Y108" s="1660"/>
      <c r="Z108" s="1668"/>
      <c r="AA108" s="1660"/>
      <c r="AB108" s="1717"/>
      <c r="AC108" s="1182"/>
      <c r="AD108" s="944"/>
      <c r="AE108" s="348"/>
      <c r="AF108" s="410"/>
      <c r="AG108" s="336"/>
      <c r="AH108" s="442"/>
      <c r="AI108" s="336"/>
      <c r="AJ108" s="336"/>
      <c r="AK108" s="345"/>
    </row>
    <row r="109" spans="1:62" s="325" customFormat="1" ht="19.5" customHeight="1">
      <c r="A109" s="1000"/>
      <c r="B109" s="1008"/>
      <c r="C109" s="1692" t="s">
        <v>323</v>
      </c>
      <c r="D109" s="1694"/>
      <c r="E109" s="1727">
        <v>0</v>
      </c>
      <c r="F109" s="1737" t="s">
        <v>12</v>
      </c>
      <c r="G109" s="1746">
        <v>0</v>
      </c>
      <c r="H109" s="1746">
        <v>0</v>
      </c>
      <c r="I109" s="1748">
        <v>0</v>
      </c>
      <c r="J109" s="1753"/>
      <c r="K109" s="1628"/>
      <c r="L109" s="1732"/>
      <c r="M109" s="1735">
        <f>IF($G109=0,0,IF($F109="recht",$G109/$C$30,($G109-0.301*$C$30)/$C$30))+IF($H109=0,0,IF($F109="recht",$H109/$C$31,($H109-0.301*$C$31)/$C$31))+$I109/$C$32+$J107/$L$52+$K107/$L$53</f>
        <v>0</v>
      </c>
      <c r="N109" s="1663">
        <f>10^(-M109)</f>
        <v>1</v>
      </c>
      <c r="O109" s="1656">
        <f>$C$7*$C$11*$E$109/$P$10/$P$10*$P$22*$O$34/$P$14/$P$14*$P$24*$N$36/$P$16/$P$16*$P$26*$N$38/$P$18/$P$18*N109*1000000</f>
        <v>0</v>
      </c>
      <c r="P109" s="1656">
        <f>IF($G109=0,0,IF($F109="recht",$G109/$C$30,($G109-0.301*$C$30)/$C$30))+IF($H109=0,0,IF(F109="recht",$H109/$C$31,($H109-0.301*$C$31)/$C$31))+$I109/$C$32+$J107/$L$52+$K107/$L$53</f>
        <v>0</v>
      </c>
      <c r="Q109" s="1663">
        <f>10^(-P109)</f>
        <v>1</v>
      </c>
      <c r="R109" s="1656">
        <f>$C$7*$D$11*$E$109/$P$10/$P$10*$P$22*$P$34/$P$14/$P$14*$P$24*$N$36/$P$16/$P$16*$P$26*$N$38/$P$18/$P$18*Q109*1000000</f>
        <v>0</v>
      </c>
      <c r="S109" s="1656">
        <f>IF($G109=0,0,IF($F109="recht",$G109/$C$30,($G109-0.301*$C$30)/$C$30))+IF($H109=0,0,IF($F109="recht",$H109/$C$31,($H109-0.301*$C$31)/$C$31))+$I109/$C$32+$J107/$L$52+$K107/$L$53</f>
        <v>0</v>
      </c>
      <c r="T109" s="1663">
        <f>10^(-S109)</f>
        <v>1</v>
      </c>
      <c r="U109" s="1656">
        <f>$C$7*$E$11*$E$109/$P$10/$P$10*$P$22*$Q$34/$P$14/$P$14*$P$24*$N$36/$P$16/$P$16*$P$26*$N$38/$P$18/$P$18*T109*1000000</f>
        <v>0</v>
      </c>
      <c r="V109" s="1656">
        <f>IF($G109=0,0,IF($F109="recht",$G109/$C$30,($G109-0.301*$C$30)/$C$30))+IF($H109=0,0,IF($F109="recht",$H109/$C$31,($H109-0.301*$C$31)/$C$31))+$I109/$C$32+$J107/$L$52+$K107/$L$53</f>
        <v>0</v>
      </c>
      <c r="W109" s="1663">
        <f>10^(-V109)</f>
        <v>1</v>
      </c>
      <c r="X109" s="1656">
        <f>$C$7*$F$11*$E$109/$P$10/$P$10*$P$22*$R$34/$P$14/$P$14*$P$24*$N$36/$P$16/$P$16*$P$26*$N$38/$P$18/$P$18*W109*1000000</f>
        <v>0</v>
      </c>
      <c r="Y109" s="1656">
        <f>IF($G109=0,0,IF($F109="recht",$G109/$C$30,($G109-0.301*$C$30)/$C$30))+IF($H109=0,0,IF($F109="recht",$H109/$C$31,($H109-0.301*$C$31)/$C$31))+$I109/$C$32+$J107/$L$52+$K107/$L$53</f>
        <v>0</v>
      </c>
      <c r="Z109" s="1663">
        <f>10^(-Y109)</f>
        <v>1</v>
      </c>
      <c r="AA109" s="1656">
        <f>$C$7*$G$11*$E$109/$P$10/$P$10*$P$22*$S$34/$P$14/$P$14*$P$24*$N$36/$P$16/$P$16*$P$26*$N$38/$P$18/$P$18*Z109*1000000</f>
        <v>0</v>
      </c>
      <c r="AB109" s="1745">
        <f>SUM(O109,R109,U109,X109,AA109)</f>
        <v>0</v>
      </c>
      <c r="AC109" s="1182"/>
      <c r="AD109" s="944"/>
      <c r="AE109" s="348"/>
      <c r="AF109" s="410"/>
      <c r="AG109" s="336"/>
      <c r="AH109" s="442"/>
      <c r="AI109" s="336"/>
      <c r="AJ109" s="336"/>
      <c r="AK109" s="345"/>
      <c r="AL109" s="345"/>
      <c r="AM109" s="345"/>
      <c r="AN109" s="345"/>
      <c r="AO109" s="345"/>
      <c r="AP109" s="355"/>
      <c r="AQ109" s="355"/>
      <c r="AR109" s="355"/>
      <c r="AS109" s="382"/>
      <c r="AT109" s="382"/>
      <c r="AU109" s="382"/>
    </row>
    <row r="110" spans="1:62" s="325" customFormat="1" ht="19.5" customHeight="1">
      <c r="A110" s="1000"/>
      <c r="B110" s="1008"/>
      <c r="C110" s="1682"/>
      <c r="D110" s="1734"/>
      <c r="E110" s="1728"/>
      <c r="F110" s="1738"/>
      <c r="G110" s="1747"/>
      <c r="H110" s="1747"/>
      <c r="I110" s="1749"/>
      <c r="J110" s="1753"/>
      <c r="K110" s="1628"/>
      <c r="L110" s="1732"/>
      <c r="M110" s="1736"/>
      <c r="N110" s="1668"/>
      <c r="O110" s="1660"/>
      <c r="P110" s="1660"/>
      <c r="Q110" s="1668"/>
      <c r="R110" s="1660"/>
      <c r="S110" s="1660"/>
      <c r="T110" s="1668"/>
      <c r="U110" s="1660"/>
      <c r="V110" s="1660"/>
      <c r="W110" s="1668"/>
      <c r="X110" s="1660"/>
      <c r="Y110" s="1660"/>
      <c r="Z110" s="1668"/>
      <c r="AA110" s="1660"/>
      <c r="AB110" s="1717"/>
      <c r="AC110" s="1182"/>
      <c r="AD110" s="944"/>
      <c r="AE110" s="348"/>
      <c r="AF110" s="311"/>
      <c r="AG110" s="336"/>
      <c r="AH110" s="442"/>
      <c r="AI110" s="336"/>
      <c r="AJ110" s="336"/>
      <c r="AK110" s="345"/>
      <c r="AL110" s="345"/>
      <c r="AM110" s="345"/>
      <c r="AN110" s="345"/>
      <c r="AO110" s="345"/>
      <c r="AP110" s="355"/>
      <c r="AQ110" s="355"/>
      <c r="AR110" s="355"/>
      <c r="AS110" s="382"/>
      <c r="AT110" s="382"/>
      <c r="AU110" s="382"/>
    </row>
    <row r="111" spans="1:62" s="325" customFormat="1" ht="19.5" customHeight="1">
      <c r="A111" s="1003"/>
      <c r="B111" s="1022"/>
      <c r="C111" s="1692" t="s">
        <v>321</v>
      </c>
      <c r="D111" s="1633"/>
      <c r="E111" s="1871">
        <v>1</v>
      </c>
      <c r="F111" s="1737" t="s">
        <v>12</v>
      </c>
      <c r="G111" s="1746">
        <v>0</v>
      </c>
      <c r="H111" s="1746">
        <v>0</v>
      </c>
      <c r="I111" s="1748">
        <v>0</v>
      </c>
      <c r="J111" s="1753"/>
      <c r="K111" s="1628"/>
      <c r="L111" s="1732"/>
      <c r="M111" s="1656">
        <f>IF($G111=0,0,IF($F111="recht",$G111/$C$24,($G111-0.301*$C$24)/$C$24))+IF($H111=0,0,IF($F111="recht",$H111/$C$25,($H111-0.301*$C$25)/$C$25))+$I111/$C$26+$J107/$L$52+$K107/$L$53</f>
        <v>0</v>
      </c>
      <c r="N111" s="1663">
        <f>10^(-M111)</f>
        <v>1</v>
      </c>
      <c r="O111" s="1656">
        <f>$C$7*$C$8*$C$11*($C$12+$C$13*$C$14)*$E$111/$P$13/$P$13*$P$25*$O$37/$P$17/$P$17*$P$26*$N$38/$P$18/$P$18*N111*1000000</f>
        <v>21.000000000000007</v>
      </c>
      <c r="P111" s="1656">
        <f>IF($G111=0,0,IF($F111="recht",$G111/$D$24,($G111-0.301*$D$24)/$D$24))+IF($H111=0,0,IF($F111="recht",$H111/$D$25,($H111-0.301*$D$25)/$D$25))+$I111/$D$26+$J107/$L$52+$K107/$L$53</f>
        <v>0</v>
      </c>
      <c r="Q111" s="1663">
        <f>10^(-P111)</f>
        <v>1</v>
      </c>
      <c r="R111" s="1656">
        <f>$C$7*$C$8*$D$11*($D$12+$D$13*$D$14)*$E$111/$P$13/$P$13*$P$25*$P$37/$P$17/$P$17*$P$26*$N$38/$P$18/$P$18*Q111*1000000</f>
        <v>27.000000000000007</v>
      </c>
      <c r="S111" s="1656">
        <f>IF($G111=0,0,IF($F111="recht",$G111/$E$24,($G111-0.301*$E$24)/$E$24))+IF($H111=0,0,IF($F111="recht",$H111/$E$25,($H111-0.301*$E$25)/$E$25))+$I111/$E$26+$J107/$L$52+$K107/$L$53</f>
        <v>0</v>
      </c>
      <c r="T111" s="1663">
        <f>10^(-S111)</f>
        <v>1</v>
      </c>
      <c r="U111" s="1656">
        <f>$C$7*$C$8*$E$11*($E$12+$E$13*$E$14)*$E$111/$P$13/$P$13*$P$25*$Q$37/$P$17/$P$17*$P$26*$N$38/$P$18/$P$18*T111*1000000</f>
        <v>39.000000000000007</v>
      </c>
      <c r="V111" s="1656">
        <f>IF($G111=0,0,IF($F111="recht",$G111/$F$24,($G111-0.301*$F$24)/$F$24))+IF($H111=0,0,IF($F111="recht",$H111/$F$25,($H111-0.301*$F$25)/$F$25))+$I111/$F$26+$J107/$L$52+$K107/$L$53</f>
        <v>0</v>
      </c>
      <c r="W111" s="1663">
        <f>10^(-V111)</f>
        <v>1</v>
      </c>
      <c r="X111" s="1656">
        <f>$C$7*$C$8*$F$11*($F$12+$F$13*$F$14)*$E$111/$P$13/$P$13*$P$25*$R$37/$P$17/$P$17*$P$26*$N$38/$P$18/$P$18*W111*1000000</f>
        <v>10.200000000000001</v>
      </c>
      <c r="Y111" s="1656">
        <f>IF($G111=0,0,IF($F111="recht",$G111/$G$24,($G111-0.301*$G$24)/$G$24))+IF($H111=0,0,IF($F111="recht",$H111/$G$25,($H111-0.301*$G$25)/$G$25))+$I111/$G$26+$J107/$L$52+$K107/$L$53</f>
        <v>0</v>
      </c>
      <c r="Z111" s="1663">
        <f>10^(-Y111)</f>
        <v>1</v>
      </c>
      <c r="AA111" s="1656">
        <f>$C$7*$C$8*$G$11*($G$12+$G$13*$G$14)*$E$111/$P$13/$P$13*$P$25*$S$37/$P$17/$P$17*$P$26*$N$38/$P$18/$P$18*Z111*1000000</f>
        <v>6.8539999999999992</v>
      </c>
      <c r="AB111" s="1750">
        <f>SUM(O111,R111,U111,X111,AA111)</f>
        <v>104.05400000000003</v>
      </c>
      <c r="AC111" s="1181"/>
      <c r="AD111" s="943"/>
      <c r="AE111" s="348"/>
      <c r="AF111" s="410"/>
      <c r="AG111" s="336"/>
      <c r="AH111" s="442"/>
      <c r="AI111" s="345"/>
      <c r="AJ111" s="345"/>
      <c r="AK111" s="345"/>
    </row>
    <row r="112" spans="1:62" s="325" customFormat="1" ht="19.5" customHeight="1">
      <c r="A112" s="1003"/>
      <c r="B112" s="1022"/>
      <c r="C112" s="1693"/>
      <c r="D112" s="1634"/>
      <c r="E112" s="1872"/>
      <c r="F112" s="1835"/>
      <c r="G112" s="1836"/>
      <c r="H112" s="1836"/>
      <c r="I112" s="1837"/>
      <c r="J112" s="1753"/>
      <c r="K112" s="1628"/>
      <c r="L112" s="1732"/>
      <c r="M112" s="1659"/>
      <c r="N112" s="1699"/>
      <c r="O112" s="1659"/>
      <c r="P112" s="1659"/>
      <c r="Q112" s="1699"/>
      <c r="R112" s="1659"/>
      <c r="S112" s="1659"/>
      <c r="T112" s="1699"/>
      <c r="U112" s="1659"/>
      <c r="V112" s="1659"/>
      <c r="W112" s="1699"/>
      <c r="X112" s="1659"/>
      <c r="Y112" s="1659"/>
      <c r="Z112" s="1699"/>
      <c r="AA112" s="1659"/>
      <c r="AB112" s="1750"/>
      <c r="AC112" s="1181"/>
      <c r="AD112" s="943"/>
      <c r="AE112" s="348"/>
      <c r="AF112" s="410"/>
      <c r="AG112" s="336"/>
      <c r="AH112" s="442"/>
      <c r="AI112" s="345"/>
      <c r="AJ112" s="345"/>
      <c r="AK112" s="345"/>
    </row>
    <row r="113" spans="1:82" s="325" customFormat="1" ht="19.5" customHeight="1">
      <c r="A113" s="1000"/>
      <c r="B113" s="1008"/>
      <c r="C113" s="1623" t="s">
        <v>475</v>
      </c>
      <c r="D113" s="586"/>
      <c r="E113" s="1727">
        <v>0.25</v>
      </c>
      <c r="F113" s="1835"/>
      <c r="G113" s="1836"/>
      <c r="H113" s="1836"/>
      <c r="I113" s="1837"/>
      <c r="J113" s="1753"/>
      <c r="K113" s="1628"/>
      <c r="L113" s="1732"/>
      <c r="M113" s="1714">
        <f>IF($G111=0,0,IF($F111="recht",$G111/$C$30,($G111-0.301*$C$30)/$C$30))+IF($H111=0,0,IF($F111="recht",$H111/$C$31,($H111-0.301*$C$31)/$C$31))+$I111/$C$32+$J107/$L$52+$K107/$L$53</f>
        <v>0</v>
      </c>
      <c r="N113" s="1663">
        <f>10^(-M113)</f>
        <v>1</v>
      </c>
      <c r="O113" s="1656">
        <f>$C$7*$C$11*$E$113*$O$41*$P$27/400*$N$36*$N$38*$P$25*$P$26/1/1/$P$13/$P$13/$P$17/$P$17/$P$18/$P$18*N113*1000000</f>
        <v>3.3012499999999996</v>
      </c>
      <c r="P113" s="1714">
        <f>IF($G111=0,0,IF($F111="recht",$G111/$C$30,($G111-0.301*$C$30)/$C30))+IF($H$111=0,0,IF($F111="recht",$H111/$C$31,($H111-0.301*$C$31)/$C$31))+$I111/$C$32+$J107/$L$52+$K107/$L$53</f>
        <v>0</v>
      </c>
      <c r="Q113" s="1663">
        <f>10^(-P113)</f>
        <v>1</v>
      </c>
      <c r="R113" s="1656">
        <f>$C$7*$D$11*$E$113*$P$41*$P$27/400*$N$36*$N$38*$P$25*$P$26/1/1/$P$13/$P$13/$P$17/$P$17/$P$18/$P$18*Q113*1000000</f>
        <v>3.2062499999999998</v>
      </c>
      <c r="S113" s="1714">
        <f>IF($G111=0,0,IF($F111="recht",$G111/$C$30,($G111-0.301*$C$30)/$C$30))+IF($H111=0,0,IF($F111="recht",$H111/$C$31,($H111-0.301*$C$31)/$C$31))+$I111/$C$32+$J107/$L$52+$K107/$L$53</f>
        <v>0</v>
      </c>
      <c r="T113" s="1663">
        <f>10^(-S113)</f>
        <v>1</v>
      </c>
      <c r="U113" s="1656">
        <f>$C$7*$E$11*$E$113*$Q$41*$P$27/400*$N$36*$N$38*$P$25*$P$26/1/1/$P$13/$P$13/$P$17/$P$17/$P$18/$P$18*T113*1000000</f>
        <v>2.4937499999999995</v>
      </c>
      <c r="V113" s="1714">
        <f>IF($G111=0,0,IF($F111="recht",$G111/$C$30,($G111-0.301*$C$30)/$C$30))+IF($H111=0,0,IF($F111="recht",$H111/$C$31,($H111-0.301*$C$31)/$C$31))+$I111/$C$32+$J107/$L$52+$K107/$L$53</f>
        <v>0</v>
      </c>
      <c r="W113" s="1663">
        <f>10^(-V113)</f>
        <v>1</v>
      </c>
      <c r="X113" s="1656">
        <f>$C$7*$F$11*$E$113*$R$41*$P$27/400*$N$36*$N$38*$P$26*$P$25/1/1/$P$13/$P$13/$P$17/$P$17/$P$18/$P$18*W113*1000000</f>
        <v>3.0874999999999995</v>
      </c>
      <c r="Y113" s="1714">
        <f>IF($G111=0,0,IF($F111="recht",$G111/$C$30,($G111-0.301*$C$30)/$C$30))+IF($H111=0,0,IF($F111="recht",$H111/$C$31,($H111-0.301*$C$31)/$C$31))+$I111/$C$32+$J107/$L$52+$K107/$L$53</f>
        <v>0</v>
      </c>
      <c r="Z113" s="1663">
        <f>10^(-Y113)</f>
        <v>1</v>
      </c>
      <c r="AA113" s="1656">
        <f>$C$7*$G$11*$E$113*$S$41*$P$27/400*$N$36*$N$38*$P$25*$P$26/1/1/$P$13/$P$13/$P$17/$P$17/$P$18/$P$18*Z113*1000000</f>
        <v>2.8499999999999996</v>
      </c>
      <c r="AB113" s="1745">
        <f>SUM(O113,R113,U113,X113,AA113)</f>
        <v>14.938749999999997</v>
      </c>
      <c r="AC113" s="1181"/>
      <c r="AD113" s="944"/>
      <c r="AE113" s="348"/>
      <c r="AF113" s="311"/>
      <c r="AG113" s="336"/>
      <c r="AH113" s="442"/>
      <c r="AI113" s="336"/>
      <c r="AJ113" s="336"/>
      <c r="AK113" s="345"/>
      <c r="AL113" s="345"/>
      <c r="AM113" s="345"/>
      <c r="AN113" s="345"/>
      <c r="AO113" s="345"/>
      <c r="AP113" s="355"/>
      <c r="AQ113" s="355"/>
      <c r="AR113" s="355"/>
      <c r="AS113" s="382"/>
      <c r="AT113" s="382"/>
      <c r="AU113" s="382"/>
    </row>
    <row r="114" spans="1:82" s="325" customFormat="1" ht="19.5" customHeight="1">
      <c r="A114" s="1000"/>
      <c r="B114" s="1008"/>
      <c r="C114" s="1726"/>
      <c r="D114" s="586"/>
      <c r="E114" s="1728"/>
      <c r="F114" s="1835"/>
      <c r="G114" s="1836"/>
      <c r="H114" s="1836"/>
      <c r="I114" s="1837"/>
      <c r="J114" s="1753"/>
      <c r="K114" s="1628"/>
      <c r="L114" s="1732"/>
      <c r="M114" s="1715"/>
      <c r="N114" s="1668"/>
      <c r="O114" s="1660"/>
      <c r="P114" s="1715"/>
      <c r="Q114" s="1668"/>
      <c r="R114" s="1660"/>
      <c r="S114" s="1715"/>
      <c r="T114" s="1668"/>
      <c r="U114" s="1660"/>
      <c r="V114" s="1715"/>
      <c r="W114" s="1668"/>
      <c r="X114" s="1660"/>
      <c r="Y114" s="1715"/>
      <c r="Z114" s="1668"/>
      <c r="AA114" s="1660"/>
      <c r="AB114" s="1717"/>
      <c r="AC114" s="1181"/>
      <c r="AD114" s="944"/>
      <c r="AE114" s="348"/>
      <c r="AF114" s="311"/>
      <c r="AG114" s="336"/>
      <c r="AH114" s="442"/>
      <c r="AI114" s="336"/>
      <c r="AJ114" s="336"/>
      <c r="AK114" s="345"/>
      <c r="AL114" s="345"/>
      <c r="AM114" s="345"/>
      <c r="AN114" s="345"/>
      <c r="AO114" s="345"/>
      <c r="AP114" s="355"/>
      <c r="AQ114" s="355"/>
      <c r="AR114" s="355"/>
      <c r="AS114" s="382"/>
      <c r="AT114" s="382"/>
      <c r="AU114" s="382"/>
    </row>
    <row r="115" spans="1:82" s="325" customFormat="1" ht="19.5" customHeight="1">
      <c r="A115" s="1000"/>
      <c r="B115" s="1008"/>
      <c r="C115" s="1623" t="s">
        <v>476</v>
      </c>
      <c r="D115" s="586"/>
      <c r="E115" s="1727">
        <v>0.5</v>
      </c>
      <c r="F115" s="1835"/>
      <c r="G115" s="1836"/>
      <c r="H115" s="1836"/>
      <c r="I115" s="1837"/>
      <c r="J115" s="1753"/>
      <c r="K115" s="1628"/>
      <c r="L115" s="1732"/>
      <c r="M115" s="1714">
        <f>IF($G111=0,0,IF($F111="recht",$G111/$C$30,($G111-0.301*$C$30)/$C30))+IF($H111=0,0,IF($F111="recht",$H111/$C$31,($H111-0.301*$C$31)/$C$31))+$I111/$C$32+$J107/$L$52+$K107/$L$53</f>
        <v>0</v>
      </c>
      <c r="N115" s="1663">
        <f>10^(-M115)</f>
        <v>1</v>
      </c>
      <c r="O115" s="1656">
        <f>$C$7*$C$11*$E$115*$O$42*$P$27/400*$N$36*$N$38*$P$25*$P$26/1/1/$P$13/$P$13/$P$17/$P$17/$P$18/$P$18*N115*1000000</f>
        <v>2.0235000000000003</v>
      </c>
      <c r="P115" s="1714">
        <f>IF($G111=0,0,IF(F111="recht",$G111/$C$30,($G111-0.301*$C$30)/$C$30))+IF($H111=0,0,IF($F111="recht",$H111/$C$31,($H111-0.301*$C$31)/$C$31))+$I111/$C$32+$J107/$L$52+$K107/$L$53</f>
        <v>0</v>
      </c>
      <c r="Q115" s="1663">
        <f>10^(-P115)</f>
        <v>1</v>
      </c>
      <c r="R115" s="1656">
        <f>$C$7*$D$11*$E$115*$P$42*$P$27/400*$N$36*$N$38*$P$25*$P$26/1/1/$P$13/$P$13/$P$17/$P$17/$P$18/$P$18*Q115*1000000</f>
        <v>1.8097500000000002</v>
      </c>
      <c r="S115" s="1714">
        <f>IF($G111=0,0,IF(I111="recht",$G111/$C$30,($G111-0.301*$C$30)/$C$30))+IF($H111=0,0,IF($F111="recht",$H111/$C$31,($H111-0.301*$C$31)/$C$31))+$I111/$C$32+$J107/$L$52+$K107/$L$53</f>
        <v>0</v>
      </c>
      <c r="T115" s="1663">
        <f>10^(-S115)</f>
        <v>1</v>
      </c>
      <c r="U115" s="1656">
        <f>$C$7*$E$11*$E$115*$Q$42*$P$27/400*$N$36*$N$38*$P$25*$P$26/1/1/$P$13/$P$13/$P$17/$P$17/$P$18/$P$18*T115*1000000</f>
        <v>1.2397500000000001</v>
      </c>
      <c r="V115" s="1714">
        <f>IF($G111=0,0,IF(L111="recht",$G111/$C$30,($G111-0.301*$C$30)/$C$30))+IF($H111=0,0,IF($F111="recht",$H111/$C$31,($H111-0.301*$C$31)/$C$31))+$I111/$C$32+$J107/$L$52+$K107/$L$53</f>
        <v>0</v>
      </c>
      <c r="W115" s="1663">
        <f>10^(-V115)</f>
        <v>1</v>
      </c>
      <c r="X115" s="1656">
        <f>$C$7*$F$11*$E$115*$R$42*$P$27/400*$N$36*$N$38*$P$25*$P$26/1/1/$P$13/$P$13/$P$17/$P$17/$P$18/$P$18*W115*1000000</f>
        <v>2.1185</v>
      </c>
      <c r="Y115" s="1714">
        <f>IF($G111=0,0,IF(O111="recht",$G111/$C$30,($G111-0.301*$C$30)/$C$30))+IF($H111=0,0,IF($F111="recht",$H111/$C$31,($H111-0.301*$C$31)/$C$31))+$I111/$C$32+$J107/$L$52+$K107/$L$53</f>
        <v>0</v>
      </c>
      <c r="Z115" s="1663">
        <f>10^(-Y115)</f>
        <v>1</v>
      </c>
      <c r="AA115" s="1656">
        <f>$C$7*$G$11*$E$115*$S$42*$P$27/400*$N$36*$N$38*$P$25*$P$26/1/1/$P$13/$P$13/$P$17/$P$17/$P$18/$P$18*Z115*1000000</f>
        <v>1.91425</v>
      </c>
      <c r="AB115" s="1745">
        <f>SUM(O115,R115,U115,X115,AA115)</f>
        <v>9.1057500000000005</v>
      </c>
      <c r="AC115" s="1181"/>
      <c r="AD115" s="943"/>
      <c r="AE115" s="348"/>
      <c r="AF115" s="311"/>
      <c r="AG115" s="336"/>
      <c r="AH115" s="442"/>
      <c r="AI115" s="336"/>
      <c r="AJ115" s="336"/>
      <c r="AK115" s="345"/>
      <c r="AL115" s="345"/>
      <c r="AM115" s="345"/>
      <c r="AN115" s="345"/>
      <c r="AO115" s="345"/>
      <c r="AP115" s="355"/>
      <c r="AQ115" s="355"/>
      <c r="AR115" s="355"/>
      <c r="AS115" s="382"/>
      <c r="AT115" s="382"/>
      <c r="AU115" s="382"/>
    </row>
    <row r="116" spans="1:82" s="325" customFormat="1" ht="19.5" customHeight="1">
      <c r="A116" s="1000"/>
      <c r="B116" s="1008"/>
      <c r="C116" s="1726"/>
      <c r="D116" s="586"/>
      <c r="E116" s="1728"/>
      <c r="F116" s="1835"/>
      <c r="G116" s="1836"/>
      <c r="H116" s="1836"/>
      <c r="I116" s="1837"/>
      <c r="J116" s="1753"/>
      <c r="K116" s="1628"/>
      <c r="L116" s="1732"/>
      <c r="M116" s="1715"/>
      <c r="N116" s="1668"/>
      <c r="O116" s="1660"/>
      <c r="P116" s="1715"/>
      <c r="Q116" s="1668"/>
      <c r="R116" s="1660"/>
      <c r="S116" s="1715"/>
      <c r="T116" s="1668"/>
      <c r="U116" s="1660"/>
      <c r="V116" s="1715"/>
      <c r="W116" s="1668"/>
      <c r="X116" s="1660"/>
      <c r="Y116" s="1715"/>
      <c r="Z116" s="1668"/>
      <c r="AA116" s="1660"/>
      <c r="AB116" s="1717"/>
      <c r="AC116" s="1181"/>
      <c r="AD116" s="943"/>
      <c r="AE116" s="348"/>
      <c r="AF116" s="311"/>
      <c r="AG116" s="336"/>
      <c r="AH116" s="442"/>
      <c r="AI116" s="336"/>
      <c r="AJ116" s="336"/>
      <c r="AK116" s="345"/>
      <c r="AL116" s="345"/>
      <c r="AM116" s="345"/>
      <c r="AN116" s="345"/>
      <c r="AO116" s="345"/>
      <c r="AP116" s="355"/>
      <c r="AQ116" s="355"/>
      <c r="AR116" s="355"/>
      <c r="AS116" s="382"/>
      <c r="AT116" s="382"/>
      <c r="AU116" s="382"/>
    </row>
    <row r="117" spans="1:82" s="325" customFormat="1" ht="19.5" customHeight="1">
      <c r="A117" s="1000"/>
      <c r="B117" s="1008"/>
      <c r="C117" s="1623" t="s">
        <v>477</v>
      </c>
      <c r="D117" s="586"/>
      <c r="E117" s="1727">
        <v>0.25</v>
      </c>
      <c r="F117" s="1835"/>
      <c r="G117" s="1836"/>
      <c r="H117" s="1836"/>
      <c r="I117" s="1837"/>
      <c r="J117" s="1753"/>
      <c r="K117" s="1628"/>
      <c r="L117" s="1732"/>
      <c r="M117" s="1714">
        <f>IF($G111=0,0,IF($F111="recht",$G111/$C$30,($G111-0.301*$C$30)/$C$30))+IF($H111=0,0,IF($F111="recht",$H111/$C$31,($H111-0.301*$C$31)/$C$31))+$I111/$C$32+$J107/$L$52+$K107/$L$53</f>
        <v>0</v>
      </c>
      <c r="N117" s="1663">
        <f>10^(-M117)</f>
        <v>1</v>
      </c>
      <c r="O117" s="1656">
        <f>$C$7*$C$11*$E$117*$O$43*$P$27/400*$N$36*$N$38*$P$25*$P$26/1/1/$P$13/$P$13/$P$17/$P$17/$P$18/$P$18*N117*1000000</f>
        <v>0.71249999999999991</v>
      </c>
      <c r="P117" s="1714">
        <f>IF($G111=0,0,IF($F111="recht",$G111/$C$30,($G111-0.301*$C$30)/$C$30))+IF($H111=0,0,IF($F111="recht",$H111/$C$31,($H111-0.301*$C$31)/$C$31))+$I111/$C$32+$J107/$L$52+$K107/$L$53</f>
        <v>0</v>
      </c>
      <c r="Q117" s="1663">
        <f>10^(-P117)</f>
        <v>1</v>
      </c>
      <c r="R117" s="1656">
        <f>$C$7*$D$11*$E$117*$P$43*$P$27/400*$N$36*$N$38*$P$25*$P$26/1/1/$P$13/$P$13/$P$17/$P$17/$P$18/$P$18*Q117*1000000</f>
        <v>0.71724999999999994</v>
      </c>
      <c r="S117" s="1714">
        <f>IF($G111=0,0,IF($F111="recht",$G111/$C$30,($G111-0.301*$C$30)/$C$30))+IF($H111=0,0,IF($F111="recht",$H111/$C$31,($H111-0.301*$C$31)/$C$31))+$I111/$C$32+$J107/$L$52+$K107/$L$53</f>
        <v>0</v>
      </c>
      <c r="T117" s="1663">
        <f>10^(-S117)</f>
        <v>1</v>
      </c>
      <c r="U117" s="1656">
        <f>$C$7*$E$11*$E$117*$Q$43*$P$27/400*$N$36*$N$38*$P$25*$P$26/1/1/$P$13/$P$13/$P$17/$P$17/$P$18/$P$18*T117*1000000</f>
        <v>0.45362500000000011</v>
      </c>
      <c r="V117" s="1714">
        <f>IF($G111=0,0,IF($F111="recht",$G111/$C$30,($G111-0.301*$C$30)/$C$30))+IF($H111=0,0,IF($F111="recht",$H111/$C$31,($H111-0.301*$C$31)/$C$31))+$I111/$C$32+$J107/$L$52+$K107/$L$53</f>
        <v>0</v>
      </c>
      <c r="W117" s="1663">
        <f>10^(-V117)</f>
        <v>1</v>
      </c>
      <c r="X117" s="1656">
        <f>$C$7*$F$11*$E$117*$R$43*$P$27/400*$N$36*$N$38*$P$25*$P$26/1/1/$P$13/$P$13/$P$17/$P$17/$P$18/$P$18*W117*1000000</f>
        <v>0.81225000000000003</v>
      </c>
      <c r="Y117" s="1714">
        <f>IF($G111=0,0,IF($F111="recht",$G111/$C$30,($G111-0.301*$C$30)/$C$30))+IF($H111=0,0,IF($F111="recht",$H111/$C$31,($H111-0.301*$C$31)/$C$31))+$I111/$C$32+$J107/$L$52+$K107/$L$53</f>
        <v>0</v>
      </c>
      <c r="Z117" s="1663">
        <f>10^(-Y117)</f>
        <v>1</v>
      </c>
      <c r="AA117" s="1656">
        <f>$C$7*$G$11*$E$117*$S$43*$P$27/400*$N$36*$N$38*$P$25*$P$26/1/1/$P$13/$P$13/$P$17/$P$17/$P$18/$P$18*Z117*1000000</f>
        <v>0.90725000000000022</v>
      </c>
      <c r="AB117" s="1745">
        <f>SUM(O117,R117,U117,X117,AA117)</f>
        <v>3.6028750000000005</v>
      </c>
      <c r="AC117" s="1181"/>
      <c r="AD117" s="944"/>
      <c r="AE117" s="348"/>
      <c r="AF117" s="311"/>
      <c r="AG117" s="336"/>
      <c r="AH117" s="442"/>
      <c r="AI117" s="336"/>
      <c r="AJ117" s="336"/>
      <c r="AK117" s="345"/>
      <c r="AL117" s="345"/>
      <c r="AM117" s="345"/>
      <c r="AN117" s="345"/>
      <c r="AO117" s="345"/>
      <c r="AP117" s="355"/>
      <c r="AQ117" s="355"/>
      <c r="AR117" s="355"/>
      <c r="AS117" s="382"/>
      <c r="AT117" s="382"/>
      <c r="AU117" s="382"/>
    </row>
    <row r="118" spans="1:82" s="325" customFormat="1" ht="19.5" customHeight="1">
      <c r="A118" s="1000"/>
      <c r="B118" s="1008"/>
      <c r="C118" s="1726"/>
      <c r="D118" s="586"/>
      <c r="E118" s="1728"/>
      <c r="F118" s="1738"/>
      <c r="G118" s="1747"/>
      <c r="H118" s="1747"/>
      <c r="I118" s="1749"/>
      <c r="J118" s="1753"/>
      <c r="K118" s="1628"/>
      <c r="L118" s="1732"/>
      <c r="M118" s="1715"/>
      <c r="N118" s="1668"/>
      <c r="O118" s="1660"/>
      <c r="P118" s="1715"/>
      <c r="Q118" s="1668"/>
      <c r="R118" s="1660"/>
      <c r="S118" s="1715"/>
      <c r="T118" s="1668"/>
      <c r="U118" s="1660"/>
      <c r="V118" s="1715"/>
      <c r="W118" s="1668"/>
      <c r="X118" s="1660"/>
      <c r="Y118" s="1715"/>
      <c r="Z118" s="1668"/>
      <c r="AA118" s="1660"/>
      <c r="AB118" s="1717"/>
      <c r="AC118" s="1181"/>
      <c r="AD118" s="944"/>
      <c r="AE118" s="348"/>
      <c r="AF118" s="311"/>
      <c r="AG118" s="336"/>
      <c r="AH118" s="442"/>
      <c r="AI118" s="336"/>
      <c r="AJ118" s="336"/>
      <c r="AK118" s="345"/>
      <c r="AL118" s="345"/>
      <c r="AM118" s="345"/>
      <c r="AN118" s="345"/>
      <c r="AO118" s="345"/>
      <c r="AP118" s="355"/>
      <c r="AQ118" s="355"/>
      <c r="AR118" s="355"/>
      <c r="AS118" s="382"/>
      <c r="AT118" s="382"/>
      <c r="AU118" s="382"/>
    </row>
    <row r="119" spans="1:82" s="325" customFormat="1" ht="19.5" customHeight="1">
      <c r="A119" s="1000"/>
      <c r="B119" s="1008"/>
      <c r="C119" s="1744" t="s">
        <v>44</v>
      </c>
      <c r="D119" s="1633"/>
      <c r="E119" s="1634"/>
      <c r="F119" s="1713"/>
      <c r="G119" s="1706"/>
      <c r="H119" s="1741"/>
      <c r="I119" s="1713"/>
      <c r="J119" s="1752"/>
      <c r="K119" s="1628"/>
      <c r="L119" s="1732"/>
      <c r="M119" s="1656">
        <f>$J107/$M$52+$K107/$M$53+$L107/$M$54</f>
        <v>0</v>
      </c>
      <c r="N119" s="1663">
        <f>10^(-M119)</f>
        <v>1</v>
      </c>
      <c r="O119" s="1656">
        <f>$C$7*$C$11*($C$12+$C$13*$C$14)*0.0000000000000024*($C$10)*(SQRT($P$29/$P$30)*((1.64*10^(-$P$20/1.9)+10^(-$P$20/(2.06*SQRT($P$30))))*(1-$P$45)*$N$119*1000000))</f>
        <v>0</v>
      </c>
      <c r="P119" s="1656">
        <f>$J107/$M$52+$K107/$M$53+$L107/$M$54</f>
        <v>0</v>
      </c>
      <c r="Q119" s="1663">
        <f>10^(-P119)</f>
        <v>1</v>
      </c>
      <c r="R119" s="1656">
        <f>$C$7*$D$11*($D$12+$D$13*$D$14)*0.0000000000000024*($D$10)*(SQRT($P$29/$P$30)*((1.64*10^(-$P$20/1.9)+10^(-$P$20/(2.06*SQRT($P$30))))*(1-$P$45)*$Q$119*1000000))</f>
        <v>0</v>
      </c>
      <c r="S119" s="1656">
        <f>$J107/$M$52+$K107/$M$53+$L107/$M$54</f>
        <v>0</v>
      </c>
      <c r="T119" s="1663">
        <f>10^(-S119)</f>
        <v>1</v>
      </c>
      <c r="U119" s="1656">
        <f>$C$7*$E$11*($E$12+$E$13*$E$14)*0.0000000000000024*($E$10)*(SQRT($P$29/$P$30)*((1.64*10^(-$P$20/1.9)+10^(-$P$20/(2.06*SQRT($P$30))))*(1-$P$45)*$T$119*1000000))</f>
        <v>9.9054452546101235E-2</v>
      </c>
      <c r="V119" s="1656">
        <f>$J107/$M$52+$K107/$M$53+$L107/$M$54</f>
        <v>0</v>
      </c>
      <c r="W119" s="1663">
        <f>10^(-V119)</f>
        <v>1</v>
      </c>
      <c r="X119" s="1656">
        <f>$C$7*$F$11*($F$12+$F$13*$F$14)*0.0000000000000024*($F$10)*(SQRT($P$29/$P$30)*((1.64*10^(-$P$20/1.9)+10^(-$P$20/(2.06*SQRT($P$30))))*(1-$P$45)*$W$119*1000000))</f>
        <v>0</v>
      </c>
      <c r="Y119" s="1656">
        <f>$J107/$M$52+$K107/$M$53+$L107/$M$54</f>
        <v>0</v>
      </c>
      <c r="Z119" s="1663">
        <f>10^(-Y119)</f>
        <v>1</v>
      </c>
      <c r="AA119" s="1656">
        <f>$C$7*$G$11*($G$12+$G$13*$G$14)*0.0000000000000024*($G$10)*(SQRT($P$29/$P$30)*((1.64*10^(-$P$20/1.9)+10^(-$P$20/(2.06*SQRT($P$30))))*(1-$P$45)*$Z$119*1000000))</f>
        <v>0</v>
      </c>
      <c r="AB119" s="1745">
        <f>SUM(O119,R119,U119,X119,AA119)</f>
        <v>9.9054452546101235E-2</v>
      </c>
      <c r="AC119" s="1181"/>
      <c r="AD119" s="1351"/>
      <c r="AE119" s="348"/>
      <c r="AF119" s="311"/>
      <c r="AG119" s="336"/>
      <c r="AH119" s="442"/>
      <c r="AI119" s="336"/>
      <c r="AJ119" s="336"/>
      <c r="AK119" s="345"/>
      <c r="AL119" s="345"/>
      <c r="AM119" s="345"/>
      <c r="AN119" s="345"/>
      <c r="AO119" s="345"/>
      <c r="AP119" s="355"/>
      <c r="AQ119" s="355"/>
      <c r="AR119" s="355"/>
      <c r="AS119" s="355"/>
      <c r="AT119" s="355"/>
      <c r="AU119" s="355"/>
      <c r="AV119" s="345"/>
      <c r="AW119" s="345"/>
      <c r="AX119" s="345"/>
      <c r="AY119" s="345"/>
      <c r="AZ119" s="345"/>
      <c r="BA119" s="345"/>
      <c r="BB119" s="345"/>
      <c r="BC119" s="345"/>
      <c r="BD119" s="345"/>
      <c r="BE119" s="345"/>
      <c r="BF119" s="345"/>
      <c r="BG119" s="345"/>
      <c r="BH119" s="345"/>
      <c r="BI119" s="345"/>
      <c r="BJ119" s="345"/>
    </row>
    <row r="120" spans="1:82" s="325" customFormat="1" ht="19.5" customHeight="1">
      <c r="A120" s="1000"/>
      <c r="B120" s="1008"/>
      <c r="C120" s="1742"/>
      <c r="D120" s="1652"/>
      <c r="E120" s="1652"/>
      <c r="F120" s="1743"/>
      <c r="G120" s="1707"/>
      <c r="H120" s="1742"/>
      <c r="I120" s="1743"/>
      <c r="J120" s="1752"/>
      <c r="K120" s="1628"/>
      <c r="L120" s="1732"/>
      <c r="M120" s="1660"/>
      <c r="N120" s="1668"/>
      <c r="O120" s="1660"/>
      <c r="P120" s="1660"/>
      <c r="Q120" s="1668"/>
      <c r="R120" s="1660"/>
      <c r="S120" s="1660"/>
      <c r="T120" s="1668"/>
      <c r="U120" s="1660"/>
      <c r="V120" s="1660"/>
      <c r="W120" s="1668"/>
      <c r="X120" s="1660"/>
      <c r="Y120" s="1660"/>
      <c r="Z120" s="1668"/>
      <c r="AA120" s="1660"/>
      <c r="AB120" s="1717"/>
      <c r="AC120" s="1181"/>
      <c r="AD120" s="943"/>
      <c r="AE120" s="348"/>
      <c r="AF120" s="311"/>
      <c r="AG120" s="336"/>
      <c r="AH120" s="442"/>
      <c r="AI120" s="336"/>
      <c r="AJ120" s="336"/>
      <c r="AK120" s="345"/>
      <c r="AL120" s="345"/>
      <c r="AM120" s="345"/>
      <c r="AN120" s="345"/>
      <c r="AO120" s="345"/>
      <c r="AP120" s="355"/>
      <c r="AQ120" s="355"/>
      <c r="AR120" s="355"/>
      <c r="AS120" s="355"/>
      <c r="AT120" s="355"/>
      <c r="AU120" s="355"/>
      <c r="AV120" s="345"/>
      <c r="AW120" s="345"/>
      <c r="AX120" s="345"/>
      <c r="AY120" s="345"/>
      <c r="AZ120" s="345"/>
      <c r="BA120" s="345"/>
      <c r="BB120" s="345"/>
      <c r="BC120" s="345"/>
      <c r="BD120" s="345"/>
      <c r="BE120" s="345"/>
      <c r="BF120" s="345"/>
      <c r="BG120" s="345"/>
      <c r="BH120" s="345"/>
      <c r="BI120" s="345"/>
      <c r="BJ120" s="345"/>
    </row>
    <row r="121" spans="1:82" s="325" customFormat="1" ht="19.5" customHeight="1">
      <c r="A121" s="1000"/>
      <c r="B121" s="1008"/>
      <c r="C121" s="1755" t="s">
        <v>269</v>
      </c>
      <c r="D121" s="1633"/>
      <c r="E121" s="1633"/>
      <c r="F121" s="1757"/>
      <c r="G121" s="1758"/>
      <c r="H121" s="1744"/>
      <c r="I121" s="1757"/>
      <c r="J121" s="1752"/>
      <c r="K121" s="1628"/>
      <c r="L121" s="1732"/>
      <c r="M121" s="1656">
        <f>$J107/$N$52+$K107/$N$53</f>
        <v>0</v>
      </c>
      <c r="N121" s="1663">
        <f>10^(-M121)</f>
        <v>1</v>
      </c>
      <c r="O121" s="1761">
        <f>$C$7*$C$11*($C$12+$C$13*$C$14)*0.00000000000000057*$C$10*10^-($P$20/6.2)*(1-$P$46)*N121*1000000</f>
        <v>0</v>
      </c>
      <c r="P121" s="1656">
        <f>$J107/$N$52+$K107/$N$53</f>
        <v>0</v>
      </c>
      <c r="Q121" s="1663">
        <f>10^(-P121)</f>
        <v>1</v>
      </c>
      <c r="R121" s="1760">
        <f>$C$7*$D$11*($D$12+$D$13*$D$14)*0.00000000000000057*$D$10*10^-($P$20/6.2)*(1-$P$46)*Q121*1000000</f>
        <v>0</v>
      </c>
      <c r="S121" s="1763">
        <f>$J107/$N$52+$K107/$N$53</f>
        <v>0</v>
      </c>
      <c r="T121" s="1663">
        <f>10^(-S121)</f>
        <v>1</v>
      </c>
      <c r="U121" s="1760">
        <f>$C$7*$E$11*($E$12+$E$13*$E$14)*0.00000000000000057*$E$10*10^-($P$20/6.2)*(1-$P$46)*T121*1000000</f>
        <v>34.021009276742291</v>
      </c>
      <c r="V121" s="1656">
        <f>$J107/$N$52+$K107/$N$53</f>
        <v>0</v>
      </c>
      <c r="W121" s="1663">
        <f>10^(-V121)</f>
        <v>1</v>
      </c>
      <c r="X121" s="1760">
        <f>$C$7*$F$11*($F$12+$F$13*$F$14)*0.00000000000000057*$F$10*10^-($P$20/6.2)*(1-$P$46)*W121*1000000</f>
        <v>0</v>
      </c>
      <c r="Y121" s="1656">
        <f>$J107/$N$52+$K107/$N$53</f>
        <v>0</v>
      </c>
      <c r="Z121" s="1663">
        <f>10^(-Y121)</f>
        <v>1</v>
      </c>
      <c r="AA121" s="1760">
        <f>$C$7*$G$11*($G$12+$G$13*$G$14)*0.00000000000000057*$G$10*10^-($P$20/6.2)*(1-$P$46)*Z121*1000000</f>
        <v>0</v>
      </c>
      <c r="AB121" s="1745">
        <f>SUM(O121,R121,U121,X121,AA121)</f>
        <v>34.021009276742291</v>
      </c>
      <c r="AC121" s="1181"/>
      <c r="AD121" s="944"/>
      <c r="AE121" s="348"/>
      <c r="AF121" s="311"/>
      <c r="AG121" s="336"/>
      <c r="AH121" s="442"/>
      <c r="AI121" s="336"/>
      <c r="AJ121" s="336"/>
      <c r="AK121" s="345"/>
      <c r="AL121" s="345"/>
      <c r="AM121" s="345"/>
      <c r="AN121" s="345"/>
      <c r="AO121" s="345"/>
      <c r="AP121" s="355"/>
      <c r="AQ121" s="355"/>
      <c r="AR121" s="355"/>
      <c r="AS121" s="355"/>
      <c r="AT121" s="355"/>
      <c r="AU121" s="355"/>
      <c r="AV121" s="345"/>
      <c r="AW121" s="345"/>
      <c r="AX121" s="345"/>
      <c r="AY121" s="345"/>
      <c r="AZ121" s="345"/>
      <c r="BA121" s="345"/>
      <c r="BB121" s="345"/>
      <c r="BC121" s="345"/>
      <c r="BD121" s="345"/>
      <c r="BE121" s="345"/>
      <c r="BF121" s="345"/>
      <c r="BG121" s="345"/>
      <c r="BH121" s="345"/>
      <c r="BI121" s="345"/>
      <c r="BJ121" s="345"/>
    </row>
    <row r="122" spans="1:82" s="325" customFormat="1" ht="19.5" customHeight="1" thickBot="1">
      <c r="A122" s="1023"/>
      <c r="B122" s="1020"/>
      <c r="C122" s="1756"/>
      <c r="D122" s="1652"/>
      <c r="E122" s="1652"/>
      <c r="F122" s="1743"/>
      <c r="G122" s="1759"/>
      <c r="H122" s="1742"/>
      <c r="I122" s="1743"/>
      <c r="J122" s="1754"/>
      <c r="K122" s="1629"/>
      <c r="L122" s="1733"/>
      <c r="M122" s="1660"/>
      <c r="N122" s="1668"/>
      <c r="O122" s="1762"/>
      <c r="P122" s="1660"/>
      <c r="Q122" s="1668"/>
      <c r="R122" s="1715"/>
      <c r="S122" s="1764"/>
      <c r="T122" s="1668"/>
      <c r="U122" s="1715"/>
      <c r="V122" s="1660"/>
      <c r="W122" s="1668"/>
      <c r="X122" s="1715"/>
      <c r="Y122" s="1660"/>
      <c r="Z122" s="1668"/>
      <c r="AA122" s="1715"/>
      <c r="AB122" s="1781"/>
      <c r="AC122" s="1183"/>
      <c r="AD122" s="945"/>
      <c r="AE122" s="348"/>
      <c r="AF122" s="311"/>
      <c r="AG122" s="336"/>
      <c r="AH122" s="442"/>
      <c r="AI122" s="336"/>
      <c r="AJ122" s="336"/>
      <c r="AK122" s="345"/>
      <c r="AL122" s="345"/>
      <c r="AM122" s="345"/>
      <c r="AN122" s="345"/>
      <c r="AO122" s="345"/>
      <c r="AP122" s="355"/>
      <c r="AQ122" s="355"/>
      <c r="AR122" s="355"/>
      <c r="AS122" s="355"/>
      <c r="AT122" s="355"/>
      <c r="AU122" s="355"/>
      <c r="AV122" s="345"/>
      <c r="AW122" s="345"/>
      <c r="AX122" s="345"/>
      <c r="AY122" s="345"/>
      <c r="AZ122" s="345"/>
      <c r="BA122" s="345"/>
      <c r="BB122" s="345"/>
      <c r="BC122" s="345"/>
      <c r="BD122" s="345"/>
      <c r="BE122" s="345"/>
      <c r="BF122" s="345"/>
      <c r="BG122" s="345"/>
      <c r="BH122" s="345"/>
      <c r="BI122" s="345"/>
      <c r="BJ122" s="345"/>
    </row>
    <row r="123" spans="1:82" s="325" customFormat="1" ht="19.5" customHeight="1">
      <c r="A123" s="898"/>
      <c r="B123" s="358"/>
      <c r="C123" s="766"/>
      <c r="D123" s="895"/>
      <c r="E123" s="895"/>
      <c r="F123" s="895"/>
      <c r="G123" s="895"/>
      <c r="H123" s="895"/>
      <c r="I123" s="895"/>
      <c r="J123" s="901"/>
      <c r="K123" s="901"/>
      <c r="L123" s="899"/>
      <c r="M123" s="900"/>
      <c r="N123" s="897"/>
      <c r="O123" s="896"/>
      <c r="P123" s="896"/>
      <c r="Q123" s="897"/>
      <c r="R123" s="896"/>
      <c r="S123" s="896"/>
      <c r="T123" s="897"/>
      <c r="U123" s="896"/>
      <c r="V123" s="896"/>
      <c r="W123" s="897"/>
      <c r="X123" s="896"/>
      <c r="Y123" s="896"/>
      <c r="Z123" s="897"/>
      <c r="AA123" s="896"/>
      <c r="AB123" s="896"/>
      <c r="AC123" s="428"/>
      <c r="AD123" s="338"/>
      <c r="AE123" s="336"/>
      <c r="AF123" s="336"/>
      <c r="AG123" s="345"/>
      <c r="AH123" s="345"/>
      <c r="AI123" s="345"/>
      <c r="AJ123" s="345"/>
      <c r="AK123" s="345"/>
      <c r="AL123" s="345"/>
      <c r="AM123" s="345"/>
      <c r="AN123" s="345"/>
      <c r="AO123" s="345"/>
      <c r="AP123" s="345"/>
      <c r="AQ123" s="345"/>
      <c r="AR123" s="345"/>
      <c r="AS123" s="345"/>
      <c r="AT123" s="345"/>
      <c r="AU123" s="345"/>
      <c r="AV123" s="345"/>
      <c r="AW123" s="345"/>
      <c r="AX123" s="345"/>
      <c r="AY123" s="345"/>
      <c r="AZ123" s="345"/>
      <c r="BA123" s="345"/>
      <c r="BB123" s="345"/>
      <c r="BC123" s="345"/>
      <c r="BD123" s="345"/>
      <c r="BE123" s="345"/>
      <c r="BF123" s="345"/>
      <c r="BG123" s="345"/>
      <c r="BH123" s="345"/>
      <c r="BI123" s="345"/>
      <c r="BJ123" s="345"/>
    </row>
    <row r="124" spans="1:82" s="325" customFormat="1" ht="19.5" customHeight="1">
      <c r="A124" s="336"/>
      <c r="B124" s="336"/>
      <c r="C124" s="336"/>
      <c r="D124" s="336"/>
      <c r="E124" s="336"/>
      <c r="F124" s="336"/>
      <c r="G124" s="336"/>
      <c r="H124" s="336"/>
      <c r="I124" s="358"/>
      <c r="J124" s="387"/>
      <c r="K124" s="388"/>
      <c r="L124" s="389"/>
      <c r="M124" s="390"/>
      <c r="N124" s="391"/>
      <c r="O124" s="390"/>
      <c r="P124" s="392"/>
      <c r="Q124" s="331"/>
      <c r="R124" s="331"/>
      <c r="S124" s="331"/>
      <c r="T124" s="331"/>
      <c r="U124" s="331"/>
      <c r="V124" s="311"/>
      <c r="W124" s="393"/>
      <c r="X124" s="393"/>
      <c r="Y124" s="394"/>
      <c r="Z124" s="311"/>
      <c r="AA124" s="311"/>
      <c r="AB124" s="66"/>
      <c r="AC124" s="66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53"/>
      <c r="AQ124" s="428"/>
      <c r="AR124" s="428"/>
      <c r="AS124" s="428"/>
      <c r="AT124" s="428"/>
      <c r="AU124" s="428"/>
      <c r="AV124" s="428"/>
      <c r="AW124" s="428"/>
      <c r="AX124" s="428"/>
      <c r="AY124" s="428"/>
      <c r="AZ124" s="428"/>
      <c r="BA124" s="428"/>
      <c r="BB124" s="428"/>
      <c r="BC124" s="428"/>
      <c r="BD124" s="428"/>
      <c r="BE124" s="428"/>
      <c r="BF124" s="428"/>
      <c r="BG124" s="428"/>
      <c r="BH124" s="428"/>
      <c r="BI124" s="428"/>
      <c r="BJ124" s="428"/>
      <c r="BK124" s="385"/>
      <c r="BL124" s="338"/>
      <c r="BM124" s="338"/>
      <c r="BN124" s="336"/>
      <c r="BO124" s="338"/>
      <c r="BP124" s="336"/>
      <c r="BQ124" s="442"/>
      <c r="BR124" s="336"/>
      <c r="BS124" s="336"/>
      <c r="BT124" s="345"/>
      <c r="BU124" s="345"/>
      <c r="BV124" s="345"/>
      <c r="BW124" s="345"/>
      <c r="BX124" s="345"/>
      <c r="BY124" s="355"/>
      <c r="BZ124" s="355"/>
      <c r="CA124" s="355"/>
      <c r="CB124" s="382"/>
      <c r="CC124" s="382"/>
      <c r="CD124" s="382"/>
    </row>
    <row r="125" spans="1:82" s="345" customFormat="1" ht="19.5" customHeight="1">
      <c r="A125" s="919" t="s">
        <v>513</v>
      </c>
      <c r="B125" s="902"/>
      <c r="C125" s="329"/>
      <c r="D125" s="469"/>
      <c r="E125" s="469"/>
      <c r="F125" s="389"/>
      <c r="G125" s="469"/>
      <c r="H125" s="469"/>
      <c r="I125" s="469"/>
      <c r="J125" s="465"/>
      <c r="K125" s="451"/>
      <c r="L125" s="465"/>
      <c r="M125" s="465"/>
      <c r="N125" s="451"/>
      <c r="O125" s="465"/>
      <c r="P125" s="465"/>
      <c r="Q125" s="451"/>
      <c r="R125" s="465"/>
      <c r="S125" s="465"/>
      <c r="T125" s="451"/>
      <c r="U125" s="465"/>
      <c r="V125" s="465"/>
      <c r="W125" s="451"/>
      <c r="X125" s="465"/>
      <c r="Y125" s="465"/>
      <c r="Z125" s="385"/>
      <c r="AA125" s="385"/>
      <c r="AG125" s="428"/>
      <c r="AI125" s="428"/>
      <c r="AJ125" s="428"/>
      <c r="AK125" s="428"/>
      <c r="AL125" s="428"/>
      <c r="AP125" s="336"/>
      <c r="AQ125" s="442"/>
      <c r="AR125" s="336"/>
      <c r="AS125" s="336"/>
      <c r="AY125" s="355"/>
      <c r="AZ125" s="355"/>
    </row>
    <row r="126" spans="1:82" s="345" customFormat="1" ht="19.5" customHeight="1">
      <c r="B126" s="389" t="s">
        <v>560</v>
      </c>
      <c r="C126" s="329"/>
      <c r="D126" s="469"/>
      <c r="E126" s="469"/>
      <c r="F126" s="389"/>
      <c r="G126" s="469"/>
      <c r="H126" s="469"/>
      <c r="I126" s="469"/>
      <c r="J126" s="465"/>
      <c r="K126" s="451"/>
      <c r="L126" s="465"/>
      <c r="M126" s="465"/>
      <c r="N126" s="451"/>
      <c r="O126" s="465"/>
      <c r="P126" s="465"/>
      <c r="Q126" s="451"/>
      <c r="R126" s="465"/>
      <c r="S126" s="465"/>
      <c r="T126" s="451"/>
      <c r="U126" s="465"/>
      <c r="V126" s="465"/>
      <c r="W126" s="451"/>
      <c r="X126" s="465"/>
      <c r="Y126" s="465"/>
      <c r="Z126" s="385"/>
      <c r="AA126" s="385"/>
      <c r="AG126" s="428"/>
      <c r="AI126" s="428"/>
      <c r="AJ126" s="428"/>
      <c r="AK126" s="428"/>
      <c r="AL126" s="428"/>
      <c r="AP126" s="336"/>
      <c r="AQ126" s="442"/>
      <c r="AR126" s="336"/>
      <c r="AS126" s="336"/>
      <c r="AY126" s="355"/>
      <c r="AZ126" s="355"/>
    </row>
    <row r="127" spans="1:82" s="345" customFormat="1" ht="19.5" customHeight="1">
      <c r="A127" s="1633" t="s">
        <v>65</v>
      </c>
      <c r="B127" s="1653" t="s">
        <v>19</v>
      </c>
      <c r="C127" s="1692" t="s">
        <v>31</v>
      </c>
      <c r="D127" s="1692" t="s">
        <v>270</v>
      </c>
      <c r="E127" s="1694" t="s">
        <v>0</v>
      </c>
      <c r="F127" s="1692" t="s">
        <v>103</v>
      </c>
      <c r="G127" s="1694" t="s">
        <v>113</v>
      </c>
      <c r="H127" s="1695"/>
      <c r="I127" s="1653"/>
      <c r="J127" s="487" t="s">
        <v>363</v>
      </c>
      <c r="K127" s="1250" t="s">
        <v>564</v>
      </c>
      <c r="L127" s="1673">
        <f>$C$6</f>
        <v>6</v>
      </c>
      <c r="M127" s="1674"/>
      <c r="N127" s="1675"/>
      <c r="O127" s="1673">
        <f>$D$6</f>
        <v>10</v>
      </c>
      <c r="P127" s="1674"/>
      <c r="Q127" s="1675"/>
      <c r="R127" s="1673">
        <f>$E$6</f>
        <v>15</v>
      </c>
      <c r="S127" s="1674"/>
      <c r="T127" s="1675"/>
      <c r="U127" s="1673" t="str">
        <f>$F$6</f>
        <v>6 FFF</v>
      </c>
      <c r="V127" s="1674"/>
      <c r="W127" s="1675"/>
      <c r="X127" s="1673" t="str">
        <f>$G$6</f>
        <v>10 FFF</v>
      </c>
      <c r="Y127" s="1674"/>
      <c r="Z127" s="1676"/>
      <c r="AA127" s="487" t="s">
        <v>425</v>
      </c>
      <c r="AB127" s="487" t="s">
        <v>425</v>
      </c>
      <c r="AH127" s="428"/>
      <c r="AJ127" s="428"/>
      <c r="AK127" s="428"/>
      <c r="AL127" s="428"/>
      <c r="AM127" s="428"/>
      <c r="AQ127" s="336"/>
      <c r="AR127" s="442"/>
      <c r="AS127" s="336"/>
      <c r="AT127" s="336"/>
      <c r="AZ127" s="355"/>
      <c r="BA127" s="355"/>
    </row>
    <row r="128" spans="1:82" s="345" customFormat="1" ht="19.5" customHeight="1">
      <c r="A128" s="1634"/>
      <c r="B128" s="1654"/>
      <c r="C128" s="1682"/>
      <c r="D128" s="1682"/>
      <c r="E128" s="1696"/>
      <c r="F128" s="1682"/>
      <c r="G128" s="1696"/>
      <c r="H128" s="1697"/>
      <c r="I128" s="1654"/>
      <c r="J128" s="641" t="s">
        <v>563</v>
      </c>
      <c r="K128" s="1034" t="s">
        <v>171</v>
      </c>
      <c r="L128" s="328" t="s">
        <v>170</v>
      </c>
      <c r="M128" s="328" t="s">
        <v>329</v>
      </c>
      <c r="N128" s="328" t="s">
        <v>425</v>
      </c>
      <c r="O128" s="328" t="s">
        <v>170</v>
      </c>
      <c r="P128" s="328" t="s">
        <v>329</v>
      </c>
      <c r="Q128" s="328" t="s">
        <v>425</v>
      </c>
      <c r="R128" s="328" t="s">
        <v>170</v>
      </c>
      <c r="S128" s="328" t="s">
        <v>329</v>
      </c>
      <c r="T128" s="328" t="s">
        <v>425</v>
      </c>
      <c r="U128" s="328" t="s">
        <v>170</v>
      </c>
      <c r="V128" s="328" t="s">
        <v>329</v>
      </c>
      <c r="W128" s="328" t="s">
        <v>425</v>
      </c>
      <c r="X128" s="328" t="s">
        <v>170</v>
      </c>
      <c r="Y128" s="328" t="s">
        <v>329</v>
      </c>
      <c r="Z128" s="328" t="s">
        <v>425</v>
      </c>
      <c r="AA128" s="1034"/>
      <c r="AB128" s="641" t="s">
        <v>15</v>
      </c>
      <c r="AH128" s="428"/>
      <c r="AI128" s="428"/>
      <c r="AJ128" s="428"/>
      <c r="AK128" s="428"/>
      <c r="AL128" s="428"/>
      <c r="AM128" s="428"/>
      <c r="AQ128" s="336"/>
      <c r="AR128" s="442"/>
      <c r="AS128" s="336"/>
      <c r="AT128" s="336"/>
      <c r="AZ128" s="355"/>
      <c r="BA128" s="355"/>
    </row>
    <row r="129" spans="1:87" s="345" customFormat="1" ht="19.5" customHeight="1" thickBot="1">
      <c r="A129" s="1652"/>
      <c r="B129" s="1655"/>
      <c r="C129" s="1693"/>
      <c r="D129" s="1693"/>
      <c r="E129" s="1734"/>
      <c r="F129" s="1693"/>
      <c r="G129" s="354" t="s">
        <v>2</v>
      </c>
      <c r="H129" s="354" t="s">
        <v>96</v>
      </c>
      <c r="I129" s="354" t="s">
        <v>4</v>
      </c>
      <c r="J129" s="372" t="s">
        <v>369</v>
      </c>
      <c r="K129" s="372"/>
      <c r="L129" s="763" t="s">
        <v>331</v>
      </c>
      <c r="M129" s="763" t="s">
        <v>330</v>
      </c>
      <c r="N129" s="439" t="s">
        <v>576</v>
      </c>
      <c r="O129" s="763" t="s">
        <v>331</v>
      </c>
      <c r="P129" s="763" t="s">
        <v>330</v>
      </c>
      <c r="Q129" s="439" t="s">
        <v>576</v>
      </c>
      <c r="R129" s="764" t="s">
        <v>331</v>
      </c>
      <c r="S129" s="764" t="s">
        <v>330</v>
      </c>
      <c r="T129" s="439" t="s">
        <v>576</v>
      </c>
      <c r="U129" s="764" t="s">
        <v>331</v>
      </c>
      <c r="V129" s="764" t="s">
        <v>330</v>
      </c>
      <c r="W129" s="439" t="s">
        <v>576</v>
      </c>
      <c r="X129" s="764" t="s">
        <v>331</v>
      </c>
      <c r="Y129" s="764" t="s">
        <v>330</v>
      </c>
      <c r="Z129" s="439" t="s">
        <v>576</v>
      </c>
      <c r="AA129" s="641" t="s">
        <v>582</v>
      </c>
      <c r="AB129" s="641" t="s">
        <v>575</v>
      </c>
      <c r="AH129" s="428"/>
      <c r="AI129" s="428"/>
      <c r="AJ129" s="428"/>
      <c r="AK129" s="428"/>
      <c r="AL129" s="428"/>
      <c r="AM129" s="428"/>
      <c r="AQ129" s="336"/>
      <c r="AR129" s="442"/>
      <c r="AS129" s="336"/>
      <c r="AT129" s="336"/>
      <c r="AZ129" s="355"/>
      <c r="BA129" s="355"/>
    </row>
    <row r="130" spans="1:87" s="381" customFormat="1" ht="19.5" customHeight="1">
      <c r="A130" s="328"/>
      <c r="B130" s="1649" t="s">
        <v>535</v>
      </c>
      <c r="C130" s="1623" t="s">
        <v>333</v>
      </c>
      <c r="D130" s="1625">
        <v>6</v>
      </c>
      <c r="E130" s="1846">
        <v>0.25</v>
      </c>
      <c r="F130" s="1627" t="s">
        <v>12</v>
      </c>
      <c r="G130" s="1627">
        <v>250</v>
      </c>
      <c r="H130" s="1627">
        <v>0</v>
      </c>
      <c r="I130" s="1627">
        <v>0</v>
      </c>
      <c r="J130" s="1826">
        <v>1</v>
      </c>
      <c r="K130" s="1826">
        <v>1</v>
      </c>
      <c r="L130" s="1656">
        <f>IF($G130=0,0,IF($F130="recht",1+($G130-$C$17)/$C$18,1+($G130-$C$17-0.301*$C$18)/$C$18))+IF($H130=0,0,IF($F130="recht",$H130/$C$19,($H130-0.301*$C$19)/$C$19))+$I130/$C$20</f>
        <v>7.4545454545454541</v>
      </c>
      <c r="M130" s="1663">
        <f>10^(-L130)</f>
        <v>3.5111917342151263E-8</v>
      </c>
      <c r="N130" s="1656">
        <f>($C$7*J130/40*$C$11*$E130/$D130/$D130*M130*1000000)</f>
        <v>1.2191637966024744E-3</v>
      </c>
      <c r="O130" s="1656">
        <f>IF($G130=0,0,IF($F130="recht",1+($G130-$D$17)/$D$18,1+($G130-$D$17-0.301*$D$18)/$D$18))+IF($H130=0,0,IF($F130="recht",$H130/$D$19,($H130-0.301*$D$19)/$D$19))+$I130/$D$20</f>
        <v>6.6486486486486482</v>
      </c>
      <c r="P130" s="1663">
        <f>10^(-O130)</f>
        <v>2.2456979955397711E-7</v>
      </c>
      <c r="Q130" s="1656">
        <f>($C$7*J130/40*$D$11*$E130/$D130/$D130*P130*1000000)</f>
        <v>7.7975624845130955E-3</v>
      </c>
      <c r="R130" s="1771">
        <f>IF($G130=0,0,IF($F130="recht",1+($G130-$E$17)/$E$18,1+($G130-$E$17-0.301*$E$18)/$E$18))+IF($H130=0,0,IF($F130="recht",$H130/$E$19,($H130-0.301*$E$19)/$E$19))+$I130/$E$20</f>
        <v>6.024390243902439</v>
      </c>
      <c r="S130" s="1663">
        <f>10^(-R130)</f>
        <v>9.4538728313079291E-7</v>
      </c>
      <c r="T130" s="1656">
        <f>($C$7*J130/40*$E$11*$E130/$D130/$D130*S130*1000000)</f>
        <v>3.2825947330930312E-2</v>
      </c>
      <c r="U130" s="1771">
        <f>IF($G130=0,0,IF($F130="recht",1+($G130-$F$17)/$F$18,1+($G130-$F$17-0.301*$F$18)/$F$18))+IF($H130=0,0,IF($F130="recht",$H130/$F$19,($H130-0.301*$F$19)/$F$19))+$I130/$F$20</f>
        <v>9.1481481481481488</v>
      </c>
      <c r="V130" s="1663">
        <f>10^(-U130)</f>
        <v>7.1097094323124171E-10</v>
      </c>
      <c r="W130" s="1656">
        <f>($C$7*J130/40*$F$11*$E130/$D130/$D130*V130*1000000)</f>
        <v>2.4686491084418116E-5</v>
      </c>
      <c r="X130" s="1771">
        <f>IF($G130=0,0,IF($F130="recht",1+($G130-$G$17)/$G$18,1+($G130-$G$17-0.301*$G$18)/$G$18))+IF($H130=0,0,IF($F130="recht",$H130/$G$19,($H130-0.301*$G$19)/$G$19))+$I130/$G$20</f>
        <v>6.9444444444444446</v>
      </c>
      <c r="Y130" s="1663">
        <f>10^(-X130)</f>
        <v>1.136463666385722E-7</v>
      </c>
      <c r="Z130" s="1677">
        <f>($C$7*J130/40*$G$11*$E130/$D130/$D130*Y130*1000000)</f>
        <v>3.9460543971726455E-3</v>
      </c>
      <c r="AA130" s="1840">
        <f>(SUM(N130,Q130,T130,W130,Z130)+SUM(N132,Q132,T132,W132,Z132))/1000</f>
        <v>4.6186851134089458E-5</v>
      </c>
      <c r="AB130" s="1843">
        <f>AA130*K130</f>
        <v>4.6186851134089458E-5</v>
      </c>
    </row>
    <row r="131" spans="1:87" s="381" customFormat="1" ht="19.5" customHeight="1">
      <c r="A131" s="454"/>
      <c r="B131" s="1650"/>
      <c r="C131" s="1624"/>
      <c r="D131" s="1626"/>
      <c r="E131" s="1847"/>
      <c r="F131" s="1628"/>
      <c r="G131" s="1628"/>
      <c r="H131" s="1628"/>
      <c r="I131" s="1628"/>
      <c r="J131" s="1827"/>
      <c r="K131" s="1827"/>
      <c r="L131" s="1659"/>
      <c r="M131" s="1662"/>
      <c r="N131" s="1657"/>
      <c r="O131" s="1657"/>
      <c r="P131" s="1662"/>
      <c r="Q131" s="1657"/>
      <c r="R131" s="1772"/>
      <c r="S131" s="1662"/>
      <c r="T131" s="1657"/>
      <c r="U131" s="1772"/>
      <c r="V131" s="1662"/>
      <c r="W131" s="1657"/>
      <c r="X131" s="1772"/>
      <c r="Y131" s="1662"/>
      <c r="Z131" s="1678"/>
      <c r="AA131" s="1841"/>
      <c r="AB131" s="1844"/>
    </row>
    <row r="132" spans="1:87" s="381" customFormat="1" ht="19.5" customHeight="1">
      <c r="A132" s="326"/>
      <c r="B132" s="1650"/>
      <c r="C132" s="1687" t="s">
        <v>334</v>
      </c>
      <c r="D132" s="1626">
        <v>5</v>
      </c>
      <c r="E132" s="1824">
        <v>1</v>
      </c>
      <c r="F132" s="1628"/>
      <c r="G132" s="1628"/>
      <c r="H132" s="1628"/>
      <c r="I132" s="1628"/>
      <c r="J132" s="1827"/>
      <c r="K132" s="1827"/>
      <c r="L132" s="1658">
        <f>IF($G130=0,0,IF($F130="recht",$G130/$C$24,($G130-0.301*$C$24)/$C$24))+IF($H130=0,0,IF($F130="recht",$H130/$C$25,($H130-0.301*$C$25)/$C$25))+$I130/$C$26</f>
        <v>7.3529411764705879</v>
      </c>
      <c r="M132" s="1661">
        <f>10^(-L132)</f>
        <v>4.4366873309786093E-8</v>
      </c>
      <c r="N132" s="1658">
        <f>($C$7*J130/40*$C$8*$C$11*($C$12+$C$13*$C$14)*$E132/$D132/$D132*M132*1000000)</f>
        <v>2.6620123985871658E-5</v>
      </c>
      <c r="O132" s="1772">
        <f>IF($G130=0,0,IF(F130="recht",$G130/$D$24,($G130-0.301*$D$24)/$D$24))+IF($H130=0,0,IF($F130="recht",$H130/$D$25,($H130-0.301*$D$25)/$D$25))+$I130/$D$26</f>
        <v>6.5789473684210522</v>
      </c>
      <c r="P132" s="1661">
        <f>10^(-O132)</f>
        <v>2.636650898730358E-7</v>
      </c>
      <c r="Q132" s="1658">
        <f>($C$7*J130/40*$C$8*$D$11*($D$12+$D$13*$D$14)*$E132/$D132/$D132*P132*1000000)</f>
        <v>1.581990539238215E-4</v>
      </c>
      <c r="R132" s="1772">
        <f>IF($G130=0,0,IF($F130="recht",$G130/$E$24,($G130-0.301*$E$24)/$E$24))+IF($H130=0,0,IF($F130="recht",$H130/$E$25,($H130-0.301*$E$25)/$E$25))+$I130/$E$26</f>
        <v>6.5616797900262469</v>
      </c>
      <c r="S132" s="1661">
        <f>10^(-R132)</f>
        <v>2.7435963093132793E-7</v>
      </c>
      <c r="T132" s="1658">
        <f>($C$7*J130/40*$C$8*$E$11*($E$12+$E$13*$E$14)*$E132/$D132/$D132*S132*1000000)</f>
        <v>1.6461577855879676E-4</v>
      </c>
      <c r="U132" s="1772">
        <f>IF($G130=0,0,IF($F130="recht",$G130/$F$24,($G130-0.301*$F$24)/$F$24))+IF($H130=0,0,IF($F130="recht",$H130/$F$25,($H130-0.301*$F$25)/$F$25))+$I130/$F$26</f>
        <v>8.1967213114754092</v>
      </c>
      <c r="V132" s="1661">
        <f>10^(-U132)</f>
        <v>6.3573875711648393E-9</v>
      </c>
      <c r="W132" s="1658">
        <f>($C$7*J130/40*$C$8*$F$11*($F$12+$F$13*$F$14)*$E132/$D132/$D132*V132*1000000)</f>
        <v>2.1615117741960455E-6</v>
      </c>
      <c r="X132" s="1772">
        <f>IF($G130=0,0,IF($F130="recht",$G130/$G$24,($G130-0.301*$G$24)/$G$24))+IF($H130=0,0,IF($F130="recht",$H130/$G$25,($H130-0.301*$G$25)/$G$25))+$I130/$G$26</f>
        <v>7.0224719101123592</v>
      </c>
      <c r="Y132" s="1661">
        <f>10^(-X132)</f>
        <v>9.4957241494880226E-8</v>
      </c>
      <c r="Z132" s="1664">
        <f>($C$7*J130/40*$C$8*$G$11*($G$12+$G$13*$G$14)*$E132/$D132/$D132*Y132*1000000)</f>
        <v>2.1840165543822456E-5</v>
      </c>
      <c r="AA132" s="1841"/>
      <c r="AB132" s="1844"/>
    </row>
    <row r="133" spans="1:87" ht="19.5" customHeight="1" thickBot="1">
      <c r="A133" s="643"/>
      <c r="B133" s="1651"/>
      <c r="C133" s="1688"/>
      <c r="D133" s="1689"/>
      <c r="E133" s="1825"/>
      <c r="F133" s="1629"/>
      <c r="G133" s="1629"/>
      <c r="H133" s="1629"/>
      <c r="I133" s="1629"/>
      <c r="J133" s="1828"/>
      <c r="K133" s="1828"/>
      <c r="L133" s="1660"/>
      <c r="M133" s="1668"/>
      <c r="N133" s="1660"/>
      <c r="O133" s="1773"/>
      <c r="P133" s="1668"/>
      <c r="Q133" s="1660"/>
      <c r="R133" s="1773"/>
      <c r="S133" s="1668"/>
      <c r="T133" s="1660"/>
      <c r="U133" s="1773"/>
      <c r="V133" s="1668"/>
      <c r="W133" s="1660"/>
      <c r="X133" s="1773"/>
      <c r="Y133" s="1668"/>
      <c r="Z133" s="1665"/>
      <c r="AA133" s="1842"/>
      <c r="AB133" s="1845"/>
    </row>
    <row r="134" spans="1:87" ht="19.5" customHeight="1"/>
    <row r="135" spans="1:87" ht="19.5" customHeight="1"/>
    <row r="136" spans="1:87" s="325" customFormat="1" ht="19.5" customHeight="1" thickBot="1">
      <c r="A136" s="905" t="s">
        <v>509</v>
      </c>
      <c r="B136" s="881"/>
      <c r="C136" s="375"/>
      <c r="D136" s="376"/>
      <c r="E136" s="331"/>
      <c r="F136" s="331"/>
      <c r="G136" s="331"/>
      <c r="H136" s="331"/>
      <c r="I136" s="331"/>
      <c r="J136" s="331"/>
      <c r="K136" s="331"/>
      <c r="L136" s="377"/>
      <c r="M136" s="377"/>
      <c r="N136" s="331"/>
      <c r="O136" s="331"/>
      <c r="P136" s="331"/>
      <c r="Q136" s="331"/>
      <c r="R136" s="331"/>
      <c r="S136" s="380"/>
      <c r="T136" s="331"/>
      <c r="U136" s="311"/>
      <c r="V136" s="440"/>
      <c r="W136" s="311"/>
      <c r="X136" s="311"/>
      <c r="Y136" s="311"/>
      <c r="Z136" s="311"/>
      <c r="AA136" s="321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53"/>
      <c r="AQ136" s="428"/>
      <c r="AR136" s="428"/>
      <c r="AS136" s="428"/>
      <c r="AT136" s="428"/>
      <c r="AU136" s="428"/>
      <c r="AV136" s="428"/>
      <c r="AW136" s="428"/>
      <c r="AX136" s="428"/>
      <c r="AY136" s="428"/>
      <c r="AZ136" s="428"/>
      <c r="BA136" s="428"/>
      <c r="BB136" s="428"/>
      <c r="BC136" s="428"/>
      <c r="BD136" s="428"/>
      <c r="BE136" s="428"/>
      <c r="BF136" s="428"/>
      <c r="BG136" s="428"/>
      <c r="BH136" s="428"/>
      <c r="BI136" s="428"/>
      <c r="BJ136" s="428"/>
      <c r="BK136" s="385"/>
      <c r="BL136" s="338"/>
      <c r="BM136" s="338"/>
      <c r="BN136" s="336"/>
      <c r="BO136" s="338"/>
      <c r="BP136" s="336"/>
      <c r="BQ136" s="442"/>
      <c r="BR136" s="336"/>
      <c r="BS136" s="336"/>
      <c r="BT136" s="345"/>
      <c r="BU136" s="345"/>
      <c r="BV136" s="345"/>
      <c r="BW136" s="345"/>
      <c r="BX136" s="345"/>
      <c r="BY136" s="355"/>
      <c r="BZ136" s="355"/>
      <c r="CA136" s="355"/>
      <c r="CB136" s="382"/>
      <c r="CC136" s="382"/>
      <c r="CD136" s="382"/>
    </row>
    <row r="137" spans="1:87" s="325" customFormat="1" ht="19.5" customHeight="1">
      <c r="A137" s="1633" t="s">
        <v>65</v>
      </c>
      <c r="B137" s="1633" t="s">
        <v>19</v>
      </c>
      <c r="C137" s="1623" t="s">
        <v>31</v>
      </c>
      <c r="D137" s="1692" t="s">
        <v>332</v>
      </c>
      <c r="E137" s="1789" t="s">
        <v>0</v>
      </c>
      <c r="F137" s="1623" t="s">
        <v>103</v>
      </c>
      <c r="G137" s="1782" t="s">
        <v>113</v>
      </c>
      <c r="H137" s="1783"/>
      <c r="I137" s="1784"/>
      <c r="J137" s="1673">
        <f>$C$6</f>
        <v>6</v>
      </c>
      <c r="K137" s="1674"/>
      <c r="L137" s="1675"/>
      <c r="M137" s="1673">
        <f>$D$6</f>
        <v>10</v>
      </c>
      <c r="N137" s="1674"/>
      <c r="O137" s="1675"/>
      <c r="P137" s="1673">
        <f>$E$6</f>
        <v>15</v>
      </c>
      <c r="Q137" s="1674"/>
      <c r="R137" s="1675"/>
      <c r="S137" s="1673" t="str">
        <f>$F$6</f>
        <v>6 FFF</v>
      </c>
      <c r="T137" s="1674"/>
      <c r="U137" s="1675"/>
      <c r="V137" s="1673" t="str">
        <f>$G$6</f>
        <v>10 FFF</v>
      </c>
      <c r="W137" s="1674"/>
      <c r="X137" s="1676"/>
      <c r="Y137" s="1778" t="s">
        <v>20</v>
      </c>
      <c r="Z137" s="1779"/>
      <c r="AA137" s="1780"/>
      <c r="AB137" s="45"/>
      <c r="AC137" s="45"/>
      <c r="AD137" s="45"/>
      <c r="AE137" s="45"/>
      <c r="AF137" s="66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5"/>
      <c r="AU137" s="53"/>
      <c r="AV137" s="428"/>
      <c r="AW137" s="428"/>
      <c r="AX137" s="428"/>
      <c r="AY137" s="428"/>
      <c r="AZ137" s="428"/>
      <c r="BA137" s="428"/>
      <c r="BB137" s="428"/>
      <c r="BC137" s="428"/>
      <c r="BD137" s="428"/>
      <c r="BE137" s="428"/>
      <c r="BF137" s="428"/>
      <c r="BG137" s="428"/>
      <c r="BH137" s="428"/>
      <c r="BI137" s="428"/>
      <c r="BJ137" s="428"/>
      <c r="BK137" s="428"/>
      <c r="BL137" s="428"/>
      <c r="BM137" s="428"/>
      <c r="BN137" s="428"/>
      <c r="BO137" s="428"/>
      <c r="BP137" s="385"/>
      <c r="BQ137" s="338"/>
      <c r="BR137" s="338"/>
      <c r="BS137" s="336"/>
      <c r="BT137" s="338"/>
      <c r="BU137" s="336"/>
      <c r="BV137" s="442"/>
      <c r="BW137" s="336"/>
      <c r="BX137" s="336"/>
      <c r="BY137" s="345"/>
      <c r="BZ137" s="345"/>
      <c r="CA137" s="345"/>
      <c r="CB137" s="345"/>
      <c r="CC137" s="345"/>
      <c r="CD137" s="355"/>
      <c r="CE137" s="355"/>
      <c r="CF137" s="355"/>
      <c r="CG137" s="382"/>
      <c r="CH137" s="382"/>
      <c r="CI137" s="382"/>
    </row>
    <row r="138" spans="1:87" s="325" customFormat="1" ht="19.5" customHeight="1">
      <c r="A138" s="1634"/>
      <c r="B138" s="1634"/>
      <c r="C138" s="1624"/>
      <c r="D138" s="1682"/>
      <c r="E138" s="1790"/>
      <c r="F138" s="1624"/>
      <c r="G138" s="1785"/>
      <c r="H138" s="1786"/>
      <c r="I138" s="1787"/>
      <c r="J138" s="1692" t="s">
        <v>343</v>
      </c>
      <c r="K138" s="328" t="s">
        <v>329</v>
      </c>
      <c r="L138" s="328" t="s">
        <v>20</v>
      </c>
      <c r="M138" s="1692" t="s">
        <v>343</v>
      </c>
      <c r="N138" s="328" t="s">
        <v>329</v>
      </c>
      <c r="O138" s="328" t="s">
        <v>20</v>
      </c>
      <c r="P138" s="1692" t="s">
        <v>343</v>
      </c>
      <c r="Q138" s="328" t="s">
        <v>329</v>
      </c>
      <c r="R138" s="328" t="s">
        <v>20</v>
      </c>
      <c r="S138" s="1692" t="s">
        <v>343</v>
      </c>
      <c r="T138" s="328" t="s">
        <v>329</v>
      </c>
      <c r="U138" s="328" t="s">
        <v>20</v>
      </c>
      <c r="V138" s="1692" t="s">
        <v>343</v>
      </c>
      <c r="W138" s="328" t="s">
        <v>329</v>
      </c>
      <c r="X138" s="765" t="s">
        <v>20</v>
      </c>
      <c r="Y138" s="882" t="s">
        <v>29</v>
      </c>
      <c r="Z138" s="1776" t="s">
        <v>297</v>
      </c>
      <c r="AA138" s="1777"/>
      <c r="AB138" s="45"/>
      <c r="AC138" s="45"/>
      <c r="AD138" s="45"/>
      <c r="AE138" s="45"/>
      <c r="AF138" s="66"/>
      <c r="AG138" s="66"/>
      <c r="AH138" s="66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5"/>
      <c r="AU138" s="53"/>
      <c r="AV138" s="428"/>
      <c r="AW138" s="428"/>
      <c r="AX138" s="428"/>
      <c r="AY138" s="428"/>
      <c r="AZ138" s="428"/>
      <c r="BA138" s="428"/>
      <c r="BB138" s="428"/>
      <c r="BC138" s="428"/>
      <c r="BD138" s="428"/>
      <c r="BE138" s="428"/>
      <c r="BF138" s="428"/>
      <c r="BG138" s="428"/>
      <c r="BH138" s="428"/>
      <c r="BI138" s="428"/>
      <c r="BJ138" s="428"/>
      <c r="BK138" s="428"/>
      <c r="BL138" s="428"/>
      <c r="BM138" s="428"/>
      <c r="BN138" s="428"/>
      <c r="BO138" s="428"/>
      <c r="BP138" s="385"/>
      <c r="BQ138" s="338"/>
      <c r="BR138" s="338"/>
      <c r="BS138" s="336"/>
      <c r="BT138" s="336"/>
      <c r="BU138" s="336"/>
      <c r="BV138" s="442"/>
      <c r="BW138" s="336"/>
      <c r="BX138" s="336"/>
      <c r="BY138" s="345"/>
      <c r="BZ138" s="345"/>
      <c r="CA138" s="345"/>
      <c r="CB138" s="345"/>
      <c r="CC138" s="345"/>
      <c r="CD138" s="355"/>
      <c r="CE138" s="355"/>
      <c r="CF138" s="355"/>
      <c r="CG138" s="382"/>
      <c r="CH138" s="382"/>
      <c r="CI138" s="382"/>
    </row>
    <row r="139" spans="1:87" s="325" customFormat="1" ht="19.5" customHeight="1" thickBot="1">
      <c r="A139" s="1634"/>
      <c r="B139" s="1634"/>
      <c r="C139" s="1726"/>
      <c r="D139" s="1682"/>
      <c r="E139" s="1790"/>
      <c r="F139" s="1624"/>
      <c r="G139" s="79" t="s">
        <v>3</v>
      </c>
      <c r="H139" s="72" t="s">
        <v>96</v>
      </c>
      <c r="I139" s="51" t="s">
        <v>4</v>
      </c>
      <c r="J139" s="1693"/>
      <c r="K139" s="764" t="s">
        <v>330</v>
      </c>
      <c r="L139" s="372" t="s">
        <v>291</v>
      </c>
      <c r="M139" s="1693"/>
      <c r="N139" s="764" t="s">
        <v>330</v>
      </c>
      <c r="O139" s="372" t="s">
        <v>291</v>
      </c>
      <c r="P139" s="1693"/>
      <c r="Q139" s="764" t="s">
        <v>330</v>
      </c>
      <c r="R139" s="372" t="s">
        <v>291</v>
      </c>
      <c r="S139" s="1693"/>
      <c r="T139" s="764" t="s">
        <v>330</v>
      </c>
      <c r="U139" s="372" t="s">
        <v>291</v>
      </c>
      <c r="V139" s="1693"/>
      <c r="W139" s="764" t="s">
        <v>330</v>
      </c>
      <c r="X139" s="347" t="s">
        <v>291</v>
      </c>
      <c r="Y139" s="883" t="s">
        <v>290</v>
      </c>
      <c r="Z139" s="884" t="s">
        <v>290</v>
      </c>
      <c r="AA139" s="885" t="s">
        <v>279</v>
      </c>
      <c r="AB139" s="45"/>
      <c r="AC139" s="45"/>
      <c r="AD139" s="45"/>
      <c r="AE139" s="45"/>
      <c r="AF139" s="78"/>
      <c r="AG139" s="66"/>
      <c r="AH139" s="66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5"/>
      <c r="AU139" s="53"/>
      <c r="AV139" s="53"/>
      <c r="AW139" s="53"/>
      <c r="AX139" s="53"/>
      <c r="AY139" s="428"/>
      <c r="AZ139" s="428"/>
      <c r="BA139" s="428"/>
      <c r="BB139" s="428"/>
      <c r="BC139" s="428"/>
      <c r="BD139" s="428"/>
      <c r="BE139" s="428"/>
      <c r="BF139" s="428"/>
      <c r="BG139" s="428"/>
      <c r="BH139" s="428"/>
      <c r="BI139" s="428"/>
      <c r="BJ139" s="428"/>
      <c r="BK139" s="428"/>
      <c r="BL139" s="428"/>
      <c r="BM139" s="428"/>
      <c r="BN139" s="428"/>
      <c r="BO139" s="428"/>
      <c r="BP139" s="385"/>
      <c r="BQ139" s="338"/>
      <c r="BR139" s="338"/>
      <c r="BS139" s="336"/>
      <c r="BT139" s="336"/>
      <c r="BU139" s="336"/>
      <c r="BV139" s="442"/>
      <c r="BW139" s="336"/>
      <c r="BX139" s="336"/>
      <c r="BY139" s="345"/>
      <c r="BZ139" s="345"/>
      <c r="CA139" s="345"/>
      <c r="CB139" s="345"/>
      <c r="CC139" s="345"/>
      <c r="CD139" s="355"/>
      <c r="CE139" s="355"/>
      <c r="CF139" s="355"/>
      <c r="CG139" s="382"/>
      <c r="CH139" s="382"/>
      <c r="CI139" s="382"/>
    </row>
    <row r="140" spans="1:87" s="325" customFormat="1" ht="19.5" customHeight="1">
      <c r="A140" s="1718" t="str">
        <f ca="1">'Linac 1'!A167</f>
        <v>T1</v>
      </c>
      <c r="B140" s="1851" t="str">
        <f ca="1">'Linac 1'!B167</f>
        <v>terreingrens 1</v>
      </c>
      <c r="C140" s="1623" t="s">
        <v>333</v>
      </c>
      <c r="D140" s="1627">
        <v>1</v>
      </c>
      <c r="E140" s="1627">
        <v>0</v>
      </c>
      <c r="F140" s="1627" t="s">
        <v>12</v>
      </c>
      <c r="G140" s="1627">
        <v>250</v>
      </c>
      <c r="H140" s="1627">
        <v>0</v>
      </c>
      <c r="I140" s="1627">
        <v>0</v>
      </c>
      <c r="J140" s="1656">
        <f>IF($G140=0,0,IF($F140="recht",1+($G140-$C$17)/$C$18,1+($G140-$C$17-0.301*$C$18)/$C$18))+IF($H140=0,0,IF($F140="recht",$H140/$C$19,($H140-0.301*$C$19)/$C$19))*1+$I140/$C$20</f>
        <v>7.4545454545454541</v>
      </c>
      <c r="K140" s="1791">
        <f>10^(-J140)</f>
        <v>3.5111917342151263E-8</v>
      </c>
      <c r="L140" s="1771">
        <f>$C$7*$C$11*$E140/$D140/$D140*K140*1000000</f>
        <v>0</v>
      </c>
      <c r="M140" s="1656">
        <f>IF($G140=0,0,IF($F140="recht",1+($G140-$D$17)/$D$18,1+($G140-$D$17-0.301*$D$18)/$D$18))+IF($H140=0,0,IF($F140="recht",$H140/$D$19,($H140-0.301*$D$19)/$D$19))+$I140/$D$20</f>
        <v>6.6486486486486482</v>
      </c>
      <c r="N140" s="1791">
        <f>10^(-M140)</f>
        <v>2.2456979955397711E-7</v>
      </c>
      <c r="O140" s="1771">
        <f>$C$7*$D$11*$E140/$D140/$D140*$N140*1000000</f>
        <v>0</v>
      </c>
      <c r="P140" s="1771">
        <f>IF($G140=0,0,IF($F140="recht",1+(G140-$E$17)/$E$18,1+(G140-$E$17-0.301*$E$18)/$E$18))+IF($H140=0,0,IF($F140="recht",$H140/$E$19,($H140-0.301*$E$19)/$E$19))+I140/$E$20</f>
        <v>6.024390243902439</v>
      </c>
      <c r="Q140" s="1791">
        <f>10^(-P140)</f>
        <v>9.4538728313079291E-7</v>
      </c>
      <c r="R140" s="1771">
        <f>$C$7*$E$11*$E140/$D140/$D140*$Q140*1000000</f>
        <v>0</v>
      </c>
      <c r="S140" s="1771">
        <f>IF($G140=0,0,IF($F140="recht",1+(G140-$F$17)/$F$18,1+(G140-$F$17-0.301*$F$18)/$F$18))+IF($H140=0,0,IF($F140="recht",$H140/$F$19,($H140-0.301*$F$19)/$F$19))+I140/$F$20</f>
        <v>9.1481481481481488</v>
      </c>
      <c r="T140" s="1791">
        <f>10^(-S140)</f>
        <v>7.1097094323124171E-10</v>
      </c>
      <c r="U140" s="1771">
        <f>$C$7*$F$11*$E140/$D140/$D140*$T140*1000000</f>
        <v>0</v>
      </c>
      <c r="V140" s="1771">
        <f>IF($G140=0,0,IF(F140="recht",1+(G140-$G$17)/$G$18,1+(G140-$G$17-0.301*$G$18)/$G$18))+IF($H140=0,0,IF($F140="recht",$H140/$G$19,($H140-0.301*$G$19)/$G$19))+I140/$G$20</f>
        <v>6.9444444444444446</v>
      </c>
      <c r="W140" s="1791">
        <f>10^(-V140)</f>
        <v>1.136463666385722E-7</v>
      </c>
      <c r="X140" s="1817">
        <f>$C$7*$G$11*$E140/$D140/$D140*$W140*1000000</f>
        <v>0</v>
      </c>
      <c r="Y140" s="1774">
        <f>SUM(L140,O140,R140,U140,X140)</f>
        <v>0</v>
      </c>
      <c r="Z140" s="886">
        <f>SUM(Y140:Y147)</f>
        <v>2.0415508389015229E-2</v>
      </c>
      <c r="AA140" s="887">
        <f>Z140*52/1000</f>
        <v>1.0616064362287919E-3</v>
      </c>
      <c r="AB140" s="45"/>
      <c r="AC140" s="45"/>
      <c r="AD140" s="45"/>
      <c r="AE140" s="821"/>
      <c r="AF140" s="78"/>
      <c r="AG140" s="53"/>
      <c r="AH140" s="53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5"/>
      <c r="AU140" s="53"/>
      <c r="AV140" s="53"/>
      <c r="AW140" s="53"/>
      <c r="AX140" s="53"/>
      <c r="AY140" s="428"/>
      <c r="AZ140" s="428"/>
      <c r="BA140" s="428"/>
      <c r="BB140" s="428"/>
      <c r="BC140" s="428"/>
      <c r="BD140" s="428"/>
      <c r="BE140" s="428"/>
      <c r="BF140" s="428"/>
      <c r="BG140" s="428"/>
      <c r="BH140" s="428"/>
      <c r="BI140" s="428"/>
      <c r="BJ140" s="428"/>
      <c r="BK140" s="428"/>
      <c r="BL140" s="428"/>
      <c r="BM140" s="428"/>
      <c r="BN140" s="428"/>
      <c r="BO140" s="428"/>
      <c r="BP140" s="385"/>
      <c r="BQ140" s="338"/>
      <c r="BR140" s="338"/>
      <c r="BS140" s="336"/>
      <c r="BT140" s="336"/>
      <c r="BU140" s="336"/>
      <c r="BV140" s="442"/>
      <c r="BW140" s="336"/>
      <c r="BX140" s="336"/>
      <c r="BY140" s="345"/>
      <c r="BZ140" s="345"/>
      <c r="CA140" s="345"/>
      <c r="CB140" s="345"/>
      <c r="CC140" s="345"/>
      <c r="CD140" s="355"/>
      <c r="CE140" s="355"/>
      <c r="CF140" s="355"/>
      <c r="CG140" s="382"/>
      <c r="CH140" s="382"/>
      <c r="CI140" s="382"/>
    </row>
    <row r="141" spans="1:87" s="325" customFormat="1" ht="19.5" customHeight="1">
      <c r="A141" s="1800"/>
      <c r="B141" s="1852"/>
      <c r="C141" s="1624"/>
      <c r="D141" s="1628"/>
      <c r="E141" s="1628"/>
      <c r="F141" s="1628"/>
      <c r="G141" s="1628"/>
      <c r="H141" s="1628"/>
      <c r="I141" s="1628"/>
      <c r="J141" s="1659"/>
      <c r="K141" s="1792"/>
      <c r="L141" s="1772"/>
      <c r="M141" s="1657"/>
      <c r="N141" s="1792"/>
      <c r="O141" s="1772"/>
      <c r="P141" s="1772"/>
      <c r="Q141" s="1792"/>
      <c r="R141" s="1772"/>
      <c r="S141" s="1772"/>
      <c r="T141" s="1792"/>
      <c r="U141" s="1772"/>
      <c r="V141" s="1772"/>
      <c r="W141" s="1792"/>
      <c r="X141" s="1808"/>
      <c r="Y141" s="1775"/>
      <c r="Z141" s="888"/>
      <c r="AA141" s="889"/>
      <c r="AB141" s="45"/>
      <c r="AC141" s="45"/>
      <c r="AD141" s="819"/>
      <c r="AE141" s="821"/>
      <c r="AF141" s="78"/>
      <c r="AG141" s="53"/>
      <c r="AH141" s="53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53"/>
      <c r="AV141" s="53"/>
      <c r="AW141" s="53"/>
      <c r="AX141" s="53"/>
      <c r="AY141" s="428"/>
      <c r="AZ141" s="428"/>
      <c r="BA141" s="428"/>
      <c r="BB141" s="428"/>
      <c r="BC141" s="428"/>
      <c r="BD141" s="428"/>
      <c r="BE141" s="428"/>
      <c r="BF141" s="428"/>
      <c r="BG141" s="428"/>
      <c r="BH141" s="428"/>
      <c r="BI141" s="428"/>
      <c r="BJ141" s="428"/>
      <c r="BK141" s="428"/>
      <c r="BL141" s="428"/>
      <c r="BM141" s="428"/>
      <c r="BN141" s="428"/>
      <c r="BO141" s="428"/>
      <c r="BP141" s="385"/>
      <c r="BQ141" s="338"/>
      <c r="BR141" s="338"/>
      <c r="BS141" s="336"/>
      <c r="BT141" s="336"/>
      <c r="BU141" s="336"/>
      <c r="BV141" s="442"/>
      <c r="BW141" s="336"/>
      <c r="BX141" s="336"/>
      <c r="BY141" s="345"/>
      <c r="BZ141" s="345"/>
      <c r="CA141" s="345"/>
      <c r="CB141" s="345"/>
      <c r="CC141" s="345"/>
      <c r="CD141" s="355"/>
      <c r="CE141" s="355"/>
      <c r="CF141" s="355"/>
      <c r="CG141" s="382"/>
      <c r="CH141" s="382"/>
      <c r="CI141" s="382"/>
    </row>
    <row r="142" spans="1:87" s="45" customFormat="1" ht="19.5" customHeight="1">
      <c r="A142" s="1800"/>
      <c r="B142" s="1852"/>
      <c r="C142" s="1687" t="s">
        <v>334</v>
      </c>
      <c r="D142" s="1626">
        <v>10</v>
      </c>
      <c r="E142" s="1815">
        <v>1</v>
      </c>
      <c r="F142" s="1628"/>
      <c r="G142" s="1628"/>
      <c r="H142" s="1628"/>
      <c r="I142" s="1628"/>
      <c r="J142" s="1772">
        <f>IF($G140=0,0,IF($F140="recht",$G140/$C$24,(G140-0.301*$C$24)/$C$24))+IF($H140=0,0,IF($F140="recht",$H140/$C$25,($H140-0.301*$C$25)/$C$25))+I140/$C$26</f>
        <v>7.3529411764705879</v>
      </c>
      <c r="K142" s="1792">
        <f>10^(-J142)</f>
        <v>4.4366873309786093E-8</v>
      </c>
      <c r="L142" s="1772">
        <f>$C$7*$C$8*$C$11*($C$12+$C$13*$C$14)*$E$142/$D142/$D142*$K142*1000000</f>
        <v>2.6620123985871658E-4</v>
      </c>
      <c r="M142" s="1772">
        <f>IF($G140=0,0,IF(F140="recht",$G140/$D$24,($G140-0.301*$D$24)/$D$24))+IF($H140=0,0,IF($F140="recht",$H140/$D$25,($H140-0.301*$D$25)/$D$25))+I140/$D$26</f>
        <v>6.5789473684210522</v>
      </c>
      <c r="N142" s="1792">
        <f>10^(-M142)</f>
        <v>2.636650898730358E-7</v>
      </c>
      <c r="O142" s="1772">
        <f>$C$7*$C$8*$D$11*($D$12+$D$13*$D$14)*$E$142/$D142/$D142*$N142*1000000</f>
        <v>1.581990539238215E-3</v>
      </c>
      <c r="P142" s="1772">
        <f>IF($G140=0,0,IF($F140="recht",$G140/$E$24,($G140-0.301*$E$24)/$E$24))+IF($H140=0,0,IF($F140="recht",$H140/$E$25,($H140-0.301*$E$25)/$E$25))+I140/$E$26</f>
        <v>6.5616797900262469</v>
      </c>
      <c r="Q142" s="1792">
        <f>10^(-P142)</f>
        <v>2.7435963093132793E-7</v>
      </c>
      <c r="R142" s="1772">
        <f>$C$7*$C$8*$E$11*($E$12+$E$13*$E$14)*$E142/$D142/$D142*$Q142*1000000</f>
        <v>1.6461577855879678E-3</v>
      </c>
      <c r="S142" s="1772">
        <f>IF($G140=0,0,IF($F140="recht",$G140/$F$24,(G140-0.301*$F$24)/$F$24))+IF($H140=0,0,IF($F140="recht",$H140/$F$25,($H140-0.301*$F$25)/$F$25))+I140/$F$26</f>
        <v>8.1967213114754092</v>
      </c>
      <c r="T142" s="1792">
        <f>10^(-S142)</f>
        <v>6.3573875711648393E-9</v>
      </c>
      <c r="U142" s="1772">
        <f>$C$7*$C$8*$F$11*($F$12+$F$13*$F$14)*$E$142/$D142/$D142*$T142*1000000</f>
        <v>2.1615117741960457E-5</v>
      </c>
      <c r="V142" s="1772">
        <f>IF($G140=0,0,IF($F140="recht",$G140/$G$24,($G140-0.301*$G$24)/$G$24))+IF($H140=0,0,IF($F140="recht",$H140/$G$25,($H140-0.301*$G$25)/$G$25))+I140/$G$26</f>
        <v>7.0224719101123592</v>
      </c>
      <c r="W142" s="1792">
        <f>10^(-V142)</f>
        <v>9.4957241494880226E-8</v>
      </c>
      <c r="X142" s="1808">
        <f>$C$7*$C$8*$G$11*($G$12+$G$13*$G$14)*$E$142/$D142/$D142*$W142*1000000</f>
        <v>2.1840165543822451E-4</v>
      </c>
      <c r="Y142" s="1805">
        <f>SUM(L142,O142,R142,U142,X142)</f>
        <v>3.7343663378650842E-3</v>
      </c>
      <c r="Z142" s="888"/>
      <c r="AA142" s="889"/>
      <c r="AE142" s="821"/>
      <c r="AF142" s="822"/>
      <c r="AG142" s="78"/>
      <c r="AH142" s="66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</row>
    <row r="143" spans="1:87" s="45" customFormat="1" ht="19.5" customHeight="1">
      <c r="A143" s="1800"/>
      <c r="B143" s="1852"/>
      <c r="C143" s="1688"/>
      <c r="D143" s="1689"/>
      <c r="E143" s="1816"/>
      <c r="F143" s="1628"/>
      <c r="G143" s="1628"/>
      <c r="H143" s="1628"/>
      <c r="I143" s="1628"/>
      <c r="J143" s="1773"/>
      <c r="K143" s="1793"/>
      <c r="L143" s="1773"/>
      <c r="M143" s="1773"/>
      <c r="N143" s="1793"/>
      <c r="O143" s="1773"/>
      <c r="P143" s="1773"/>
      <c r="Q143" s="1793"/>
      <c r="R143" s="1773"/>
      <c r="S143" s="1773"/>
      <c r="T143" s="1793"/>
      <c r="U143" s="1773"/>
      <c r="V143" s="1773"/>
      <c r="W143" s="1793"/>
      <c r="X143" s="1809"/>
      <c r="Y143" s="1805"/>
      <c r="Z143" s="888"/>
      <c r="AA143" s="889"/>
      <c r="AD143" s="824"/>
      <c r="AF143" s="53"/>
      <c r="AG143" s="66"/>
      <c r="AH143" s="66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</row>
    <row r="144" spans="1:87" s="45" customFormat="1" ht="19.5" customHeight="1">
      <c r="A144" s="1800"/>
      <c r="B144" s="1852"/>
      <c r="C144" s="1623" t="s">
        <v>34</v>
      </c>
      <c r="D144" s="1718">
        <f>D142</f>
        <v>10</v>
      </c>
      <c r="E144" s="1627">
        <v>0</v>
      </c>
      <c r="F144" s="1798" t="s">
        <v>12</v>
      </c>
      <c r="G144" s="1718">
        <f>X$10</f>
        <v>250</v>
      </c>
      <c r="H144" s="1718">
        <f>Y$10</f>
        <v>0</v>
      </c>
      <c r="I144" s="1718">
        <f>Z$10</f>
        <v>0</v>
      </c>
      <c r="J144" s="1801">
        <f>IF($G144=0,0,IF($F144="recht",1+(G144-$C$17)/$C$18,1+(G144-$C$17-0.301*$C$18)/$C$18))+IF($H144=0,0,IF($F144="recht",$H144/$C$19,($H144-0.301*$C$19)/$C$17))+I144/$C$20</f>
        <v>7.4545454545454541</v>
      </c>
      <c r="K144" s="1794">
        <f>10^(-J144)</f>
        <v>3.5111917342151263E-8</v>
      </c>
      <c r="L144" s="1796">
        <f>2.5*0.01*$C$7*$C$11*E$144*K144/U$10/U$10*$W$10^1.3/$D$144/$D$144*1000000</f>
        <v>0</v>
      </c>
      <c r="M144" s="1656">
        <f>IF($G144=0,0,IF($F144="recht",1+($G144-$D$17)/$D$18,1+($G144-$D$17-0.301*$D$18)/$D$18))+IF($H144=0,0,IF($F144="recht",$H144/$D$19,($H144-0.301*$D$19)/$D$19))+$I144/$D$20</f>
        <v>6.6486486486486482</v>
      </c>
      <c r="N144" s="1794">
        <f>10^(-M144)</f>
        <v>2.2456979955397711E-7</v>
      </c>
      <c r="O144" s="1796">
        <f>2.5*0.01*$C$7*$D$11*E$144*N144/U$10/U$10*$W$10^1.3/$D$144/$D$144*1000000</f>
        <v>0</v>
      </c>
      <c r="P144" s="1771">
        <f>IF($G144=0,0,IF($F144="recht",1+($G144-$E$17)/$E$18,1+($G144-$E$17-0.301*$E$18)/$E$18))+IF($H144=0,0,IF($F144="recht",$H144/$E$19,($H144-0.301*$E$19)/$E$19))+I144/$E$20</f>
        <v>6.024390243902439</v>
      </c>
      <c r="Q144" s="1794">
        <f>10^(-P144)</f>
        <v>9.4538728313079291E-7</v>
      </c>
      <c r="R144" s="1796">
        <f>2.5*0.01*$C$7*$E$11*E$144*Q144/U$10/U$10*$W$10^1.3/$D$144/$D$144*1000000</f>
        <v>0</v>
      </c>
      <c r="S144" s="1771">
        <f>IF($G144=0,0,IF(F144="recht",1+(G144-$F$17)/$F$18,1+(G144-$F$17-0.301*$F$18)/$F$18))+IF($H144=0,0,IF($F144="recht",$H144/$F$19,($H144-0.301*$F$19)/$F$19))+I144/$F$20</f>
        <v>9.1481481481481488</v>
      </c>
      <c r="T144" s="1794">
        <f>10^(-S144)</f>
        <v>7.1097094323124171E-10</v>
      </c>
      <c r="U144" s="1796">
        <f>2.5*0.01*$C$7*$F$11*E$144*T144/U$10/U$10*$W$10^1.3/$D$144/$D$144*1000000</f>
        <v>0</v>
      </c>
      <c r="V144" s="1771">
        <f>IF($G144=0,0,IF($F144="recht",1+(G144-$G$17)/$G$18,1+(G144-$G$17-0.301*$G$18)/$G$18))+IF($H144=0,0,IF($F144="recht",$H144/$G$19,($H144-0.301*$G$19)/$G$19))+I144/$G$20</f>
        <v>6.9444444444444446</v>
      </c>
      <c r="W144" s="1794">
        <f>10^(-V144)</f>
        <v>1.136463666385722E-7</v>
      </c>
      <c r="X144" s="1819">
        <f>2.5*0.01*$C$7*$G$11*E$144*W144/U$10/U$10*$W$10^1.3/$D$144/$D$144*1000000</f>
        <v>0</v>
      </c>
      <c r="Y144" s="1805">
        <f>SUM(L144,O144,R144,U144,X144)</f>
        <v>0</v>
      </c>
      <c r="Z144" s="890"/>
      <c r="AA144" s="891"/>
      <c r="AD144" s="824"/>
    </row>
    <row r="145" spans="1:87" s="45" customFormat="1" ht="19.5" customHeight="1">
      <c r="A145" s="1800"/>
      <c r="B145" s="1852"/>
      <c r="C145" s="1624"/>
      <c r="D145" s="1800"/>
      <c r="E145" s="1628"/>
      <c r="F145" s="1799"/>
      <c r="G145" s="1800"/>
      <c r="H145" s="1800"/>
      <c r="I145" s="1800"/>
      <c r="J145" s="1802"/>
      <c r="K145" s="1795"/>
      <c r="L145" s="1797"/>
      <c r="M145" s="1657"/>
      <c r="N145" s="1795"/>
      <c r="O145" s="1797"/>
      <c r="P145" s="1772"/>
      <c r="Q145" s="1795"/>
      <c r="R145" s="1797"/>
      <c r="S145" s="1772"/>
      <c r="T145" s="1812"/>
      <c r="U145" s="1818"/>
      <c r="V145" s="1772"/>
      <c r="W145" s="1812"/>
      <c r="X145" s="1820"/>
      <c r="Y145" s="1805"/>
      <c r="Z145" s="890"/>
      <c r="AA145" s="891"/>
      <c r="AE145" s="821"/>
    </row>
    <row r="146" spans="1:87" s="45" customFormat="1" ht="19.5" customHeight="1">
      <c r="A146" s="1800"/>
      <c r="B146" s="1852"/>
      <c r="C146" s="1623" t="s">
        <v>35</v>
      </c>
      <c r="D146" s="1800"/>
      <c r="E146" s="1798">
        <v>1</v>
      </c>
      <c r="F146" s="1798" t="s">
        <v>116</v>
      </c>
      <c r="G146" s="1718">
        <f>X$11</f>
        <v>200</v>
      </c>
      <c r="H146" s="1718">
        <f>Y$11</f>
        <v>0</v>
      </c>
      <c r="I146" s="1718">
        <f>Z$11</f>
        <v>0</v>
      </c>
      <c r="J146" s="1801">
        <f>IF($G146=0,0,IF($F146="recht",$GG146/$C$24,($G146-0.301*$C$24)/$C$24))+IF($H146=0,0,IF($F146="recht",$H146/$C$25,($H146-0.301*$C$25)/$C$25))+I146/$C$26</f>
        <v>5.58135294117647</v>
      </c>
      <c r="K146" s="1794">
        <f>10^(-J146)</f>
        <v>2.6220867674308296E-6</v>
      </c>
      <c r="L146" s="1796">
        <f>2.5*0.01*$C$7*$C$8*$C$11*($C$12+$C$13*$C$14)*E$146/U$11/U$11*K146*$W$11^1.3/$D$144/$D$144*1000000</f>
        <v>1.7419398413490567E-3</v>
      </c>
      <c r="M146" s="1801">
        <f>IF($G146=0,0,IF($F146="recht",$G146/$D$24,($G146-0.301*$D$24)/$D$24))+IF($H146=0,0,IF($F146="recht",$H146/$D$25,($H146-0.301*$D$25)/$D$25))+I146/$D$26</f>
        <v>4.9621578947368423</v>
      </c>
      <c r="N146" s="1794">
        <f>10^(-M146)</f>
        <v>1.0910435979026304E-5</v>
      </c>
      <c r="O146" s="1796">
        <f>2.5*0.01*$C$7*$C$8*$D$11*($D$12+$D$13*$D$14)*E$146/U$11/U$11*N146*$W$11^1.3/$D$144/$D$144*1000000</f>
        <v>7.2481671294866799E-3</v>
      </c>
      <c r="P146" s="1801">
        <f>IF($G146=0,0,IF($F146="recht",$G146/$E$24,(G146-0.301*$E$24)/$E$24))+IF($H146=0,0,IF($F146="recht",$H146/$E$25,($H146-0.301*$E$25)/$E$25))+I146/$E$26</f>
        <v>4.9483438320209974</v>
      </c>
      <c r="Q146" s="1794">
        <f>10^(-P146)</f>
        <v>1.1263054043136272E-5</v>
      </c>
      <c r="R146" s="1796">
        <f>2.5*0.01*$C$7*$C$8*$E$11*($E$12+$E$13*$E$14)*E$146/U$11/U$11*Q146*$W$11^1.3/$D$144/$D$144*1000000</f>
        <v>7.4824230901520735E-3</v>
      </c>
      <c r="S146" s="1806">
        <f>IF(G$146=0,0,IF(F146="recht",$G146/$F$146,($G146-0.301*$F$24)/$F$24))+IF($H146=0,0,IF($F146="recht",$H146/$F$25,($H146-0.301*$F$25)/$F$25))+I146/$F$26</f>
        <v>6.2563770491803279</v>
      </c>
      <c r="T146" s="1811">
        <f>10^(-S146)</f>
        <v>5.5414440263229426E-7</v>
      </c>
      <c r="U146" s="1796">
        <f>2.5*0.01*$C$7*$C$8*$F$11*($F$12+$F$13*$F$14)*E$146/U$11/U$11*T146*$W$11^1.3/$D$144/$D$144*1000000</f>
        <v>2.0861076276506701E-4</v>
      </c>
      <c r="V146" s="1806">
        <f>IF($G146=0,0,IF($F146="recht",$G146/$G$24,($G146-0.301*$G$24)/$G$24))+IF($H146=0,0,IF($F146="recht",$H146/$G$25,($H146-0.301*$G$25)/$G$25))+I146/$G$26</f>
        <v>5.3169775280898879</v>
      </c>
      <c r="W146" s="1811">
        <f>10^(-V146)</f>
        <v>4.8197273592906954E-6</v>
      </c>
      <c r="X146" s="1819">
        <f>2.5*0.01*$C$7*$C$8*$G$11*($G$12+$G$13*$G$14)*E$146/U$11/U$11*W146*$W$11^1.3/$D$144/$D$144</f>
        <v>1.2273972646840874E-9</v>
      </c>
      <c r="Y146" s="1775">
        <f>SUM(L146,O146,R146,U146,X146)</f>
        <v>1.6681142051150143E-2</v>
      </c>
      <c r="Z146" s="890"/>
      <c r="AA146" s="891"/>
      <c r="AE146" s="819"/>
      <c r="AF146" s="819"/>
    </row>
    <row r="147" spans="1:87" s="45" customFormat="1" ht="19.5" customHeight="1" thickBot="1">
      <c r="A147" s="1711"/>
      <c r="B147" s="1853"/>
      <c r="C147" s="1624"/>
      <c r="D147" s="1800"/>
      <c r="E147" s="1799"/>
      <c r="F147" s="1799"/>
      <c r="G147" s="1800"/>
      <c r="H147" s="1800"/>
      <c r="I147" s="1800"/>
      <c r="J147" s="1802"/>
      <c r="K147" s="1795"/>
      <c r="L147" s="1797"/>
      <c r="M147" s="1802"/>
      <c r="N147" s="1795"/>
      <c r="O147" s="1797"/>
      <c r="P147" s="1802"/>
      <c r="Q147" s="1795"/>
      <c r="R147" s="1797"/>
      <c r="S147" s="1802"/>
      <c r="T147" s="1795"/>
      <c r="U147" s="1797"/>
      <c r="V147" s="1802"/>
      <c r="W147" s="1795"/>
      <c r="X147" s="1823"/>
      <c r="Y147" s="1807"/>
      <c r="Z147" s="892"/>
      <c r="AA147" s="893"/>
      <c r="AD147" s="818"/>
      <c r="AE147" s="819"/>
      <c r="AF147" s="819"/>
    </row>
    <row r="148" spans="1:87" s="325" customFormat="1" ht="19.5" customHeight="1">
      <c r="A148" s="1718" t="str">
        <f ca="1">'Linac 1'!A175</f>
        <v>T2</v>
      </c>
      <c r="B148" s="1873" t="str">
        <f ca="1">'Linac 1'!B175</f>
        <v>terreingrens 2</v>
      </c>
      <c r="C148" s="1623" t="s">
        <v>333</v>
      </c>
      <c r="D148" s="1627">
        <v>1</v>
      </c>
      <c r="E148" s="1627">
        <v>0</v>
      </c>
      <c r="F148" s="1627" t="s">
        <v>12</v>
      </c>
      <c r="G148" s="1627">
        <v>250</v>
      </c>
      <c r="H148" s="1627">
        <v>0</v>
      </c>
      <c r="I148" s="1627">
        <v>0</v>
      </c>
      <c r="J148" s="1656">
        <f>IF($G148=0,0,IF($F148="recht",1+($G148-$C$17)/$C$18,1+($G148-$C$17-0.301*$C$18)/$C$18))+IF($H148=0,0,IF($F148="recht",$H148/$C$19,($H148-0.301*$C$19)/$C$19))+$I148/$C$20</f>
        <v>7.4545454545454541</v>
      </c>
      <c r="K148" s="1791">
        <f>10^(-J148)</f>
        <v>3.5111917342151263E-8</v>
      </c>
      <c r="L148" s="1771">
        <f>$C$7*$C$11*$E148/$D148/$D148*K148*1000000</f>
        <v>0</v>
      </c>
      <c r="M148" s="1656">
        <f>IF($G148=0,0,IF($F148="recht",1+($G148-$D$17)/$D$18,1+($G148-$D$17-0.301*$D$18)/$D$18))+IF($H148=0,0,IF($F148="recht",$H148/$D$19,($H148-0.301*$D$19)/$D$19))+$I148/$D$20</f>
        <v>6.6486486486486482</v>
      </c>
      <c r="N148" s="1791">
        <f>10^(-M148)</f>
        <v>2.2456979955397711E-7</v>
      </c>
      <c r="O148" s="1771">
        <f>$C$7*$D$11*$E148/$D148/$D148*$N148*1000000</f>
        <v>0</v>
      </c>
      <c r="P148" s="1771">
        <f>IF($G148=0,0,IF($F148="recht",1+(G148-$E$17)/$E$18,1+(G148-$E$17-0.301*$E$18)/$E$18))+IF($H148=0,0,IF($F148="recht",$H148/$E$19,($H148-0.301*$E$19)/$E$19))+I148/$E$20</f>
        <v>6.024390243902439</v>
      </c>
      <c r="Q148" s="1791">
        <f>10^(-P148)</f>
        <v>9.4538728313079291E-7</v>
      </c>
      <c r="R148" s="1771">
        <f>$C$7*$E$11*$E148/$D148/$D148*$Q148*1000000</f>
        <v>0</v>
      </c>
      <c r="S148" s="1771">
        <f>IF($G148=0,0,IF($F148="recht",1+(G148-$F$17)/$F$18,1+(G148-$F$17-0.301*$F$18)/$F$18))+IF($H148=0,0,IF($F148="recht",$H148/$F$19,($H148-0.301*$F$19)/$F$19))+I148/$F$20</f>
        <v>9.1481481481481488</v>
      </c>
      <c r="T148" s="1791">
        <f>10^(-S148)</f>
        <v>7.1097094323124171E-10</v>
      </c>
      <c r="U148" s="1771">
        <f>$C$7*$F$11*$E148/$D148/$D148*$T148*1000000</f>
        <v>0</v>
      </c>
      <c r="V148" s="1771">
        <f>IF($G148=0,0,IF(F148="recht",1+(G148-$G$17)/$G$18,1+(G148-$G$17-0.301*$G$18)/$G$18))+IF($H148=0,0,IF($F148="recht",$H148/$G$19,($H148-0.301*$G$19)/$G$19))+I148/$G$20</f>
        <v>6.9444444444444446</v>
      </c>
      <c r="W148" s="1791">
        <f>10^(-V148)</f>
        <v>1.136463666385722E-7</v>
      </c>
      <c r="X148" s="1817">
        <f>$C$7*$G$11*$E148/$D148/$D148*$W148*1000000</f>
        <v>0</v>
      </c>
      <c r="Y148" s="1813">
        <f>SUM(L148,O148,R148,U148,X148)</f>
        <v>0</v>
      </c>
      <c r="Z148" s="886">
        <f>SUM(Y148:Y155)</f>
        <v>2.0415508389015229E-2</v>
      </c>
      <c r="AA148" s="887">
        <f>Z148*52/1000</f>
        <v>1.0616064362287919E-3</v>
      </c>
      <c r="AB148" s="45"/>
      <c r="AC148" s="45"/>
      <c r="AD148" s="818"/>
      <c r="AE148" s="819"/>
      <c r="AF148" s="66"/>
      <c r="AG148" s="53"/>
      <c r="AH148" s="53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5"/>
      <c r="AU148" s="53"/>
      <c r="AV148" s="53"/>
      <c r="AW148" s="53"/>
      <c r="AX148" s="53"/>
      <c r="AY148" s="428"/>
      <c r="AZ148" s="428"/>
      <c r="BA148" s="428"/>
      <c r="BB148" s="428"/>
      <c r="BC148" s="428"/>
      <c r="BD148" s="428"/>
      <c r="BE148" s="428"/>
      <c r="BF148" s="428"/>
      <c r="BG148" s="428"/>
      <c r="BH148" s="428"/>
      <c r="BI148" s="428"/>
      <c r="BJ148" s="428"/>
      <c r="BK148" s="428"/>
      <c r="BL148" s="428"/>
      <c r="BM148" s="428"/>
      <c r="BN148" s="428"/>
      <c r="BO148" s="428"/>
      <c r="BP148" s="385"/>
      <c r="BQ148" s="338"/>
      <c r="BR148" s="338"/>
      <c r="BS148" s="336"/>
      <c r="BT148" s="336"/>
      <c r="BU148" s="336"/>
      <c r="BV148" s="442"/>
      <c r="BW148" s="336"/>
      <c r="BX148" s="336"/>
      <c r="BY148" s="345"/>
      <c r="BZ148" s="345"/>
      <c r="CA148" s="345"/>
      <c r="CB148" s="345"/>
      <c r="CC148" s="345"/>
      <c r="CD148" s="355"/>
      <c r="CE148" s="355"/>
      <c r="CF148" s="355"/>
      <c r="CG148" s="382"/>
      <c r="CH148" s="382"/>
      <c r="CI148" s="382"/>
    </row>
    <row r="149" spans="1:87" s="325" customFormat="1" ht="19.5" customHeight="1">
      <c r="A149" s="1800"/>
      <c r="B149" s="1874"/>
      <c r="C149" s="1624"/>
      <c r="D149" s="1628"/>
      <c r="E149" s="1628"/>
      <c r="F149" s="1628"/>
      <c r="G149" s="1628"/>
      <c r="H149" s="1628"/>
      <c r="I149" s="1628"/>
      <c r="J149" s="1659"/>
      <c r="K149" s="1792"/>
      <c r="L149" s="1772"/>
      <c r="M149" s="1657"/>
      <c r="N149" s="1792"/>
      <c r="O149" s="1772"/>
      <c r="P149" s="1772"/>
      <c r="Q149" s="1792"/>
      <c r="R149" s="1772"/>
      <c r="S149" s="1772"/>
      <c r="T149" s="1792"/>
      <c r="U149" s="1772"/>
      <c r="V149" s="1772"/>
      <c r="W149" s="1792"/>
      <c r="X149" s="1808"/>
      <c r="Y149" s="1814"/>
      <c r="Z149" s="888"/>
      <c r="AA149" s="889"/>
      <c r="AB149" s="45"/>
      <c r="AC149" s="45"/>
      <c r="AD149" s="45"/>
      <c r="AE149" s="820"/>
      <c r="AF149" s="823"/>
      <c r="AG149" s="53"/>
      <c r="AH149" s="53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5"/>
      <c r="AU149" s="53"/>
      <c r="AV149" s="53"/>
      <c r="AW149" s="53"/>
      <c r="AX149" s="53"/>
      <c r="AY149" s="428"/>
      <c r="AZ149" s="428"/>
      <c r="BA149" s="428"/>
      <c r="BB149" s="428"/>
      <c r="BC149" s="428"/>
      <c r="BD149" s="428"/>
      <c r="BE149" s="428"/>
      <c r="BF149" s="428"/>
      <c r="BG149" s="428"/>
      <c r="BH149" s="428"/>
      <c r="BI149" s="428"/>
      <c r="BJ149" s="428"/>
      <c r="BK149" s="428"/>
      <c r="BL149" s="428"/>
      <c r="BM149" s="428"/>
      <c r="BN149" s="428"/>
      <c r="BO149" s="428"/>
      <c r="BP149" s="385"/>
      <c r="BQ149" s="338"/>
      <c r="BR149" s="338"/>
      <c r="BS149" s="336"/>
      <c r="BT149" s="336"/>
      <c r="BU149" s="336"/>
      <c r="BV149" s="442"/>
      <c r="BW149" s="336"/>
      <c r="BX149" s="336"/>
      <c r="BY149" s="345"/>
      <c r="BZ149" s="345"/>
      <c r="CA149" s="345"/>
      <c r="CB149" s="345"/>
      <c r="CC149" s="345"/>
      <c r="CD149" s="355"/>
      <c r="CE149" s="355"/>
      <c r="CF149" s="355"/>
      <c r="CG149" s="382"/>
      <c r="CH149" s="382"/>
      <c r="CI149" s="382"/>
    </row>
    <row r="150" spans="1:87" s="45" customFormat="1" ht="19.5" customHeight="1">
      <c r="A150" s="1800"/>
      <c r="B150" s="1874"/>
      <c r="C150" s="1687" t="s">
        <v>334</v>
      </c>
      <c r="D150" s="1626">
        <v>10</v>
      </c>
      <c r="E150" s="1815">
        <v>1</v>
      </c>
      <c r="F150" s="1628"/>
      <c r="G150" s="1628"/>
      <c r="H150" s="1628"/>
      <c r="I150" s="1628"/>
      <c r="J150" s="1772">
        <f>IF($G148=0,0,IF($F148="recht",$G148/$C$24,(G148-0.301*$C$24)/$C$24))+IF($H148=0,0,IF($F148="recht",$H148/$C$25,($H148-0.301*$C$25)/$C$25))+I148/$C$26</f>
        <v>7.3529411764705879</v>
      </c>
      <c r="K150" s="1792">
        <f>10^(-J150)</f>
        <v>4.4366873309786093E-8</v>
      </c>
      <c r="L150" s="1772">
        <f>$C$7*$C$8*$C$11*($C$12+$C$13*$C$14)*$E150/$D150/$D150*$K150*1000000</f>
        <v>2.6620123985871658E-4</v>
      </c>
      <c r="M150" s="1772">
        <f>IF($G148=0,0,IF(F148="recht",$G148/$D$24,($G148-0.301*$D$24)/$D$24))+IF($H148=0,0,IF($F148="recht",$H148/$D$25,($H148-0.301*$D$25)/$D$25))+I148/$D$26</f>
        <v>6.5789473684210522</v>
      </c>
      <c r="N150" s="1792">
        <f>10^(-M150)</f>
        <v>2.636650898730358E-7</v>
      </c>
      <c r="O150" s="1772">
        <f>$C$7*$C$8*$D$11*($D$12+$D$13*$D$14)*$E150/$D150/$D150*$N150*1000000</f>
        <v>1.581990539238215E-3</v>
      </c>
      <c r="P150" s="1772">
        <f>IF($G148=0,0,IF($F148="recht",$G148/$E$24,($G148-0.301*$E$24)/$E$24))+IF($H148=0,0,IF($F148="recht",$H148/$E$25,($H148-0.301*$E$25)/$E$25))+I148/$E$26</f>
        <v>6.5616797900262469</v>
      </c>
      <c r="Q150" s="1792">
        <f>10^(-P150)</f>
        <v>2.7435963093132793E-7</v>
      </c>
      <c r="R150" s="1772">
        <f>$C$7*$C$8*$E$11*($E$12+$E$13*$E$14)*$E150/$D150/$D150*$Q150*1000000</f>
        <v>1.6461577855879678E-3</v>
      </c>
      <c r="S150" s="1772">
        <f>IF($G148=0,0,IF($F148="recht",$G148/$F$24,(G148-0.301*$F$24)/$F$24))+IF($H148=0,0,IF($F148="recht",$H148/$F$25,($H148-0.301*$F$25)/$F$25))+I148/$F$26</f>
        <v>8.1967213114754092</v>
      </c>
      <c r="T150" s="1792">
        <f>10^(-S150)</f>
        <v>6.3573875711648393E-9</v>
      </c>
      <c r="U150" s="1772">
        <f>$C$7*$C$8*$F$11*($F$12+$F$13*$F$14)*$E150/$D150/$D150*$T150*1000000</f>
        <v>2.1615117741960457E-5</v>
      </c>
      <c r="V150" s="1772">
        <f>IF($G148=0,0,IF($F148="recht",$G148/$G$24,($G148-0.301*$G$24)/$G$24))+IF($H148=0,0,IF($F148="recht",$H148/$G$25,($H148-0.301*$G$25)/$G$25))+I148/$G$26</f>
        <v>7.0224719101123592</v>
      </c>
      <c r="W150" s="1792">
        <f>10^(-V150)</f>
        <v>9.4957241494880226E-8</v>
      </c>
      <c r="X150" s="1808">
        <f>$C$7*$C$8*$G$11*($G$12+$G$13*$G$14)*$E150/$D150/$D150*$W150*1000000</f>
        <v>2.1840165543822451E-4</v>
      </c>
      <c r="Y150" s="1810">
        <f>SUM(L150,O150,R150,U150,X150)</f>
        <v>3.7343663378650842E-3</v>
      </c>
      <c r="Z150" s="888"/>
      <c r="AA150" s="889"/>
      <c r="AD150" s="325"/>
      <c r="AF150" s="53"/>
      <c r="AG150" s="66"/>
      <c r="AH150" s="66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</row>
    <row r="151" spans="1:87" s="45" customFormat="1" ht="19.5" customHeight="1">
      <c r="A151" s="1800"/>
      <c r="B151" s="1874"/>
      <c r="C151" s="1688"/>
      <c r="D151" s="1689"/>
      <c r="E151" s="1816"/>
      <c r="F151" s="1628"/>
      <c r="G151" s="1628"/>
      <c r="H151" s="1628"/>
      <c r="I151" s="1628"/>
      <c r="J151" s="1773"/>
      <c r="K151" s="1793"/>
      <c r="L151" s="1773"/>
      <c r="M151" s="1773"/>
      <c r="N151" s="1793"/>
      <c r="O151" s="1773"/>
      <c r="P151" s="1773"/>
      <c r="Q151" s="1793"/>
      <c r="R151" s="1773"/>
      <c r="S151" s="1773"/>
      <c r="T151" s="1793"/>
      <c r="U151" s="1773"/>
      <c r="V151" s="1773"/>
      <c r="W151" s="1793"/>
      <c r="X151" s="1809"/>
      <c r="Y151" s="1810"/>
      <c r="Z151" s="888"/>
      <c r="AA151" s="889"/>
      <c r="AF151" s="53"/>
      <c r="AG151" s="66"/>
      <c r="AH151" s="66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</row>
    <row r="152" spans="1:87" s="45" customFormat="1" ht="19.5" customHeight="1">
      <c r="A152" s="1800"/>
      <c r="B152" s="1874"/>
      <c r="C152" s="1623" t="s">
        <v>34</v>
      </c>
      <c r="D152" s="1718">
        <f>D150</f>
        <v>10</v>
      </c>
      <c r="E152" s="1718">
        <f>E144</f>
        <v>0</v>
      </c>
      <c r="F152" s="1798" t="s">
        <v>12</v>
      </c>
      <c r="G152" s="1718">
        <f>X$10</f>
        <v>250</v>
      </c>
      <c r="H152" s="1718">
        <f>Y$10</f>
        <v>0</v>
      </c>
      <c r="I152" s="1718">
        <f>Z$10</f>
        <v>0</v>
      </c>
      <c r="J152" s="1801">
        <f>IF($G152=0,0,IF($F152="recht",1+(G152-$C$17)/$C$18,1+(G152-$C$17-0.301*$C$18)/$C$18))+IF($H152=0,0,IF($F152="recht",$H152/$C$19,($H152-0.301*$C$19)/$C$17))+I152/$C$20</f>
        <v>7.4545454545454541</v>
      </c>
      <c r="K152" s="1794">
        <f>10^(-J152)</f>
        <v>3.5111917342151263E-8</v>
      </c>
      <c r="L152" s="1796">
        <f>2.5*0.01*$C$7*$C$11*E152*K152/U$10/U$10*$W$10^1.3/$D152/$D152*1000000</f>
        <v>0</v>
      </c>
      <c r="M152" s="1656">
        <f>IF($G152=0,0,IF($F152="recht",1+($G152-$D$17)/$D$18,1+($G152-$D$17-0.301*$D$18)/$D$18))+IF($H152=0,0,IF($F152="recht",$H152/$D$19,($H152-0.301*$D$19)/$D$19))+$I152/$D$20</f>
        <v>6.6486486486486482</v>
      </c>
      <c r="N152" s="1794">
        <f>10^(-M152)</f>
        <v>2.2456979955397711E-7</v>
      </c>
      <c r="O152" s="1796">
        <f>2.5*0.01*$C$7*$D$11*E152*N152/U$10/U$10*$W$10^1.3/$D152/$D152*1000000</f>
        <v>0</v>
      </c>
      <c r="P152" s="1771">
        <f>IF($G152=0,0,IF($F152="recht",1+($G152-$E$17)/$E$18,1+($G152-$E$17-0.301*$E$18)/$E$18))+IF($H152=0,0,IF($F152="recht",$H152/$E$19,($H152-0.301*$E$19)/$E$19))+I152/$E$20</f>
        <v>6.024390243902439</v>
      </c>
      <c r="Q152" s="1794">
        <f>10^(-P152)</f>
        <v>9.4538728313079291E-7</v>
      </c>
      <c r="R152" s="1796">
        <f>2.5*0.01*$C$7*$E$11*E152*Q152/U$10/U$10*$W$10^1.3/$D152/$D152*1000000</f>
        <v>0</v>
      </c>
      <c r="S152" s="1771">
        <f>IF($G152=0,0,IF(F152="recht",1+(G152-$F$17)/$F$18,1+(G152-$F$17-0.301*$F$18)/$F$18))+IF($H152=0,0,IF($F152="recht",$H152/$F$19,($H152-0.301*$F$19)/$F$19))+I152/$F$20</f>
        <v>9.1481481481481488</v>
      </c>
      <c r="T152" s="1794">
        <f>10^(-S152)</f>
        <v>7.1097094323124171E-10</v>
      </c>
      <c r="U152" s="1796">
        <f>2.5*0.01*$C$7*$F$11*E152*T152/U$10/U$10*$W$10^1.3/$D152/$D152*1000000</f>
        <v>0</v>
      </c>
      <c r="V152" s="1771">
        <f>IF($G152=0,0,IF($F152="recht",1+(G152-$G$17)/$G$18,1+(G152-$G$17-0.301*$G$18)/$G$18))+IF($H152=0,0,IF($F152="recht",$H152/$G$19,($H152-0.301*$G$19)/$G$19))+I152/$G$20</f>
        <v>6.9444444444444446</v>
      </c>
      <c r="W152" s="1794">
        <f>10^(-V152)</f>
        <v>1.136463666385722E-7</v>
      </c>
      <c r="X152" s="1819">
        <f>2.5*0.01*$C$7*$G$11*E152*W152/U$10/U$10*$W$10^1.3/$D152/$D152*1000000</f>
        <v>0</v>
      </c>
      <c r="Y152" s="1810">
        <f>SUM(L152,O152,R152,U152,X152)</f>
        <v>0</v>
      </c>
      <c r="Z152" s="890"/>
      <c r="AA152" s="891"/>
    </row>
    <row r="153" spans="1:87" s="45" customFormat="1" ht="19.5" customHeight="1">
      <c r="A153" s="1800"/>
      <c r="B153" s="1874"/>
      <c r="C153" s="1624"/>
      <c r="D153" s="1800"/>
      <c r="E153" s="1800"/>
      <c r="F153" s="1799"/>
      <c r="G153" s="1800"/>
      <c r="H153" s="1800"/>
      <c r="I153" s="1800"/>
      <c r="J153" s="1802"/>
      <c r="K153" s="1795"/>
      <c r="L153" s="1797"/>
      <c r="M153" s="1657"/>
      <c r="N153" s="1795"/>
      <c r="O153" s="1797"/>
      <c r="P153" s="1772"/>
      <c r="Q153" s="1795"/>
      <c r="R153" s="1797"/>
      <c r="S153" s="1772"/>
      <c r="T153" s="1812"/>
      <c r="U153" s="1818"/>
      <c r="V153" s="1772"/>
      <c r="W153" s="1812"/>
      <c r="X153" s="1820"/>
      <c r="Y153" s="1810"/>
      <c r="Z153" s="890"/>
      <c r="AA153" s="891"/>
    </row>
    <row r="154" spans="1:87" s="45" customFormat="1" ht="19.5" customHeight="1">
      <c r="A154" s="1800"/>
      <c r="B154" s="1874"/>
      <c r="C154" s="1623" t="s">
        <v>35</v>
      </c>
      <c r="D154" s="1800"/>
      <c r="E154" s="1798">
        <v>1</v>
      </c>
      <c r="F154" s="1798" t="s">
        <v>116</v>
      </c>
      <c r="G154" s="1718">
        <f>X$11</f>
        <v>200</v>
      </c>
      <c r="H154" s="1718">
        <f>Y$11</f>
        <v>0</v>
      </c>
      <c r="I154" s="1718">
        <f>Z$11</f>
        <v>0</v>
      </c>
      <c r="J154" s="1801">
        <f>IF($G154=0,0,IF($F154="recht",$GG154/$C$24,($G154-0.301*$C$24)/$C$24))+IF($H154=0,0,IF($F154="recht",$H154/$C$25,($H154-0.301*$C$25)/$C$25))+I154/$C$26</f>
        <v>5.58135294117647</v>
      </c>
      <c r="K154" s="1794">
        <f>10^(-J154)</f>
        <v>2.6220867674308296E-6</v>
      </c>
      <c r="L154" s="1796">
        <f>2.5*0.01*$C$7*$C$8*$C$11*($C$12+$C$13*$C$14)*E154/U$11/U$11*K154*$W$11^1.3/$D152/$D152*1000000</f>
        <v>1.7419398413490567E-3</v>
      </c>
      <c r="M154" s="1801">
        <f>IF($G154=0,0,IF($F154="recht",$G154/$D$24,($G154-0.301*$D$24)/$D$24))+IF($H154=0,0,IF($F154="recht",$H154/$D$25,($H154-0.301*$D$25)/$D$25))+I154/$D$26</f>
        <v>4.9621578947368423</v>
      </c>
      <c r="N154" s="1794">
        <f>10^(-M154)</f>
        <v>1.0910435979026304E-5</v>
      </c>
      <c r="O154" s="1796">
        <f>2.5*0.01*$C$7*$C$8*$D$11*($D$12+$D$13*$D$14)*E154/U$11/U$11*N154*$W$11^1.3/$D152/$D152*1000000</f>
        <v>7.2481671294866799E-3</v>
      </c>
      <c r="P154" s="1801">
        <f>IF($G154=0,0,IF($F154="recht",$G154/$E$24,(G154-0.301*$E$24)/$E$24))+IF($H154=0,0,IF($F154="recht",$H154/$E$25,($H154-0.301*$E$25)/$E$25))+I154/$E$26</f>
        <v>4.9483438320209974</v>
      </c>
      <c r="Q154" s="1794">
        <f>10^(-P154)</f>
        <v>1.1263054043136272E-5</v>
      </c>
      <c r="R154" s="1796">
        <f>2.5*0.01*$C$7*$C$8*$E$11*($E$12+$E$13*$E$14)*E154/U$11/U$11*Q154*$W$11^1.3/$D152/$D152*1000000</f>
        <v>7.4824230901520735E-3</v>
      </c>
      <c r="S154" s="1806">
        <f>IF(G$146=0,0,IF(F154="recht",$G154/$F$146,($G154-0.301*$F$24)/$F$24))+IF($H154=0,0,IF($F154="recht",$H154/$F$25,($H154-0.301*$F$25)/$F$25))+I154/$F$26</f>
        <v>6.2563770491803279</v>
      </c>
      <c r="T154" s="1811">
        <f>10^(-S154)</f>
        <v>5.5414440263229426E-7</v>
      </c>
      <c r="U154" s="1796">
        <f>2.5*0.01*$C$7*$C$8*$F$11*($F$12+$F$13*$F$14)*E154/U$11/U$11*T154*$W$11^1.3/$D152/$D152*1000000</f>
        <v>2.0861076276506701E-4</v>
      </c>
      <c r="V154" s="1806">
        <f>IF($G154=0,0,IF($F154="recht",$G154/$G$24,($G154-0.301*$G$24)/$G$24))+IF($H154=0,0,IF($F154="recht",$H154/$G$25,($H154-0.301*$G$25)/$G$25))+I154/$G$26</f>
        <v>5.3169775280898879</v>
      </c>
      <c r="W154" s="1811">
        <f>10^(-V154)</f>
        <v>4.8197273592906954E-6</v>
      </c>
      <c r="X154" s="1819">
        <f>2.5*0.01*$C$7*$C$8*$G$11*($G$12+$G$13*$G$14)*E154/U$11/U$11*W154*$W$11^1.3/$D152/$D152</f>
        <v>1.2273972646840874E-9</v>
      </c>
      <c r="Y154" s="1814">
        <f>SUM(L154,O154,R154,U154,X154)</f>
        <v>1.6681142051150143E-2</v>
      </c>
      <c r="Z154" s="890"/>
      <c r="AA154" s="891"/>
    </row>
    <row r="155" spans="1:87" s="45" customFormat="1" ht="19.5" customHeight="1" thickBot="1">
      <c r="A155" s="1711"/>
      <c r="B155" s="1875"/>
      <c r="C155" s="1624"/>
      <c r="D155" s="1800"/>
      <c r="E155" s="1799"/>
      <c r="F155" s="1799"/>
      <c r="G155" s="1800"/>
      <c r="H155" s="1800"/>
      <c r="I155" s="1800"/>
      <c r="J155" s="1802"/>
      <c r="K155" s="1795"/>
      <c r="L155" s="1797"/>
      <c r="M155" s="1802"/>
      <c r="N155" s="1795"/>
      <c r="O155" s="1797"/>
      <c r="P155" s="1802"/>
      <c r="Q155" s="1795"/>
      <c r="R155" s="1797"/>
      <c r="S155" s="1802"/>
      <c r="T155" s="1795"/>
      <c r="U155" s="1797"/>
      <c r="V155" s="1802"/>
      <c r="W155" s="1795"/>
      <c r="X155" s="1823"/>
      <c r="Y155" s="1821"/>
      <c r="Z155" s="892"/>
      <c r="AA155" s="893"/>
    </row>
    <row r="156" spans="1:87" s="325" customFormat="1" ht="19.5" customHeight="1">
      <c r="A156" s="1718" t="str">
        <f ca="1">'Linac 1'!A183</f>
        <v>T3</v>
      </c>
      <c r="B156" s="1851" t="str">
        <f ca="1">'Linac 1'!B183</f>
        <v>terreingrens 3</v>
      </c>
      <c r="C156" s="1623" t="s">
        <v>333</v>
      </c>
      <c r="D156" s="1627">
        <v>1</v>
      </c>
      <c r="E156" s="1627">
        <v>0</v>
      </c>
      <c r="F156" s="1627" t="s">
        <v>12</v>
      </c>
      <c r="G156" s="1627">
        <v>250</v>
      </c>
      <c r="H156" s="1627">
        <v>0</v>
      </c>
      <c r="I156" s="1627">
        <v>0</v>
      </c>
      <c r="J156" s="1656">
        <f>IF($G156=0,0,IF($F156="recht",1+($G156-$C$17)/$C$18,1+($G156-$C$17-0.301*$C$18)/$C$18))+IF($H156=0,0,IF($F156="recht",$H156/$C$19,($H156-0.301*$C$19)/$C$19))+$I156/$C$20</f>
        <v>7.4545454545454541</v>
      </c>
      <c r="K156" s="1791">
        <f>10^(-J156)</f>
        <v>3.5111917342151263E-8</v>
      </c>
      <c r="L156" s="1771">
        <f>$C$7*$C$11*$E156/$D156/$D156*K156*1000000</f>
        <v>0</v>
      </c>
      <c r="M156" s="1656">
        <f>IF($G156=0,0,IF($F156="recht",1+($G156-$D$17)/$D$18,1+($G156-$D$17-0.301*$D$18)/$D$18))+IF($H156=0,0,IF($F156="recht",$H156/$D$19,($H156-0.301*$D$19)/$D$19))+$I156/$D$20</f>
        <v>6.6486486486486482</v>
      </c>
      <c r="N156" s="1791">
        <f>10^(-M156)</f>
        <v>2.2456979955397711E-7</v>
      </c>
      <c r="O156" s="1771">
        <f>$C$7*$D$11*$E156/$D156/$D156*$N156*1000000</f>
        <v>0</v>
      </c>
      <c r="P156" s="1771">
        <f>IF($G156=0,0,IF($F156="recht",1+(G156-$E$17)/$E$18,1+(G156-$E$17-0.301*$E$18)/$E$18))+IF($H156=0,0,IF($F156="recht",$H156/$E$19,($H156-0.301*$E$19)/$E$19))+I156/$E$20</f>
        <v>6.024390243902439</v>
      </c>
      <c r="Q156" s="1791">
        <f>10^(-P156)</f>
        <v>9.4538728313079291E-7</v>
      </c>
      <c r="R156" s="1771">
        <f>$C$7*$E$11*$E156/$D156/$D156*$Q156*1000000</f>
        <v>0</v>
      </c>
      <c r="S156" s="1771">
        <f>IF($G156=0,0,IF($F156="recht",1+(G156-$F$17)/$F$18,1+(G156-$F$17-0.301*$F$18)/$F$18))+IF($H156=0,0,IF($F156="recht",$H156/$F$19,($H156-0.301*$F$19)/$F$19))+I156/$F$20</f>
        <v>9.1481481481481488</v>
      </c>
      <c r="T156" s="1791">
        <f>10^(-S156)</f>
        <v>7.1097094323124171E-10</v>
      </c>
      <c r="U156" s="1771">
        <f>$C$7*$F$11*$E156/$D156/$D156*$T156*1000000</f>
        <v>0</v>
      </c>
      <c r="V156" s="1771">
        <f>IF($G156=0,0,IF(F156="recht",1+(G156-$G$17)/$G$18,1+(G156-$G$17-0.301*$G$18)/$G$18))+IF($H156=0,0,IF($F156="recht",$H156/$G$19,($H156-0.301*$G$19)/$G$19))+I156/$G$20</f>
        <v>6.9444444444444446</v>
      </c>
      <c r="W156" s="1791">
        <f>10^(-V156)</f>
        <v>1.136463666385722E-7</v>
      </c>
      <c r="X156" s="1817">
        <f>$C$7*$G$11*$E156/$D156/$D156*$W156*1000000</f>
        <v>0</v>
      </c>
      <c r="Y156" s="1813">
        <f>SUM(L156,O156,R156,U156,X156)</f>
        <v>0</v>
      </c>
      <c r="Z156" s="886">
        <f>SUM(Y156:Y163)</f>
        <v>2.0415508389015229E-2</v>
      </c>
      <c r="AA156" s="887">
        <f>Z156*52/1000</f>
        <v>1.0616064362287919E-3</v>
      </c>
      <c r="AB156" s="45"/>
      <c r="AC156" s="45"/>
      <c r="AD156" s="45"/>
      <c r="AE156" s="45"/>
      <c r="AF156" s="66"/>
      <c r="AG156" s="53"/>
      <c r="AH156" s="53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5"/>
      <c r="AU156" s="53"/>
      <c r="AV156" s="53"/>
      <c r="AW156" s="53"/>
      <c r="AX156" s="53"/>
      <c r="AY156" s="428"/>
      <c r="AZ156" s="428"/>
      <c r="BA156" s="428"/>
      <c r="BB156" s="428"/>
      <c r="BC156" s="428"/>
      <c r="BD156" s="428"/>
      <c r="BE156" s="428"/>
      <c r="BF156" s="428"/>
      <c r="BG156" s="428"/>
      <c r="BH156" s="428"/>
      <c r="BI156" s="428"/>
      <c r="BJ156" s="428"/>
      <c r="BK156" s="428"/>
      <c r="BL156" s="428"/>
      <c r="BM156" s="428"/>
      <c r="BN156" s="428"/>
      <c r="BO156" s="428"/>
      <c r="BP156" s="385"/>
      <c r="BQ156" s="338"/>
      <c r="BR156" s="338"/>
      <c r="BS156" s="336"/>
      <c r="BT156" s="336"/>
      <c r="BU156" s="336"/>
      <c r="BV156" s="442"/>
      <c r="BW156" s="336"/>
      <c r="BX156" s="336"/>
      <c r="BY156" s="345"/>
      <c r="BZ156" s="345"/>
      <c r="CA156" s="345"/>
      <c r="CB156" s="345"/>
      <c r="CC156" s="345"/>
      <c r="CD156" s="355"/>
      <c r="CE156" s="355"/>
      <c r="CF156" s="355"/>
      <c r="CG156" s="382"/>
      <c r="CH156" s="382"/>
      <c r="CI156" s="382"/>
    </row>
    <row r="157" spans="1:87" s="325" customFormat="1" ht="19.5" customHeight="1">
      <c r="A157" s="1800"/>
      <c r="B157" s="1852"/>
      <c r="C157" s="1624"/>
      <c r="D157" s="1628"/>
      <c r="E157" s="1628"/>
      <c r="F157" s="1628"/>
      <c r="G157" s="1628"/>
      <c r="H157" s="1628"/>
      <c r="I157" s="1628"/>
      <c r="J157" s="1659"/>
      <c r="K157" s="1792"/>
      <c r="L157" s="1772"/>
      <c r="M157" s="1657"/>
      <c r="N157" s="1792"/>
      <c r="O157" s="1772"/>
      <c r="P157" s="1772"/>
      <c r="Q157" s="1792"/>
      <c r="R157" s="1772"/>
      <c r="S157" s="1772"/>
      <c r="T157" s="1792"/>
      <c r="U157" s="1772"/>
      <c r="V157" s="1772"/>
      <c r="W157" s="1792"/>
      <c r="X157" s="1808"/>
      <c r="Y157" s="1814"/>
      <c r="Z157" s="888"/>
      <c r="AA157" s="889"/>
      <c r="AB157" s="45"/>
      <c r="AC157" s="45"/>
      <c r="AD157" s="45"/>
      <c r="AE157" s="45"/>
      <c r="AF157" s="66"/>
      <c r="AG157" s="53"/>
      <c r="AH157" s="53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5"/>
      <c r="AU157" s="53"/>
      <c r="AV157" s="53"/>
      <c r="AW157" s="53"/>
      <c r="AX157" s="53"/>
      <c r="AY157" s="428"/>
      <c r="AZ157" s="428"/>
      <c r="BA157" s="428"/>
      <c r="BB157" s="428"/>
      <c r="BC157" s="428"/>
      <c r="BD157" s="428"/>
      <c r="BE157" s="428"/>
      <c r="BF157" s="428"/>
      <c r="BG157" s="428"/>
      <c r="BH157" s="428"/>
      <c r="BI157" s="428"/>
      <c r="BJ157" s="428"/>
      <c r="BK157" s="428"/>
      <c r="BL157" s="428"/>
      <c r="BM157" s="428"/>
      <c r="BN157" s="428"/>
      <c r="BO157" s="428"/>
      <c r="BP157" s="385"/>
      <c r="BQ157" s="338"/>
      <c r="BR157" s="338"/>
      <c r="BS157" s="336"/>
      <c r="BT157" s="336"/>
      <c r="BU157" s="336"/>
      <c r="BV157" s="442"/>
      <c r="BW157" s="336"/>
      <c r="BX157" s="336"/>
      <c r="BY157" s="345"/>
      <c r="BZ157" s="345"/>
      <c r="CA157" s="345"/>
      <c r="CB157" s="345"/>
      <c r="CC157" s="345"/>
      <c r="CD157" s="355"/>
      <c r="CE157" s="355"/>
      <c r="CF157" s="355"/>
      <c r="CG157" s="382"/>
      <c r="CH157" s="382"/>
      <c r="CI157" s="382"/>
    </row>
    <row r="158" spans="1:87" s="45" customFormat="1" ht="19.5" customHeight="1">
      <c r="A158" s="1800"/>
      <c r="B158" s="1852"/>
      <c r="C158" s="1687" t="s">
        <v>334</v>
      </c>
      <c r="D158" s="1626">
        <v>10</v>
      </c>
      <c r="E158" s="1815">
        <v>1</v>
      </c>
      <c r="F158" s="1628"/>
      <c r="G158" s="1628"/>
      <c r="H158" s="1628"/>
      <c r="I158" s="1628"/>
      <c r="J158" s="1772">
        <f>IF($G156=0,0,IF($F156="recht",$G156/$C$24,(G156-0.301*$C$24)/$C$24))+IF($H156=0,0,IF($F156="recht",$H156/$C$25,($H156-0.301*$C$25)/$C$25))+I156/$C$26</f>
        <v>7.3529411764705879</v>
      </c>
      <c r="K158" s="1792">
        <f>10^(-J158)</f>
        <v>4.4366873309786093E-8</v>
      </c>
      <c r="L158" s="1772">
        <f>$C$7*$C$8*$C$11*($C$12+$C$13*$C$14)*$E158/$D158/$D158*$K158*1000000</f>
        <v>2.6620123985871658E-4</v>
      </c>
      <c r="M158" s="1772">
        <f>IF($G156=0,0,IF(F156="recht",$G156/$D$24,($G156-0.301*$D$24)/$D$24))+IF($H156=0,0,IF($F156="recht",$H156/$D$25,($H156-0.301*$D$25)/$D$25))+I156/$D$26</f>
        <v>6.5789473684210522</v>
      </c>
      <c r="N158" s="1792">
        <f>10^(-M158)</f>
        <v>2.636650898730358E-7</v>
      </c>
      <c r="O158" s="1772">
        <f>$C$7*$C$8*$D$11*($D$12+$D$13*$D$14)*$E158/$D158/$D158*$N158*1000000</f>
        <v>1.581990539238215E-3</v>
      </c>
      <c r="P158" s="1772">
        <f>IF($G156=0,0,IF($F156="recht",$G156/$E$24,($G156-0.301*$E$24)/$E$24))+IF($H156=0,0,IF($F156="recht",$H156/$E$25,($H156-0.301*$E$25)/$E$25))+I156/$E$26</f>
        <v>6.5616797900262469</v>
      </c>
      <c r="Q158" s="1792">
        <f>10^(-P158)</f>
        <v>2.7435963093132793E-7</v>
      </c>
      <c r="R158" s="1772">
        <f>$C$7*$C$8*$E$11*($E$12+$E$13*$E$14)*$E158/$D158/$D158*$Q158*1000000</f>
        <v>1.6461577855879678E-3</v>
      </c>
      <c r="S158" s="1772">
        <f>IF($G156=0,0,IF($F156="recht",$G156/$F$24,(G156-0.301*$F$24)/$F$24))+IF($H156=0,0,IF($F156="recht",$H156/$F$25,($H156-0.301*$F$25)/$F$25))+I156/$F$26</f>
        <v>8.1967213114754092</v>
      </c>
      <c r="T158" s="1792">
        <f>10^(-S158)</f>
        <v>6.3573875711648393E-9</v>
      </c>
      <c r="U158" s="1772">
        <f>$C$7*$C$8*$F$11*($F$12+$F$13*$F$14)*$E158/$D158/$D158*$T158*1000000</f>
        <v>2.1615117741960457E-5</v>
      </c>
      <c r="V158" s="1772">
        <f>IF($G156=0,0,IF($F156="recht",$G156/$G$24,($G156-0.301*$G$24)/$G$24))+IF($H156=0,0,IF($F156="recht",$H156/$G$25,($H156-0.301*$G$25)/$G$25))+I156/$G$26</f>
        <v>7.0224719101123592</v>
      </c>
      <c r="W158" s="1792">
        <f>10^(-V158)</f>
        <v>9.4957241494880226E-8</v>
      </c>
      <c r="X158" s="1808">
        <f>$C$7*$C$8*$G$11*($G$12+$G$13*$G$14)*$E158/$D158/$D158*$W158*1000000</f>
        <v>2.1840165543822451E-4</v>
      </c>
      <c r="Y158" s="1810">
        <f>SUM(L158,O158,R158,U158,X158)</f>
        <v>3.7343663378650842E-3</v>
      </c>
      <c r="Z158" s="888"/>
      <c r="AA158" s="889"/>
      <c r="AF158" s="53"/>
      <c r="AG158" s="66"/>
      <c r="AH158" s="66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</row>
    <row r="159" spans="1:87" s="45" customFormat="1" ht="19.5" customHeight="1">
      <c r="A159" s="1800"/>
      <c r="B159" s="1852"/>
      <c r="C159" s="1688"/>
      <c r="D159" s="1689"/>
      <c r="E159" s="1816"/>
      <c r="F159" s="1628"/>
      <c r="G159" s="1628"/>
      <c r="H159" s="1628"/>
      <c r="I159" s="1628"/>
      <c r="J159" s="1773"/>
      <c r="K159" s="1793"/>
      <c r="L159" s="1773"/>
      <c r="M159" s="1773"/>
      <c r="N159" s="1793"/>
      <c r="O159" s="1773"/>
      <c r="P159" s="1773"/>
      <c r="Q159" s="1793"/>
      <c r="R159" s="1773"/>
      <c r="S159" s="1773"/>
      <c r="T159" s="1793"/>
      <c r="U159" s="1773"/>
      <c r="V159" s="1773"/>
      <c r="W159" s="1793"/>
      <c r="X159" s="1809"/>
      <c r="Y159" s="1810"/>
      <c r="Z159" s="888"/>
      <c r="AA159" s="889"/>
      <c r="AF159" s="53"/>
      <c r="AG159" s="66"/>
      <c r="AH159" s="66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</row>
    <row r="160" spans="1:87" s="45" customFormat="1" ht="19.5" customHeight="1">
      <c r="A160" s="1800"/>
      <c r="B160" s="1852"/>
      <c r="C160" s="1623" t="s">
        <v>34</v>
      </c>
      <c r="D160" s="1718">
        <f>D158</f>
        <v>10</v>
      </c>
      <c r="E160" s="1718">
        <f>E144</f>
        <v>0</v>
      </c>
      <c r="F160" s="1798" t="s">
        <v>12</v>
      </c>
      <c r="G160" s="1718">
        <f>X$10</f>
        <v>250</v>
      </c>
      <c r="H160" s="1718">
        <f>Y$10</f>
        <v>0</v>
      </c>
      <c r="I160" s="1718">
        <f>Z$10</f>
        <v>0</v>
      </c>
      <c r="J160" s="1801">
        <f>IF($G160=0,0,IF($F160="recht",1+(G160-$C$17)/$C$18,1+(G160-$C$17-0.301*$C$18)/$C$18))+IF($H160=0,0,IF($F160="recht",$H160/$C$19,($H160-0.301*$C$19)/$C$17))+I160/$C$20</f>
        <v>7.4545454545454541</v>
      </c>
      <c r="K160" s="1794">
        <f>10^(-J160)</f>
        <v>3.5111917342151263E-8</v>
      </c>
      <c r="L160" s="1796">
        <f>2.5*0.01*$C$7*$C$11*E160*K160/U$10/U$10*$W$10^1.3/$D160/$D160*1000000</f>
        <v>0</v>
      </c>
      <c r="M160" s="1656">
        <f>IF($G160=0,0,IF($F160="recht",1+($G160-$D$17)/$D$18,1+($G160-$D$17-0.301*$D$18)/$D$18))+IF($H160=0,0,IF($F160="recht",$H160/$D$19,($H160-0.301*$D$19)/$D$19))+$I160/$D$20</f>
        <v>6.6486486486486482</v>
      </c>
      <c r="N160" s="1794">
        <f>10^(-M160)</f>
        <v>2.2456979955397711E-7</v>
      </c>
      <c r="O160" s="1796">
        <f>2.5*0.01*$C$7*$D$11*E160*N160/U$10/U$10*$W$10^1.3/$D160/$D160*1000000</f>
        <v>0</v>
      </c>
      <c r="P160" s="1771">
        <f>IF($G160=0,0,IF($F160="recht",1+($G160-$E$17)/$E$18,1+($G160-$E$17-0.301*$E$18)/$E$18))+IF($H160=0,0,IF($F160="recht",$H160/$E$19,($H160-0.301*$E$19)/$E$19))+I160/$E$20</f>
        <v>6.024390243902439</v>
      </c>
      <c r="Q160" s="1794">
        <f>10^(-P160)</f>
        <v>9.4538728313079291E-7</v>
      </c>
      <c r="R160" s="1796">
        <f>2.5*0.01*$C$7*$E$11*E160*Q160/U$10/U$10*$W$10^1.3/$D160/$D160*1000000</f>
        <v>0</v>
      </c>
      <c r="S160" s="1771">
        <f>IF($G160=0,0,IF(F160="recht",1+(G160-$F$17)/$F$18,1+(G160-$F$17-0.301*$F$18)/$F$18))+IF($H160=0,0,IF($F160="recht",$H160/$F$19,($H160-0.301*$F$19)/$F$19))+I160/$F$20</f>
        <v>9.1481481481481488</v>
      </c>
      <c r="T160" s="1794">
        <f>10^(-S160)</f>
        <v>7.1097094323124171E-10</v>
      </c>
      <c r="U160" s="1796">
        <f>2.5*0.01*$C$7*$F$11*E160*T160/U$10/U$10*$W$10^1.3/$D160/$D160*1000000</f>
        <v>0</v>
      </c>
      <c r="V160" s="1771">
        <f>IF($G160=0,0,IF($F160="recht",1+(G160-$G$17)/$G$18,1+(G160-$G$17-0.301*$G$18)/$G$18))+IF($H160=0,0,IF($F160="recht",$H160/$G$19,($H160-0.301*$G$19)/$G$19))+I160/$G$20</f>
        <v>6.9444444444444446</v>
      </c>
      <c r="W160" s="1794">
        <f>10^(-V160)</f>
        <v>1.136463666385722E-7</v>
      </c>
      <c r="X160" s="1819">
        <f>2.5*0.01*$C$7*$G$11*E160*W160/U$10/U$10*$W$10^1.3/$D160/$D160*1000000</f>
        <v>0</v>
      </c>
      <c r="Y160" s="1810">
        <f>SUM(L160,O160,R160,U160,X160)</f>
        <v>0</v>
      </c>
      <c r="Z160" s="890"/>
      <c r="AA160" s="891"/>
    </row>
    <row r="161" spans="1:87" s="45" customFormat="1" ht="19.5" customHeight="1">
      <c r="A161" s="1800"/>
      <c r="B161" s="1852"/>
      <c r="C161" s="1624"/>
      <c r="D161" s="1800"/>
      <c r="E161" s="1800"/>
      <c r="F161" s="1799"/>
      <c r="G161" s="1800"/>
      <c r="H161" s="1800"/>
      <c r="I161" s="1800"/>
      <c r="J161" s="1802"/>
      <c r="K161" s="1795"/>
      <c r="L161" s="1797"/>
      <c r="M161" s="1657"/>
      <c r="N161" s="1795"/>
      <c r="O161" s="1797"/>
      <c r="P161" s="1772"/>
      <c r="Q161" s="1795"/>
      <c r="R161" s="1797"/>
      <c r="S161" s="1772"/>
      <c r="T161" s="1812"/>
      <c r="U161" s="1818"/>
      <c r="V161" s="1772"/>
      <c r="W161" s="1812"/>
      <c r="X161" s="1820"/>
      <c r="Y161" s="1810"/>
      <c r="Z161" s="890"/>
      <c r="AA161" s="891"/>
    </row>
    <row r="162" spans="1:87" s="45" customFormat="1" ht="19.5" customHeight="1">
      <c r="A162" s="1800"/>
      <c r="B162" s="1852"/>
      <c r="C162" s="1623" t="s">
        <v>35</v>
      </c>
      <c r="D162" s="1800"/>
      <c r="E162" s="1798">
        <v>1</v>
      </c>
      <c r="F162" s="1798" t="s">
        <v>116</v>
      </c>
      <c r="G162" s="1718">
        <f>X$11</f>
        <v>200</v>
      </c>
      <c r="H162" s="1718">
        <f>Y$11</f>
        <v>0</v>
      </c>
      <c r="I162" s="1718">
        <f>Z$11</f>
        <v>0</v>
      </c>
      <c r="J162" s="1801">
        <f>IF($G162=0,0,IF($F162="recht",$GG162/$C$24,($G162-0.301*$C$24)/$C$24))+IF($H162=0,0,IF($F162="recht",$H162/$C$25,($H162-0.301*$C$25)/$C$25))+I162/$C$26</f>
        <v>5.58135294117647</v>
      </c>
      <c r="K162" s="1794">
        <f>10^(-J162)</f>
        <v>2.6220867674308296E-6</v>
      </c>
      <c r="L162" s="1796">
        <f>2.5*0.01*$C$7*$C$8*$C$11*($C$12+$C$13*$C$14)*E162/U$11/U$11*K162*$W$11^1.3/$D160/$D160*1000000</f>
        <v>1.7419398413490567E-3</v>
      </c>
      <c r="M162" s="1801">
        <f>IF($G162=0,0,IF($F162="recht",$G162/$D$24,($G162-0.301*$D$24)/$D$24))+IF($H162=0,0,IF($F162="recht",$H162/$D$25,($H162-0.301*$D$25)/$D$25))+I162/$D$26</f>
        <v>4.9621578947368423</v>
      </c>
      <c r="N162" s="1794">
        <f>10^(-M162)</f>
        <v>1.0910435979026304E-5</v>
      </c>
      <c r="O162" s="1796">
        <f>2.5*0.01*$C$7*$C$8*$D$11*($D$12+$D$13*$D$14)*E162/U$11/U$11*N162*$W$11^1.3/$D160/$D160*1000000</f>
        <v>7.2481671294866799E-3</v>
      </c>
      <c r="P162" s="1801">
        <f>IF($G162=0,0,IF($F162="recht",$G162/$E$24,(G162-0.301*$E$24)/$E$24))+IF($H162=0,0,IF($F162="recht",$H162/$E$25,($H162-0.301*$E$25)/$E$25))+I162/$E$26</f>
        <v>4.9483438320209974</v>
      </c>
      <c r="Q162" s="1794">
        <f>10^(-P162)</f>
        <v>1.1263054043136272E-5</v>
      </c>
      <c r="R162" s="1796">
        <f>2.5*0.01*$C$7*$C$8*$E$11*($E$12+$E$13*$E$14)*E162/U$11/U$11*Q162*$W$11^1.3/$D160/$D160*1000000</f>
        <v>7.4824230901520735E-3</v>
      </c>
      <c r="S162" s="1806">
        <f>IF(G$146=0,0,IF(F162="recht",$G162/$F$146,($G162-0.301*$F$24)/$F$24))+IF($H162=0,0,IF($F162="recht",$H162/$F$25,($H162-0.301*$F$25)/$F$25))+I162/$F$26</f>
        <v>6.2563770491803279</v>
      </c>
      <c r="T162" s="1811">
        <f>10^(-S162)</f>
        <v>5.5414440263229426E-7</v>
      </c>
      <c r="U162" s="1796">
        <f>2.5*0.01*$C$7*$C$8*$F$11*($F$12+$F$13*$F$14)*E162/U$11/U$11*T162*$W$11^1.3/$D160/$D160*1000000</f>
        <v>2.0861076276506701E-4</v>
      </c>
      <c r="V162" s="1806">
        <f>IF($G162=0,0,IF($F162="recht",$G162/$G$24,($G162-0.301*$G$24)/$G$24))+IF($H162=0,0,IF($F162="recht",$H162/$G$25,($H162-0.301*$G$25)/$G$25))+I162/$G$26</f>
        <v>5.3169775280898879</v>
      </c>
      <c r="W162" s="1811">
        <f>10^(-V162)</f>
        <v>4.8197273592906954E-6</v>
      </c>
      <c r="X162" s="1819">
        <f>2.5*0.01*$C$7*$C$8*$G$11*($G$12+$G$13*$G$14)*E162/U$11/U$11*W162*$W$11^1.3/$D160/$D160</f>
        <v>1.2273972646840874E-9</v>
      </c>
      <c r="Y162" s="1814">
        <f>SUM(L162,O162,R162,U162,X162)</f>
        <v>1.6681142051150143E-2</v>
      </c>
      <c r="Z162" s="890"/>
      <c r="AA162" s="891"/>
    </row>
    <row r="163" spans="1:87" s="45" customFormat="1" ht="19.5" customHeight="1" thickBot="1">
      <c r="A163" s="1711"/>
      <c r="B163" s="1853"/>
      <c r="C163" s="1624"/>
      <c r="D163" s="1800"/>
      <c r="E163" s="1799"/>
      <c r="F163" s="1799"/>
      <c r="G163" s="1800"/>
      <c r="H163" s="1800"/>
      <c r="I163" s="1800"/>
      <c r="J163" s="1802"/>
      <c r="K163" s="1795"/>
      <c r="L163" s="1797"/>
      <c r="M163" s="1802"/>
      <c r="N163" s="1795"/>
      <c r="O163" s="1797"/>
      <c r="P163" s="1802"/>
      <c r="Q163" s="1795"/>
      <c r="R163" s="1797"/>
      <c r="S163" s="1802"/>
      <c r="T163" s="1795"/>
      <c r="U163" s="1797"/>
      <c r="V163" s="1802"/>
      <c r="W163" s="1795"/>
      <c r="X163" s="1823"/>
      <c r="Y163" s="1821"/>
      <c r="Z163" s="892"/>
      <c r="AA163" s="893"/>
    </row>
    <row r="164" spans="1:87" s="325" customFormat="1" ht="19.5" customHeight="1">
      <c r="A164" s="1718" t="str">
        <f ca="1">'Linac 1'!A191</f>
        <v>T4</v>
      </c>
      <c r="B164" s="1851" t="str">
        <f ca="1">'Linac 1'!B191</f>
        <v>terreingrens 4</v>
      </c>
      <c r="C164" s="1623" t="s">
        <v>333</v>
      </c>
      <c r="D164" s="1627">
        <v>1</v>
      </c>
      <c r="E164" s="1627">
        <v>0</v>
      </c>
      <c r="F164" s="1627" t="s">
        <v>12</v>
      </c>
      <c r="G164" s="1627">
        <v>250</v>
      </c>
      <c r="H164" s="1627">
        <v>0</v>
      </c>
      <c r="I164" s="1627">
        <v>0</v>
      </c>
      <c r="J164" s="1656">
        <f>IF($G164=0,0,IF($F164="recht",1+($G164-$C$17)/$C$18,1+($G164-$C$17-0.301*$C$18)/$C$18))+IF($H164=0,0,IF($F164="recht",$H164/$C$19,($H164-0.301*$C$19)/$C$19))+$I164/$C$20</f>
        <v>7.4545454545454541</v>
      </c>
      <c r="K164" s="1791">
        <f>10^(-J164)</f>
        <v>3.5111917342151263E-8</v>
      </c>
      <c r="L164" s="1771">
        <f>$C$7*$C$11*$E164/$D164/$D164*K164*1000000</f>
        <v>0</v>
      </c>
      <c r="M164" s="1656">
        <f>IF($G164=0,0,IF($F164="recht",1+($G164-$D$17)/$D$18,1+($G164-$D$17-0.301*$D$18)/$D$18))+IF($H164=0,0,IF($F164="recht",$H164/$D$19,($H164-0.301*$D$19)/$D$19))+$I164/$D$20</f>
        <v>6.6486486486486482</v>
      </c>
      <c r="N164" s="1791">
        <f>10^(-M164)</f>
        <v>2.2456979955397711E-7</v>
      </c>
      <c r="O164" s="1771">
        <f>$C$7*$D$11*$E164/$D164/$D164*$N164*1000000</f>
        <v>0</v>
      </c>
      <c r="P164" s="1771">
        <f>IF($G164=0,0,IF($F164="recht",1+(G164-$E$17)/$E$18,1+(G164-$E$17-0.301*$E$18)/$E$18))+IF($H164=0,0,IF($F164="recht",$H164/$E$19,($H164-0.301*$E$19)/$E$19))+I164/$E$20</f>
        <v>6.024390243902439</v>
      </c>
      <c r="Q164" s="1791">
        <f>10^(-P164)</f>
        <v>9.4538728313079291E-7</v>
      </c>
      <c r="R164" s="1771">
        <f>$C$7*$E$11*$E164/$D164/$D164*$Q164*1000000</f>
        <v>0</v>
      </c>
      <c r="S164" s="1771">
        <f>IF($G164=0,0,IF($F164="recht",1+(G164-$F$17)/$F$18,1+(G164-$F$17-0.301*$F$18)/$F$18))+IF($H164=0,0,IF($F164="recht",$H164/$F$19,($H164-0.301*$F$19)/$F$19))+I164/$F$20</f>
        <v>9.1481481481481488</v>
      </c>
      <c r="T164" s="1791">
        <f>10^(-S164)</f>
        <v>7.1097094323124171E-10</v>
      </c>
      <c r="U164" s="1771">
        <f>$C$7*$F$11*$E164/$D164/$D164*$T164*1000000</f>
        <v>0</v>
      </c>
      <c r="V164" s="1771">
        <f>IF($G164=0,0,IF(F164="recht",1+(G164-$G$17)/$G$18,1+(G164-$G$17-0.301*$G$18)/$G$18))+IF($H164=0,0,IF($F164="recht",$H164/$G$19,($H164-0.301*$G$19)/$G$19))+I164/$G$20</f>
        <v>6.9444444444444446</v>
      </c>
      <c r="W164" s="1791">
        <f>10^(-V164)</f>
        <v>1.136463666385722E-7</v>
      </c>
      <c r="X164" s="1817">
        <f>$C$7*$G$11*$E164/$D164/$D164*$W164*1000000</f>
        <v>0</v>
      </c>
      <c r="Y164" s="1813">
        <f>SUM(L164,O164,R164,U164,X164)</f>
        <v>0</v>
      </c>
      <c r="Z164" s="886">
        <f>SUM(Y164:Y171)</f>
        <v>2.0415508389015229E-2</v>
      </c>
      <c r="AA164" s="887">
        <f>Z164*52/1000</f>
        <v>1.0616064362287919E-3</v>
      </c>
      <c r="AB164" s="45"/>
      <c r="AC164" s="45"/>
      <c r="AD164" s="45"/>
      <c r="AE164" s="45"/>
      <c r="AF164" s="66"/>
      <c r="AG164" s="53"/>
      <c r="AH164" s="53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5"/>
      <c r="AU164" s="53"/>
      <c r="AV164" s="53"/>
      <c r="AW164" s="53"/>
      <c r="AX164" s="53"/>
      <c r="AY164" s="428"/>
      <c r="AZ164" s="428"/>
      <c r="BA164" s="428"/>
      <c r="BB164" s="428"/>
      <c r="BC164" s="428"/>
      <c r="BD164" s="428"/>
      <c r="BE164" s="428"/>
      <c r="BF164" s="428"/>
      <c r="BG164" s="428"/>
      <c r="BH164" s="428"/>
      <c r="BI164" s="428"/>
      <c r="BJ164" s="428"/>
      <c r="BK164" s="428"/>
      <c r="BL164" s="428"/>
      <c r="BM164" s="428"/>
      <c r="BN164" s="428"/>
      <c r="BO164" s="428"/>
      <c r="BP164" s="385"/>
      <c r="BQ164" s="338"/>
      <c r="BR164" s="338"/>
      <c r="BS164" s="336"/>
      <c r="BT164" s="336"/>
      <c r="BU164" s="336"/>
      <c r="BV164" s="442"/>
      <c r="BW164" s="336"/>
      <c r="BX164" s="336"/>
      <c r="BY164" s="345"/>
      <c r="BZ164" s="345"/>
      <c r="CA164" s="345"/>
      <c r="CB164" s="345"/>
      <c r="CC164" s="345"/>
      <c r="CD164" s="355"/>
      <c r="CE164" s="355"/>
      <c r="CF164" s="355"/>
      <c r="CG164" s="382"/>
      <c r="CH164" s="382"/>
      <c r="CI164" s="382"/>
    </row>
    <row r="165" spans="1:87" s="325" customFormat="1" ht="19.5" customHeight="1">
      <c r="A165" s="1800"/>
      <c r="B165" s="1852"/>
      <c r="C165" s="1624"/>
      <c r="D165" s="1628"/>
      <c r="E165" s="1628"/>
      <c r="F165" s="1628"/>
      <c r="G165" s="1628"/>
      <c r="H165" s="1628"/>
      <c r="I165" s="1628"/>
      <c r="J165" s="1659"/>
      <c r="K165" s="1792"/>
      <c r="L165" s="1772"/>
      <c r="M165" s="1657"/>
      <c r="N165" s="1792"/>
      <c r="O165" s="1772"/>
      <c r="P165" s="1772"/>
      <c r="Q165" s="1792"/>
      <c r="R165" s="1772"/>
      <c r="S165" s="1772"/>
      <c r="T165" s="1792"/>
      <c r="U165" s="1772"/>
      <c r="V165" s="1772"/>
      <c r="W165" s="1792"/>
      <c r="X165" s="1808"/>
      <c r="Y165" s="1814"/>
      <c r="Z165" s="888"/>
      <c r="AA165" s="889"/>
      <c r="AB165" s="45"/>
      <c r="AC165" s="45"/>
      <c r="AD165" s="45"/>
      <c r="AE165" s="45"/>
      <c r="AF165" s="66"/>
      <c r="AG165" s="53"/>
      <c r="AH165" s="53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53"/>
      <c r="AV165" s="53"/>
      <c r="AW165" s="53"/>
      <c r="AX165" s="53"/>
      <c r="AY165" s="428"/>
      <c r="AZ165" s="428"/>
      <c r="BA165" s="428"/>
      <c r="BB165" s="428"/>
      <c r="BC165" s="428"/>
      <c r="BD165" s="428"/>
      <c r="BE165" s="428"/>
      <c r="BF165" s="428"/>
      <c r="BG165" s="428"/>
      <c r="BH165" s="428"/>
      <c r="BI165" s="428"/>
      <c r="BJ165" s="428"/>
      <c r="BK165" s="428"/>
      <c r="BL165" s="428"/>
      <c r="BM165" s="428"/>
      <c r="BN165" s="428"/>
      <c r="BO165" s="428"/>
      <c r="BP165" s="385"/>
      <c r="BQ165" s="338"/>
      <c r="BR165" s="338"/>
      <c r="BS165" s="336"/>
      <c r="BT165" s="336"/>
      <c r="BU165" s="336"/>
      <c r="BV165" s="442"/>
      <c r="BW165" s="336"/>
      <c r="BX165" s="336"/>
      <c r="BY165" s="345"/>
      <c r="BZ165" s="345"/>
      <c r="CA165" s="345"/>
      <c r="CB165" s="345"/>
      <c r="CC165" s="345"/>
      <c r="CD165" s="355"/>
      <c r="CE165" s="355"/>
      <c r="CF165" s="355"/>
      <c r="CG165" s="382"/>
      <c r="CH165" s="382"/>
      <c r="CI165" s="382"/>
    </row>
    <row r="166" spans="1:87" s="45" customFormat="1" ht="19.5" customHeight="1">
      <c r="A166" s="1800"/>
      <c r="B166" s="1852"/>
      <c r="C166" s="1687" t="s">
        <v>334</v>
      </c>
      <c r="D166" s="1626">
        <v>10</v>
      </c>
      <c r="E166" s="1815">
        <v>1</v>
      </c>
      <c r="F166" s="1628"/>
      <c r="G166" s="1628"/>
      <c r="H166" s="1628"/>
      <c r="I166" s="1628"/>
      <c r="J166" s="1772">
        <f>IF($G164=0,0,IF($F164="recht",$G164/$C$24,(G164-0.301*$C$24)/$C$24))+IF($H164=0,0,IF($F164="recht",$H164/$C$25,($H164-0.301*$C$25)/$C$25))+I164/$C$26</f>
        <v>7.3529411764705879</v>
      </c>
      <c r="K166" s="1792">
        <f>10^(-J166)</f>
        <v>4.4366873309786093E-8</v>
      </c>
      <c r="L166" s="1772">
        <f>$C$7*$C$8*$C$11*($C$12+$C$13*$C$14)*$E166/$D166/$D166*$K166*1000000</f>
        <v>2.6620123985871658E-4</v>
      </c>
      <c r="M166" s="1772">
        <f>IF($G164=0,0,IF(F164="recht",$G164/$D$24,($G164-0.301*$D$24)/$D$24))+IF($H164=0,0,IF($F164="recht",$H164/$D$25,($H164-0.301*$D$25)/$D$25))+I164/$D$26</f>
        <v>6.5789473684210522</v>
      </c>
      <c r="N166" s="1792">
        <f>10^(-M166)</f>
        <v>2.636650898730358E-7</v>
      </c>
      <c r="O166" s="1772">
        <f>$C$7*$C$8*$D$11*($D$12+$D$13*$D$14)*$E166/$D166/$D166*$N166*1000000</f>
        <v>1.581990539238215E-3</v>
      </c>
      <c r="P166" s="1772">
        <f>IF($G164=0,0,IF($F164="recht",$G164/$E$24,($G164-0.301*$E$24)/$E$24))+IF($H164=0,0,IF($F164="recht",$H164/$E$25,($H164-0.301*$E$25)/$E$25))+I164/$E$26</f>
        <v>6.5616797900262469</v>
      </c>
      <c r="Q166" s="1792">
        <f>10^(-P166)</f>
        <v>2.7435963093132793E-7</v>
      </c>
      <c r="R166" s="1772">
        <f>$C$7*$C$8*$E$11*($E$12+$E$13*$E$14)*$E166/$D166/$D166*$Q166*1000000</f>
        <v>1.6461577855879678E-3</v>
      </c>
      <c r="S166" s="1772">
        <f>IF($G164=0,0,IF($F164="recht",$G164/$F$24,(G164-0.301*$F$24)/$F$24))+IF($H164=0,0,IF($F164="recht",$H164/$F$25,($H164-0.301*$F$25)/$F$25))+I164/$F$26</f>
        <v>8.1967213114754092</v>
      </c>
      <c r="T166" s="1792">
        <f>10^(-S166)</f>
        <v>6.3573875711648393E-9</v>
      </c>
      <c r="U166" s="1772">
        <f>$C$7*$C$8*$F$11*($F$12+$F$13*$F$14)*$E166/$D166/$D166*$T166*1000000</f>
        <v>2.1615117741960457E-5</v>
      </c>
      <c r="V166" s="1772">
        <f>IF($G164=0,0,IF($F164="recht",$G164/$G$24,($G164-0.301*$G$24)/$G$24))+IF($H164=0,0,IF($F164="recht",$H164/$G$25,($H164-0.301*$G$25)/$G$25))+I164/$G$26</f>
        <v>7.0224719101123592</v>
      </c>
      <c r="W166" s="1792">
        <f>10^(-V166)</f>
        <v>9.4957241494880226E-8</v>
      </c>
      <c r="X166" s="1808">
        <f>$C$7*$C$8*$G$11*($G$12+$G$13*$G$14)*$E166/$D166/$D166*$W166*1000000</f>
        <v>2.1840165543822451E-4</v>
      </c>
      <c r="Y166" s="1810">
        <f>SUM(L166,O166,R166,U166,X166)</f>
        <v>3.7343663378650842E-3</v>
      </c>
      <c r="Z166" s="888"/>
      <c r="AA166" s="889"/>
      <c r="AF166" s="53"/>
      <c r="AG166" s="66"/>
      <c r="AH166" s="66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</row>
    <row r="167" spans="1:87" s="45" customFormat="1" ht="19.5" customHeight="1">
      <c r="A167" s="1800"/>
      <c r="B167" s="1852"/>
      <c r="C167" s="1688"/>
      <c r="D167" s="1689"/>
      <c r="E167" s="1816"/>
      <c r="F167" s="1628"/>
      <c r="G167" s="1628"/>
      <c r="H167" s="1628"/>
      <c r="I167" s="1628"/>
      <c r="J167" s="1773"/>
      <c r="K167" s="1793"/>
      <c r="L167" s="1773"/>
      <c r="M167" s="1773"/>
      <c r="N167" s="1793"/>
      <c r="O167" s="1773"/>
      <c r="P167" s="1773"/>
      <c r="Q167" s="1793"/>
      <c r="R167" s="1773"/>
      <c r="S167" s="1773"/>
      <c r="T167" s="1793"/>
      <c r="U167" s="1773"/>
      <c r="V167" s="1773"/>
      <c r="W167" s="1793"/>
      <c r="X167" s="1809"/>
      <c r="Y167" s="1810"/>
      <c r="Z167" s="888"/>
      <c r="AA167" s="889"/>
      <c r="AF167" s="53"/>
      <c r="AG167" s="66"/>
      <c r="AH167" s="66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</row>
    <row r="168" spans="1:87" s="45" customFormat="1" ht="19.5" customHeight="1">
      <c r="A168" s="1800"/>
      <c r="B168" s="1852"/>
      <c r="C168" s="1623" t="s">
        <v>34</v>
      </c>
      <c r="D168" s="1718">
        <f>D166</f>
        <v>10</v>
      </c>
      <c r="E168" s="1718">
        <f>E144</f>
        <v>0</v>
      </c>
      <c r="F168" s="1798" t="s">
        <v>12</v>
      </c>
      <c r="G168" s="1718">
        <f>X$10</f>
        <v>250</v>
      </c>
      <c r="H168" s="1718">
        <f>Y$10</f>
        <v>0</v>
      </c>
      <c r="I168" s="1718">
        <f>Z$10</f>
        <v>0</v>
      </c>
      <c r="J168" s="1801">
        <f>IF($G168=0,0,IF($F168="recht",1+(G168-$C$17)/$C$18,1+(G168-$C$17-0.301*$C$18)/$C$18))+IF($H168=0,0,IF($F168="recht",$H168/$C$19,($H168-0.301*$C$19)/$C$17))+I168/$C$20</f>
        <v>7.4545454545454541</v>
      </c>
      <c r="K168" s="1794">
        <f>10^(-J168)</f>
        <v>3.5111917342151263E-8</v>
      </c>
      <c r="L168" s="1796">
        <f>2.5*0.01*$C$7*$C$11*E168*K168/U$10/U$10*$W$10^1.3/$D168/$D168*1000000</f>
        <v>0</v>
      </c>
      <c r="M168" s="1656">
        <f>IF($G168=0,0,IF($F168="recht",1+($G168-$D$17)/$D$18,1+($G168-$D$17-0.301*$D$18)/$D$18))+IF($H168=0,0,IF($F168="recht",$H168/$D$19,($H168-0.301*$D$19)/$D$19))+$I168/$D$20</f>
        <v>6.6486486486486482</v>
      </c>
      <c r="N168" s="1794">
        <f>10^(-M168)</f>
        <v>2.2456979955397711E-7</v>
      </c>
      <c r="O168" s="1796">
        <f>2.5*0.01*$C$7*$D$11*E168*N168/U$10/U$10*$W$10^1.3/$D168/$D168*1000000</f>
        <v>0</v>
      </c>
      <c r="P168" s="1771">
        <f>IF($G168=0,0,IF($F168="recht",1+($G168-$E$17)/$E$18,1+($G168-$E$17-0.301*$E$18)/$E$18))+IF($H168=0,0,IF($F168="recht",$H168/$E$19,($H168-0.301*$E$19)/$E$19))+I168/$E$20</f>
        <v>6.024390243902439</v>
      </c>
      <c r="Q168" s="1794">
        <f>10^(-P168)</f>
        <v>9.4538728313079291E-7</v>
      </c>
      <c r="R168" s="1796">
        <f>2.5*0.01*$C$7*$E$11*E168*Q168/U$10/U$10*$W$10^1.3/$D168/$D168*1000000</f>
        <v>0</v>
      </c>
      <c r="S168" s="1771">
        <f>IF($G168=0,0,IF(F168="recht",1+(G168-$F$17)/$F$18,1+(G168-$F$17-0.301*$F$18)/$F$18))+IF($H168=0,0,IF($F168="recht",$H168/$F$19,($H168-0.301*$F$19)/$F$19))+I168/$F$20</f>
        <v>9.1481481481481488</v>
      </c>
      <c r="T168" s="1794">
        <f>10^(-S168)</f>
        <v>7.1097094323124171E-10</v>
      </c>
      <c r="U168" s="1796">
        <f>2.5*0.01*$C$7*$F$11*E168*T168/U$10/U$10*$W$10^1.3/$D168/$D168*1000000</f>
        <v>0</v>
      </c>
      <c r="V168" s="1771">
        <f>IF($G168=0,0,IF($F168="recht",1+(G168-$G$17)/$G$18,1+(G168-$G$17-0.301*$G$18)/$G$18))+IF($H168=0,0,IF($F168="recht",$H168/$G$19,($H168-0.301*$G$19)/$G$19))+I168/$G$20</f>
        <v>6.9444444444444446</v>
      </c>
      <c r="W168" s="1794">
        <f>10^(-V168)</f>
        <v>1.136463666385722E-7</v>
      </c>
      <c r="X168" s="1819">
        <f>2.5*0.01*$C$7*$G$11*E168*W168/U$10/U$10*$W$10^1.3/$D168/$D168*1000000</f>
        <v>0</v>
      </c>
      <c r="Y168" s="1810">
        <f>SUM(L168,O168,R168,U168,X168)</f>
        <v>0</v>
      </c>
      <c r="Z168" s="890"/>
      <c r="AA168" s="891"/>
    </row>
    <row r="169" spans="1:87" s="45" customFormat="1" ht="19.5" customHeight="1">
      <c r="A169" s="1800"/>
      <c r="B169" s="1852"/>
      <c r="C169" s="1624"/>
      <c r="D169" s="1800"/>
      <c r="E169" s="1800"/>
      <c r="F169" s="1799"/>
      <c r="G169" s="1800"/>
      <c r="H169" s="1800"/>
      <c r="I169" s="1800"/>
      <c r="J169" s="1802"/>
      <c r="K169" s="1795"/>
      <c r="L169" s="1797"/>
      <c r="M169" s="1657"/>
      <c r="N169" s="1795"/>
      <c r="O169" s="1797"/>
      <c r="P169" s="1772"/>
      <c r="Q169" s="1795"/>
      <c r="R169" s="1797"/>
      <c r="S169" s="1772"/>
      <c r="T169" s="1812"/>
      <c r="U169" s="1818"/>
      <c r="V169" s="1772"/>
      <c r="W169" s="1812"/>
      <c r="X169" s="1820"/>
      <c r="Y169" s="1810"/>
      <c r="Z169" s="890"/>
      <c r="AA169" s="891"/>
    </row>
    <row r="170" spans="1:87" s="45" customFormat="1" ht="19.5" customHeight="1">
      <c r="A170" s="1800"/>
      <c r="B170" s="1852"/>
      <c r="C170" s="1623" t="s">
        <v>35</v>
      </c>
      <c r="D170" s="1800"/>
      <c r="E170" s="1798">
        <v>1</v>
      </c>
      <c r="F170" s="1798" t="s">
        <v>116</v>
      </c>
      <c r="G170" s="1718">
        <f>X$11</f>
        <v>200</v>
      </c>
      <c r="H170" s="1718">
        <f>Y$11</f>
        <v>0</v>
      </c>
      <c r="I170" s="1718">
        <f>Z$11</f>
        <v>0</v>
      </c>
      <c r="J170" s="1801">
        <f>IF($G170=0,0,IF($F170="recht",$GG170/$C$24,($G170-0.301*$C$24)/$C$24))+IF($H170=0,0,IF($F170="recht",$H170/$C$25,($H170-0.301*$C$25)/$C$25))+I170/$C$26</f>
        <v>5.58135294117647</v>
      </c>
      <c r="K170" s="1794">
        <f>10^(-J170)</f>
        <v>2.6220867674308296E-6</v>
      </c>
      <c r="L170" s="1796">
        <f>2.5*0.01*$C$7*$C$8*$C$11*($C$12+$C$13*$C$14)*E170/U$11/U$11*K170*$W$11^1.3/$D168/$D168*1000000</f>
        <v>1.7419398413490567E-3</v>
      </c>
      <c r="M170" s="1801">
        <f>IF($G170=0,0,IF($F170="recht",$G170/$D$24,($G170-0.301*$D$24)/$D$24))+IF($H170=0,0,IF($F170="recht",$H170/$D$25,($H170-0.301*$D$25)/$D$25))+I170/$D$26</f>
        <v>4.9621578947368423</v>
      </c>
      <c r="N170" s="1794">
        <f>10^(-M170)</f>
        <v>1.0910435979026304E-5</v>
      </c>
      <c r="O170" s="1796">
        <f>2.5*0.01*$C$7*$C$8*$D$11*($D$12+$D$13*$D$14)*E170/U$11/U$11*N170*$W$11^1.3/$D168/$D168*1000000</f>
        <v>7.2481671294866799E-3</v>
      </c>
      <c r="P170" s="1801">
        <f>IF($G170=0,0,IF($F170="recht",$G170/$E$24,(G170-0.301*$E$24)/$E$24))+IF($H170=0,0,IF($F170="recht",$H170/$E$25,($H170-0.301*$E$25)/$E$25))+I170/$E$26</f>
        <v>4.9483438320209974</v>
      </c>
      <c r="Q170" s="1794">
        <f>10^(-P170)</f>
        <v>1.1263054043136272E-5</v>
      </c>
      <c r="R170" s="1796">
        <f>2.5*0.01*$C$7*$C$8*$E$11*($E$12+$E$13*$E$14)*E170/U$11/U$11*Q170*$W$11^1.3/$D168/$D168*1000000</f>
        <v>7.4824230901520735E-3</v>
      </c>
      <c r="S170" s="1806">
        <f>IF(G$146=0,0,IF(F170="recht",$G170/$F$146,($G170-0.301*$F$24)/$F$24))+IF($H170=0,0,IF($F170="recht",$H170/$F$25,($H170-0.301*$F$25)/$F$25))+I170/$F$26</f>
        <v>6.2563770491803279</v>
      </c>
      <c r="T170" s="1811">
        <f>10^(-S170)</f>
        <v>5.5414440263229426E-7</v>
      </c>
      <c r="U170" s="1796">
        <f>2.5*0.01*$C$7*$C$8*$F$11*($F$12+$F$13*$F$14)*E170/U$11/U$11*T170*$W$11^1.3/$D168/$D168*1000000</f>
        <v>2.0861076276506701E-4</v>
      </c>
      <c r="V170" s="1806">
        <f>IF($G170=0,0,IF($F170="recht",$G170/$G$24,($G170-0.301*$G$24)/$G$24))+IF($H170=0,0,IF($F170="recht",$H170/$G$25,($H170-0.301*$G$25)/$G$25))+I170/$G$26</f>
        <v>5.3169775280898879</v>
      </c>
      <c r="W170" s="1811">
        <f>10^(-V170)</f>
        <v>4.8197273592906954E-6</v>
      </c>
      <c r="X170" s="1819">
        <f>2.5*0.01*$C$7*$C$8*$G$11*($G$12+$G$13*$G$14)*E170/U$11/U$11*W170*$W$11^1.3/$D168/$D168</f>
        <v>1.2273972646840874E-9</v>
      </c>
      <c r="Y170" s="1814">
        <f>SUM(L170,O170,R170,U170,X170)</f>
        <v>1.6681142051150143E-2</v>
      </c>
      <c r="Z170" s="890"/>
      <c r="AA170" s="891"/>
    </row>
    <row r="171" spans="1:87" s="45" customFormat="1" ht="19.5" customHeight="1" thickBot="1">
      <c r="A171" s="1711"/>
      <c r="B171" s="1853"/>
      <c r="C171" s="1726"/>
      <c r="D171" s="1711"/>
      <c r="E171" s="1822"/>
      <c r="F171" s="1822"/>
      <c r="G171" s="1711"/>
      <c r="H171" s="1711"/>
      <c r="I171" s="1711"/>
      <c r="J171" s="1802"/>
      <c r="K171" s="1795"/>
      <c r="L171" s="1797"/>
      <c r="M171" s="1802"/>
      <c r="N171" s="1795"/>
      <c r="O171" s="1797"/>
      <c r="P171" s="1802"/>
      <c r="Q171" s="1795"/>
      <c r="R171" s="1797"/>
      <c r="S171" s="1802"/>
      <c r="T171" s="1795"/>
      <c r="U171" s="1797"/>
      <c r="V171" s="1802"/>
      <c r="W171" s="1795"/>
      <c r="X171" s="1823"/>
      <c r="Y171" s="1821"/>
      <c r="Z171" s="892"/>
      <c r="AA171" s="893"/>
    </row>
    <row r="172" spans="1:87" s="331" customFormat="1" ht="19.5" customHeight="1">
      <c r="V172" s="311"/>
      <c r="W172" s="311"/>
      <c r="X172" s="311"/>
      <c r="Y172" s="311"/>
      <c r="Z172" s="311"/>
      <c r="AA172" s="311"/>
      <c r="AB172" s="321"/>
      <c r="AC172" s="321"/>
      <c r="AD172" s="321"/>
      <c r="AE172" s="321"/>
      <c r="AF172" s="321"/>
      <c r="AG172" s="321"/>
      <c r="AH172" s="321"/>
      <c r="AI172" s="321"/>
      <c r="AJ172" s="321"/>
      <c r="AK172" s="321"/>
      <c r="AL172" s="321"/>
      <c r="AM172" s="321"/>
      <c r="AN172" s="321"/>
      <c r="AO172" s="321"/>
      <c r="AP172" s="321"/>
      <c r="AQ172" s="321"/>
      <c r="AR172" s="321"/>
      <c r="AS172" s="321"/>
      <c r="AT172" s="321"/>
      <c r="AU172" s="321"/>
      <c r="AV172" s="321"/>
      <c r="AW172" s="321"/>
      <c r="AX172" s="321"/>
      <c r="AY172" s="321"/>
      <c r="AZ172" s="321"/>
      <c r="BA172" s="321"/>
      <c r="BB172" s="321"/>
      <c r="BC172" s="321"/>
      <c r="BD172" s="321"/>
      <c r="BE172" s="321"/>
      <c r="BF172" s="321"/>
      <c r="BG172" s="321"/>
      <c r="BH172" s="321"/>
      <c r="BI172" s="321"/>
      <c r="BJ172" s="321"/>
      <c r="BK172" s="321"/>
      <c r="BL172" s="321"/>
      <c r="BM172" s="321"/>
      <c r="BN172" s="321"/>
      <c r="BO172" s="321"/>
      <c r="BP172" s="321"/>
      <c r="BQ172" s="321"/>
      <c r="BR172" s="321"/>
      <c r="BS172" s="321"/>
      <c r="BT172" s="321"/>
      <c r="BU172" s="321"/>
      <c r="BV172" s="321"/>
      <c r="BW172" s="321"/>
      <c r="BX172" s="321"/>
      <c r="BY172" s="321"/>
      <c r="BZ172" s="321"/>
      <c r="CA172" s="321"/>
      <c r="CB172" s="321"/>
      <c r="CC172" s="321"/>
      <c r="CD172" s="321"/>
      <c r="CE172" s="321"/>
      <c r="CF172" s="321"/>
      <c r="CG172" s="321"/>
      <c r="CH172" s="321"/>
      <c r="CI172" s="321"/>
    </row>
    <row r="173" spans="1:87" s="331" customFormat="1" ht="19.5" customHeight="1">
      <c r="V173" s="311"/>
      <c r="W173" s="311"/>
      <c r="X173" s="311"/>
      <c r="Y173" s="311"/>
      <c r="Z173" s="311"/>
      <c r="AA173" s="311"/>
      <c r="AB173" s="321"/>
      <c r="AC173" s="321"/>
      <c r="AD173" s="321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  <c r="AO173" s="321"/>
      <c r="AP173" s="321"/>
      <c r="AQ173" s="321"/>
      <c r="AR173" s="321"/>
      <c r="AS173" s="321"/>
      <c r="AT173" s="321"/>
      <c r="AU173" s="321"/>
      <c r="AV173" s="321"/>
      <c r="AW173" s="321"/>
      <c r="AX173" s="321"/>
      <c r="AY173" s="321"/>
      <c r="AZ173" s="321"/>
      <c r="BA173" s="321"/>
      <c r="BB173" s="321"/>
      <c r="BC173" s="321"/>
      <c r="BD173" s="321"/>
      <c r="BE173" s="321"/>
      <c r="BF173" s="321"/>
      <c r="BG173" s="321"/>
      <c r="BH173" s="321"/>
      <c r="BI173" s="321"/>
      <c r="BJ173" s="321"/>
      <c r="BK173" s="321"/>
      <c r="BL173" s="321"/>
      <c r="BM173" s="321"/>
      <c r="BN173" s="321"/>
      <c r="BO173" s="321"/>
      <c r="BP173" s="321"/>
      <c r="BQ173" s="321"/>
      <c r="BR173" s="321"/>
      <c r="BS173" s="321"/>
      <c r="BT173" s="321"/>
      <c r="BU173" s="321"/>
      <c r="BV173" s="321"/>
      <c r="BW173" s="321"/>
      <c r="BX173" s="321"/>
      <c r="BY173" s="321"/>
      <c r="BZ173" s="321"/>
      <c r="CA173" s="321"/>
      <c r="CB173" s="321"/>
      <c r="CC173" s="321"/>
      <c r="CD173" s="321"/>
      <c r="CE173" s="321"/>
      <c r="CF173" s="321"/>
      <c r="CG173" s="321"/>
      <c r="CH173" s="321"/>
      <c r="CI173" s="321"/>
    </row>
    <row r="174" spans="1:87" s="331" customFormat="1" ht="19.5" customHeight="1">
      <c r="V174" s="311"/>
      <c r="W174" s="311"/>
      <c r="X174" s="311"/>
      <c r="Y174" s="311"/>
      <c r="Z174" s="311"/>
      <c r="AA174" s="311"/>
      <c r="AB174" s="321"/>
      <c r="AC174" s="321"/>
      <c r="AD174" s="321"/>
      <c r="AE174" s="321"/>
      <c r="AF174" s="321"/>
      <c r="AG174" s="321"/>
      <c r="AH174" s="321"/>
      <c r="AI174" s="321"/>
      <c r="AJ174" s="321"/>
      <c r="AK174" s="321"/>
      <c r="AL174" s="321"/>
      <c r="AM174" s="321"/>
      <c r="AN174" s="321"/>
      <c r="AO174" s="321"/>
      <c r="AP174" s="321"/>
      <c r="AQ174" s="321"/>
      <c r="AR174" s="321"/>
      <c r="AS174" s="321"/>
      <c r="AT174" s="321"/>
      <c r="AU174" s="321"/>
      <c r="AV174" s="321"/>
      <c r="AW174" s="321"/>
      <c r="AX174" s="321"/>
      <c r="AY174" s="321"/>
      <c r="AZ174" s="321"/>
      <c r="BA174" s="321"/>
      <c r="BB174" s="321"/>
      <c r="BC174" s="321"/>
      <c r="BD174" s="321"/>
      <c r="BE174" s="321"/>
      <c r="BF174" s="321"/>
      <c r="BG174" s="321"/>
      <c r="BH174" s="321"/>
      <c r="BI174" s="321"/>
      <c r="BJ174" s="321"/>
      <c r="BK174" s="321"/>
      <c r="BL174" s="321"/>
      <c r="BM174" s="321"/>
      <c r="BN174" s="321"/>
      <c r="BO174" s="321"/>
      <c r="BP174" s="321"/>
      <c r="BQ174" s="321"/>
      <c r="BR174" s="321"/>
      <c r="BS174" s="321"/>
      <c r="BT174" s="321"/>
      <c r="BU174" s="321"/>
      <c r="BV174" s="321"/>
      <c r="BW174" s="321"/>
      <c r="BX174" s="321"/>
      <c r="BY174" s="321"/>
      <c r="BZ174" s="321"/>
      <c r="CA174" s="321"/>
      <c r="CB174" s="321"/>
      <c r="CC174" s="321"/>
      <c r="CD174" s="321"/>
      <c r="CE174" s="321"/>
      <c r="CF174" s="321"/>
      <c r="CG174" s="321"/>
      <c r="CH174" s="321"/>
      <c r="CI174" s="321"/>
    </row>
  </sheetData>
  <sheetProtection password="C526" sheet="1" objects="1" scenarios="1"/>
  <mergeCells count="993">
    <mergeCell ref="A63:A65"/>
    <mergeCell ref="B63:B65"/>
    <mergeCell ref="C63:C65"/>
    <mergeCell ref="D63:D65"/>
    <mergeCell ref="X6:Z6"/>
    <mergeCell ref="N31:N32"/>
    <mergeCell ref="L47:L48"/>
    <mergeCell ref="N61:P61"/>
    <mergeCell ref="Q61:S61"/>
    <mergeCell ref="W61:Y61"/>
    <mergeCell ref="E63:E65"/>
    <mergeCell ref="V63:X63"/>
    <mergeCell ref="Y63:AA63"/>
    <mergeCell ref="F63:F65"/>
    <mergeCell ref="G63:I64"/>
    <mergeCell ref="J63:L63"/>
    <mergeCell ref="M63:O63"/>
    <mergeCell ref="P63:R63"/>
    <mergeCell ref="S63:U63"/>
    <mergeCell ref="Q68:Q69"/>
    <mergeCell ref="V66:V67"/>
    <mergeCell ref="K66:K67"/>
    <mergeCell ref="L66:L67"/>
    <mergeCell ref="M66:M67"/>
    <mergeCell ref="N66:N67"/>
    <mergeCell ref="O66:O67"/>
    <mergeCell ref="P66:P67"/>
    <mergeCell ref="M68:M69"/>
    <mergeCell ref="H66:H69"/>
    <mergeCell ref="I66:I69"/>
    <mergeCell ref="N68:N69"/>
    <mergeCell ref="O68:O69"/>
    <mergeCell ref="P68:P69"/>
    <mergeCell ref="J66:J67"/>
    <mergeCell ref="C66:C67"/>
    <mergeCell ref="D66:D67"/>
    <mergeCell ref="E66:E67"/>
    <mergeCell ref="F66:F69"/>
    <mergeCell ref="G66:G69"/>
    <mergeCell ref="C68:C69"/>
    <mergeCell ref="D68:D69"/>
    <mergeCell ref="E68:E69"/>
    <mergeCell ref="J68:J69"/>
    <mergeCell ref="V68:V69"/>
    <mergeCell ref="U70:U71"/>
    <mergeCell ref="V70:V71"/>
    <mergeCell ref="E70:E71"/>
    <mergeCell ref="F70:F73"/>
    <mergeCell ref="G70:G73"/>
    <mergeCell ref="H70:H73"/>
    <mergeCell ref="R68:R69"/>
    <mergeCell ref="K68:K69"/>
    <mergeCell ref="L68:L69"/>
    <mergeCell ref="X72:X73"/>
    <mergeCell ref="Y72:Y73"/>
    <mergeCell ref="Q66:Q67"/>
    <mergeCell ref="R66:R67"/>
    <mergeCell ref="S68:S69"/>
    <mergeCell ref="W68:W69"/>
    <mergeCell ref="X68:X69"/>
    <mergeCell ref="Y68:Y69"/>
    <mergeCell ref="S72:S73"/>
    <mergeCell ref="T68:T69"/>
    <mergeCell ref="Y66:Y67"/>
    <mergeCell ref="S66:S67"/>
    <mergeCell ref="T66:T67"/>
    <mergeCell ref="U66:U67"/>
    <mergeCell ref="S70:S71"/>
    <mergeCell ref="T70:T71"/>
    <mergeCell ref="W70:W71"/>
    <mergeCell ref="X70:X71"/>
    <mergeCell ref="Y70:Y71"/>
    <mergeCell ref="U68:U69"/>
    <mergeCell ref="C72:C73"/>
    <mergeCell ref="D72:D73"/>
    <mergeCell ref="E72:E73"/>
    <mergeCell ref="J72:J73"/>
    <mergeCell ref="W66:W67"/>
    <mergeCell ref="X66:X67"/>
    <mergeCell ref="U72:U73"/>
    <mergeCell ref="V72:V73"/>
    <mergeCell ref="T72:T73"/>
    <mergeCell ref="W72:W73"/>
    <mergeCell ref="K72:K73"/>
    <mergeCell ref="O70:O71"/>
    <mergeCell ref="P70:P71"/>
    <mergeCell ref="Q70:Q71"/>
    <mergeCell ref="O72:O73"/>
    <mergeCell ref="P72:P73"/>
    <mergeCell ref="Q72:Q73"/>
    <mergeCell ref="R70:R71"/>
    <mergeCell ref="I70:I73"/>
    <mergeCell ref="J70:J71"/>
    <mergeCell ref="K70:K71"/>
    <mergeCell ref="L70:L71"/>
    <mergeCell ref="M70:M71"/>
    <mergeCell ref="N70:N71"/>
    <mergeCell ref="L72:L73"/>
    <mergeCell ref="M72:M73"/>
    <mergeCell ref="N72:N73"/>
    <mergeCell ref="R72:R73"/>
    <mergeCell ref="C70:C71"/>
    <mergeCell ref="D70:D71"/>
    <mergeCell ref="C78:C79"/>
    <mergeCell ref="D78:D79"/>
    <mergeCell ref="E78:E79"/>
    <mergeCell ref="F78:F81"/>
    <mergeCell ref="G78:G81"/>
    <mergeCell ref="H78:H81"/>
    <mergeCell ref="M76:M77"/>
    <mergeCell ref="T76:T77"/>
    <mergeCell ref="U76:U77"/>
    <mergeCell ref="U80:U81"/>
    <mergeCell ref="N80:N81"/>
    <mergeCell ref="S78:S79"/>
    <mergeCell ref="T78:T79"/>
    <mergeCell ref="S80:S81"/>
    <mergeCell ref="T80:T81"/>
    <mergeCell ref="Q80:Q81"/>
    <mergeCell ref="R80:R81"/>
    <mergeCell ref="C76:C77"/>
    <mergeCell ref="D76:D77"/>
    <mergeCell ref="E76:E77"/>
    <mergeCell ref="J76:J77"/>
    <mergeCell ref="K76:K77"/>
    <mergeCell ref="L76:L77"/>
    <mergeCell ref="H74:H77"/>
    <mergeCell ref="C74:C75"/>
    <mergeCell ref="D74:D75"/>
    <mergeCell ref="E74:E75"/>
    <mergeCell ref="F74:F77"/>
    <mergeCell ref="G74:G77"/>
    <mergeCell ref="V74:V75"/>
    <mergeCell ref="I74:I77"/>
    <mergeCell ref="J74:J75"/>
    <mergeCell ref="T74:T75"/>
    <mergeCell ref="U74:U75"/>
    <mergeCell ref="K74:K75"/>
    <mergeCell ref="L74:L75"/>
    <mergeCell ref="M74:M75"/>
    <mergeCell ref="V80:V81"/>
    <mergeCell ref="W80:W81"/>
    <mergeCell ref="X80:X81"/>
    <mergeCell ref="W74:W75"/>
    <mergeCell ref="X74:X75"/>
    <mergeCell ref="U78:U79"/>
    <mergeCell ref="V78:V79"/>
    <mergeCell ref="W78:W79"/>
    <mergeCell ref="X78:X79"/>
    <mergeCell ref="Y74:Y75"/>
    <mergeCell ref="N74:N75"/>
    <mergeCell ref="O74:O75"/>
    <mergeCell ref="P74:P75"/>
    <mergeCell ref="Q74:Q75"/>
    <mergeCell ref="R74:R75"/>
    <mergeCell ref="S74:S75"/>
    <mergeCell ref="Y76:Y77"/>
    <mergeCell ref="N76:N77"/>
    <mergeCell ref="O76:O77"/>
    <mergeCell ref="P76:P77"/>
    <mergeCell ref="Q76:Q77"/>
    <mergeCell ref="R76:R77"/>
    <mergeCell ref="S76:S77"/>
    <mergeCell ref="W76:W77"/>
    <mergeCell ref="X76:X77"/>
    <mergeCell ref="V76:V77"/>
    <mergeCell ref="Y78:Y79"/>
    <mergeCell ref="C80:C81"/>
    <mergeCell ref="D80:D81"/>
    <mergeCell ref="E80:E81"/>
    <mergeCell ref="J80:J81"/>
    <mergeCell ref="K80:K81"/>
    <mergeCell ref="O78:O79"/>
    <mergeCell ref="P78:P79"/>
    <mergeCell ref="Q78:Q79"/>
    <mergeCell ref="R78:R79"/>
    <mergeCell ref="M78:M79"/>
    <mergeCell ref="N78:N79"/>
    <mergeCell ref="L80:L81"/>
    <mergeCell ref="M80:M81"/>
    <mergeCell ref="I78:I81"/>
    <mergeCell ref="J78:J79"/>
    <mergeCell ref="K78:K79"/>
    <mergeCell ref="L78:L79"/>
    <mergeCell ref="AC89:AD89"/>
    <mergeCell ref="C91:C92"/>
    <mergeCell ref="D91:D92"/>
    <mergeCell ref="E91:E92"/>
    <mergeCell ref="F91:F94"/>
    <mergeCell ref="G91:G94"/>
    <mergeCell ref="H91:H94"/>
    <mergeCell ref="F88:F90"/>
    <mergeCell ref="C88:C90"/>
    <mergeCell ref="G88:I88"/>
    <mergeCell ref="J88:L88"/>
    <mergeCell ref="M88:O88"/>
    <mergeCell ref="P88:R88"/>
    <mergeCell ref="V88:X88"/>
    <mergeCell ref="AB91:AB92"/>
    <mergeCell ref="C93:C94"/>
    <mergeCell ref="D93:D94"/>
    <mergeCell ref="E93:E94"/>
    <mergeCell ref="M93:M94"/>
    <mergeCell ref="I91:I94"/>
    <mergeCell ref="J91:J94"/>
    <mergeCell ref="D88:D90"/>
    <mergeCell ref="E88:E90"/>
    <mergeCell ref="O80:O81"/>
    <mergeCell ref="P80:P81"/>
    <mergeCell ref="S88:U88"/>
    <mergeCell ref="AA91:AA92"/>
    <mergeCell ref="Y88:AA88"/>
    <mergeCell ref="Y80:Y81"/>
    <mergeCell ref="X91:X92"/>
    <mergeCell ref="Y91:Y92"/>
    <mergeCell ref="N93:N94"/>
    <mergeCell ref="O93:O94"/>
    <mergeCell ref="P93:P94"/>
    <mergeCell ref="Q93:Q94"/>
    <mergeCell ref="Z91:Z92"/>
    <mergeCell ref="O91:O92"/>
    <mergeCell ref="P91:P92"/>
    <mergeCell ref="Q91:Q92"/>
    <mergeCell ref="R91:R92"/>
    <mergeCell ref="S91:S92"/>
    <mergeCell ref="T91:T92"/>
    <mergeCell ref="U91:U92"/>
    <mergeCell ref="V91:V92"/>
    <mergeCell ref="W91:W92"/>
    <mergeCell ref="T93:T94"/>
    <mergeCell ref="U93:U94"/>
    <mergeCell ref="K91:K94"/>
    <mergeCell ref="L91:L94"/>
    <mergeCell ref="M91:M92"/>
    <mergeCell ref="N91:N92"/>
    <mergeCell ref="O95:O96"/>
    <mergeCell ref="P95:P96"/>
    <mergeCell ref="Q95:Q96"/>
    <mergeCell ref="R95:R96"/>
    <mergeCell ref="S95:S96"/>
    <mergeCell ref="J95:J98"/>
    <mergeCell ref="K95:K98"/>
    <mergeCell ref="L95:L98"/>
    <mergeCell ref="M95:M96"/>
    <mergeCell ref="C97:C98"/>
    <mergeCell ref="D97:D98"/>
    <mergeCell ref="E97:E98"/>
    <mergeCell ref="H95:H98"/>
    <mergeCell ref="I95:I98"/>
    <mergeCell ref="C95:C96"/>
    <mergeCell ref="D95:D96"/>
    <mergeCell ref="E95:E96"/>
    <mergeCell ref="F95:F98"/>
    <mergeCell ref="X93:X94"/>
    <mergeCell ref="Y93:Y94"/>
    <mergeCell ref="Z93:Z94"/>
    <mergeCell ref="AA93:AA94"/>
    <mergeCell ref="G95:G98"/>
    <mergeCell ref="R93:R94"/>
    <mergeCell ref="S93:S94"/>
    <mergeCell ref="T95:T96"/>
    <mergeCell ref="U95:U96"/>
    <mergeCell ref="N95:N96"/>
    <mergeCell ref="AB93:AB94"/>
    <mergeCell ref="V93:V94"/>
    <mergeCell ref="W93:W94"/>
    <mergeCell ref="Z95:Z96"/>
    <mergeCell ref="AA95:AA96"/>
    <mergeCell ref="AB95:AB96"/>
    <mergeCell ref="V95:V96"/>
    <mergeCell ref="W95:W96"/>
    <mergeCell ref="X95:X96"/>
    <mergeCell ref="Y95:Y96"/>
    <mergeCell ref="AB97:AB98"/>
    <mergeCell ref="Q97:Q98"/>
    <mergeCell ref="R97:R98"/>
    <mergeCell ref="S97:S98"/>
    <mergeCell ref="T97:T98"/>
    <mergeCell ref="U97:U98"/>
    <mergeCell ref="V97:V98"/>
    <mergeCell ref="Z97:Z98"/>
    <mergeCell ref="AA97:AA98"/>
    <mergeCell ref="W97:W98"/>
    <mergeCell ref="C103:C104"/>
    <mergeCell ref="D103:D104"/>
    <mergeCell ref="E103:E104"/>
    <mergeCell ref="F103:F106"/>
    <mergeCell ref="C105:C106"/>
    <mergeCell ref="D105:D106"/>
    <mergeCell ref="E105:E106"/>
    <mergeCell ref="G103:G106"/>
    <mergeCell ref="H103:H106"/>
    <mergeCell ref="AA103:AA104"/>
    <mergeCell ref="AB103:AB104"/>
    <mergeCell ref="M105:M106"/>
    <mergeCell ref="N105:N106"/>
    <mergeCell ref="O105:O106"/>
    <mergeCell ref="P105:P106"/>
    <mergeCell ref="Q105:Q106"/>
    <mergeCell ref="U103:U104"/>
    <mergeCell ref="W103:W104"/>
    <mergeCell ref="X103:X104"/>
    <mergeCell ref="Y103:Y104"/>
    <mergeCell ref="U107:U108"/>
    <mergeCell ref="N107:N108"/>
    <mergeCell ref="O107:O108"/>
    <mergeCell ref="P107:P108"/>
    <mergeCell ref="T107:T108"/>
    <mergeCell ref="Q107:Q108"/>
    <mergeCell ref="R107:R108"/>
    <mergeCell ref="Z103:Z104"/>
    <mergeCell ref="O103:O104"/>
    <mergeCell ref="P103:P104"/>
    <mergeCell ref="AA101:AA102"/>
    <mergeCell ref="X101:X102"/>
    <mergeCell ref="R103:R104"/>
    <mergeCell ref="S103:S104"/>
    <mergeCell ref="T103:T104"/>
    <mergeCell ref="R101:R102"/>
    <mergeCell ref="V103:V104"/>
    <mergeCell ref="X97:X98"/>
    <mergeCell ref="Y97:Y98"/>
    <mergeCell ref="M97:M98"/>
    <mergeCell ref="N97:N98"/>
    <mergeCell ref="O97:O98"/>
    <mergeCell ref="P97:P98"/>
    <mergeCell ref="M111:M112"/>
    <mergeCell ref="K103:K106"/>
    <mergeCell ref="L103:L106"/>
    <mergeCell ref="M103:M104"/>
    <mergeCell ref="N103:N104"/>
    <mergeCell ref="Q103:Q104"/>
    <mergeCell ref="O109:O110"/>
    <mergeCell ref="P109:P110"/>
    <mergeCell ref="Q109:Q110"/>
    <mergeCell ref="R109:R110"/>
    <mergeCell ref="S109:S110"/>
    <mergeCell ref="I103:I106"/>
    <mergeCell ref="J103:J106"/>
    <mergeCell ref="H121:H122"/>
    <mergeCell ref="I121:I122"/>
    <mergeCell ref="H109:H110"/>
    <mergeCell ref="I109:I110"/>
    <mergeCell ref="H119:H120"/>
    <mergeCell ref="Y113:Y114"/>
    <mergeCell ref="M117:M118"/>
    <mergeCell ref="X113:X114"/>
    <mergeCell ref="M109:M110"/>
    <mergeCell ref="N109:N110"/>
    <mergeCell ref="AB109:AB110"/>
    <mergeCell ref="V109:V110"/>
    <mergeCell ref="W109:W110"/>
    <mergeCell ref="X109:X110"/>
    <mergeCell ref="Y109:Y110"/>
    <mergeCell ref="R105:R106"/>
    <mergeCell ref="S105:S106"/>
    <mergeCell ref="T105:T106"/>
    <mergeCell ref="U105:U106"/>
    <mergeCell ref="AA105:AA106"/>
    <mergeCell ref="AB105:AB106"/>
    <mergeCell ref="V105:V106"/>
    <mergeCell ref="W105:W106"/>
    <mergeCell ref="T109:T110"/>
    <mergeCell ref="U109:U110"/>
    <mergeCell ref="Z109:Z110"/>
    <mergeCell ref="X105:X106"/>
    <mergeCell ref="Y105:Y106"/>
    <mergeCell ref="Z105:Z106"/>
    <mergeCell ref="R117:R118"/>
    <mergeCell ref="S117:S118"/>
    <mergeCell ref="AA107:AA108"/>
    <mergeCell ref="AB107:AB108"/>
    <mergeCell ref="V107:V108"/>
    <mergeCell ref="W107:W108"/>
    <mergeCell ref="X107:X108"/>
    <mergeCell ref="Y107:Y108"/>
    <mergeCell ref="Z107:Z108"/>
    <mergeCell ref="AA109:AA110"/>
    <mergeCell ref="N119:N120"/>
    <mergeCell ref="O119:O120"/>
    <mergeCell ref="AB117:AB118"/>
    <mergeCell ref="C119:C120"/>
    <mergeCell ref="D119:D120"/>
    <mergeCell ref="E119:E120"/>
    <mergeCell ref="N117:N118"/>
    <mergeCell ref="O117:O118"/>
    <mergeCell ref="P117:P118"/>
    <mergeCell ref="Q117:Q118"/>
    <mergeCell ref="AB119:AB120"/>
    <mergeCell ref="V119:V120"/>
    <mergeCell ref="W119:W120"/>
    <mergeCell ref="X119:X120"/>
    <mergeCell ref="Y119:Y120"/>
    <mergeCell ref="U119:U120"/>
    <mergeCell ref="H111:H118"/>
    <mergeCell ref="I111:I118"/>
    <mergeCell ref="R111:R112"/>
    <mergeCell ref="S111:S112"/>
    <mergeCell ref="L107:L122"/>
    <mergeCell ref="O115:O116"/>
    <mergeCell ref="R113:R114"/>
    <mergeCell ref="S113:S114"/>
    <mergeCell ref="M119:M120"/>
    <mergeCell ref="I119:I120"/>
    <mergeCell ref="G107:G108"/>
    <mergeCell ref="H107:H108"/>
    <mergeCell ref="M115:M116"/>
    <mergeCell ref="N115:N116"/>
    <mergeCell ref="M113:M114"/>
    <mergeCell ref="N113:N114"/>
    <mergeCell ref="I107:I108"/>
    <mergeCell ref="J107:J122"/>
    <mergeCell ref="K107:K122"/>
    <mergeCell ref="M107:M108"/>
    <mergeCell ref="Q113:Q114"/>
    <mergeCell ref="S107:S108"/>
    <mergeCell ref="U113:U114"/>
    <mergeCell ref="S115:S116"/>
    <mergeCell ref="T115:T116"/>
    <mergeCell ref="U115:U116"/>
    <mergeCell ref="T113:T114"/>
    <mergeCell ref="Q111:Q112"/>
    <mergeCell ref="AB115:AB116"/>
    <mergeCell ref="V115:V116"/>
    <mergeCell ref="W115:W116"/>
    <mergeCell ref="X115:X116"/>
    <mergeCell ref="Y115:Y116"/>
    <mergeCell ref="Z111:Z112"/>
    <mergeCell ref="AA111:AA112"/>
    <mergeCell ref="AB111:AB112"/>
    <mergeCell ref="AB101:AB102"/>
    <mergeCell ref="S101:S102"/>
    <mergeCell ref="T101:T102"/>
    <mergeCell ref="U101:U102"/>
    <mergeCell ref="V101:V102"/>
    <mergeCell ref="W101:W102"/>
    <mergeCell ref="Y111:Y112"/>
    <mergeCell ref="Z113:Z114"/>
    <mergeCell ref="AA113:AA114"/>
    <mergeCell ref="AB113:AB114"/>
    <mergeCell ref="U111:U112"/>
    <mergeCell ref="V111:V112"/>
    <mergeCell ref="W111:W112"/>
    <mergeCell ref="X111:X112"/>
    <mergeCell ref="V113:V114"/>
    <mergeCell ref="W113:W114"/>
    <mergeCell ref="C111:C112"/>
    <mergeCell ref="D111:D112"/>
    <mergeCell ref="E111:E112"/>
    <mergeCell ref="O111:O112"/>
    <mergeCell ref="T111:T112"/>
    <mergeCell ref="P111:P112"/>
    <mergeCell ref="O113:O114"/>
    <mergeCell ref="P113:P114"/>
    <mergeCell ref="C117:C118"/>
    <mergeCell ref="C113:C114"/>
    <mergeCell ref="E113:E114"/>
    <mergeCell ref="E117:E118"/>
    <mergeCell ref="C109:C110"/>
    <mergeCell ref="D109:D110"/>
    <mergeCell ref="E109:E110"/>
    <mergeCell ref="AB121:AB122"/>
    <mergeCell ref="C99:C100"/>
    <mergeCell ref="D99:D100"/>
    <mergeCell ref="E99:E100"/>
    <mergeCell ref="F99:F102"/>
    <mergeCell ref="G99:G102"/>
    <mergeCell ref="H99:H102"/>
    <mergeCell ref="I99:I102"/>
    <mergeCell ref="AB99:AB100"/>
    <mergeCell ref="F109:F110"/>
    <mergeCell ref="C101:C102"/>
    <mergeCell ref="D101:D102"/>
    <mergeCell ref="E101:E102"/>
    <mergeCell ref="M101:M102"/>
    <mergeCell ref="J99:J102"/>
    <mergeCell ref="K99:K102"/>
    <mergeCell ref="V99:V100"/>
    <mergeCell ref="W99:W100"/>
    <mergeCell ref="X99:X100"/>
    <mergeCell ref="Y99:Y100"/>
    <mergeCell ref="N101:N102"/>
    <mergeCell ref="O101:O102"/>
    <mergeCell ref="P101:P102"/>
    <mergeCell ref="Q101:Q102"/>
    <mergeCell ref="Z99:Z100"/>
    <mergeCell ref="AA99:AA100"/>
    <mergeCell ref="U99:U100"/>
    <mergeCell ref="C127:C129"/>
    <mergeCell ref="D127:D129"/>
    <mergeCell ref="E127:E129"/>
    <mergeCell ref="Y101:Y102"/>
    <mergeCell ref="Z101:Z102"/>
    <mergeCell ref="E107:E108"/>
    <mergeCell ref="F107:F108"/>
    <mergeCell ref="C121:C122"/>
    <mergeCell ref="D121:D122"/>
    <mergeCell ref="E121:E122"/>
    <mergeCell ref="D107:D108"/>
    <mergeCell ref="P119:P120"/>
    <mergeCell ref="Q119:Q120"/>
    <mergeCell ref="C107:C108"/>
    <mergeCell ref="G109:G110"/>
    <mergeCell ref="C115:C116"/>
    <mergeCell ref="E115:E116"/>
    <mergeCell ref="N99:N100"/>
    <mergeCell ref="O99:O100"/>
    <mergeCell ref="P99:P100"/>
    <mergeCell ref="Q99:Q100"/>
    <mergeCell ref="F119:F120"/>
    <mergeCell ref="G119:G120"/>
    <mergeCell ref="L99:L102"/>
    <mergeCell ref="M99:M100"/>
    <mergeCell ref="F111:F118"/>
    <mergeCell ref="G111:G118"/>
    <mergeCell ref="R99:R100"/>
    <mergeCell ref="S99:S100"/>
    <mergeCell ref="T99:T100"/>
    <mergeCell ref="Z121:Z122"/>
    <mergeCell ref="U121:U122"/>
    <mergeCell ref="V121:V122"/>
    <mergeCell ref="W121:W122"/>
    <mergeCell ref="X121:X122"/>
    <mergeCell ref="R121:R122"/>
    <mergeCell ref="S121:S122"/>
    <mergeCell ref="AA121:AA122"/>
    <mergeCell ref="T117:T118"/>
    <mergeCell ref="U117:U118"/>
    <mergeCell ref="V117:V118"/>
    <mergeCell ref="W117:W118"/>
    <mergeCell ref="X117:X118"/>
    <mergeCell ref="Y117:Y118"/>
    <mergeCell ref="AA117:AA118"/>
    <mergeCell ref="T119:T120"/>
    <mergeCell ref="T121:T122"/>
    <mergeCell ref="N121:N122"/>
    <mergeCell ref="O121:O122"/>
    <mergeCell ref="P121:P122"/>
    <mergeCell ref="Q121:Q122"/>
    <mergeCell ref="D132:D133"/>
    <mergeCell ref="E132:E133"/>
    <mergeCell ref="L132:L133"/>
    <mergeCell ref="M132:M133"/>
    <mergeCell ref="G130:G133"/>
    <mergeCell ref="H130:H133"/>
    <mergeCell ref="M121:M122"/>
    <mergeCell ref="F121:F122"/>
    <mergeCell ref="G121:G122"/>
    <mergeCell ref="C142:C143"/>
    <mergeCell ref="D142:D143"/>
    <mergeCell ref="E142:E143"/>
    <mergeCell ref="J142:J143"/>
    <mergeCell ref="K142:K143"/>
    <mergeCell ref="C140:C141"/>
    <mergeCell ref="D140:D141"/>
    <mergeCell ref="Q115:Q116"/>
    <mergeCell ref="R115:R116"/>
    <mergeCell ref="X130:X131"/>
    <mergeCell ref="Y130:Y131"/>
    <mergeCell ref="Z130:Z131"/>
    <mergeCell ref="R130:R131"/>
    <mergeCell ref="S130:S131"/>
    <mergeCell ref="R119:R120"/>
    <mergeCell ref="S119:S120"/>
    <mergeCell ref="Z117:Z118"/>
    <mergeCell ref="C130:C131"/>
    <mergeCell ref="D130:D131"/>
    <mergeCell ref="E130:E131"/>
    <mergeCell ref="F130:F133"/>
    <mergeCell ref="C132:C133"/>
    <mergeCell ref="Y132:Y133"/>
    <mergeCell ref="I130:I133"/>
    <mergeCell ref="J130:J133"/>
    <mergeCell ref="L130:L131"/>
    <mergeCell ref="M130:M131"/>
    <mergeCell ref="V130:V131"/>
    <mergeCell ref="W130:W131"/>
    <mergeCell ref="P137:R137"/>
    <mergeCell ref="S137:U137"/>
    <mergeCell ref="V137:X137"/>
    <mergeCell ref="A140:A147"/>
    <mergeCell ref="U140:U141"/>
    <mergeCell ref="V140:V141"/>
    <mergeCell ref="W140:W141"/>
    <mergeCell ref="X140:X141"/>
    <mergeCell ref="N130:N131"/>
    <mergeCell ref="O130:O131"/>
    <mergeCell ref="P130:P131"/>
    <mergeCell ref="Q130:Q131"/>
    <mergeCell ref="T130:T131"/>
    <mergeCell ref="U130:U131"/>
    <mergeCell ref="M140:M141"/>
    <mergeCell ref="N140:N141"/>
    <mergeCell ref="U132:U133"/>
    <mergeCell ref="V132:V133"/>
    <mergeCell ref="W132:W133"/>
    <mergeCell ref="X132:X133"/>
    <mergeCell ref="P138:P139"/>
    <mergeCell ref="S138:S139"/>
    <mergeCell ref="J138:J139"/>
    <mergeCell ref="M138:M139"/>
    <mergeCell ref="N132:N133"/>
    <mergeCell ref="F146:F147"/>
    <mergeCell ref="G146:G147"/>
    <mergeCell ref="H146:H147"/>
    <mergeCell ref="I140:I143"/>
    <mergeCell ref="J140:J141"/>
    <mergeCell ref="K140:K141"/>
    <mergeCell ref="L140:L141"/>
    <mergeCell ref="A137:A139"/>
    <mergeCell ref="B137:B139"/>
    <mergeCell ref="C137:C139"/>
    <mergeCell ref="D137:D139"/>
    <mergeCell ref="E137:E139"/>
    <mergeCell ref="F137:F139"/>
    <mergeCell ref="Q140:Q141"/>
    <mergeCell ref="T140:T141"/>
    <mergeCell ref="S140:S141"/>
    <mergeCell ref="V138:V139"/>
    <mergeCell ref="Z138:AA138"/>
    <mergeCell ref="G137:I138"/>
    <mergeCell ref="J137:L137"/>
    <mergeCell ref="M137:O137"/>
    <mergeCell ref="Y140:Y141"/>
    <mergeCell ref="Y137:AA137"/>
    <mergeCell ref="L142:L143"/>
    <mergeCell ref="M142:M143"/>
    <mergeCell ref="R140:R141"/>
    <mergeCell ref="E140:E141"/>
    <mergeCell ref="F140:F143"/>
    <mergeCell ref="G140:G143"/>
    <mergeCell ref="H140:H143"/>
    <mergeCell ref="R142:R143"/>
    <mergeCell ref="O140:O141"/>
    <mergeCell ref="P140:P141"/>
    <mergeCell ref="H144:H145"/>
    <mergeCell ref="I144:I145"/>
    <mergeCell ref="J144:J145"/>
    <mergeCell ref="K144:K145"/>
    <mergeCell ref="L144:L145"/>
    <mergeCell ref="M144:M145"/>
    <mergeCell ref="W146:W147"/>
    <mergeCell ref="X146:X147"/>
    <mergeCell ref="T144:T145"/>
    <mergeCell ref="U144:U145"/>
    <mergeCell ref="V144:V145"/>
    <mergeCell ref="W144:W145"/>
    <mergeCell ref="Y146:Y147"/>
    <mergeCell ref="U148:U149"/>
    <mergeCell ref="U142:U143"/>
    <mergeCell ref="V142:V143"/>
    <mergeCell ref="W142:W143"/>
    <mergeCell ref="X142:X143"/>
    <mergeCell ref="Y142:Y143"/>
    <mergeCell ref="Y148:Y149"/>
    <mergeCell ref="X144:X145"/>
    <mergeCell ref="V146:V147"/>
    <mergeCell ref="G144:G145"/>
    <mergeCell ref="O142:O143"/>
    <mergeCell ref="P142:P143"/>
    <mergeCell ref="Q142:Q143"/>
    <mergeCell ref="C144:C145"/>
    <mergeCell ref="D144:D147"/>
    <mergeCell ref="E144:E145"/>
    <mergeCell ref="F144:F145"/>
    <mergeCell ref="C146:C147"/>
    <mergeCell ref="E146:E147"/>
    <mergeCell ref="S142:S143"/>
    <mergeCell ref="T142:T143"/>
    <mergeCell ref="N142:N143"/>
    <mergeCell ref="Y144:Y145"/>
    <mergeCell ref="N144:N145"/>
    <mergeCell ref="O144:O145"/>
    <mergeCell ref="P144:P145"/>
    <mergeCell ref="Q144:Q145"/>
    <mergeCell ref="R144:R145"/>
    <mergeCell ref="S144:S145"/>
    <mergeCell ref="S146:S147"/>
    <mergeCell ref="T146:T147"/>
    <mergeCell ref="U146:U147"/>
    <mergeCell ref="J146:J147"/>
    <mergeCell ref="K146:K147"/>
    <mergeCell ref="L146:L147"/>
    <mergeCell ref="M146:M147"/>
    <mergeCell ref="N146:N147"/>
    <mergeCell ref="O146:O147"/>
    <mergeCell ref="R146:R147"/>
    <mergeCell ref="C148:C149"/>
    <mergeCell ref="D148:D149"/>
    <mergeCell ref="E148:E149"/>
    <mergeCell ref="F148:F151"/>
    <mergeCell ref="C150:C151"/>
    <mergeCell ref="D150:D151"/>
    <mergeCell ref="E150:E151"/>
    <mergeCell ref="G148:G151"/>
    <mergeCell ref="H148:H151"/>
    <mergeCell ref="P146:P147"/>
    <mergeCell ref="Q146:Q147"/>
    <mergeCell ref="I146:I147"/>
    <mergeCell ref="O150:O151"/>
    <mergeCell ref="P150:P151"/>
    <mergeCell ref="Q150:Q151"/>
    <mergeCell ref="J150:J151"/>
    <mergeCell ref="K150:K151"/>
    <mergeCell ref="V148:V149"/>
    <mergeCell ref="W148:W149"/>
    <mergeCell ref="X148:X149"/>
    <mergeCell ref="S148:S149"/>
    <mergeCell ref="T148:T149"/>
    <mergeCell ref="U150:U151"/>
    <mergeCell ref="S150:S151"/>
    <mergeCell ref="T150:T151"/>
    <mergeCell ref="V150:V151"/>
    <mergeCell ref="I148:I151"/>
    <mergeCell ref="J148:J149"/>
    <mergeCell ref="K148:K149"/>
    <mergeCell ref="L148:L149"/>
    <mergeCell ref="O148:O149"/>
    <mergeCell ref="P148:P149"/>
    <mergeCell ref="U152:U153"/>
    <mergeCell ref="V152:V153"/>
    <mergeCell ref="M148:M149"/>
    <mergeCell ref="N148:N149"/>
    <mergeCell ref="L150:L151"/>
    <mergeCell ref="M150:M151"/>
    <mergeCell ref="N150:N151"/>
    <mergeCell ref="Q148:Q149"/>
    <mergeCell ref="R148:R149"/>
    <mergeCell ref="R150:R151"/>
    <mergeCell ref="N152:N153"/>
    <mergeCell ref="O152:O153"/>
    <mergeCell ref="P152:P153"/>
    <mergeCell ref="Q152:Q153"/>
    <mergeCell ref="R152:R153"/>
    <mergeCell ref="S152:S153"/>
    <mergeCell ref="S154:S155"/>
    <mergeCell ref="T154:T155"/>
    <mergeCell ref="U154:U155"/>
    <mergeCell ref="W150:W151"/>
    <mergeCell ref="X150:X151"/>
    <mergeCell ref="Y150:Y151"/>
    <mergeCell ref="X152:X153"/>
    <mergeCell ref="W152:W153"/>
    <mergeCell ref="Y152:Y153"/>
    <mergeCell ref="T152:T153"/>
    <mergeCell ref="X156:X157"/>
    <mergeCell ref="Y156:Y157"/>
    <mergeCell ref="C158:C159"/>
    <mergeCell ref="T156:T157"/>
    <mergeCell ref="I156:I159"/>
    <mergeCell ref="J156:J157"/>
    <mergeCell ref="K156:K157"/>
    <mergeCell ref="L156:L157"/>
    <mergeCell ref="L158:L159"/>
    <mergeCell ref="U156:U157"/>
    <mergeCell ref="G152:G153"/>
    <mergeCell ref="H152:H153"/>
    <mergeCell ref="I152:I153"/>
    <mergeCell ref="J152:J153"/>
    <mergeCell ref="C152:C153"/>
    <mergeCell ref="D152:D155"/>
    <mergeCell ref="E152:E153"/>
    <mergeCell ref="F152:F153"/>
    <mergeCell ref="C154:C155"/>
    <mergeCell ref="E154:E155"/>
    <mergeCell ref="K152:K153"/>
    <mergeCell ref="L152:L153"/>
    <mergeCell ref="M152:M153"/>
    <mergeCell ref="F154:F155"/>
    <mergeCell ref="G154:G155"/>
    <mergeCell ref="H154:H155"/>
    <mergeCell ref="I154:I155"/>
    <mergeCell ref="J154:J155"/>
    <mergeCell ref="K154:K155"/>
    <mergeCell ref="L154:L155"/>
    <mergeCell ref="X154:X155"/>
    <mergeCell ref="Y154:Y155"/>
    <mergeCell ref="C156:C157"/>
    <mergeCell ref="D156:D157"/>
    <mergeCell ref="E156:E157"/>
    <mergeCell ref="F156:F159"/>
    <mergeCell ref="G156:G159"/>
    <mergeCell ref="H156:H159"/>
    <mergeCell ref="P154:P155"/>
    <mergeCell ref="W156:W157"/>
    <mergeCell ref="S156:S157"/>
    <mergeCell ref="M156:M157"/>
    <mergeCell ref="N156:N157"/>
    <mergeCell ref="O156:O157"/>
    <mergeCell ref="P156:P157"/>
    <mergeCell ref="W154:W155"/>
    <mergeCell ref="N154:N155"/>
    <mergeCell ref="O154:O155"/>
    <mergeCell ref="V156:V157"/>
    <mergeCell ref="V154:V155"/>
    <mergeCell ref="M160:M161"/>
    <mergeCell ref="F162:F163"/>
    <mergeCell ref="G162:G163"/>
    <mergeCell ref="M154:M155"/>
    <mergeCell ref="Q156:Q157"/>
    <mergeCell ref="R156:R157"/>
    <mergeCell ref="Q154:Q155"/>
    <mergeCell ref="R154:R155"/>
    <mergeCell ref="U158:U159"/>
    <mergeCell ref="V158:V159"/>
    <mergeCell ref="W158:W159"/>
    <mergeCell ref="X158:X159"/>
    <mergeCell ref="D158:D159"/>
    <mergeCell ref="E158:E159"/>
    <mergeCell ref="J158:J159"/>
    <mergeCell ref="K158:K159"/>
    <mergeCell ref="M158:M159"/>
    <mergeCell ref="Y158:Y159"/>
    <mergeCell ref="C160:C161"/>
    <mergeCell ref="D160:D163"/>
    <mergeCell ref="E160:E161"/>
    <mergeCell ref="F160:F161"/>
    <mergeCell ref="G160:G161"/>
    <mergeCell ref="O158:O159"/>
    <mergeCell ref="P158:P159"/>
    <mergeCell ref="Q158:Q159"/>
    <mergeCell ref="R158:R159"/>
    <mergeCell ref="S158:S159"/>
    <mergeCell ref="T158:T159"/>
    <mergeCell ref="N158:N159"/>
    <mergeCell ref="Y160:Y161"/>
    <mergeCell ref="N160:N161"/>
    <mergeCell ref="O160:O161"/>
    <mergeCell ref="P160:P161"/>
    <mergeCell ref="Q160:Q161"/>
    <mergeCell ref="R160:R161"/>
    <mergeCell ref="S160:S161"/>
    <mergeCell ref="C164:C165"/>
    <mergeCell ref="D164:D165"/>
    <mergeCell ref="E164:E165"/>
    <mergeCell ref="F164:F167"/>
    <mergeCell ref="C166:C167"/>
    <mergeCell ref="D166:D167"/>
    <mergeCell ref="E166:E167"/>
    <mergeCell ref="N162:N163"/>
    <mergeCell ref="O162:O163"/>
    <mergeCell ref="H162:H163"/>
    <mergeCell ref="G164:G167"/>
    <mergeCell ref="H164:H167"/>
    <mergeCell ref="P162:P163"/>
    <mergeCell ref="I162:I163"/>
    <mergeCell ref="J166:J167"/>
    <mergeCell ref="K166:K167"/>
    <mergeCell ref="C162:C163"/>
    <mergeCell ref="E162:E163"/>
    <mergeCell ref="J162:J163"/>
    <mergeCell ref="K162:K163"/>
    <mergeCell ref="L162:L163"/>
    <mergeCell ref="M162:M163"/>
    <mergeCell ref="Y166:Y167"/>
    <mergeCell ref="U166:U167"/>
    <mergeCell ref="V166:V167"/>
    <mergeCell ref="W166:W167"/>
    <mergeCell ref="X166:X167"/>
    <mergeCell ref="R162:R163"/>
    <mergeCell ref="X160:X161"/>
    <mergeCell ref="V162:V163"/>
    <mergeCell ref="W162:W163"/>
    <mergeCell ref="X162:X163"/>
    <mergeCell ref="T160:T161"/>
    <mergeCell ref="U160:U161"/>
    <mergeCell ref="V160:V161"/>
    <mergeCell ref="W160:W161"/>
    <mergeCell ref="O164:O165"/>
    <mergeCell ref="P164:P165"/>
    <mergeCell ref="Q164:Q165"/>
    <mergeCell ref="R164:R165"/>
    <mergeCell ref="Y162:Y163"/>
    <mergeCell ref="S162:S163"/>
    <mergeCell ref="T162:T163"/>
    <mergeCell ref="U162:U163"/>
    <mergeCell ref="Q162:Q163"/>
    <mergeCell ref="V164:V165"/>
    <mergeCell ref="W164:W165"/>
    <mergeCell ref="X164:X165"/>
    <mergeCell ref="Y164:Y165"/>
    <mergeCell ref="U164:U165"/>
    <mergeCell ref="H160:H161"/>
    <mergeCell ref="I160:I161"/>
    <mergeCell ref="J160:J161"/>
    <mergeCell ref="K160:K161"/>
    <mergeCell ref="L160:L161"/>
    <mergeCell ref="S164:S165"/>
    <mergeCell ref="T164:T165"/>
    <mergeCell ref="I164:I167"/>
    <mergeCell ref="J164:J165"/>
    <mergeCell ref="K164:K165"/>
    <mergeCell ref="L164:L165"/>
    <mergeCell ref="M164:M165"/>
    <mergeCell ref="N164:N165"/>
    <mergeCell ref="L166:L167"/>
    <mergeCell ref="M166:M167"/>
    <mergeCell ref="S166:S167"/>
    <mergeCell ref="T166:T167"/>
    <mergeCell ref="N166:N167"/>
    <mergeCell ref="H168:H169"/>
    <mergeCell ref="I168:I169"/>
    <mergeCell ref="J168:J169"/>
    <mergeCell ref="K168:K169"/>
    <mergeCell ref="L168:L169"/>
    <mergeCell ref="M168:M169"/>
    <mergeCell ref="T168:T169"/>
    <mergeCell ref="Q166:Q167"/>
    <mergeCell ref="C168:C169"/>
    <mergeCell ref="D168:D171"/>
    <mergeCell ref="E168:E169"/>
    <mergeCell ref="F168:F169"/>
    <mergeCell ref="C170:C171"/>
    <mergeCell ref="E170:E171"/>
    <mergeCell ref="F170:F171"/>
    <mergeCell ref="M170:M171"/>
    <mergeCell ref="N170:N171"/>
    <mergeCell ref="O170:O171"/>
    <mergeCell ref="G168:G169"/>
    <mergeCell ref="O166:O167"/>
    <mergeCell ref="P166:P167"/>
    <mergeCell ref="G170:G171"/>
    <mergeCell ref="V170:V171"/>
    <mergeCell ref="W170:W171"/>
    <mergeCell ref="X170:X171"/>
    <mergeCell ref="R166:R167"/>
    <mergeCell ref="H170:H171"/>
    <mergeCell ref="I170:I171"/>
    <mergeCell ref="J170:J171"/>
    <mergeCell ref="K170:K171"/>
    <mergeCell ref="L170:L171"/>
    <mergeCell ref="P170:P171"/>
    <mergeCell ref="Q170:Q171"/>
    <mergeCell ref="R170:R171"/>
    <mergeCell ref="S170:S171"/>
    <mergeCell ref="T170:T171"/>
    <mergeCell ref="U170:U171"/>
    <mergeCell ref="S168:S169"/>
    <mergeCell ref="U168:U169"/>
    <mergeCell ref="V168:V169"/>
    <mergeCell ref="W168:W169"/>
    <mergeCell ref="X168:X169"/>
    <mergeCell ref="Y170:Y171"/>
    <mergeCell ref="A148:A155"/>
    <mergeCell ref="B148:B155"/>
    <mergeCell ref="A156:A163"/>
    <mergeCell ref="B156:B163"/>
    <mergeCell ref="Y168:Y169"/>
    <mergeCell ref="N168:N169"/>
    <mergeCell ref="O168:O169"/>
    <mergeCell ref="P168:P169"/>
    <mergeCell ref="Q168:Q169"/>
    <mergeCell ref="R168:R169"/>
    <mergeCell ref="B140:B147"/>
    <mergeCell ref="B130:B133"/>
    <mergeCell ref="A164:A171"/>
    <mergeCell ref="B164:B171"/>
    <mergeCell ref="A66:A69"/>
    <mergeCell ref="A70:A73"/>
    <mergeCell ref="A74:A77"/>
    <mergeCell ref="A78:A81"/>
    <mergeCell ref="A91:A94"/>
    <mergeCell ref="A95:A98"/>
    <mergeCell ref="X127:Z127"/>
    <mergeCell ref="AA115:AA116"/>
    <mergeCell ref="N111:N112"/>
    <mergeCell ref="B127:B129"/>
    <mergeCell ref="A88:A90"/>
    <mergeCell ref="B88:B89"/>
    <mergeCell ref="A99:A102"/>
    <mergeCell ref="A127:A129"/>
    <mergeCell ref="Z115:Z116"/>
    <mergeCell ref="P115:P116"/>
    <mergeCell ref="R132:R133"/>
    <mergeCell ref="S132:S133"/>
    <mergeCell ref="T132:T133"/>
    <mergeCell ref="AB88:AD88"/>
    <mergeCell ref="F127:F129"/>
    <mergeCell ref="G127:I128"/>
    <mergeCell ref="L127:N127"/>
    <mergeCell ref="O127:Q127"/>
    <mergeCell ref="R127:T127"/>
    <mergeCell ref="U127:W127"/>
    <mergeCell ref="Y121:Y122"/>
    <mergeCell ref="Z119:Z120"/>
    <mergeCell ref="AA119:AA120"/>
    <mergeCell ref="K130:K133"/>
    <mergeCell ref="AA130:AA133"/>
    <mergeCell ref="AB130:AB133"/>
    <mergeCell ref="Z132:Z133"/>
    <mergeCell ref="O132:O133"/>
    <mergeCell ref="P132:P133"/>
    <mergeCell ref="Q132:Q133"/>
  </mergeCells>
  <phoneticPr fontId="0" type="noConversion"/>
  <dataValidations count="24">
    <dataValidation type="list" allowBlank="1" showInputMessage="1" showErrorMessage="1" sqref="F130 F95 F99 F107 F103 F70 F74 F78 F66 F91">
      <formula1>"recht, schuin"</formula1>
    </dataValidation>
    <dataValidation type="list" allowBlank="1" showInputMessage="1" showErrorMessage="1" sqref="F140 F164 F156 F148">
      <formula1>"recht,schuin"</formula1>
    </dataValidation>
    <dataValidation allowBlank="1" showInputMessage="1" showErrorMessage="1" promptTitle="let op" prompt="als er geen afstand dp is: 1 invullen_x000a_Bij de voorbeeld plattegronden is er alleen een afstand dp in fig 6. " sqref="P9"/>
    <dataValidation allowBlank="1" showInputMessage="1" showErrorMessage="1" promptTitle="let op" prompt="als versneller parallel aan het labyrint draait is er geen dp2: 1 invullen" sqref="P11"/>
    <dataValidation type="list" allowBlank="1" showInputMessage="1" showErrorMessage="1" sqref="P7">
      <formula1>"1,2"</formula1>
    </dataValidation>
    <dataValidation type="list" allowBlank="1" showInputMessage="1" showErrorMessage="1" sqref="P6">
      <formula1>"parallel,loodrecht"</formula1>
    </dataValidation>
    <dataValidation allowBlank="1" showInputMessage="1" showErrorMessage="1" promptTitle="let op" prompt="is 1 las versneller parallel aan het labyrint draait" sqref="R8"/>
    <dataValidation allowBlank="1" showInputMessage="1" showErrorMessage="1" promptTitle="let op" prompt="als versneller parallel aan het labyrint draait is er geen dz2:_x000a_ 1 invullen" sqref="P15"/>
    <dataValidation allowBlank="1" showInputMessage="1" showErrorMessage="1" promptTitle="let op" prompt="Als labyrint 1 bocht heeft dan dan is er geen dz5: 1 invullen_x000a_" sqref="P18"/>
    <dataValidation allowBlank="1" showInputMessage="1" showErrorMessage="1" prompt="als versneller parallel aan het labyrint draait is er geen A2_x000a_: 1 invullen" sqref="P23"/>
    <dataValidation allowBlank="1" showInputMessage="1" showErrorMessage="1" promptTitle="let op" prompt="Als labyrint 1 bocht heeft dan dan is er geen A5: 1 invullen" sqref="P26"/>
    <dataValidation allowBlank="1" showInputMessage="1" showErrorMessage="1" prompt="Als labyrint 1 bocht heeft dan dan is er geen A5: 1 invullen_x000a_" sqref="N38"/>
    <dataValidation allowBlank="1" showInputMessage="1" showErrorMessage="1" promptTitle="let op" prompt="Alleen van belang als E &gt; 10 MV (neutronenproduktie)" sqref="P45:P46"/>
    <dataValidation allowBlank="1" showInputMessage="1" showErrorMessage="1" prompt="alleen van belang als de lekstraling of door patient verstrooide straling door het binnenmuurtje van het labyrint gaat op weg naar de 1e hoek _x000a_labyrint" sqref="I111:I118"/>
    <dataValidation allowBlank="1" showInputMessage="1" showErrorMessage="1" prompt="alleen van belang als de lekstraling of door patient verstrooide straling door het binnenmuurtje van het labyrint gaat op weg naar de 1e hoek labyrint" sqref="H111:H118"/>
    <dataValidation allowBlank="1" showInputMessage="1" showErrorMessage="1" prompt="alleen van belang als de lekstraling of door patient verstrooide straling door het binnenmuurtje van het labyrint gaat op weg naar 1e hoek labyrint_x000a_" sqref="G111:G118"/>
    <dataValidation type="list" allowBlank="1" showInputMessage="1" showErrorMessage="1" prompt="alleen van belang als de lekstraling of door patient verstrooide straling door het binnenmuurtje van het labyrint gaat op weg naar 1e hoek van labyrint_x000a__x000a_" sqref="F111:F118">
      <formula1>"recht, schuin"</formula1>
    </dataValidation>
    <dataValidation allowBlank="1" showInputMessage="1" showErrorMessage="1" prompt="alleen van belang als de verstrooide straling door het binnenmuurtje van het labyrint gaat op weg naar het tweede verstrooiiende oppervlak" sqref="G109:I110"/>
    <dataValidation type="list" allowBlank="1" showInputMessage="1" showErrorMessage="1" prompt="alleen van belang als de verstrooide straling door het binnenmuurtje van het labyrint gaat op weg naar het tweede verstrooiiende oppervlak_x000a_" sqref="F109:F110">
      <formula1>"recht, schuin"</formula1>
    </dataValidation>
    <dataValidation allowBlank="1" showInputMessage="1" showErrorMessage="1" prompt="Fr voor gantry 90/270 graden als primaire bundel van labyrint is afgericht._x000a_" sqref="E117:E118"/>
    <dataValidation allowBlank="1" showInputMessage="1" showErrorMessage="1" prompt="Fr richting vloer (gantry 0 graden ) en plafond (gantry 180 graden)_x000a_" sqref="E115:E116"/>
    <dataValidation allowBlank="1" showInputMessage="1" showErrorMessage="1" prompt="Fr richting opp A1 als versneller parallel aan labyrint draait of Fr richting opp A2 als versneller loodrecht op labyrint draait" sqref="E113:E114"/>
    <dataValidation allowBlank="1" showInputMessage="1" showErrorMessage="1" promptTitle="let op" prompt="Fr richting opp A2" sqref="E107:E108"/>
    <dataValidation allowBlank="1" showInputMessage="1" showErrorMessage="1" prompt="Fr richting  opp A1_x000a_" sqref="E109:E110"/>
  </dataValidations>
  <pageMargins left="0.70866141732283472" right="0.70866141732283472" top="0.74803149606299213" bottom="0.74803149606299213" header="0.31496062992125984" footer="0.31496062992125984"/>
  <pageSetup paperSize="8" scale="20" orientation="landscape" r:id="rId1"/>
  <headerFooter>
    <oddFooter>&amp;C&amp;F 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Disclaimer</vt:lpstr>
      <vt:lpstr>Voorblad</vt:lpstr>
      <vt:lpstr>Regulier jaardosis medewerkers</vt:lpstr>
      <vt:lpstr>Voorzien onbedoeld</vt:lpstr>
      <vt:lpstr>Dosis overzicht</vt:lpstr>
      <vt:lpstr>Linac 1</vt:lpstr>
      <vt:lpstr>Linac 2</vt:lpstr>
      <vt:lpstr>Linac 3</vt:lpstr>
      <vt:lpstr>Linac 4</vt:lpstr>
      <vt:lpstr>plattegronden Linac</vt:lpstr>
      <vt:lpstr>CT</vt:lpstr>
      <vt:lpstr>Orthovolt</vt:lpstr>
      <vt:lpstr>Brachy HDR</vt:lpstr>
      <vt:lpstr>Brachy PDR</vt:lpstr>
      <vt:lpstr>I-125 implantatie</vt:lpstr>
      <vt:lpstr>PET-CT </vt:lpstr>
      <vt:lpstr>TVT's afscherming</vt:lpstr>
      <vt:lpstr>reflectiecoeff</vt:lpstr>
      <vt:lpstr>scatterfactoren</vt:lpstr>
      <vt:lpstr>Geschiedenis</vt:lpstr>
    </vt:vector>
  </TitlesOfParts>
  <Company>Medisch Spectrum Twente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 Harbers</dc:creator>
  <cp:lastModifiedBy>j.vd.kamer</cp:lastModifiedBy>
  <cp:lastPrinted>2014-04-25T11:53:03Z</cp:lastPrinted>
  <dcterms:created xsi:type="dcterms:W3CDTF">2012-03-30T09:06:30Z</dcterms:created>
  <dcterms:modified xsi:type="dcterms:W3CDTF">2014-05-02T06:19:48Z</dcterms:modified>
</cp:coreProperties>
</file>