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M:\NVKF\Werkgroep KEW\Risico analyses\Addendum NG extremiteiten\"/>
    </mc:Choice>
  </mc:AlternateContent>
  <bookViews>
    <workbookView xWindow="-15" yWindow="6510" windowWidth="14235" windowHeight="3195" tabRatio="753"/>
  </bookViews>
  <sheets>
    <sheet name="Nucliden gegevens" sheetId="44" r:id="rId1"/>
    <sheet name="Farmaca gegevens" sheetId="40" r:id="rId2"/>
    <sheet name="Transfer fracties (TFW)" sheetId="20" r:id="rId3"/>
    <sheet name="Nuclide - Farmacon - Onderzoek" sheetId="45" r:id="rId4"/>
    <sheet name="Handelingen Leveringsniveau" sheetId="42" r:id="rId5"/>
    <sheet name="Handelingen Onderzoeksniveau" sheetId="43" r:id="rId6"/>
    <sheet name="Levering - Uitwendig - Regulier" sheetId="22" r:id="rId7"/>
    <sheet name="VTGM - Uitwendig - Regulier" sheetId="46" r:id="rId8"/>
    <sheet name="Toediening-Uitwendig-Regulier" sheetId="47" r:id="rId9"/>
    <sheet name="Levering - Inhalatie - Regulier" sheetId="51" r:id="rId10"/>
    <sheet name="VTGM - Inhalatie - Regulier" sheetId="52" r:id="rId11"/>
    <sheet name="Toediening-Inhalatie-Regulier" sheetId="53" r:id="rId12"/>
    <sheet name="Levering - Uitwendig - VOG" sheetId="48" r:id="rId13"/>
    <sheet name="VTGM - Uitwendig - VOG" sheetId="49" r:id="rId14"/>
    <sheet name="Toediening - Uitwendig - VOG" sheetId="50" r:id="rId15"/>
    <sheet name="Levering - Inwendig - VOG" sheetId="54" r:id="rId16"/>
    <sheet name="VTGM - Inwendig - VOG" sheetId="55" r:id="rId17"/>
    <sheet name="Toediening - Inwendig - VOG" sheetId="56" r:id="rId18"/>
    <sheet name="Totalen per type medewerker" sheetId="57" r:id="rId19"/>
    <sheet name="Transmissie door Lood" sheetId="27" r:id="rId20"/>
    <sheet name="Versiebeheer" sheetId="58" r:id="rId21"/>
  </sheets>
  <externalReferences>
    <externalReference r:id="rId22"/>
  </externalReferences>
  <definedNames>
    <definedName name="_xlnm._FilterDatabase" localSheetId="3" hidden="1">'Nuclide - Farmacon - Onderzoek'!$A$1:$F$1</definedName>
    <definedName name="_xlnm._FilterDatabase" localSheetId="19" hidden="1">'Transmissie door Lood'!$A$3:$G$3</definedName>
    <definedName name="A">#N/A</definedName>
    <definedName name="_xlnm.Print_Area" localSheetId="2">'Transfer fracties (TFW)'!$A$2:$A$16</definedName>
    <definedName name="afsch_kamer_afstand">#REF!</definedName>
    <definedName name="afsch_kamer_dikte">#REF!</definedName>
    <definedName name="B">#N/A</definedName>
    <definedName name="beton">[1]beton:glas!$A$3:$D$29</definedName>
    <definedName name="Bucky_bekken">#REF!</definedName>
    <definedName name="Bucky_extremiteiten">#REF!</definedName>
    <definedName name="Bucky_thorax">#REF!</definedName>
    <definedName name="Card_CAG">#REF!</definedName>
    <definedName name="Card_ICD">#REF!</definedName>
    <definedName name="Card_PCI">#REF!</definedName>
    <definedName name="CT_diag">#REF!</definedName>
    <definedName name="CT_inter">#REF!</definedName>
    <definedName name="Doorl_diag">#REF!</definedName>
    <definedName name="Doorl_inter">#REF!</definedName>
    <definedName name="G">#N/A</definedName>
    <definedName name="GIPS">#REF!</definedName>
    <definedName name="GLAS">#REF!</definedName>
    <definedName name="Interv_diag">#REF!</definedName>
    <definedName name="Interv_inter">#REF!</definedName>
    <definedName name="Kaak_CBCT">#REF!</definedName>
    <definedName name="kaak_OPG">#REF!</definedName>
    <definedName name="OK_bekken">#REF!</definedName>
    <definedName name="OK_EVAR">#REF!</definedName>
    <definedName name="OK_kort">#REF!</definedName>
    <definedName name="STAAL">#REF!</definedName>
    <definedName name="X">#N/A</definedName>
    <definedName name="zaal_bekken">#REF!</definedName>
    <definedName name="zaal_extremiteiten">#REF!</definedName>
    <definedName name="zaal_thorax">#REF!</definedName>
  </definedNames>
  <calcPr calcId="152511"/>
</workbook>
</file>

<file path=xl/calcChain.xml><?xml version="1.0" encoding="utf-8"?>
<calcChain xmlns="http://schemas.openxmlformats.org/spreadsheetml/2006/main">
  <c r="D13" i="40" l="1"/>
  <c r="R5" i="50"/>
  <c r="S5" i="50"/>
  <c r="T5" i="50"/>
  <c r="R6" i="50"/>
  <c r="S6" i="50"/>
  <c r="T6" i="50"/>
  <c r="W6" i="50"/>
  <c r="X6" i="50" s="1"/>
  <c r="AC6" i="50" s="1"/>
  <c r="R7" i="50"/>
  <c r="S7" i="50"/>
  <c r="T7" i="50"/>
  <c r="R8" i="50"/>
  <c r="S8" i="50"/>
  <c r="T8" i="50"/>
  <c r="W8" i="50"/>
  <c r="X8" i="50" s="1"/>
  <c r="AC8" i="50" s="1"/>
  <c r="R9" i="50"/>
  <c r="S9" i="50"/>
  <c r="T9" i="50"/>
  <c r="R10" i="50"/>
  <c r="S10" i="50"/>
  <c r="T10" i="50"/>
  <c r="W10" i="50"/>
  <c r="X10" i="50" s="1"/>
  <c r="AC10" i="50" s="1"/>
  <c r="R11" i="50"/>
  <c r="S11" i="50"/>
  <c r="T11" i="50"/>
  <c r="R12" i="50"/>
  <c r="S12" i="50"/>
  <c r="T12" i="50"/>
  <c r="W12" i="50"/>
  <c r="X12" i="50" s="1"/>
  <c r="AC12" i="50" s="1"/>
  <c r="R13" i="50"/>
  <c r="S13" i="50"/>
  <c r="T13" i="50"/>
  <c r="R14" i="50"/>
  <c r="S14" i="50"/>
  <c r="T14" i="50"/>
  <c r="W14" i="50"/>
  <c r="X14" i="50" s="1"/>
  <c r="AC14" i="50" s="1"/>
  <c r="R15" i="50"/>
  <c r="S15" i="50"/>
  <c r="T15" i="50"/>
  <c r="R16" i="50"/>
  <c r="S16" i="50"/>
  <c r="T16" i="50"/>
  <c r="R17" i="50"/>
  <c r="S17" i="50"/>
  <c r="T17" i="50"/>
  <c r="R18" i="50"/>
  <c r="S18" i="50"/>
  <c r="T18" i="50"/>
  <c r="R19" i="50"/>
  <c r="S19" i="50"/>
  <c r="T19" i="50"/>
  <c r="R20" i="50"/>
  <c r="S20" i="50"/>
  <c r="T20" i="50"/>
  <c r="R21" i="50"/>
  <c r="S21" i="50"/>
  <c r="T21" i="50"/>
  <c r="R22" i="50"/>
  <c r="S22" i="50"/>
  <c r="T22" i="50"/>
  <c r="R23" i="50"/>
  <c r="S23" i="50"/>
  <c r="T23" i="50"/>
  <c r="R24" i="50"/>
  <c r="S24" i="50"/>
  <c r="T24" i="50"/>
  <c r="R25" i="50"/>
  <c r="S25" i="50"/>
  <c r="T25" i="50"/>
  <c r="Q5" i="50"/>
  <c r="Q6" i="50"/>
  <c r="Q7" i="50"/>
  <c r="P5" i="50"/>
  <c r="P6" i="50"/>
  <c r="P7" i="50"/>
  <c r="P8" i="50"/>
  <c r="O5" i="50"/>
  <c r="O6" i="50"/>
  <c r="O7" i="50"/>
  <c r="O8" i="50"/>
  <c r="O9" i="50"/>
  <c r="N5" i="50"/>
  <c r="N6" i="50"/>
  <c r="U6" i="50" s="1"/>
  <c r="V6" i="50" s="1"/>
  <c r="AB6" i="50" s="1"/>
  <c r="N7" i="50"/>
  <c r="N8" i="50"/>
  <c r="U8" i="50" s="1"/>
  <c r="V8" i="50" s="1"/>
  <c r="AB8" i="50" s="1"/>
  <c r="N9" i="50"/>
  <c r="N10" i="50"/>
  <c r="U10" i="50" s="1"/>
  <c r="V10" i="50" s="1"/>
  <c r="AB10" i="50" s="1"/>
  <c r="N11" i="50"/>
  <c r="N12" i="50"/>
  <c r="U12" i="50" s="1"/>
  <c r="V12" i="50" s="1"/>
  <c r="AB12" i="50" s="1"/>
  <c r="N13" i="50"/>
  <c r="N14" i="50"/>
  <c r="U14" i="50" s="1"/>
  <c r="V14" i="50" s="1"/>
  <c r="AB14" i="50" s="1"/>
  <c r="N15" i="50"/>
  <c r="P5" i="47"/>
  <c r="P6" i="47"/>
  <c r="P7" i="47"/>
  <c r="P8" i="47"/>
  <c r="P9" i="47"/>
  <c r="P10" i="47"/>
  <c r="P11" i="47"/>
  <c r="P12" i="47"/>
  <c r="P13" i="47"/>
  <c r="P14" i="47"/>
  <c r="P15" i="47"/>
  <c r="P16" i="47"/>
  <c r="P17" i="47"/>
  <c r="P18" i="47"/>
  <c r="P19" i="47"/>
  <c r="P20" i="47"/>
  <c r="P21" i="47"/>
  <c r="P22" i="47"/>
  <c r="P23" i="47"/>
  <c r="P24" i="47"/>
  <c r="P25" i="47"/>
  <c r="P4" i="47"/>
  <c r="P5" i="46"/>
  <c r="P6" i="46"/>
  <c r="P7" i="46"/>
  <c r="P8" i="46"/>
  <c r="P9" i="46"/>
  <c r="P10" i="46"/>
  <c r="P11" i="46"/>
  <c r="P12" i="46"/>
  <c r="P13" i="46"/>
  <c r="P14" i="46"/>
  <c r="P15" i="46"/>
  <c r="P16" i="46"/>
  <c r="P17" i="46"/>
  <c r="P18" i="46"/>
  <c r="P19" i="46"/>
  <c r="P20" i="46"/>
  <c r="P21" i="46"/>
  <c r="P22" i="46"/>
  <c r="P23" i="46"/>
  <c r="P24" i="46"/>
  <c r="P25" i="46"/>
  <c r="P4" i="46"/>
  <c r="P5" i="22"/>
  <c r="P6" i="22"/>
  <c r="P7" i="22"/>
  <c r="P8" i="22"/>
  <c r="P9" i="22"/>
  <c r="P10" i="22"/>
  <c r="P11" i="22"/>
  <c r="P12" i="22"/>
  <c r="P13" i="22"/>
  <c r="P14" i="22"/>
  <c r="P15" i="22"/>
  <c r="P16" i="22"/>
  <c r="P17" i="22"/>
  <c r="P18" i="22"/>
  <c r="P19" i="22"/>
  <c r="P20" i="22"/>
  <c r="P21" i="22"/>
  <c r="P22" i="22"/>
  <c r="P23" i="22"/>
  <c r="P24" i="22"/>
  <c r="P25" i="22"/>
  <c r="P4" i="22"/>
  <c r="U15" i="50" l="1"/>
  <c r="V15" i="50" s="1"/>
  <c r="AB15" i="50" s="1"/>
  <c r="Y15" i="50"/>
  <c r="Z15" i="50" s="1"/>
  <c r="AD15" i="50" s="1"/>
  <c r="W15" i="50"/>
  <c r="X15" i="50" s="1"/>
  <c r="AC15" i="50" s="1"/>
  <c r="U13" i="50"/>
  <c r="V13" i="50" s="1"/>
  <c r="AB13" i="50" s="1"/>
  <c r="Y13" i="50"/>
  <c r="Z13" i="50" s="1"/>
  <c r="AD13" i="50" s="1"/>
  <c r="W13" i="50"/>
  <c r="X13" i="50" s="1"/>
  <c r="AC13" i="50" s="1"/>
  <c r="U11" i="50"/>
  <c r="V11" i="50" s="1"/>
  <c r="AB11" i="50" s="1"/>
  <c r="Y11" i="50"/>
  <c r="Z11" i="50" s="1"/>
  <c r="AD11" i="50" s="1"/>
  <c r="W11" i="50"/>
  <c r="X11" i="50" s="1"/>
  <c r="AC11" i="50" s="1"/>
  <c r="U9" i="50"/>
  <c r="V9" i="50" s="1"/>
  <c r="AB9" i="50" s="1"/>
  <c r="Y9" i="50"/>
  <c r="Z9" i="50" s="1"/>
  <c r="AD9" i="50" s="1"/>
  <c r="W9" i="50"/>
  <c r="X9" i="50" s="1"/>
  <c r="AC9" i="50" s="1"/>
  <c r="U7" i="50"/>
  <c r="V7" i="50" s="1"/>
  <c r="AB7" i="50" s="1"/>
  <c r="Y7" i="50"/>
  <c r="Z7" i="50" s="1"/>
  <c r="AD7" i="50" s="1"/>
  <c r="W7" i="50"/>
  <c r="X7" i="50" s="1"/>
  <c r="AC7" i="50" s="1"/>
  <c r="U5" i="50"/>
  <c r="V5" i="50" s="1"/>
  <c r="AB5" i="50" s="1"/>
  <c r="Y5" i="50"/>
  <c r="Z5" i="50" s="1"/>
  <c r="AD5" i="50" s="1"/>
  <c r="W5" i="50"/>
  <c r="X5" i="50" s="1"/>
  <c r="AC5" i="50" s="1"/>
  <c r="Y14" i="50"/>
  <c r="Z14" i="50" s="1"/>
  <c r="AD14" i="50" s="1"/>
  <c r="Y12" i="50"/>
  <c r="Z12" i="50" s="1"/>
  <c r="AD12" i="50" s="1"/>
  <c r="Y10" i="50"/>
  <c r="Z10" i="50" s="1"/>
  <c r="AD10" i="50" s="1"/>
  <c r="Y8" i="50"/>
  <c r="Z8" i="50" s="1"/>
  <c r="AD8" i="50" s="1"/>
  <c r="Y6" i="50"/>
  <c r="Z6" i="50" s="1"/>
  <c r="AD6" i="50" s="1"/>
  <c r="N5" i="49"/>
  <c r="O5" i="49"/>
  <c r="P5" i="49"/>
  <c r="Q5" i="49"/>
  <c r="R5" i="49"/>
  <c r="S5" i="49"/>
  <c r="T5" i="49"/>
  <c r="N6" i="49"/>
  <c r="O6" i="49"/>
  <c r="P6" i="49"/>
  <c r="Q6" i="49"/>
  <c r="R6" i="49"/>
  <c r="S6" i="49"/>
  <c r="T6" i="49"/>
  <c r="N7" i="49"/>
  <c r="O7" i="49"/>
  <c r="P7" i="49"/>
  <c r="Q7" i="49"/>
  <c r="R7" i="49"/>
  <c r="S7" i="49"/>
  <c r="T7" i="49"/>
  <c r="N8" i="49"/>
  <c r="O8" i="49"/>
  <c r="P8" i="49"/>
  <c r="Q8" i="49"/>
  <c r="R8" i="49"/>
  <c r="S8" i="49"/>
  <c r="T8" i="49"/>
  <c r="N9" i="49"/>
  <c r="O9" i="49"/>
  <c r="P9" i="49"/>
  <c r="Q9" i="49"/>
  <c r="R9" i="49"/>
  <c r="S9" i="49"/>
  <c r="T9" i="49"/>
  <c r="N10" i="49"/>
  <c r="O10" i="49"/>
  <c r="P10" i="49"/>
  <c r="Q10" i="49"/>
  <c r="R10" i="49"/>
  <c r="S10" i="49"/>
  <c r="T10" i="49"/>
  <c r="N11" i="49"/>
  <c r="O11" i="49"/>
  <c r="P11" i="49"/>
  <c r="Q11" i="49"/>
  <c r="R11" i="49"/>
  <c r="S11" i="49"/>
  <c r="T11" i="49"/>
  <c r="N12" i="49"/>
  <c r="O12" i="49"/>
  <c r="P12" i="49"/>
  <c r="Q12" i="49"/>
  <c r="R12" i="49"/>
  <c r="S12" i="49"/>
  <c r="T12" i="49"/>
  <c r="N13" i="49"/>
  <c r="U13" i="49" s="1"/>
  <c r="V13" i="49" s="1"/>
  <c r="AB13" i="49" s="1"/>
  <c r="O13" i="49"/>
  <c r="P13" i="49"/>
  <c r="Q13" i="49"/>
  <c r="R13" i="49"/>
  <c r="S13" i="49"/>
  <c r="T13" i="49"/>
  <c r="N14" i="49"/>
  <c r="U14" i="49" s="1"/>
  <c r="V14" i="49" s="1"/>
  <c r="AB14" i="49" s="1"/>
  <c r="O14" i="49"/>
  <c r="P14" i="49"/>
  <c r="Q14" i="49"/>
  <c r="R14" i="49"/>
  <c r="S14" i="49"/>
  <c r="T14" i="49"/>
  <c r="N15" i="49"/>
  <c r="U15" i="49" s="1"/>
  <c r="V15" i="49" s="1"/>
  <c r="AB15" i="49" s="1"/>
  <c r="O15" i="49"/>
  <c r="P15" i="49"/>
  <c r="Q15" i="49"/>
  <c r="R15" i="49"/>
  <c r="S15" i="49"/>
  <c r="T15" i="49"/>
  <c r="N16" i="49"/>
  <c r="O16" i="49"/>
  <c r="P16" i="49"/>
  <c r="Q16" i="49"/>
  <c r="R16" i="49"/>
  <c r="S16" i="49"/>
  <c r="T16" i="49"/>
  <c r="H5" i="53"/>
  <c r="I5" i="53"/>
  <c r="J5" i="53"/>
  <c r="K5" i="53"/>
  <c r="H6" i="53"/>
  <c r="I6" i="53"/>
  <c r="J6" i="53"/>
  <c r="K6" i="53"/>
  <c r="H7" i="53"/>
  <c r="I7" i="53"/>
  <c r="J7" i="53"/>
  <c r="K7" i="53"/>
  <c r="H8" i="53"/>
  <c r="I8" i="53"/>
  <c r="J8" i="53"/>
  <c r="K8" i="53"/>
  <c r="H9" i="53"/>
  <c r="I9" i="53"/>
  <c r="J9" i="53"/>
  <c r="K9" i="53"/>
  <c r="H10" i="53"/>
  <c r="I10" i="53"/>
  <c r="J10" i="53"/>
  <c r="K10" i="53"/>
  <c r="H11" i="53"/>
  <c r="I11" i="53"/>
  <c r="J11" i="53"/>
  <c r="K11" i="53"/>
  <c r="H12" i="53"/>
  <c r="I12" i="53"/>
  <c r="J12" i="53"/>
  <c r="K12" i="53"/>
  <c r="H13" i="53"/>
  <c r="I13" i="53"/>
  <c r="J13" i="53"/>
  <c r="K13" i="53"/>
  <c r="H14" i="53"/>
  <c r="I14" i="53"/>
  <c r="J14" i="53"/>
  <c r="K14" i="53"/>
  <c r="H15" i="53"/>
  <c r="I15" i="53"/>
  <c r="J15" i="53"/>
  <c r="K15" i="53"/>
  <c r="H16" i="53"/>
  <c r="I16" i="53"/>
  <c r="J16" i="53"/>
  <c r="K16" i="53"/>
  <c r="H17" i="53"/>
  <c r="I17" i="53"/>
  <c r="J17" i="53"/>
  <c r="K17" i="53"/>
  <c r="H18" i="53"/>
  <c r="I18" i="53"/>
  <c r="J18" i="53"/>
  <c r="K18" i="53"/>
  <c r="H19" i="53"/>
  <c r="I19" i="53"/>
  <c r="J19" i="53"/>
  <c r="K19" i="53"/>
  <c r="H20" i="53"/>
  <c r="I20" i="53"/>
  <c r="J20" i="53"/>
  <c r="K20" i="53"/>
  <c r="H21" i="53"/>
  <c r="I21" i="53"/>
  <c r="J21" i="53"/>
  <c r="K21" i="53"/>
  <c r="H22" i="53"/>
  <c r="I22" i="53"/>
  <c r="J22" i="53"/>
  <c r="K22" i="53"/>
  <c r="H23" i="53"/>
  <c r="I23" i="53"/>
  <c r="J23" i="53"/>
  <c r="K23" i="53"/>
  <c r="H24" i="53"/>
  <c r="I24" i="53"/>
  <c r="J24" i="53"/>
  <c r="K24" i="53"/>
  <c r="H25" i="53"/>
  <c r="I25" i="53"/>
  <c r="J25" i="53"/>
  <c r="K25" i="53"/>
  <c r="H5" i="52"/>
  <c r="I5" i="52"/>
  <c r="J5" i="52"/>
  <c r="K5" i="52"/>
  <c r="H6" i="52"/>
  <c r="I6" i="52"/>
  <c r="J6" i="52"/>
  <c r="K6" i="52"/>
  <c r="H7" i="52"/>
  <c r="I7" i="52"/>
  <c r="J7" i="52"/>
  <c r="K7" i="52"/>
  <c r="H8" i="52"/>
  <c r="I8" i="52"/>
  <c r="J8" i="52"/>
  <c r="K8" i="52"/>
  <c r="H9" i="52"/>
  <c r="I9" i="52"/>
  <c r="J9" i="52"/>
  <c r="K9" i="52"/>
  <c r="N5" i="47"/>
  <c r="O5" i="47"/>
  <c r="V5" i="47" s="1"/>
  <c r="Q5" i="47"/>
  <c r="R5" i="47"/>
  <c r="S5" i="47"/>
  <c r="T5" i="47"/>
  <c r="U5" i="47"/>
  <c r="N6" i="47"/>
  <c r="O6" i="47"/>
  <c r="X6" i="47" s="1"/>
  <c r="Q6" i="47"/>
  <c r="R6" i="47"/>
  <c r="S6" i="47"/>
  <c r="T6" i="47"/>
  <c r="U6" i="47"/>
  <c r="N7" i="47"/>
  <c r="O7" i="47"/>
  <c r="V7" i="47" s="1"/>
  <c r="Q7" i="47"/>
  <c r="R7" i="47"/>
  <c r="S7" i="47"/>
  <c r="T7" i="47"/>
  <c r="U7" i="47"/>
  <c r="N8" i="47"/>
  <c r="O8" i="47"/>
  <c r="Q8" i="47"/>
  <c r="R8" i="47"/>
  <c r="S8" i="47"/>
  <c r="T8" i="47"/>
  <c r="U8" i="47"/>
  <c r="N9" i="47"/>
  <c r="O9" i="47"/>
  <c r="X9" i="47" s="1"/>
  <c r="Q9" i="47"/>
  <c r="R9" i="47"/>
  <c r="S9" i="47"/>
  <c r="T9" i="47"/>
  <c r="U9" i="47"/>
  <c r="N5" i="46"/>
  <c r="O5" i="46"/>
  <c r="Q5" i="46"/>
  <c r="R5" i="46"/>
  <c r="S5" i="46"/>
  <c r="T5" i="46"/>
  <c r="U5" i="46"/>
  <c r="N6" i="46"/>
  <c r="O6" i="46"/>
  <c r="Q6" i="46"/>
  <c r="R6" i="46"/>
  <c r="S6" i="46"/>
  <c r="T6" i="46"/>
  <c r="U6" i="46"/>
  <c r="N7" i="46"/>
  <c r="O7" i="46"/>
  <c r="Q7" i="46"/>
  <c r="R7" i="46"/>
  <c r="S7" i="46"/>
  <c r="T7" i="46"/>
  <c r="U7" i="46"/>
  <c r="N8" i="46"/>
  <c r="O8" i="46"/>
  <c r="Q8" i="46"/>
  <c r="R8" i="46"/>
  <c r="S8" i="46"/>
  <c r="T8" i="46"/>
  <c r="U8" i="46"/>
  <c r="N9" i="46"/>
  <c r="O9" i="46"/>
  <c r="Q9" i="46"/>
  <c r="R9" i="46"/>
  <c r="S9" i="46"/>
  <c r="T9" i="46"/>
  <c r="U9" i="46"/>
  <c r="N10" i="46"/>
  <c r="O10" i="46"/>
  <c r="Q10" i="46"/>
  <c r="R10" i="46"/>
  <c r="S10" i="46"/>
  <c r="T10" i="46"/>
  <c r="U10" i="46"/>
  <c r="N11" i="46"/>
  <c r="O11" i="46"/>
  <c r="Q11" i="46"/>
  <c r="R11" i="46"/>
  <c r="S11" i="46"/>
  <c r="T11" i="46"/>
  <c r="U11" i="46"/>
  <c r="Q12" i="46"/>
  <c r="R12" i="46"/>
  <c r="S12" i="46"/>
  <c r="T12" i="46"/>
  <c r="U12" i="46"/>
  <c r="Q13" i="46"/>
  <c r="R13" i="46"/>
  <c r="S13" i="46"/>
  <c r="T13" i="46"/>
  <c r="U13" i="46"/>
  <c r="Q14" i="46"/>
  <c r="R14" i="46"/>
  <c r="S14" i="46"/>
  <c r="T14" i="46"/>
  <c r="U14" i="46"/>
  <c r="O12" i="46"/>
  <c r="N12" i="46"/>
  <c r="N13" i="46"/>
  <c r="L6" i="52" l="1"/>
  <c r="L5" i="52"/>
  <c r="W6" i="49"/>
  <c r="X6" i="49" s="1"/>
  <c r="AC6" i="49" s="1"/>
  <c r="W5" i="49"/>
  <c r="X5" i="49" s="1"/>
  <c r="AC5" i="49" s="1"/>
  <c r="X11" i="46"/>
  <c r="X9" i="46"/>
  <c r="Y9" i="46" s="1"/>
  <c r="AD9" i="46" s="1"/>
  <c r="X8" i="46"/>
  <c r="V7" i="46"/>
  <c r="W7" i="46" s="1"/>
  <c r="AC7" i="46" s="1"/>
  <c r="V6" i="46"/>
  <c r="V5" i="46"/>
  <c r="W5" i="46" s="1"/>
  <c r="AC5" i="46" s="1"/>
  <c r="Z6" i="46"/>
  <c r="AA6" i="46" s="1"/>
  <c r="AE6" i="46" s="1"/>
  <c r="Z9" i="46"/>
  <c r="X6" i="46"/>
  <c r="Y6" i="46" s="1"/>
  <c r="AD6" i="46" s="1"/>
  <c r="Y11" i="46"/>
  <c r="AD11" i="46" s="1"/>
  <c r="V11" i="46"/>
  <c r="W11" i="46" s="1"/>
  <c r="AC11" i="46" s="1"/>
  <c r="Z9" i="47"/>
  <c r="AA9" i="47" s="1"/>
  <c r="AE9" i="47" s="1"/>
  <c r="X7" i="47"/>
  <c r="V6" i="47"/>
  <c r="W6" i="47" s="1"/>
  <c r="AC6" i="47" s="1"/>
  <c r="AA9" i="46"/>
  <c r="AE9" i="46" s="1"/>
  <c r="V8" i="47"/>
  <c r="W8" i="47" s="1"/>
  <c r="AC8" i="47" s="1"/>
  <c r="V9" i="47"/>
  <c r="Z6" i="47"/>
  <c r="X5" i="47"/>
  <c r="V10" i="46"/>
  <c r="W10" i="46" s="1"/>
  <c r="AC10" i="46" s="1"/>
  <c r="Z10" i="46"/>
  <c r="AA10" i="46" s="1"/>
  <c r="AE10" i="46" s="1"/>
  <c r="Z11" i="46"/>
  <c r="AA11" i="46" s="1"/>
  <c r="AE11" i="46" s="1"/>
  <c r="X10" i="46"/>
  <c r="Y10" i="46" s="1"/>
  <c r="AD10" i="46" s="1"/>
  <c r="V9" i="46"/>
  <c r="W9" i="46" s="1"/>
  <c r="AC9" i="46" s="1"/>
  <c r="Y9" i="47"/>
  <c r="AD9" i="47" s="1"/>
  <c r="W7" i="47"/>
  <c r="AC7" i="47" s="1"/>
  <c r="Y6" i="47"/>
  <c r="AD6" i="47" s="1"/>
  <c r="W5" i="47"/>
  <c r="AC5" i="47" s="1"/>
  <c r="Y7" i="47"/>
  <c r="AD7" i="47" s="1"/>
  <c r="V8" i="46"/>
  <c r="Z8" i="46"/>
  <c r="W6" i="46"/>
  <c r="AC6" i="46" s="1"/>
  <c r="W9" i="47"/>
  <c r="AC9" i="47" s="1"/>
  <c r="AA6" i="47"/>
  <c r="AE6" i="47" s="1"/>
  <c r="Y5" i="47"/>
  <c r="AD5" i="47" s="1"/>
  <c r="U11" i="49"/>
  <c r="V11" i="49" s="1"/>
  <c r="AB11" i="49" s="1"/>
  <c r="W11" i="49"/>
  <c r="X11" i="49" s="1"/>
  <c r="AC11" i="49" s="1"/>
  <c r="Y11" i="49"/>
  <c r="Z11" i="49" s="1"/>
  <c r="AD11" i="49" s="1"/>
  <c r="U9" i="49"/>
  <c r="V9" i="49" s="1"/>
  <c r="AB9" i="49" s="1"/>
  <c r="W9" i="49"/>
  <c r="X9" i="49" s="1"/>
  <c r="AC9" i="49" s="1"/>
  <c r="Y9" i="49"/>
  <c r="Z9" i="49" s="1"/>
  <c r="AD9" i="49" s="1"/>
  <c r="U7" i="49"/>
  <c r="V7" i="49" s="1"/>
  <c r="AB7" i="49" s="1"/>
  <c r="W7" i="49"/>
  <c r="X7" i="49" s="1"/>
  <c r="AC7" i="49" s="1"/>
  <c r="Y7" i="49"/>
  <c r="Z7" i="49" s="1"/>
  <c r="AD7" i="49" s="1"/>
  <c r="Y15" i="49"/>
  <c r="Z15" i="49" s="1"/>
  <c r="AD15" i="49" s="1"/>
  <c r="W15" i="49"/>
  <c r="X15" i="49" s="1"/>
  <c r="AC15" i="49" s="1"/>
  <c r="Y14" i="49"/>
  <c r="Z14" i="49" s="1"/>
  <c r="AD14" i="49" s="1"/>
  <c r="W14" i="49"/>
  <c r="X14" i="49" s="1"/>
  <c r="AC14" i="49" s="1"/>
  <c r="Y13" i="49"/>
  <c r="Z13" i="49" s="1"/>
  <c r="AD13" i="49" s="1"/>
  <c r="W13" i="49"/>
  <c r="X13" i="49" s="1"/>
  <c r="AC13" i="49" s="1"/>
  <c r="Y6" i="49"/>
  <c r="Z6" i="49" s="1"/>
  <c r="AD6" i="49" s="1"/>
  <c r="Y5" i="49"/>
  <c r="Z5" i="49" s="1"/>
  <c r="AD5" i="49" s="1"/>
  <c r="U5" i="49"/>
  <c r="V5" i="49" s="1"/>
  <c r="AB5" i="49" s="1"/>
  <c r="W8" i="46"/>
  <c r="AC8" i="46" s="1"/>
  <c r="Z7" i="47"/>
  <c r="AA7" i="47" s="1"/>
  <c r="AE7" i="47" s="1"/>
  <c r="Z5" i="47"/>
  <c r="AA5" i="47" s="1"/>
  <c r="AE5" i="47" s="1"/>
  <c r="L7" i="52"/>
  <c r="N7" i="52" s="1"/>
  <c r="L25" i="53"/>
  <c r="N25" i="53" s="1"/>
  <c r="L24" i="53"/>
  <c r="N24" i="53" s="1"/>
  <c r="L23" i="53"/>
  <c r="N23" i="53" s="1"/>
  <c r="L22" i="53"/>
  <c r="N22" i="53" s="1"/>
  <c r="L21" i="53"/>
  <c r="N21" i="53" s="1"/>
  <c r="L20" i="53"/>
  <c r="N20" i="53" s="1"/>
  <c r="L19" i="53"/>
  <c r="N19" i="53" s="1"/>
  <c r="L18" i="53"/>
  <c r="N18" i="53" s="1"/>
  <c r="L17" i="53"/>
  <c r="N17" i="53" s="1"/>
  <c r="L16" i="53"/>
  <c r="N16" i="53" s="1"/>
  <c r="L15" i="53"/>
  <c r="N15" i="53" s="1"/>
  <c r="L14" i="53"/>
  <c r="N14" i="53" s="1"/>
  <c r="L13" i="53"/>
  <c r="N13" i="53" s="1"/>
  <c r="L12" i="53"/>
  <c r="N12" i="53" s="1"/>
  <c r="L11" i="53"/>
  <c r="N11" i="53" s="1"/>
  <c r="L10" i="53"/>
  <c r="N10" i="53" s="1"/>
  <c r="L9" i="53"/>
  <c r="N9" i="53" s="1"/>
  <c r="L8" i="53"/>
  <c r="N8" i="53" s="1"/>
  <c r="L7" i="53"/>
  <c r="N7" i="53" s="1"/>
  <c r="L6" i="53"/>
  <c r="N6" i="53" s="1"/>
  <c r="L5" i="53"/>
  <c r="N5" i="53" s="1"/>
  <c r="U12" i="49"/>
  <c r="V12" i="49" s="1"/>
  <c r="AB12" i="49" s="1"/>
  <c r="W12" i="49"/>
  <c r="X12" i="49" s="1"/>
  <c r="AC12" i="49" s="1"/>
  <c r="Y12" i="49"/>
  <c r="Z12" i="49" s="1"/>
  <c r="AD12" i="49" s="1"/>
  <c r="U10" i="49"/>
  <c r="V10" i="49" s="1"/>
  <c r="AB10" i="49" s="1"/>
  <c r="W10" i="49"/>
  <c r="X10" i="49" s="1"/>
  <c r="AC10" i="49" s="1"/>
  <c r="Y10" i="49"/>
  <c r="Z10" i="49" s="1"/>
  <c r="AD10" i="49" s="1"/>
  <c r="U8" i="49"/>
  <c r="V8" i="49" s="1"/>
  <c r="AB8" i="49" s="1"/>
  <c r="W8" i="49"/>
  <c r="X8" i="49" s="1"/>
  <c r="AC8" i="49" s="1"/>
  <c r="Y8" i="49"/>
  <c r="Z8" i="49" s="1"/>
  <c r="AD8" i="49" s="1"/>
  <c r="U6" i="49"/>
  <c r="V6" i="49" s="1"/>
  <c r="AB6" i="49" s="1"/>
  <c r="Z8" i="47"/>
  <c r="AA8" i="47" s="1"/>
  <c r="AE8" i="47" s="1"/>
  <c r="X8" i="47"/>
  <c r="Y8" i="47" s="1"/>
  <c r="AD8" i="47" s="1"/>
  <c r="L9" i="52"/>
  <c r="N9" i="52" s="1"/>
  <c r="L8" i="52"/>
  <c r="N8" i="52" s="1"/>
  <c r="AA8" i="46"/>
  <c r="AE8" i="46" s="1"/>
  <c r="Y8" i="46"/>
  <c r="AD8" i="46" s="1"/>
  <c r="Z7" i="46"/>
  <c r="AA7" i="46" s="1"/>
  <c r="AE7" i="46" s="1"/>
  <c r="X7" i="46"/>
  <c r="Y7" i="46" s="1"/>
  <c r="AD7" i="46" s="1"/>
  <c r="Z5" i="46"/>
  <c r="AA5" i="46" s="1"/>
  <c r="AE5" i="46" s="1"/>
  <c r="X5" i="46"/>
  <c r="Y5" i="46" s="1"/>
  <c r="AD5" i="46" s="1"/>
  <c r="P9" i="50"/>
  <c r="P10" i="50"/>
  <c r="P11" i="50"/>
  <c r="P12" i="50"/>
  <c r="P13" i="50"/>
  <c r="P14" i="50"/>
  <c r="P15" i="50"/>
  <c r="P16" i="50"/>
  <c r="P17" i="50"/>
  <c r="P18" i="50"/>
  <c r="P19" i="50"/>
  <c r="P20" i="50"/>
  <c r="P21" i="50"/>
  <c r="P22" i="50"/>
  <c r="P23" i="50"/>
  <c r="P24" i="50"/>
  <c r="P25" i="50"/>
  <c r="P4" i="50"/>
  <c r="Q8" i="50"/>
  <c r="Q9" i="50"/>
  <c r="O10" i="50"/>
  <c r="Q10" i="50"/>
  <c r="O11" i="50"/>
  <c r="Q11" i="50"/>
  <c r="O12" i="50"/>
  <c r="Q12" i="50"/>
  <c r="O13" i="50"/>
  <c r="Q13" i="50"/>
  <c r="O14" i="50"/>
  <c r="Q14" i="50"/>
  <c r="O15" i="50"/>
  <c r="Q15" i="50"/>
  <c r="N16" i="50"/>
  <c r="O16" i="50"/>
  <c r="Q16" i="50"/>
  <c r="N17" i="50"/>
  <c r="O17" i="50"/>
  <c r="Q17" i="50"/>
  <c r="N18" i="50"/>
  <c r="O18" i="50"/>
  <c r="Q18" i="50"/>
  <c r="N19" i="50"/>
  <c r="O19" i="50"/>
  <c r="Q19" i="50"/>
  <c r="N20" i="50"/>
  <c r="O20" i="50"/>
  <c r="Q20" i="50"/>
  <c r="N21" i="50"/>
  <c r="O21" i="50"/>
  <c r="Q21" i="50"/>
  <c r="N22" i="50"/>
  <c r="O22" i="50"/>
  <c r="Q22" i="50"/>
  <c r="N23" i="50"/>
  <c r="O23" i="50"/>
  <c r="Q23" i="50"/>
  <c r="N24" i="50"/>
  <c r="O24" i="50"/>
  <c r="Q24" i="50"/>
  <c r="N25" i="50"/>
  <c r="O25" i="50"/>
  <c r="Q25" i="50"/>
  <c r="T4" i="50"/>
  <c r="S4" i="50"/>
  <c r="R4" i="50"/>
  <c r="Q4" i="50"/>
  <c r="O4" i="50"/>
  <c r="N4" i="50"/>
  <c r="P17" i="49"/>
  <c r="P18" i="49"/>
  <c r="P19" i="49"/>
  <c r="P20" i="49"/>
  <c r="P21" i="49"/>
  <c r="P22" i="49"/>
  <c r="P23" i="49"/>
  <c r="P24" i="49"/>
  <c r="P25" i="49"/>
  <c r="P4" i="49"/>
  <c r="N17" i="49"/>
  <c r="O17" i="49"/>
  <c r="Q17" i="49"/>
  <c r="R17" i="49"/>
  <c r="S17" i="49"/>
  <c r="T17" i="49"/>
  <c r="N18" i="49"/>
  <c r="O18" i="49"/>
  <c r="Q18" i="49"/>
  <c r="R18" i="49"/>
  <c r="S18" i="49"/>
  <c r="T18" i="49"/>
  <c r="N19" i="49"/>
  <c r="O19" i="49"/>
  <c r="Q19" i="49"/>
  <c r="R19" i="49"/>
  <c r="S19" i="49"/>
  <c r="T19" i="49"/>
  <c r="N20" i="49"/>
  <c r="O20" i="49"/>
  <c r="Q20" i="49"/>
  <c r="R20" i="49"/>
  <c r="S20" i="49"/>
  <c r="T20" i="49"/>
  <c r="N21" i="49"/>
  <c r="O21" i="49"/>
  <c r="Q21" i="49"/>
  <c r="R21" i="49"/>
  <c r="S21" i="49"/>
  <c r="T21" i="49"/>
  <c r="N22" i="49"/>
  <c r="O22" i="49"/>
  <c r="Q22" i="49"/>
  <c r="R22" i="49"/>
  <c r="S22" i="49"/>
  <c r="T22" i="49"/>
  <c r="N23" i="49"/>
  <c r="O23" i="49"/>
  <c r="Q23" i="49"/>
  <c r="R23" i="49"/>
  <c r="S23" i="49"/>
  <c r="T23" i="49"/>
  <c r="N24" i="49"/>
  <c r="O24" i="49"/>
  <c r="Q24" i="49"/>
  <c r="R24" i="49"/>
  <c r="S24" i="49"/>
  <c r="T24" i="49"/>
  <c r="N25" i="49"/>
  <c r="O25" i="49"/>
  <c r="Q25" i="49"/>
  <c r="R25" i="49"/>
  <c r="S25" i="49"/>
  <c r="T25" i="49"/>
  <c r="T4" i="49"/>
  <c r="S4" i="49"/>
  <c r="R4" i="49"/>
  <c r="Q4" i="49"/>
  <c r="O4" i="49"/>
  <c r="N4" i="49"/>
  <c r="P5" i="48"/>
  <c r="P6" i="48"/>
  <c r="P7" i="48"/>
  <c r="P8" i="48"/>
  <c r="P9" i="48"/>
  <c r="P10" i="48"/>
  <c r="P11" i="48"/>
  <c r="P12" i="48"/>
  <c r="P13" i="48"/>
  <c r="P14" i="48"/>
  <c r="P15" i="48"/>
  <c r="P16" i="48"/>
  <c r="P17" i="48"/>
  <c r="P18" i="48"/>
  <c r="P19" i="48"/>
  <c r="P20" i="48"/>
  <c r="P21" i="48"/>
  <c r="P22" i="48"/>
  <c r="P23" i="48"/>
  <c r="P24" i="48"/>
  <c r="P25" i="48"/>
  <c r="P4" i="48"/>
  <c r="N5" i="48"/>
  <c r="O5" i="48"/>
  <c r="Q5" i="48"/>
  <c r="R5" i="48"/>
  <c r="S5" i="48"/>
  <c r="T5" i="48"/>
  <c r="N6" i="48"/>
  <c r="O6" i="48"/>
  <c r="Q6" i="48"/>
  <c r="R6" i="48"/>
  <c r="S6" i="48"/>
  <c r="T6" i="48"/>
  <c r="N7" i="48"/>
  <c r="O7" i="48"/>
  <c r="Q7" i="48"/>
  <c r="R7" i="48"/>
  <c r="S7" i="48"/>
  <c r="T7" i="48"/>
  <c r="N8" i="48"/>
  <c r="O8" i="48"/>
  <c r="Q8" i="48"/>
  <c r="R8" i="48"/>
  <c r="S8" i="48"/>
  <c r="T8" i="48"/>
  <c r="N9" i="48"/>
  <c r="O9" i="48"/>
  <c r="Q9" i="48"/>
  <c r="R9" i="48"/>
  <c r="S9" i="48"/>
  <c r="T9" i="48"/>
  <c r="N10" i="48"/>
  <c r="O10" i="48"/>
  <c r="Q10" i="48"/>
  <c r="R10" i="48"/>
  <c r="S10" i="48"/>
  <c r="T10" i="48"/>
  <c r="N11" i="48"/>
  <c r="O11" i="48"/>
  <c r="Q11" i="48"/>
  <c r="R11" i="48"/>
  <c r="S11" i="48"/>
  <c r="T11" i="48"/>
  <c r="N12" i="48"/>
  <c r="O12" i="48"/>
  <c r="Q12" i="48"/>
  <c r="R12" i="48"/>
  <c r="S12" i="48"/>
  <c r="T12" i="48"/>
  <c r="N13" i="48"/>
  <c r="O13" i="48"/>
  <c r="Q13" i="48"/>
  <c r="R13" i="48"/>
  <c r="S13" i="48"/>
  <c r="T13" i="48"/>
  <c r="N14" i="48"/>
  <c r="O14" i="48"/>
  <c r="Q14" i="48"/>
  <c r="R14" i="48"/>
  <c r="S14" i="48"/>
  <c r="T14" i="48"/>
  <c r="N15" i="48"/>
  <c r="O15" i="48"/>
  <c r="Q15" i="48"/>
  <c r="R15" i="48"/>
  <c r="S15" i="48"/>
  <c r="T15" i="48"/>
  <c r="N16" i="48"/>
  <c r="O16" i="48"/>
  <c r="Q16" i="48"/>
  <c r="R16" i="48"/>
  <c r="S16" i="48"/>
  <c r="T16" i="48"/>
  <c r="N17" i="48"/>
  <c r="O17" i="48"/>
  <c r="Q17" i="48"/>
  <c r="R17" i="48"/>
  <c r="S17" i="48"/>
  <c r="T17" i="48"/>
  <c r="N18" i="48"/>
  <c r="O18" i="48"/>
  <c r="Q18" i="48"/>
  <c r="R18" i="48"/>
  <c r="S18" i="48"/>
  <c r="T18" i="48"/>
  <c r="N19" i="48"/>
  <c r="O19" i="48"/>
  <c r="Q19" i="48"/>
  <c r="R19" i="48"/>
  <c r="S19" i="48"/>
  <c r="T19" i="48"/>
  <c r="N20" i="48"/>
  <c r="O20" i="48"/>
  <c r="Q20" i="48"/>
  <c r="R20" i="48"/>
  <c r="S20" i="48"/>
  <c r="T20" i="48"/>
  <c r="N21" i="48"/>
  <c r="O21" i="48"/>
  <c r="Q21" i="48"/>
  <c r="R21" i="48"/>
  <c r="S21" i="48"/>
  <c r="T21" i="48"/>
  <c r="N22" i="48"/>
  <c r="O22" i="48"/>
  <c r="Q22" i="48"/>
  <c r="R22" i="48"/>
  <c r="S22" i="48"/>
  <c r="T22" i="48"/>
  <c r="N23" i="48"/>
  <c r="O23" i="48"/>
  <c r="Q23" i="48"/>
  <c r="R23" i="48"/>
  <c r="S23" i="48"/>
  <c r="T23" i="48"/>
  <c r="N24" i="48"/>
  <c r="O24" i="48"/>
  <c r="Q24" i="48"/>
  <c r="R24" i="48"/>
  <c r="S24" i="48"/>
  <c r="T24" i="48"/>
  <c r="N25" i="48"/>
  <c r="O25" i="48"/>
  <c r="Q25" i="48"/>
  <c r="R25" i="48"/>
  <c r="S25" i="48"/>
  <c r="T25" i="48"/>
  <c r="T4" i="48"/>
  <c r="S4" i="48"/>
  <c r="R4" i="48"/>
  <c r="Q4" i="48"/>
  <c r="O4" i="48"/>
  <c r="N4" i="48"/>
  <c r="Q10" i="47"/>
  <c r="Q11" i="47"/>
  <c r="Q12" i="47"/>
  <c r="Q13" i="47"/>
  <c r="Q14" i="47"/>
  <c r="Q15" i="47"/>
  <c r="Q16" i="47"/>
  <c r="Q17" i="47"/>
  <c r="Q18" i="47"/>
  <c r="Q19" i="47"/>
  <c r="Q20" i="47"/>
  <c r="Q21" i="47"/>
  <c r="Q22" i="47"/>
  <c r="Q23" i="47"/>
  <c r="Q24" i="47"/>
  <c r="Q25" i="47"/>
  <c r="Q4" i="47"/>
  <c r="N10" i="47"/>
  <c r="O10" i="47"/>
  <c r="R10" i="47"/>
  <c r="S10" i="47"/>
  <c r="T10" i="47"/>
  <c r="U10" i="47"/>
  <c r="N11" i="47"/>
  <c r="O11" i="47"/>
  <c r="R11" i="47"/>
  <c r="S11" i="47"/>
  <c r="T11" i="47"/>
  <c r="U11" i="47"/>
  <c r="N12" i="47"/>
  <c r="O12" i="47"/>
  <c r="R12" i="47"/>
  <c r="S12" i="47"/>
  <c r="T12" i="47"/>
  <c r="U12" i="47"/>
  <c r="N13" i="47"/>
  <c r="O13" i="47"/>
  <c r="R13" i="47"/>
  <c r="S13" i="47"/>
  <c r="T13" i="47"/>
  <c r="U13" i="47"/>
  <c r="N14" i="47"/>
  <c r="O14" i="47"/>
  <c r="R14" i="47"/>
  <c r="S14" i="47"/>
  <c r="T14" i="47"/>
  <c r="U14" i="47"/>
  <c r="N15" i="47"/>
  <c r="O15" i="47"/>
  <c r="R15" i="47"/>
  <c r="S15" i="47"/>
  <c r="T15" i="47"/>
  <c r="U15" i="47"/>
  <c r="N16" i="47"/>
  <c r="O16" i="47"/>
  <c r="R16" i="47"/>
  <c r="S16" i="47"/>
  <c r="T16" i="47"/>
  <c r="U16" i="47"/>
  <c r="N17" i="47"/>
  <c r="O17" i="47"/>
  <c r="R17" i="47"/>
  <c r="S17" i="47"/>
  <c r="T17" i="47"/>
  <c r="U17" i="47"/>
  <c r="N18" i="47"/>
  <c r="O18" i="47"/>
  <c r="R18" i="47"/>
  <c r="S18" i="47"/>
  <c r="T18" i="47"/>
  <c r="U18" i="47"/>
  <c r="N19" i="47"/>
  <c r="O19" i="47"/>
  <c r="R19" i="47"/>
  <c r="S19" i="47"/>
  <c r="T19" i="47"/>
  <c r="U19" i="47"/>
  <c r="N20" i="47"/>
  <c r="O20" i="47"/>
  <c r="R20" i="47"/>
  <c r="S20" i="47"/>
  <c r="T20" i="47"/>
  <c r="U20" i="47"/>
  <c r="N21" i="47"/>
  <c r="O21" i="47"/>
  <c r="R21" i="47"/>
  <c r="S21" i="47"/>
  <c r="T21" i="47"/>
  <c r="U21" i="47"/>
  <c r="N22" i="47"/>
  <c r="O22" i="47"/>
  <c r="R22" i="47"/>
  <c r="S22" i="47"/>
  <c r="T22" i="47"/>
  <c r="U22" i="47"/>
  <c r="N23" i="47"/>
  <c r="O23" i="47"/>
  <c r="R23" i="47"/>
  <c r="S23" i="47"/>
  <c r="T23" i="47"/>
  <c r="U23" i="47"/>
  <c r="N24" i="47"/>
  <c r="O24" i="47"/>
  <c r="R24" i="47"/>
  <c r="S24" i="47"/>
  <c r="T24" i="47"/>
  <c r="U24" i="47"/>
  <c r="N25" i="47"/>
  <c r="O25" i="47"/>
  <c r="R25" i="47"/>
  <c r="S25" i="47"/>
  <c r="T25" i="47"/>
  <c r="U25" i="47"/>
  <c r="U4" i="47"/>
  <c r="T4" i="47"/>
  <c r="S4" i="47"/>
  <c r="R4" i="47"/>
  <c r="O4" i="47"/>
  <c r="N4" i="47"/>
  <c r="Q15" i="46"/>
  <c r="Q16" i="46"/>
  <c r="Q17" i="46"/>
  <c r="Q18" i="46"/>
  <c r="Q19" i="46"/>
  <c r="Q20" i="46"/>
  <c r="Q21" i="46"/>
  <c r="Q22" i="46"/>
  <c r="Q23" i="46"/>
  <c r="Q24" i="46"/>
  <c r="Q25" i="46"/>
  <c r="Q4" i="46"/>
  <c r="O13" i="46"/>
  <c r="N14" i="46"/>
  <c r="O14" i="46"/>
  <c r="N15" i="46"/>
  <c r="O15" i="46"/>
  <c r="R15" i="46"/>
  <c r="S15" i="46"/>
  <c r="T15" i="46"/>
  <c r="U15" i="46"/>
  <c r="N16" i="46"/>
  <c r="O16" i="46"/>
  <c r="R16" i="46"/>
  <c r="S16" i="46"/>
  <c r="T16" i="46"/>
  <c r="U16" i="46"/>
  <c r="N17" i="46"/>
  <c r="O17" i="46"/>
  <c r="R17" i="46"/>
  <c r="S17" i="46"/>
  <c r="T17" i="46"/>
  <c r="U17" i="46"/>
  <c r="N18" i="46"/>
  <c r="O18" i="46"/>
  <c r="R18" i="46"/>
  <c r="S18" i="46"/>
  <c r="T18" i="46"/>
  <c r="U18" i="46"/>
  <c r="N19" i="46"/>
  <c r="O19" i="46"/>
  <c r="R19" i="46"/>
  <c r="S19" i="46"/>
  <c r="T19" i="46"/>
  <c r="U19" i="46"/>
  <c r="N20" i="46"/>
  <c r="O20" i="46"/>
  <c r="R20" i="46"/>
  <c r="S20" i="46"/>
  <c r="T20" i="46"/>
  <c r="U20" i="46"/>
  <c r="N21" i="46"/>
  <c r="O21" i="46"/>
  <c r="R21" i="46"/>
  <c r="S21" i="46"/>
  <c r="T21" i="46"/>
  <c r="U21" i="46"/>
  <c r="N22" i="46"/>
  <c r="O22" i="46"/>
  <c r="R22" i="46"/>
  <c r="S22" i="46"/>
  <c r="T22" i="46"/>
  <c r="U22" i="46"/>
  <c r="N23" i="46"/>
  <c r="O23" i="46"/>
  <c r="R23" i="46"/>
  <c r="S23" i="46"/>
  <c r="T23" i="46"/>
  <c r="U23" i="46"/>
  <c r="N24" i="46"/>
  <c r="O24" i="46"/>
  <c r="R24" i="46"/>
  <c r="S24" i="46"/>
  <c r="T24" i="46"/>
  <c r="U24" i="46"/>
  <c r="N25" i="46"/>
  <c r="O25" i="46"/>
  <c r="R25" i="46"/>
  <c r="S25" i="46"/>
  <c r="T25" i="46"/>
  <c r="U25" i="46"/>
  <c r="U4" i="46"/>
  <c r="T4" i="46"/>
  <c r="S4" i="46"/>
  <c r="R4" i="46"/>
  <c r="O4" i="46"/>
  <c r="N4" i="46"/>
  <c r="Q5" i="22"/>
  <c r="Q6" i="22"/>
  <c r="Q7" i="22"/>
  <c r="Q8" i="22"/>
  <c r="Q9" i="22"/>
  <c r="Q10" i="22"/>
  <c r="Q11" i="22"/>
  <c r="Q12" i="22"/>
  <c r="Q13" i="22"/>
  <c r="Q14" i="22"/>
  <c r="Q15" i="22"/>
  <c r="Q16" i="22"/>
  <c r="Q17" i="22"/>
  <c r="Q18" i="22"/>
  <c r="Q19" i="22"/>
  <c r="Q20" i="22"/>
  <c r="Q21" i="22"/>
  <c r="Q22" i="22"/>
  <c r="Q23" i="22"/>
  <c r="Q24" i="22"/>
  <c r="Q25" i="22"/>
  <c r="Q4" i="22"/>
  <c r="N5" i="22"/>
  <c r="O5" i="22"/>
  <c r="R5" i="22"/>
  <c r="S5" i="22"/>
  <c r="T5" i="22"/>
  <c r="U5" i="22"/>
  <c r="N6" i="22"/>
  <c r="O6" i="22"/>
  <c r="R6" i="22"/>
  <c r="S6" i="22"/>
  <c r="T6" i="22"/>
  <c r="U6" i="22"/>
  <c r="N7" i="22"/>
  <c r="O7" i="22"/>
  <c r="R7" i="22"/>
  <c r="S7" i="22"/>
  <c r="T7" i="22"/>
  <c r="U7" i="22"/>
  <c r="N8" i="22"/>
  <c r="O8" i="22"/>
  <c r="R8" i="22"/>
  <c r="S8" i="22"/>
  <c r="T8" i="22"/>
  <c r="U8" i="22"/>
  <c r="N9" i="22"/>
  <c r="O9" i="22"/>
  <c r="R9" i="22"/>
  <c r="S9" i="22"/>
  <c r="T9" i="22"/>
  <c r="U9" i="22"/>
  <c r="N10" i="22"/>
  <c r="O10" i="22"/>
  <c r="R10" i="22"/>
  <c r="S10" i="22"/>
  <c r="T10" i="22"/>
  <c r="U10" i="22"/>
  <c r="N11" i="22"/>
  <c r="O11" i="22"/>
  <c r="R11" i="22"/>
  <c r="S11" i="22"/>
  <c r="T11" i="22"/>
  <c r="U11" i="22"/>
  <c r="N12" i="22"/>
  <c r="O12" i="22"/>
  <c r="R12" i="22"/>
  <c r="S12" i="22"/>
  <c r="T12" i="22"/>
  <c r="U12" i="22"/>
  <c r="N13" i="22"/>
  <c r="O13" i="22"/>
  <c r="R13" i="22"/>
  <c r="S13" i="22"/>
  <c r="T13" i="22"/>
  <c r="U13" i="22"/>
  <c r="N14" i="22"/>
  <c r="O14" i="22"/>
  <c r="R14" i="22"/>
  <c r="S14" i="22"/>
  <c r="T14" i="22"/>
  <c r="U14" i="22"/>
  <c r="N15" i="22"/>
  <c r="O15" i="22"/>
  <c r="R15" i="22"/>
  <c r="S15" i="22"/>
  <c r="T15" i="22"/>
  <c r="U15" i="22"/>
  <c r="N16" i="22"/>
  <c r="O16" i="22"/>
  <c r="R16" i="22"/>
  <c r="S16" i="22"/>
  <c r="T16" i="22"/>
  <c r="U16" i="22"/>
  <c r="N17" i="22"/>
  <c r="O17" i="22"/>
  <c r="R17" i="22"/>
  <c r="S17" i="22"/>
  <c r="T17" i="22"/>
  <c r="U17" i="22"/>
  <c r="N18" i="22"/>
  <c r="O18" i="22"/>
  <c r="R18" i="22"/>
  <c r="S18" i="22"/>
  <c r="T18" i="22"/>
  <c r="U18" i="22"/>
  <c r="N19" i="22"/>
  <c r="O19" i="22"/>
  <c r="R19" i="22"/>
  <c r="S19" i="22"/>
  <c r="T19" i="22"/>
  <c r="U19" i="22"/>
  <c r="N20" i="22"/>
  <c r="O20" i="22"/>
  <c r="R20" i="22"/>
  <c r="S20" i="22"/>
  <c r="T20" i="22"/>
  <c r="U20" i="22"/>
  <c r="N21" i="22"/>
  <c r="O21" i="22"/>
  <c r="R21" i="22"/>
  <c r="S21" i="22"/>
  <c r="T21" i="22"/>
  <c r="U21" i="22"/>
  <c r="N22" i="22"/>
  <c r="O22" i="22"/>
  <c r="R22" i="22"/>
  <c r="S22" i="22"/>
  <c r="T22" i="22"/>
  <c r="U22" i="22"/>
  <c r="N23" i="22"/>
  <c r="O23" i="22"/>
  <c r="R23" i="22"/>
  <c r="S23" i="22"/>
  <c r="T23" i="22"/>
  <c r="U23" i="22"/>
  <c r="N24" i="22"/>
  <c r="O24" i="22"/>
  <c r="R24" i="22"/>
  <c r="S24" i="22"/>
  <c r="T24" i="22"/>
  <c r="U24" i="22"/>
  <c r="N25" i="22"/>
  <c r="O25" i="22"/>
  <c r="R25" i="22"/>
  <c r="S25" i="22"/>
  <c r="T25" i="22"/>
  <c r="U25" i="22"/>
  <c r="U4" i="22"/>
  <c r="T4" i="22"/>
  <c r="S4" i="22"/>
  <c r="R4" i="22"/>
  <c r="O4" i="22"/>
  <c r="N4" i="22"/>
  <c r="U24" i="50" l="1"/>
  <c r="V24" i="50" s="1"/>
  <c r="AB24" i="50" s="1"/>
  <c r="Y24" i="50"/>
  <c r="Z24" i="50" s="1"/>
  <c r="AD24" i="50" s="1"/>
  <c r="W24" i="50"/>
  <c r="X24" i="50" s="1"/>
  <c r="AC24" i="50" s="1"/>
  <c r="U22" i="50"/>
  <c r="V22" i="50" s="1"/>
  <c r="AB22" i="50" s="1"/>
  <c r="Y22" i="50"/>
  <c r="Z22" i="50" s="1"/>
  <c r="AD22" i="50" s="1"/>
  <c r="W22" i="50"/>
  <c r="X22" i="50" s="1"/>
  <c r="AC22" i="50" s="1"/>
  <c r="U20" i="50"/>
  <c r="V20" i="50" s="1"/>
  <c r="AB20" i="50" s="1"/>
  <c r="Y20" i="50"/>
  <c r="Z20" i="50" s="1"/>
  <c r="AD20" i="50" s="1"/>
  <c r="W20" i="50"/>
  <c r="X20" i="50" s="1"/>
  <c r="AC20" i="50" s="1"/>
  <c r="U18" i="50"/>
  <c r="V18" i="50" s="1"/>
  <c r="AB18" i="50" s="1"/>
  <c r="Y18" i="50"/>
  <c r="Z18" i="50" s="1"/>
  <c r="AD18" i="50" s="1"/>
  <c r="W18" i="50"/>
  <c r="X18" i="50" s="1"/>
  <c r="AC18" i="50" s="1"/>
  <c r="U16" i="50"/>
  <c r="V16" i="50" s="1"/>
  <c r="AB16" i="50" s="1"/>
  <c r="Y16" i="50"/>
  <c r="Z16" i="50" s="1"/>
  <c r="AD16" i="50" s="1"/>
  <c r="W16" i="50"/>
  <c r="X16" i="50" s="1"/>
  <c r="AC16" i="50" s="1"/>
  <c r="U25" i="50"/>
  <c r="V25" i="50" s="1"/>
  <c r="AB25" i="50" s="1"/>
  <c r="Y25" i="50"/>
  <c r="Z25" i="50" s="1"/>
  <c r="AD25" i="50" s="1"/>
  <c r="W25" i="50"/>
  <c r="X25" i="50" s="1"/>
  <c r="AC25" i="50" s="1"/>
  <c r="U23" i="50"/>
  <c r="V23" i="50" s="1"/>
  <c r="AB23" i="50" s="1"/>
  <c r="Y23" i="50"/>
  <c r="Z23" i="50" s="1"/>
  <c r="AD23" i="50" s="1"/>
  <c r="W23" i="50"/>
  <c r="X23" i="50" s="1"/>
  <c r="AC23" i="50" s="1"/>
  <c r="U21" i="50"/>
  <c r="V21" i="50" s="1"/>
  <c r="AB21" i="50" s="1"/>
  <c r="Y21" i="50"/>
  <c r="Z21" i="50" s="1"/>
  <c r="AD21" i="50" s="1"/>
  <c r="W21" i="50"/>
  <c r="X21" i="50" s="1"/>
  <c r="AC21" i="50" s="1"/>
  <c r="U19" i="50"/>
  <c r="V19" i="50" s="1"/>
  <c r="AB19" i="50" s="1"/>
  <c r="Y19" i="50"/>
  <c r="Z19" i="50" s="1"/>
  <c r="AD19" i="50" s="1"/>
  <c r="W19" i="50"/>
  <c r="X19" i="50" s="1"/>
  <c r="AC19" i="50" s="1"/>
  <c r="U17" i="50"/>
  <c r="V17" i="50" s="1"/>
  <c r="AB17" i="50" s="1"/>
  <c r="Y17" i="50"/>
  <c r="Z17" i="50" s="1"/>
  <c r="AD17" i="50" s="1"/>
  <c r="W17" i="50"/>
  <c r="X17" i="50" s="1"/>
  <c r="AC17" i="50" s="1"/>
  <c r="X11" i="47"/>
  <c r="Y11" i="47" s="1"/>
  <c r="AD11" i="47" s="1"/>
  <c r="Z11" i="47"/>
  <c r="AA11" i="47" s="1"/>
  <c r="AE11" i="47" s="1"/>
  <c r="V11" i="47"/>
  <c r="W11" i="47" s="1"/>
  <c r="AC11" i="47" s="1"/>
  <c r="V12" i="47"/>
  <c r="W12" i="47" s="1"/>
  <c r="AC12" i="47" s="1"/>
  <c r="Z12" i="47"/>
  <c r="AA12" i="47" s="1"/>
  <c r="AE12" i="47" s="1"/>
  <c r="X12" i="47"/>
  <c r="Y12" i="47" s="1"/>
  <c r="AD12" i="47" s="1"/>
  <c r="V10" i="47"/>
  <c r="W10" i="47" s="1"/>
  <c r="AC10" i="47" s="1"/>
  <c r="Z10" i="47"/>
  <c r="AA10" i="47" s="1"/>
  <c r="AE10" i="47" s="1"/>
  <c r="X10" i="47"/>
  <c r="Y10" i="47" s="1"/>
  <c r="AD10" i="47" s="1"/>
  <c r="D4" i="54"/>
  <c r="G4" i="54"/>
  <c r="K4" i="54"/>
  <c r="D5" i="54"/>
  <c r="G5" i="54"/>
  <c r="K5" i="54"/>
  <c r="D6" i="54"/>
  <c r="G6" i="54"/>
  <c r="K6" i="54"/>
  <c r="U7" i="48"/>
  <c r="V7" i="48" s="1"/>
  <c r="AB7" i="48" s="1"/>
  <c r="J4" i="53"/>
  <c r="J10" i="52"/>
  <c r="J11" i="52"/>
  <c r="J12" i="52"/>
  <c r="J13" i="52"/>
  <c r="J14" i="52"/>
  <c r="J15" i="52"/>
  <c r="J16" i="52"/>
  <c r="J17" i="52"/>
  <c r="J18" i="52"/>
  <c r="J19" i="52"/>
  <c r="J20" i="52"/>
  <c r="J21" i="52"/>
  <c r="J22" i="52"/>
  <c r="J23" i="52"/>
  <c r="J24" i="52"/>
  <c r="J25" i="52"/>
  <c r="J4" i="52"/>
  <c r="I5" i="51"/>
  <c r="I6" i="51"/>
  <c r="I7" i="51"/>
  <c r="I8" i="51"/>
  <c r="I9" i="51"/>
  <c r="I10" i="51"/>
  <c r="I11" i="51"/>
  <c r="I12" i="51"/>
  <c r="I13" i="51"/>
  <c r="I14" i="51"/>
  <c r="I15" i="51"/>
  <c r="I16" i="51"/>
  <c r="I17" i="51"/>
  <c r="I18" i="51"/>
  <c r="I19" i="51"/>
  <c r="I20" i="51"/>
  <c r="I21" i="51"/>
  <c r="I22" i="51"/>
  <c r="I23" i="51"/>
  <c r="I24" i="51"/>
  <c r="I25" i="51"/>
  <c r="I4" i="51"/>
  <c r="L5" i="54" l="1"/>
  <c r="L6" i="54"/>
  <c r="H6" i="54"/>
  <c r="H4" i="54"/>
  <c r="H5" i="54"/>
  <c r="U6" i="48"/>
  <c r="V6" i="48" s="1"/>
  <c r="AB6" i="48" s="1"/>
  <c r="U5" i="48"/>
  <c r="V5" i="48" s="1"/>
  <c r="AB5" i="48" s="1"/>
  <c r="Y6" i="48"/>
  <c r="Z6" i="48" s="1"/>
  <c r="AD6" i="48" s="1"/>
  <c r="W6" i="48"/>
  <c r="X6" i="48" s="1"/>
  <c r="AC6" i="48" s="1"/>
  <c r="W5" i="48"/>
  <c r="X5" i="48" s="1"/>
  <c r="AC5" i="48" s="1"/>
  <c r="Y7" i="48"/>
  <c r="Z7" i="48" s="1"/>
  <c r="AD7" i="48" s="1"/>
  <c r="W7" i="48"/>
  <c r="X7" i="48" s="1"/>
  <c r="AC7" i="48" s="1"/>
  <c r="Y5" i="48"/>
  <c r="Z5" i="48" s="1"/>
  <c r="AD5" i="48" s="1"/>
  <c r="V8" i="22" l="1"/>
  <c r="X8" i="22"/>
  <c r="Z8" i="22"/>
  <c r="V9" i="22"/>
  <c r="W9" i="22" s="1"/>
  <c r="AC9" i="22" s="1"/>
  <c r="X9" i="22"/>
  <c r="Z9" i="22"/>
  <c r="V10" i="22"/>
  <c r="W10" i="22" s="1"/>
  <c r="AC10" i="22" s="1"/>
  <c r="X10" i="22"/>
  <c r="Z10" i="22"/>
  <c r="V11" i="22"/>
  <c r="W11" i="22" s="1"/>
  <c r="AC11" i="22" s="1"/>
  <c r="X11" i="22"/>
  <c r="Z11" i="22"/>
  <c r="V12" i="22"/>
  <c r="W12" i="22" s="1"/>
  <c r="AC12" i="22" s="1"/>
  <c r="X12" i="22"/>
  <c r="Z12" i="22"/>
  <c r="V13" i="22"/>
  <c r="W13" i="22" s="1"/>
  <c r="AC13" i="22" s="1"/>
  <c r="X13" i="22"/>
  <c r="Z13" i="22"/>
  <c r="V14" i="22"/>
  <c r="W14" i="22" s="1"/>
  <c r="AC14" i="22" s="1"/>
  <c r="X14" i="22"/>
  <c r="Z14" i="22"/>
  <c r="V15" i="22"/>
  <c r="W15" i="22" s="1"/>
  <c r="AC15" i="22" s="1"/>
  <c r="X15" i="22"/>
  <c r="Z15" i="22"/>
  <c r="V16" i="22"/>
  <c r="W16" i="22" s="1"/>
  <c r="AC16" i="22" s="1"/>
  <c r="X16" i="22"/>
  <c r="Z16" i="22"/>
  <c r="V17" i="22"/>
  <c r="W17" i="22" s="1"/>
  <c r="AC17" i="22" s="1"/>
  <c r="X17" i="22"/>
  <c r="Z17" i="22"/>
  <c r="V18" i="22"/>
  <c r="W18" i="22" s="1"/>
  <c r="AC18" i="22" s="1"/>
  <c r="X18" i="22"/>
  <c r="Z18" i="22"/>
  <c r="V19" i="22"/>
  <c r="W19" i="22" s="1"/>
  <c r="AC19" i="22" s="1"/>
  <c r="X19" i="22"/>
  <c r="Z19" i="22"/>
  <c r="V20" i="22"/>
  <c r="W20" i="22" s="1"/>
  <c r="AC20" i="22" s="1"/>
  <c r="X20" i="22"/>
  <c r="Z20" i="22"/>
  <c r="V21" i="22"/>
  <c r="W21" i="22" s="1"/>
  <c r="AC21" i="22" s="1"/>
  <c r="X21" i="22"/>
  <c r="Z21" i="22"/>
  <c r="V22" i="22"/>
  <c r="W22" i="22" s="1"/>
  <c r="AC22" i="22" s="1"/>
  <c r="X22" i="22"/>
  <c r="Z22" i="22"/>
  <c r="V23" i="22"/>
  <c r="W23" i="22" s="1"/>
  <c r="AC23" i="22" s="1"/>
  <c r="X23" i="22"/>
  <c r="Z23" i="22"/>
  <c r="V24" i="22"/>
  <c r="W24" i="22" s="1"/>
  <c r="AC24" i="22" s="1"/>
  <c r="X24" i="22"/>
  <c r="Z24" i="22"/>
  <c r="V25" i="22"/>
  <c r="W25" i="22" s="1"/>
  <c r="AC25" i="22" s="1"/>
  <c r="X25" i="22"/>
  <c r="Z25" i="22"/>
  <c r="W8" i="22" l="1"/>
  <c r="AC8" i="22" s="1"/>
  <c r="AA25" i="22"/>
  <c r="AE25" i="22" s="1"/>
  <c r="Y25" i="22"/>
  <c r="AD25" i="22" s="1"/>
  <c r="AA24" i="22"/>
  <c r="AE24" i="22" s="1"/>
  <c r="Y24" i="22"/>
  <c r="AD24" i="22" s="1"/>
  <c r="AA23" i="22"/>
  <c r="AE23" i="22" s="1"/>
  <c r="Y23" i="22"/>
  <c r="AD23" i="22" s="1"/>
  <c r="AA22" i="22"/>
  <c r="AE22" i="22" s="1"/>
  <c r="Y22" i="22"/>
  <c r="AD22" i="22" s="1"/>
  <c r="AA21" i="22"/>
  <c r="AE21" i="22" s="1"/>
  <c r="Y21" i="22"/>
  <c r="AD21" i="22" s="1"/>
  <c r="AA20" i="22"/>
  <c r="AE20" i="22" s="1"/>
  <c r="Y20" i="22"/>
  <c r="AD20" i="22" s="1"/>
  <c r="AA19" i="22"/>
  <c r="AE19" i="22" s="1"/>
  <c r="Y19" i="22"/>
  <c r="AD19" i="22" s="1"/>
  <c r="AA18" i="22"/>
  <c r="AE18" i="22" s="1"/>
  <c r="Y18" i="22"/>
  <c r="AD18" i="22" s="1"/>
  <c r="AA17" i="22"/>
  <c r="AE17" i="22" s="1"/>
  <c r="Y17" i="22"/>
  <c r="AD17" i="22" s="1"/>
  <c r="AA16" i="22"/>
  <c r="AE16" i="22" s="1"/>
  <c r="Y16" i="22"/>
  <c r="AD16" i="22" s="1"/>
  <c r="AA15" i="22"/>
  <c r="AE15" i="22" s="1"/>
  <c r="Y15" i="22"/>
  <c r="AD15" i="22" s="1"/>
  <c r="AA14" i="22"/>
  <c r="AE14" i="22" s="1"/>
  <c r="Y14" i="22"/>
  <c r="AD14" i="22" s="1"/>
  <c r="AA13" i="22"/>
  <c r="AE13" i="22" s="1"/>
  <c r="Y13" i="22"/>
  <c r="AD13" i="22" s="1"/>
  <c r="AA12" i="22"/>
  <c r="AE12" i="22" s="1"/>
  <c r="Y12" i="22"/>
  <c r="AD12" i="22" s="1"/>
  <c r="AA11" i="22"/>
  <c r="AE11" i="22" s="1"/>
  <c r="Y11" i="22"/>
  <c r="AD11" i="22" s="1"/>
  <c r="AA10" i="22"/>
  <c r="AE10" i="22" s="1"/>
  <c r="Y10" i="22"/>
  <c r="AD10" i="22" s="1"/>
  <c r="AA9" i="22"/>
  <c r="AE9" i="22" s="1"/>
  <c r="Y9" i="22"/>
  <c r="AD9" i="22" s="1"/>
  <c r="AA8" i="22"/>
  <c r="AE8" i="22" s="1"/>
  <c r="Y8" i="22"/>
  <c r="AD8" i="22" s="1"/>
  <c r="G11" i="51"/>
  <c r="H11" i="51"/>
  <c r="J11" i="51"/>
  <c r="G12" i="51"/>
  <c r="H12" i="51"/>
  <c r="J12" i="51"/>
  <c r="G13" i="51"/>
  <c r="H13" i="51"/>
  <c r="J13" i="51"/>
  <c r="G14" i="51"/>
  <c r="H14" i="51"/>
  <c r="J14" i="51"/>
  <c r="G15" i="51"/>
  <c r="H15" i="51"/>
  <c r="J15" i="51"/>
  <c r="D15" i="54"/>
  <c r="G15" i="54"/>
  <c r="K15" i="54"/>
  <c r="O15" i="54"/>
  <c r="S15" i="54"/>
  <c r="T15" i="54"/>
  <c r="D16" i="54"/>
  <c r="G16" i="54"/>
  <c r="K16" i="54"/>
  <c r="O16" i="54"/>
  <c r="S16" i="54"/>
  <c r="T16" i="54"/>
  <c r="T5" i="56"/>
  <c r="T6" i="56"/>
  <c r="T7" i="56"/>
  <c r="T8" i="56"/>
  <c r="T9" i="56"/>
  <c r="T10" i="56"/>
  <c r="U10" i="56"/>
  <c r="T11" i="56"/>
  <c r="U11" i="56"/>
  <c r="T12" i="56"/>
  <c r="U12" i="56"/>
  <c r="T13" i="56"/>
  <c r="U13" i="56"/>
  <c r="T14" i="56"/>
  <c r="U14" i="56"/>
  <c r="T15" i="56"/>
  <c r="U15" i="56"/>
  <c r="T16" i="56"/>
  <c r="U16" i="56"/>
  <c r="T17" i="56"/>
  <c r="U17" i="56"/>
  <c r="T18" i="56"/>
  <c r="U18" i="56"/>
  <c r="T19" i="56"/>
  <c r="U19" i="56"/>
  <c r="T20" i="56"/>
  <c r="U20" i="56"/>
  <c r="T21" i="56"/>
  <c r="U21" i="56"/>
  <c r="T22" i="56"/>
  <c r="U22" i="56"/>
  <c r="T23" i="56"/>
  <c r="U23" i="56"/>
  <c r="T24" i="56"/>
  <c r="U24" i="56"/>
  <c r="T25" i="56"/>
  <c r="U25" i="56"/>
  <c r="T4" i="56"/>
  <c r="P5" i="56"/>
  <c r="P6" i="56"/>
  <c r="P7" i="56"/>
  <c r="P8" i="56"/>
  <c r="P9" i="56"/>
  <c r="P10" i="56"/>
  <c r="P11" i="56"/>
  <c r="P12" i="56"/>
  <c r="P13" i="56"/>
  <c r="P14" i="56"/>
  <c r="P15" i="56"/>
  <c r="P16" i="56"/>
  <c r="P17" i="56"/>
  <c r="P18" i="56"/>
  <c r="P19" i="56"/>
  <c r="P20" i="56"/>
  <c r="P21" i="56"/>
  <c r="P22" i="56"/>
  <c r="P23" i="56"/>
  <c r="P24" i="56"/>
  <c r="P25" i="56"/>
  <c r="P4" i="56"/>
  <c r="L5" i="56"/>
  <c r="L6" i="56"/>
  <c r="L7" i="56"/>
  <c r="L8" i="56"/>
  <c r="L9" i="56"/>
  <c r="L10" i="56"/>
  <c r="L11" i="56"/>
  <c r="L12" i="56"/>
  <c r="L13" i="56"/>
  <c r="L14" i="56"/>
  <c r="L15" i="56"/>
  <c r="L16" i="56"/>
  <c r="L17" i="56"/>
  <c r="L18" i="56"/>
  <c r="L19" i="56"/>
  <c r="L20" i="56"/>
  <c r="L21" i="56"/>
  <c r="L22" i="56"/>
  <c r="L23" i="56"/>
  <c r="L24" i="56"/>
  <c r="L25" i="56"/>
  <c r="L4" i="56"/>
  <c r="H5" i="56"/>
  <c r="H6" i="56"/>
  <c r="H7" i="56"/>
  <c r="H8" i="56"/>
  <c r="H9" i="56"/>
  <c r="H10" i="56"/>
  <c r="H11" i="56"/>
  <c r="H12" i="56"/>
  <c r="H13" i="56"/>
  <c r="H14" i="56"/>
  <c r="H15" i="56"/>
  <c r="H16" i="56"/>
  <c r="H17" i="56"/>
  <c r="H18" i="56"/>
  <c r="H19" i="56"/>
  <c r="H20" i="56"/>
  <c r="H21" i="56"/>
  <c r="H22" i="56"/>
  <c r="H23" i="56"/>
  <c r="H24" i="56"/>
  <c r="H25" i="56"/>
  <c r="H4" i="56"/>
  <c r="E5" i="56"/>
  <c r="E6" i="56"/>
  <c r="E7" i="56"/>
  <c r="E8" i="56"/>
  <c r="I8" i="56" s="1"/>
  <c r="E9" i="56"/>
  <c r="I9" i="56" s="1"/>
  <c r="E10" i="56"/>
  <c r="I10" i="56" s="1"/>
  <c r="E11" i="56"/>
  <c r="I11" i="56" s="1"/>
  <c r="E12" i="56"/>
  <c r="I12" i="56" s="1"/>
  <c r="E13" i="56"/>
  <c r="I13" i="56" s="1"/>
  <c r="E14" i="56"/>
  <c r="I14" i="56" s="1"/>
  <c r="E15" i="56"/>
  <c r="I15" i="56" s="1"/>
  <c r="E16" i="56"/>
  <c r="I16" i="56" s="1"/>
  <c r="E17" i="56"/>
  <c r="I17" i="56" s="1"/>
  <c r="E18" i="56"/>
  <c r="I18" i="56" s="1"/>
  <c r="E19" i="56"/>
  <c r="I19" i="56" s="1"/>
  <c r="E20" i="56"/>
  <c r="I20" i="56" s="1"/>
  <c r="E21" i="56"/>
  <c r="I21" i="56" s="1"/>
  <c r="E22" i="56"/>
  <c r="I22" i="56" s="1"/>
  <c r="E23" i="56"/>
  <c r="I23" i="56" s="1"/>
  <c r="E24" i="56"/>
  <c r="I24" i="56" s="1"/>
  <c r="E25" i="56"/>
  <c r="I25" i="56" s="1"/>
  <c r="E4" i="56"/>
  <c r="T5" i="55"/>
  <c r="T6" i="55"/>
  <c r="T7" i="55"/>
  <c r="T8" i="55"/>
  <c r="T9" i="55"/>
  <c r="T10" i="55"/>
  <c r="U10" i="55"/>
  <c r="T11" i="55"/>
  <c r="U11" i="55"/>
  <c r="T12" i="55"/>
  <c r="U12" i="55"/>
  <c r="T13" i="55"/>
  <c r="U13" i="55"/>
  <c r="T14" i="55"/>
  <c r="U14" i="55"/>
  <c r="T15" i="55"/>
  <c r="U15" i="55"/>
  <c r="T16" i="55"/>
  <c r="U16" i="55"/>
  <c r="T17" i="55"/>
  <c r="U17" i="55"/>
  <c r="T18" i="55"/>
  <c r="U18" i="55"/>
  <c r="T19" i="55"/>
  <c r="U19" i="55"/>
  <c r="T20" i="55"/>
  <c r="U20" i="55"/>
  <c r="T21" i="55"/>
  <c r="U21" i="55"/>
  <c r="T22" i="55"/>
  <c r="U22" i="55"/>
  <c r="T23" i="55"/>
  <c r="U23" i="55"/>
  <c r="T24" i="55"/>
  <c r="U24" i="55"/>
  <c r="T25" i="55"/>
  <c r="U25" i="55"/>
  <c r="T4" i="55"/>
  <c r="P5" i="55"/>
  <c r="P6" i="55"/>
  <c r="P7" i="55"/>
  <c r="P8" i="55"/>
  <c r="P9" i="55"/>
  <c r="P10" i="55"/>
  <c r="P11" i="55"/>
  <c r="P12" i="55"/>
  <c r="P13" i="55"/>
  <c r="P14" i="55"/>
  <c r="P15" i="55"/>
  <c r="P16" i="55"/>
  <c r="P17" i="55"/>
  <c r="P18" i="55"/>
  <c r="P19" i="55"/>
  <c r="P20" i="55"/>
  <c r="P21" i="55"/>
  <c r="P22" i="55"/>
  <c r="P23" i="55"/>
  <c r="P24" i="55"/>
  <c r="P25" i="55"/>
  <c r="P4" i="55"/>
  <c r="L5" i="55"/>
  <c r="L6" i="55"/>
  <c r="L7" i="55"/>
  <c r="L8" i="55"/>
  <c r="L9" i="55"/>
  <c r="L10" i="55"/>
  <c r="L11" i="55"/>
  <c r="L12" i="55"/>
  <c r="L13" i="55"/>
  <c r="L14" i="55"/>
  <c r="L15" i="55"/>
  <c r="L16" i="55"/>
  <c r="L17" i="55"/>
  <c r="L18" i="55"/>
  <c r="L19" i="55"/>
  <c r="L20" i="55"/>
  <c r="L21" i="55"/>
  <c r="L22" i="55"/>
  <c r="L23" i="55"/>
  <c r="L24" i="55"/>
  <c r="L25" i="55"/>
  <c r="L4" i="55"/>
  <c r="H5" i="55"/>
  <c r="H6" i="55"/>
  <c r="H7" i="55"/>
  <c r="H8" i="55"/>
  <c r="H9" i="55"/>
  <c r="H10" i="55"/>
  <c r="H11" i="55"/>
  <c r="H12" i="55"/>
  <c r="H13" i="55"/>
  <c r="H14" i="55"/>
  <c r="H15" i="55"/>
  <c r="H16" i="55"/>
  <c r="H17" i="55"/>
  <c r="H18" i="55"/>
  <c r="H19" i="55"/>
  <c r="H20" i="55"/>
  <c r="H21" i="55"/>
  <c r="H22" i="55"/>
  <c r="H23" i="55"/>
  <c r="H24" i="55"/>
  <c r="H25" i="55"/>
  <c r="H4" i="55"/>
  <c r="S5" i="54"/>
  <c r="S6" i="54"/>
  <c r="S7" i="54"/>
  <c r="S8" i="54"/>
  <c r="S9" i="54"/>
  <c r="S10" i="54"/>
  <c r="S11" i="54"/>
  <c r="S12" i="54"/>
  <c r="S13" i="54"/>
  <c r="S14" i="54"/>
  <c r="S17" i="54"/>
  <c r="S18" i="54"/>
  <c r="S19" i="54"/>
  <c r="S20" i="54"/>
  <c r="S21" i="54"/>
  <c r="S22" i="54"/>
  <c r="S23" i="54"/>
  <c r="S24" i="54"/>
  <c r="S25" i="54"/>
  <c r="T9" i="54"/>
  <c r="T10" i="54"/>
  <c r="T11" i="54"/>
  <c r="T12" i="54"/>
  <c r="T13" i="54"/>
  <c r="T14" i="54"/>
  <c r="T17" i="54"/>
  <c r="T18" i="54"/>
  <c r="T19" i="54"/>
  <c r="T20" i="54"/>
  <c r="T22" i="54"/>
  <c r="T23" i="54"/>
  <c r="T24" i="54"/>
  <c r="T25" i="54"/>
  <c r="S4" i="54"/>
  <c r="O5" i="54"/>
  <c r="P5" i="54" s="1"/>
  <c r="O6" i="54"/>
  <c r="P6" i="54" s="1"/>
  <c r="O7" i="54"/>
  <c r="O8" i="54"/>
  <c r="O9" i="54"/>
  <c r="O10" i="54"/>
  <c r="O11" i="54"/>
  <c r="O12" i="54"/>
  <c r="O13" i="54"/>
  <c r="O14" i="54"/>
  <c r="O17" i="54"/>
  <c r="O18" i="54"/>
  <c r="O19" i="54"/>
  <c r="O20" i="54"/>
  <c r="O21" i="54"/>
  <c r="O22" i="54"/>
  <c r="O23" i="54"/>
  <c r="O24" i="54"/>
  <c r="O25" i="54"/>
  <c r="O4" i="54"/>
  <c r="K7" i="54"/>
  <c r="K8" i="54"/>
  <c r="K9" i="54"/>
  <c r="K10" i="54"/>
  <c r="K11" i="54"/>
  <c r="K12" i="54"/>
  <c r="K13" i="54"/>
  <c r="K14" i="54"/>
  <c r="K17" i="54"/>
  <c r="K18" i="54"/>
  <c r="K19" i="54"/>
  <c r="K20" i="54"/>
  <c r="K21" i="54"/>
  <c r="K22" i="54"/>
  <c r="K23" i="54"/>
  <c r="K24" i="54"/>
  <c r="K25" i="54"/>
  <c r="G7" i="54"/>
  <c r="G8" i="54"/>
  <c r="G9" i="54"/>
  <c r="G10" i="54"/>
  <c r="G11" i="54"/>
  <c r="G12" i="54"/>
  <c r="G13" i="54"/>
  <c r="G14" i="54"/>
  <c r="G17" i="54"/>
  <c r="G18" i="54"/>
  <c r="G19" i="54"/>
  <c r="G20" i="54"/>
  <c r="G21" i="54"/>
  <c r="G22" i="54"/>
  <c r="G23" i="54"/>
  <c r="G24" i="54"/>
  <c r="G25" i="54"/>
  <c r="D7" i="54"/>
  <c r="D8" i="54"/>
  <c r="D9" i="54"/>
  <c r="D10" i="54"/>
  <c r="D11" i="54"/>
  <c r="D12" i="54"/>
  <c r="D13" i="54"/>
  <c r="D14" i="54"/>
  <c r="D17" i="54"/>
  <c r="D18" i="54"/>
  <c r="D19" i="54"/>
  <c r="D20" i="54"/>
  <c r="D21" i="54"/>
  <c r="D22" i="54"/>
  <c r="D23" i="54"/>
  <c r="D24" i="54"/>
  <c r="D25" i="54"/>
  <c r="K4" i="53"/>
  <c r="I4" i="53"/>
  <c r="H4" i="53"/>
  <c r="H10" i="52"/>
  <c r="I10" i="52"/>
  <c r="K10" i="52"/>
  <c r="H11" i="52"/>
  <c r="I11" i="52"/>
  <c r="K11" i="52"/>
  <c r="H12" i="52"/>
  <c r="I12" i="52"/>
  <c r="K12" i="52"/>
  <c r="H13" i="52"/>
  <c r="I13" i="52"/>
  <c r="K13" i="52"/>
  <c r="H14" i="52"/>
  <c r="I14" i="52"/>
  <c r="K14" i="52"/>
  <c r="H15" i="52"/>
  <c r="I15" i="52"/>
  <c r="K15" i="52"/>
  <c r="H16" i="52"/>
  <c r="I16" i="52"/>
  <c r="K16" i="52"/>
  <c r="H17" i="52"/>
  <c r="I17" i="52"/>
  <c r="K17" i="52"/>
  <c r="H18" i="52"/>
  <c r="I18" i="52"/>
  <c r="K18" i="52"/>
  <c r="H19" i="52"/>
  <c r="I19" i="52"/>
  <c r="K19" i="52"/>
  <c r="H20" i="52"/>
  <c r="I20" i="52"/>
  <c r="K20" i="52"/>
  <c r="H21" i="52"/>
  <c r="I21" i="52"/>
  <c r="K21" i="52"/>
  <c r="H22" i="52"/>
  <c r="I22" i="52"/>
  <c r="K22" i="52"/>
  <c r="H23" i="52"/>
  <c r="I23" i="52"/>
  <c r="K23" i="52"/>
  <c r="H24" i="52"/>
  <c r="I24" i="52"/>
  <c r="K24" i="52"/>
  <c r="H25" i="52"/>
  <c r="I25" i="52"/>
  <c r="K25" i="52"/>
  <c r="K4" i="52"/>
  <c r="I4" i="52"/>
  <c r="H4" i="52"/>
  <c r="G5" i="51"/>
  <c r="G6" i="51"/>
  <c r="G7" i="51"/>
  <c r="G8" i="51"/>
  <c r="G9" i="51"/>
  <c r="G10" i="51"/>
  <c r="G16" i="51"/>
  <c r="G17" i="51"/>
  <c r="G18" i="51"/>
  <c r="G19" i="51"/>
  <c r="G20" i="51"/>
  <c r="G21" i="51"/>
  <c r="G22" i="51"/>
  <c r="G23" i="51"/>
  <c r="G24" i="51"/>
  <c r="G25" i="51"/>
  <c r="H5" i="51"/>
  <c r="H6" i="51"/>
  <c r="H7" i="51"/>
  <c r="H8" i="51"/>
  <c r="H9" i="51"/>
  <c r="H10" i="51"/>
  <c r="H16" i="51"/>
  <c r="H17" i="51"/>
  <c r="H18" i="51"/>
  <c r="H19" i="51"/>
  <c r="H20" i="51"/>
  <c r="H21" i="51"/>
  <c r="H22" i="51"/>
  <c r="H23" i="51"/>
  <c r="H24" i="51"/>
  <c r="H25" i="51"/>
  <c r="J5" i="51"/>
  <c r="J6" i="51"/>
  <c r="J7" i="51"/>
  <c r="J8" i="51"/>
  <c r="J9" i="51"/>
  <c r="J10" i="51"/>
  <c r="J16" i="51"/>
  <c r="J17" i="51"/>
  <c r="J18" i="51"/>
  <c r="J19" i="51"/>
  <c r="J20" i="51"/>
  <c r="J21" i="51"/>
  <c r="J22" i="51"/>
  <c r="J23" i="51"/>
  <c r="J24" i="51"/>
  <c r="J25" i="51"/>
  <c r="J4" i="51"/>
  <c r="H4" i="51"/>
  <c r="G4" i="51"/>
  <c r="P25" i="54" l="1"/>
  <c r="H25" i="54"/>
  <c r="U25" i="54"/>
  <c r="L25" i="54"/>
  <c r="P23" i="54"/>
  <c r="H23" i="54"/>
  <c r="U23" i="54"/>
  <c r="L23" i="54"/>
  <c r="P21" i="54"/>
  <c r="H21" i="54"/>
  <c r="L21" i="54"/>
  <c r="P19" i="54"/>
  <c r="H19" i="54"/>
  <c r="U19" i="54"/>
  <c r="L19" i="54"/>
  <c r="P17" i="54"/>
  <c r="H17" i="54"/>
  <c r="U17" i="54"/>
  <c r="L17" i="54"/>
  <c r="P13" i="54"/>
  <c r="H13" i="54"/>
  <c r="U13" i="54"/>
  <c r="L13" i="54"/>
  <c r="P11" i="54"/>
  <c r="H11" i="54"/>
  <c r="U11" i="54"/>
  <c r="L11" i="54"/>
  <c r="P9" i="54"/>
  <c r="H9" i="54"/>
  <c r="U9" i="54"/>
  <c r="L9" i="54"/>
  <c r="P7" i="54"/>
  <c r="H7" i="54"/>
  <c r="L7" i="54"/>
  <c r="U16" i="54"/>
  <c r="L16" i="54"/>
  <c r="P16" i="54"/>
  <c r="H16" i="54"/>
  <c r="P15" i="54"/>
  <c r="H15" i="54"/>
  <c r="U15" i="54"/>
  <c r="L15" i="54"/>
  <c r="U24" i="54"/>
  <c r="L24" i="54"/>
  <c r="P24" i="54"/>
  <c r="H24" i="54"/>
  <c r="U22" i="54"/>
  <c r="L22" i="54"/>
  <c r="P22" i="54"/>
  <c r="H22" i="54"/>
  <c r="U20" i="54"/>
  <c r="L20" i="54"/>
  <c r="P20" i="54"/>
  <c r="H20" i="54"/>
  <c r="U18" i="54"/>
  <c r="L18" i="54"/>
  <c r="P18" i="54"/>
  <c r="H18" i="54"/>
  <c r="U14" i="54"/>
  <c r="L14" i="54"/>
  <c r="P14" i="54"/>
  <c r="H14" i="54"/>
  <c r="U12" i="54"/>
  <c r="L12" i="54"/>
  <c r="P12" i="54"/>
  <c r="H12" i="54"/>
  <c r="U10" i="54"/>
  <c r="L10" i="54"/>
  <c r="P10" i="54"/>
  <c r="H10" i="54"/>
  <c r="L8" i="54"/>
  <c r="P8" i="54"/>
  <c r="H8" i="54"/>
  <c r="Q24" i="56"/>
  <c r="V24" i="56"/>
  <c r="M24" i="56"/>
  <c r="Q22" i="56"/>
  <c r="M22" i="56"/>
  <c r="V22" i="56"/>
  <c r="Q20" i="56"/>
  <c r="V20" i="56"/>
  <c r="M20" i="56"/>
  <c r="Q18" i="56"/>
  <c r="M18" i="56"/>
  <c r="V18" i="56"/>
  <c r="Q16" i="56"/>
  <c r="V16" i="56"/>
  <c r="M16" i="56"/>
  <c r="Q14" i="56"/>
  <c r="M14" i="56"/>
  <c r="V14" i="56"/>
  <c r="Q12" i="56"/>
  <c r="V12" i="56"/>
  <c r="M12" i="56"/>
  <c r="Q10" i="56"/>
  <c r="M10" i="56"/>
  <c r="V10" i="56"/>
  <c r="Q8" i="56"/>
  <c r="M8" i="56"/>
  <c r="Q6" i="56"/>
  <c r="M6" i="56"/>
  <c r="M25" i="56"/>
  <c r="V25" i="56"/>
  <c r="Q25" i="56"/>
  <c r="M23" i="56"/>
  <c r="V23" i="56"/>
  <c r="Q23" i="56"/>
  <c r="M21" i="56"/>
  <c r="V21" i="56"/>
  <c r="Q21" i="56"/>
  <c r="M19" i="56"/>
  <c r="V19" i="56"/>
  <c r="Q19" i="56"/>
  <c r="M17" i="56"/>
  <c r="V17" i="56"/>
  <c r="Q17" i="56"/>
  <c r="M15" i="56"/>
  <c r="V15" i="56"/>
  <c r="Q15" i="56"/>
  <c r="M13" i="56"/>
  <c r="V13" i="56"/>
  <c r="Q13" i="56"/>
  <c r="M11" i="56"/>
  <c r="V11" i="56"/>
  <c r="Q11" i="56"/>
  <c r="M9" i="56"/>
  <c r="Q9" i="56"/>
  <c r="M7" i="56"/>
  <c r="Q7" i="56"/>
  <c r="M5" i="56"/>
  <c r="Q5" i="56"/>
  <c r="K15" i="51"/>
  <c r="M15" i="51" s="1"/>
  <c r="K14" i="51"/>
  <c r="M14" i="51" s="1"/>
  <c r="K13" i="51"/>
  <c r="M13" i="51" s="1"/>
  <c r="K12" i="51"/>
  <c r="M12" i="51" s="1"/>
  <c r="K11" i="51"/>
  <c r="M11" i="51" s="1"/>
  <c r="C10" i="44" l="1"/>
  <c r="AJ25" i="44"/>
  <c r="AH25" i="44"/>
  <c r="AG25" i="44"/>
  <c r="AD25" i="44"/>
  <c r="AC25" i="44"/>
  <c r="AB25" i="44"/>
  <c r="AA25" i="44"/>
  <c r="X25" i="44"/>
  <c r="W25" i="44"/>
  <c r="V25" i="44"/>
  <c r="U25" i="44"/>
  <c r="R25" i="44"/>
  <c r="Q25" i="44"/>
  <c r="L25" i="44"/>
  <c r="M25" i="44"/>
  <c r="N25" i="44"/>
  <c r="K25" i="44"/>
  <c r="C24" i="44"/>
  <c r="O24" i="44"/>
  <c r="P24" i="44"/>
  <c r="S24" i="44"/>
  <c r="Y24" i="44"/>
  <c r="Z24" i="44"/>
  <c r="AE24" i="44"/>
  <c r="AF24" i="44"/>
  <c r="AI24" i="44"/>
  <c r="O25" i="44" l="1"/>
  <c r="Z25" i="44"/>
  <c r="AF25" i="44"/>
  <c r="P25" i="44"/>
  <c r="S25" i="44"/>
  <c r="Y25" i="44"/>
  <c r="AE25" i="44"/>
  <c r="AI25" i="44"/>
  <c r="AI10" i="44" l="1"/>
  <c r="AF10" i="44"/>
  <c r="AE10" i="44"/>
  <c r="Z10" i="44"/>
  <c r="Y10" i="44"/>
  <c r="S10" i="44"/>
  <c r="P10" i="44"/>
  <c r="O10" i="44"/>
  <c r="F44" i="57" l="1"/>
  <c r="E44" i="57"/>
  <c r="D44" i="57"/>
  <c r="C44" i="57"/>
  <c r="B44" i="57"/>
  <c r="E38" i="57"/>
  <c r="D38" i="57"/>
  <c r="C38" i="57"/>
  <c r="B38" i="57"/>
  <c r="E29" i="57"/>
  <c r="C29" i="57"/>
  <c r="F29" i="57"/>
  <c r="D29" i="57"/>
  <c r="B29" i="57"/>
  <c r="E23" i="57"/>
  <c r="D23" i="57"/>
  <c r="C23" i="57"/>
  <c r="B23" i="57"/>
  <c r="I6" i="56" l="1"/>
  <c r="I5" i="56"/>
  <c r="E3" i="56"/>
  <c r="E3" i="55"/>
  <c r="P4" i="54"/>
  <c r="L4" i="54"/>
  <c r="D3" i="54"/>
  <c r="I4" i="56" l="1"/>
  <c r="Q4" i="56"/>
  <c r="M4" i="56"/>
  <c r="I7" i="56"/>
  <c r="L22" i="52" l="1"/>
  <c r="N22" i="52" s="1"/>
  <c r="L20" i="52"/>
  <c r="N20" i="52" s="1"/>
  <c r="L18" i="52"/>
  <c r="N18" i="52" s="1"/>
  <c r="L16" i="52"/>
  <c r="N16" i="52" s="1"/>
  <c r="L14" i="52"/>
  <c r="N14" i="52" s="1"/>
  <c r="L12" i="52"/>
  <c r="N12" i="52" s="1"/>
  <c r="L10" i="52"/>
  <c r="N10" i="52" s="1"/>
  <c r="L23" i="52"/>
  <c r="N23" i="52" s="1"/>
  <c r="L21" i="52"/>
  <c r="N21" i="52" s="1"/>
  <c r="L19" i="52"/>
  <c r="N19" i="52" s="1"/>
  <c r="L17" i="52"/>
  <c r="N17" i="52" s="1"/>
  <c r="L15" i="52"/>
  <c r="N15" i="52" s="1"/>
  <c r="L13" i="52"/>
  <c r="N13" i="52" s="1"/>
  <c r="L11" i="52"/>
  <c r="N11" i="52" s="1"/>
  <c r="L24" i="52"/>
  <c r="N24" i="52" s="1"/>
  <c r="L25" i="52"/>
  <c r="N25" i="52" s="1"/>
  <c r="N3" i="50"/>
  <c r="N3" i="49"/>
  <c r="N3" i="48"/>
  <c r="O3" i="47"/>
  <c r="N3" i="47"/>
  <c r="C5" i="44"/>
  <c r="O5" i="44"/>
  <c r="P5" i="44"/>
  <c r="S5" i="44"/>
  <c r="Y5" i="44"/>
  <c r="Z5" i="44"/>
  <c r="AE5" i="44"/>
  <c r="AF5" i="44"/>
  <c r="AI5" i="44"/>
  <c r="U4" i="56" l="1"/>
  <c r="U4" i="55"/>
  <c r="T6" i="54"/>
  <c r="U6" i="54" s="1"/>
  <c r="T4" i="54"/>
  <c r="U4" i="54" s="1"/>
  <c r="W4" i="50"/>
  <c r="X4" i="50" s="1"/>
  <c r="AC4" i="50" s="1"/>
  <c r="U5" i="55"/>
  <c r="U6" i="55"/>
  <c r="U7" i="55"/>
  <c r="U8" i="55"/>
  <c r="L4" i="53"/>
  <c r="N4" i="53" s="1"/>
  <c r="L4" i="52"/>
  <c r="N4" i="52" s="1"/>
  <c r="X4" i="46"/>
  <c r="Y4" i="46" s="1"/>
  <c r="AD4" i="46" s="1"/>
  <c r="X6" i="22"/>
  <c r="Y6" i="22" s="1"/>
  <c r="AD6" i="22" s="1"/>
  <c r="K4" i="51"/>
  <c r="M4" i="51" s="1"/>
  <c r="U5" i="56"/>
  <c r="V5" i="56" s="1"/>
  <c r="U6" i="56"/>
  <c r="V6" i="56" s="1"/>
  <c r="U7" i="56"/>
  <c r="V7" i="56" s="1"/>
  <c r="U8" i="56"/>
  <c r="V8" i="56" s="1"/>
  <c r="T5" i="54"/>
  <c r="U5" i="54" s="1"/>
  <c r="N5" i="52"/>
  <c r="N6" i="52"/>
  <c r="X5" i="22"/>
  <c r="Y5" i="22" s="1"/>
  <c r="AD5" i="22" s="1"/>
  <c r="V4" i="56"/>
  <c r="X4" i="47"/>
  <c r="Y4" i="47" s="1"/>
  <c r="AD4" i="47" s="1"/>
  <c r="K6" i="51"/>
  <c r="M6" i="51" s="1"/>
  <c r="K8" i="51"/>
  <c r="M8" i="51" s="1"/>
  <c r="K10" i="51"/>
  <c r="M10" i="51" s="1"/>
  <c r="K17" i="51"/>
  <c r="M17" i="51" s="1"/>
  <c r="K19" i="51"/>
  <c r="M19" i="51" s="1"/>
  <c r="K23" i="51"/>
  <c r="M23" i="51" s="1"/>
  <c r="K24" i="51"/>
  <c r="M24" i="51" s="1"/>
  <c r="X14" i="47"/>
  <c r="Y14" i="47" s="1"/>
  <c r="AD14" i="47" s="1"/>
  <c r="X16" i="47"/>
  <c r="Y16" i="47" s="1"/>
  <c r="AD16" i="47" s="1"/>
  <c r="X18" i="47"/>
  <c r="Y18" i="47" s="1"/>
  <c r="AD18" i="47" s="1"/>
  <c r="X20" i="47"/>
  <c r="Y20" i="47" s="1"/>
  <c r="AD20" i="47" s="1"/>
  <c r="X22" i="47"/>
  <c r="Y22" i="47" s="1"/>
  <c r="AD22" i="47" s="1"/>
  <c r="X24" i="47"/>
  <c r="Y24" i="47" s="1"/>
  <c r="AD24" i="47" s="1"/>
  <c r="K7" i="51"/>
  <c r="M7" i="51" s="1"/>
  <c r="K9" i="51"/>
  <c r="M9" i="51" s="1"/>
  <c r="K16" i="51"/>
  <c r="M16" i="51" s="1"/>
  <c r="K18" i="51"/>
  <c r="M18" i="51" s="1"/>
  <c r="K20" i="51"/>
  <c r="M20" i="51" s="1"/>
  <c r="K22" i="51"/>
  <c r="M22" i="51" s="1"/>
  <c r="K25" i="51"/>
  <c r="M25" i="51" s="1"/>
  <c r="X15" i="47"/>
  <c r="Y15" i="47" s="1"/>
  <c r="AD15" i="47" s="1"/>
  <c r="X19" i="47"/>
  <c r="Y19" i="47" s="1"/>
  <c r="AD19" i="47" s="1"/>
  <c r="X23" i="47"/>
  <c r="Y23" i="47" s="1"/>
  <c r="AD23" i="47" s="1"/>
  <c r="X13" i="47"/>
  <c r="Y13" i="47" s="1"/>
  <c r="AD13" i="47" s="1"/>
  <c r="X17" i="47"/>
  <c r="Y17" i="47" s="1"/>
  <c r="AD17" i="47" s="1"/>
  <c r="X21" i="47"/>
  <c r="Y21" i="47" s="1"/>
  <c r="AD21" i="47" s="1"/>
  <c r="X25" i="47"/>
  <c r="Y25" i="47" s="1"/>
  <c r="AD25" i="47" s="1"/>
  <c r="V14" i="47"/>
  <c r="W14" i="47" s="1"/>
  <c r="AC14" i="47" s="1"/>
  <c r="V16" i="47"/>
  <c r="W16" i="47" s="1"/>
  <c r="AC16" i="47" s="1"/>
  <c r="V18" i="47"/>
  <c r="W18" i="47" s="1"/>
  <c r="AC18" i="47" s="1"/>
  <c r="V20" i="47"/>
  <c r="W20" i="47" s="1"/>
  <c r="AC20" i="47" s="1"/>
  <c r="V22" i="47"/>
  <c r="W22" i="47" s="1"/>
  <c r="AC22" i="47" s="1"/>
  <c r="V24" i="47"/>
  <c r="W24" i="47" s="1"/>
  <c r="AC24" i="47" s="1"/>
  <c r="V13" i="47"/>
  <c r="W13" i="47" s="1"/>
  <c r="AC13" i="47" s="1"/>
  <c r="V15" i="47"/>
  <c r="W15" i="47" s="1"/>
  <c r="AC15" i="47" s="1"/>
  <c r="V17" i="47"/>
  <c r="W17" i="47" s="1"/>
  <c r="AC17" i="47" s="1"/>
  <c r="V19" i="47"/>
  <c r="W19" i="47" s="1"/>
  <c r="AC19" i="47" s="1"/>
  <c r="V21" i="47"/>
  <c r="W21" i="47" s="1"/>
  <c r="AC21" i="47" s="1"/>
  <c r="V23" i="47"/>
  <c r="W23" i="47" s="1"/>
  <c r="AC23" i="47" s="1"/>
  <c r="V25" i="47"/>
  <c r="W25" i="47" s="1"/>
  <c r="AC25" i="47" s="1"/>
  <c r="V24" i="46"/>
  <c r="W24" i="46" s="1"/>
  <c r="AC24" i="46" s="1"/>
  <c r="X24" i="46"/>
  <c r="Y24" i="46" s="1"/>
  <c r="AD24" i="46" s="1"/>
  <c r="V22" i="46"/>
  <c r="W22" i="46" s="1"/>
  <c r="AC22" i="46" s="1"/>
  <c r="X22" i="46"/>
  <c r="Y22" i="46" s="1"/>
  <c r="AD22" i="46" s="1"/>
  <c r="V25" i="46"/>
  <c r="W25" i="46" s="1"/>
  <c r="AC25" i="46" s="1"/>
  <c r="X25" i="46"/>
  <c r="Y25" i="46" s="1"/>
  <c r="AD25" i="46" s="1"/>
  <c r="V23" i="46"/>
  <c r="W23" i="46" s="1"/>
  <c r="AC23" i="46" s="1"/>
  <c r="X23" i="46"/>
  <c r="Y23" i="46" s="1"/>
  <c r="AD23" i="46" s="1"/>
  <c r="V21" i="46"/>
  <c r="W21" i="46" s="1"/>
  <c r="AC21" i="46" s="1"/>
  <c r="X21" i="46"/>
  <c r="Y21" i="46" s="1"/>
  <c r="AD21" i="46" s="1"/>
  <c r="X13" i="46"/>
  <c r="Y13" i="46" s="1"/>
  <c r="AD13" i="46" s="1"/>
  <c r="X15" i="46"/>
  <c r="Y15" i="46" s="1"/>
  <c r="AD15" i="46" s="1"/>
  <c r="X17" i="46"/>
  <c r="Y17" i="46" s="1"/>
  <c r="AD17" i="46" s="1"/>
  <c r="X12" i="46"/>
  <c r="Y12" i="46" s="1"/>
  <c r="AD12" i="46" s="1"/>
  <c r="V13" i="46"/>
  <c r="W13" i="46" s="1"/>
  <c r="AC13" i="46" s="1"/>
  <c r="X14" i="46"/>
  <c r="Y14" i="46" s="1"/>
  <c r="AD14" i="46" s="1"/>
  <c r="V15" i="46"/>
  <c r="W15" i="46" s="1"/>
  <c r="AC15" i="46" s="1"/>
  <c r="X16" i="46"/>
  <c r="Y16" i="46" s="1"/>
  <c r="AD16" i="46" s="1"/>
  <c r="V17" i="46"/>
  <c r="W17" i="46" s="1"/>
  <c r="AC17" i="46" s="1"/>
  <c r="X18" i="46"/>
  <c r="Y18" i="46" s="1"/>
  <c r="AD18" i="46" s="1"/>
  <c r="V19" i="46"/>
  <c r="W19" i="46" s="1"/>
  <c r="AC19" i="46" s="1"/>
  <c r="V12" i="46"/>
  <c r="W12" i="46" s="1"/>
  <c r="AC12" i="46" s="1"/>
  <c r="V14" i="46"/>
  <c r="W14" i="46" s="1"/>
  <c r="AC14" i="46" s="1"/>
  <c r="V16" i="46"/>
  <c r="W16" i="46" s="1"/>
  <c r="AC16" i="46" s="1"/>
  <c r="V18" i="46"/>
  <c r="W18" i="46" s="1"/>
  <c r="AC18" i="46" s="1"/>
  <c r="X19" i="46"/>
  <c r="Y19" i="46" s="1"/>
  <c r="AD19" i="46" s="1"/>
  <c r="V20" i="46"/>
  <c r="W20" i="46" s="1"/>
  <c r="AC20" i="46" s="1"/>
  <c r="X20" i="46"/>
  <c r="Y20" i="46" s="1"/>
  <c r="AD20" i="46" s="1"/>
  <c r="W4" i="48" l="1"/>
  <c r="X4" i="48" s="1"/>
  <c r="AC4" i="48" s="1"/>
  <c r="V5" i="22"/>
  <c r="W5" i="22" s="1"/>
  <c r="AC5" i="22" s="1"/>
  <c r="U4" i="48"/>
  <c r="V4" i="48" s="1"/>
  <c r="AB4" i="48" s="1"/>
  <c r="U4" i="50"/>
  <c r="V4" i="50" s="1"/>
  <c r="AB4" i="50" s="1"/>
  <c r="Z4" i="46"/>
  <c r="AA4" i="46" s="1"/>
  <c r="AE4" i="46" s="1"/>
  <c r="V4" i="46"/>
  <c r="W4" i="46" s="1"/>
  <c r="AC4" i="46" s="1"/>
  <c r="Y4" i="48"/>
  <c r="Z4" i="48" s="1"/>
  <c r="AD4" i="48" s="1"/>
  <c r="Z6" i="22"/>
  <c r="AA6" i="22" s="1"/>
  <c r="AE6" i="22" s="1"/>
  <c r="Y4" i="50"/>
  <c r="Z4" i="50" s="1"/>
  <c r="AD4" i="50" s="1"/>
  <c r="V6" i="22"/>
  <c r="W6" i="22" s="1"/>
  <c r="AC6" i="22" s="1"/>
  <c r="Z4" i="47"/>
  <c r="AA4" i="47" s="1"/>
  <c r="AE4" i="47" s="1"/>
  <c r="Z5" i="22"/>
  <c r="AA5" i="22" s="1"/>
  <c r="AE5" i="22" s="1"/>
  <c r="V4" i="47"/>
  <c r="W4" i="47" s="1"/>
  <c r="AC4" i="47" s="1"/>
  <c r="AE26" i="44"/>
  <c r="AE27" i="44"/>
  <c r="AE28" i="44"/>
  <c r="AE29" i="44"/>
  <c r="AE30" i="44"/>
  <c r="AE31" i="44"/>
  <c r="AE32" i="44"/>
  <c r="AE33" i="44"/>
  <c r="AE34" i="44"/>
  <c r="AE35" i="44"/>
  <c r="AE37" i="44"/>
  <c r="AE11" i="44"/>
  <c r="AE12" i="44"/>
  <c r="AE13" i="44"/>
  <c r="AE14" i="44"/>
  <c r="AE15" i="44"/>
  <c r="AE16" i="44"/>
  <c r="AE17" i="44"/>
  <c r="AE18" i="44"/>
  <c r="AE19" i="44"/>
  <c r="AE20" i="44"/>
  <c r="AE21" i="44"/>
  <c r="AE22" i="44"/>
  <c r="AE23" i="44"/>
  <c r="AE7" i="44"/>
  <c r="AE9" i="44"/>
  <c r="AE8" i="44"/>
  <c r="AE6" i="44"/>
  <c r="Y30" i="44"/>
  <c r="Y31" i="44"/>
  <c r="Y32" i="44"/>
  <c r="Y33" i="44"/>
  <c r="Y34" i="44"/>
  <c r="Y35" i="44"/>
  <c r="Y37" i="44"/>
  <c r="Y21" i="44"/>
  <c r="Y22" i="44"/>
  <c r="Y23" i="44"/>
  <c r="Y26" i="44"/>
  <c r="Y27" i="44"/>
  <c r="Y28" i="44"/>
  <c r="Y29" i="44"/>
  <c r="Y16" i="44"/>
  <c r="Y17" i="44"/>
  <c r="Y18" i="44"/>
  <c r="Y19" i="44"/>
  <c r="Y20" i="44"/>
  <c r="Y11" i="44"/>
  <c r="Y12" i="44"/>
  <c r="Y13" i="44"/>
  <c r="Y14" i="44"/>
  <c r="Y15" i="44"/>
  <c r="Y6" i="44"/>
  <c r="Y7" i="44"/>
  <c r="Y9" i="44"/>
  <c r="Y8" i="44"/>
  <c r="O6" i="44"/>
  <c r="O7" i="44"/>
  <c r="O21" i="44"/>
  <c r="O22" i="44"/>
  <c r="O23" i="44"/>
  <c r="O26" i="44"/>
  <c r="O27" i="44"/>
  <c r="O28" i="44"/>
  <c r="O29" i="44"/>
  <c r="O30" i="44"/>
  <c r="O31" i="44"/>
  <c r="O32" i="44"/>
  <c r="O33" i="44"/>
  <c r="O34" i="44"/>
  <c r="O35" i="44"/>
  <c r="O37" i="44"/>
  <c r="O15" i="44"/>
  <c r="O16" i="44"/>
  <c r="O17" i="44"/>
  <c r="O18" i="44"/>
  <c r="O19" i="44"/>
  <c r="O20" i="44"/>
  <c r="O13" i="44"/>
  <c r="O14" i="44"/>
  <c r="O12" i="44"/>
  <c r="O11" i="44"/>
  <c r="O8" i="44"/>
  <c r="O9" i="44"/>
  <c r="AF6" i="44"/>
  <c r="AF7" i="44"/>
  <c r="AF9" i="44"/>
  <c r="AF8" i="44"/>
  <c r="AF11" i="44"/>
  <c r="AF12" i="44"/>
  <c r="AF13" i="44"/>
  <c r="AF14" i="44"/>
  <c r="AF15" i="44"/>
  <c r="AF16" i="44"/>
  <c r="AF17" i="44"/>
  <c r="AF18" i="44"/>
  <c r="AF19" i="44"/>
  <c r="AF20" i="44"/>
  <c r="AF21" i="44"/>
  <c r="AF22" i="44"/>
  <c r="AF23" i="44"/>
  <c r="AF26" i="44"/>
  <c r="AF27" i="44"/>
  <c r="AF28" i="44"/>
  <c r="AF29" i="44"/>
  <c r="AF30" i="44"/>
  <c r="AF31" i="44"/>
  <c r="AF32" i="44"/>
  <c r="AF33" i="44"/>
  <c r="AF34" i="44"/>
  <c r="AF35" i="44"/>
  <c r="AF37" i="44"/>
  <c r="Z6" i="44"/>
  <c r="Z7" i="44"/>
  <c r="Z9" i="44"/>
  <c r="Z8" i="44"/>
  <c r="Z11" i="44"/>
  <c r="Z12" i="44"/>
  <c r="Z13" i="44"/>
  <c r="Z14" i="44"/>
  <c r="Z15" i="44"/>
  <c r="Z16" i="44"/>
  <c r="Z17" i="44"/>
  <c r="Z18" i="44"/>
  <c r="Z19" i="44"/>
  <c r="Z20" i="44"/>
  <c r="Z21" i="44"/>
  <c r="Z22" i="44"/>
  <c r="Z23" i="44"/>
  <c r="Z26" i="44"/>
  <c r="Z27" i="44"/>
  <c r="Z28" i="44"/>
  <c r="Z29" i="44"/>
  <c r="Z30" i="44"/>
  <c r="Z31" i="44"/>
  <c r="Z32" i="44"/>
  <c r="Z33" i="44"/>
  <c r="Z34" i="44"/>
  <c r="Z35" i="44"/>
  <c r="Z37" i="44"/>
  <c r="P6" i="44"/>
  <c r="P7" i="44"/>
  <c r="P9" i="44"/>
  <c r="P8" i="44"/>
  <c r="P11" i="44"/>
  <c r="P12" i="44"/>
  <c r="P13" i="44"/>
  <c r="P14" i="44"/>
  <c r="P15" i="44"/>
  <c r="P16" i="44"/>
  <c r="P17" i="44"/>
  <c r="P18" i="44"/>
  <c r="P19" i="44"/>
  <c r="P20" i="44"/>
  <c r="P21" i="44"/>
  <c r="P22" i="44"/>
  <c r="P23" i="44"/>
  <c r="P26" i="44"/>
  <c r="P27" i="44"/>
  <c r="P28" i="44"/>
  <c r="P29" i="44"/>
  <c r="P30" i="44"/>
  <c r="P31" i="44"/>
  <c r="P32" i="44"/>
  <c r="P33" i="44"/>
  <c r="P34" i="44"/>
  <c r="P35" i="44"/>
  <c r="P37" i="44"/>
  <c r="S21" i="44"/>
  <c r="AI21" i="44"/>
  <c r="C21" i="44"/>
  <c r="AG36" i="44"/>
  <c r="AI6" i="44"/>
  <c r="AI7" i="44"/>
  <c r="AI9" i="44"/>
  <c r="AI8" i="44"/>
  <c r="AI11" i="44"/>
  <c r="AI12" i="44"/>
  <c r="AI13" i="44"/>
  <c r="AI14" i="44"/>
  <c r="AI15" i="44"/>
  <c r="AI16" i="44"/>
  <c r="AI17" i="44"/>
  <c r="AI18" i="44"/>
  <c r="AI19" i="44"/>
  <c r="AI20" i="44"/>
  <c r="AI22" i="44"/>
  <c r="AI23" i="44"/>
  <c r="AI26" i="44"/>
  <c r="AI27" i="44"/>
  <c r="AI28" i="44"/>
  <c r="AI29" i="44"/>
  <c r="AI30" i="44"/>
  <c r="AI31" i="44"/>
  <c r="AI32" i="44"/>
  <c r="AI33" i="44"/>
  <c r="AI34" i="44"/>
  <c r="AI35" i="44"/>
  <c r="AH36" i="44"/>
  <c r="AI37" i="44"/>
  <c r="C33" i="44"/>
  <c r="C37" i="44"/>
  <c r="C29" i="44"/>
  <c r="C28" i="44"/>
  <c r="C26" i="44"/>
  <c r="C23" i="44"/>
  <c r="C14" i="44"/>
  <c r="C7" i="44"/>
  <c r="C30" i="44"/>
  <c r="C22" i="44"/>
  <c r="C20" i="44"/>
  <c r="C18" i="44"/>
  <c r="C13" i="44"/>
  <c r="C12" i="44"/>
  <c r="C8" i="44"/>
  <c r="C9" i="44"/>
  <c r="C6" i="44"/>
  <c r="V4" i="22"/>
  <c r="W4" i="22" s="1"/>
  <c r="AC4" i="22" s="1"/>
  <c r="K36" i="44"/>
  <c r="L36" i="44"/>
  <c r="M36" i="44"/>
  <c r="N36" i="44"/>
  <c r="S37" i="44"/>
  <c r="S35" i="44"/>
  <c r="S34" i="44"/>
  <c r="S33" i="44"/>
  <c r="S32" i="44"/>
  <c r="S31" i="44"/>
  <c r="S29" i="44"/>
  <c r="S28" i="44"/>
  <c r="S26" i="44"/>
  <c r="S23" i="44"/>
  <c r="S14" i="44"/>
  <c r="S7" i="44"/>
  <c r="S12" i="44"/>
  <c r="S8" i="44"/>
  <c r="R36" i="44"/>
  <c r="Q36" i="44"/>
  <c r="S6" i="44"/>
  <c r="S13" i="44"/>
  <c r="S15" i="44"/>
  <c r="S17" i="44"/>
  <c r="S18" i="44"/>
  <c r="S19" i="44"/>
  <c r="S20" i="44"/>
  <c r="S22" i="44"/>
  <c r="S27" i="44"/>
  <c r="S30" i="44"/>
  <c r="S9" i="44"/>
  <c r="S11" i="44"/>
  <c r="S16" i="44"/>
  <c r="U36" i="44"/>
  <c r="V36" i="44"/>
  <c r="W36" i="44"/>
  <c r="X36" i="44"/>
  <c r="AA36" i="44"/>
  <c r="AB36" i="44"/>
  <c r="AC36" i="44"/>
  <c r="AD36" i="44"/>
  <c r="C38" i="40"/>
  <c r="C39" i="40" s="1"/>
  <c r="C40" i="40" s="1"/>
  <c r="W15" i="48" l="1"/>
  <c r="X15" i="48" s="1"/>
  <c r="AC15" i="48" s="1"/>
  <c r="W16" i="48"/>
  <c r="X16" i="48" s="1"/>
  <c r="AC16" i="48" s="1"/>
  <c r="T21" i="54"/>
  <c r="U21" i="54" s="1"/>
  <c r="Y15" i="48"/>
  <c r="Z15" i="48" s="1"/>
  <c r="AD15" i="48" s="1"/>
  <c r="Y16" i="48"/>
  <c r="Z16" i="48" s="1"/>
  <c r="AD16" i="48" s="1"/>
  <c r="T8" i="54"/>
  <c r="U8" i="54" s="1"/>
  <c r="U9" i="55"/>
  <c r="T7" i="54"/>
  <c r="U7" i="54" s="1"/>
  <c r="U9" i="56"/>
  <c r="V9" i="56" s="1"/>
  <c r="U15" i="48"/>
  <c r="V15" i="48" s="1"/>
  <c r="AB15" i="48" s="1"/>
  <c r="U16" i="48"/>
  <c r="V16" i="48" s="1"/>
  <c r="AB16" i="48" s="1"/>
  <c r="U10" i="48"/>
  <c r="V10" i="48" s="1"/>
  <c r="AB10" i="48" s="1"/>
  <c r="U20" i="48"/>
  <c r="V20" i="48" s="1"/>
  <c r="AB20" i="48" s="1"/>
  <c r="U18" i="48"/>
  <c r="V18" i="48" s="1"/>
  <c r="AB18" i="48" s="1"/>
  <c r="Z18" i="47"/>
  <c r="AA18" i="47" s="1"/>
  <c r="AE18" i="47" s="1"/>
  <c r="Z13" i="46"/>
  <c r="AA13" i="46" s="1"/>
  <c r="AE13" i="46" s="1"/>
  <c r="Z17" i="46"/>
  <c r="AA17" i="46" s="1"/>
  <c r="AE17" i="46" s="1"/>
  <c r="Z19" i="46"/>
  <c r="AA19" i="46" s="1"/>
  <c r="AE19" i="46" s="1"/>
  <c r="Z21" i="46"/>
  <c r="AA21" i="46" s="1"/>
  <c r="AE21" i="46" s="1"/>
  <c r="Z23" i="46"/>
  <c r="AA23" i="46" s="1"/>
  <c r="AE23" i="46" s="1"/>
  <c r="Z25" i="46"/>
  <c r="AA25" i="46" s="1"/>
  <c r="AE25" i="46" s="1"/>
  <c r="Z12" i="46"/>
  <c r="AA12" i="46" s="1"/>
  <c r="AE12" i="46" s="1"/>
  <c r="Z13" i="47"/>
  <c r="AA13" i="47" s="1"/>
  <c r="AE13" i="47" s="1"/>
  <c r="Z15" i="47"/>
  <c r="AA15" i="47" s="1"/>
  <c r="AE15" i="47" s="1"/>
  <c r="Z17" i="47"/>
  <c r="AA17" i="47" s="1"/>
  <c r="AE17" i="47" s="1"/>
  <c r="Z21" i="47"/>
  <c r="AA21" i="47" s="1"/>
  <c r="AE21" i="47" s="1"/>
  <c r="Z23" i="47"/>
  <c r="AA23" i="47" s="1"/>
  <c r="AE23" i="47" s="1"/>
  <c r="Z25" i="47"/>
  <c r="AA25" i="47" s="1"/>
  <c r="AE25" i="47" s="1"/>
  <c r="Z16" i="46"/>
  <c r="AA16" i="46" s="1"/>
  <c r="AE16" i="46" s="1"/>
  <c r="Z20" i="46"/>
  <c r="AA20" i="46" s="1"/>
  <c r="AE20" i="46" s="1"/>
  <c r="Z14" i="46"/>
  <c r="AA14" i="46" s="1"/>
  <c r="AE14" i="46" s="1"/>
  <c r="Z18" i="46"/>
  <c r="AA18" i="46" s="1"/>
  <c r="AE18" i="46" s="1"/>
  <c r="E4" i="55"/>
  <c r="E25" i="55"/>
  <c r="E21" i="55"/>
  <c r="E19" i="55"/>
  <c r="E17" i="55"/>
  <c r="E13" i="55"/>
  <c r="E11" i="55"/>
  <c r="E9" i="55"/>
  <c r="E7" i="55"/>
  <c r="E5" i="55"/>
  <c r="E23" i="55"/>
  <c r="E15" i="55"/>
  <c r="E24" i="55"/>
  <c r="E22" i="55"/>
  <c r="E20" i="55"/>
  <c r="E18" i="55"/>
  <c r="E16" i="55"/>
  <c r="E14" i="55"/>
  <c r="E12" i="55"/>
  <c r="E10" i="55"/>
  <c r="E8" i="55"/>
  <c r="E6" i="55"/>
  <c r="U25" i="48"/>
  <c r="V25" i="48" s="1"/>
  <c r="AB25" i="48" s="1"/>
  <c r="U24" i="48"/>
  <c r="V24" i="48" s="1"/>
  <c r="AB24" i="48" s="1"/>
  <c r="U23" i="48"/>
  <c r="V23" i="48" s="1"/>
  <c r="AB23" i="48" s="1"/>
  <c r="U22" i="48"/>
  <c r="V22" i="48" s="1"/>
  <c r="AB22" i="48" s="1"/>
  <c r="U19" i="48"/>
  <c r="V19" i="48" s="1"/>
  <c r="AB19" i="48" s="1"/>
  <c r="U17" i="48"/>
  <c r="V17" i="48" s="1"/>
  <c r="AB17" i="48" s="1"/>
  <c r="U14" i="48"/>
  <c r="V14" i="48" s="1"/>
  <c r="AB14" i="48" s="1"/>
  <c r="U13" i="48"/>
  <c r="V13" i="48" s="1"/>
  <c r="AB13" i="48" s="1"/>
  <c r="U12" i="48"/>
  <c r="V12" i="48" s="1"/>
  <c r="AB12" i="48" s="1"/>
  <c r="U11" i="48"/>
  <c r="V11" i="48" s="1"/>
  <c r="AB11" i="48" s="1"/>
  <c r="U9" i="48"/>
  <c r="V9" i="48" s="1"/>
  <c r="AB9" i="48" s="1"/>
  <c r="W23" i="48"/>
  <c r="X23" i="48" s="1"/>
  <c r="AC23" i="48" s="1"/>
  <c r="W25" i="48"/>
  <c r="X25" i="48" s="1"/>
  <c r="AC25" i="48" s="1"/>
  <c r="W22" i="48"/>
  <c r="X22" i="48" s="1"/>
  <c r="AC22" i="48" s="1"/>
  <c r="W24" i="48"/>
  <c r="X24" i="48" s="1"/>
  <c r="AC24" i="48" s="1"/>
  <c r="W9" i="48"/>
  <c r="X9" i="48" s="1"/>
  <c r="AC9" i="48" s="1"/>
  <c r="W11" i="48"/>
  <c r="X11" i="48" s="1"/>
  <c r="AC11" i="48" s="1"/>
  <c r="W13" i="48"/>
  <c r="X13" i="48" s="1"/>
  <c r="AC13" i="48" s="1"/>
  <c r="W17" i="48"/>
  <c r="X17" i="48" s="1"/>
  <c r="AC17" i="48" s="1"/>
  <c r="W19" i="48"/>
  <c r="X19" i="48" s="1"/>
  <c r="AC19" i="48" s="1"/>
  <c r="W10" i="48"/>
  <c r="X10" i="48" s="1"/>
  <c r="AC10" i="48" s="1"/>
  <c r="W12" i="48"/>
  <c r="X12" i="48" s="1"/>
  <c r="AC12" i="48" s="1"/>
  <c r="W14" i="48"/>
  <c r="X14" i="48" s="1"/>
  <c r="AC14" i="48" s="1"/>
  <c r="W18" i="48"/>
  <c r="X18" i="48" s="1"/>
  <c r="AC18" i="48" s="1"/>
  <c r="W20" i="48"/>
  <c r="X20" i="48" s="1"/>
  <c r="AC20" i="48" s="1"/>
  <c r="Y22" i="48"/>
  <c r="Z22" i="48" s="1"/>
  <c r="AD22" i="48" s="1"/>
  <c r="Y24" i="48"/>
  <c r="Z24" i="48" s="1"/>
  <c r="AD24" i="48" s="1"/>
  <c r="Y25" i="48"/>
  <c r="Z25" i="48" s="1"/>
  <c r="AD25" i="48" s="1"/>
  <c r="Y10" i="48"/>
  <c r="Z10" i="48" s="1"/>
  <c r="AD10" i="48" s="1"/>
  <c r="Y11" i="48"/>
  <c r="Z11" i="48" s="1"/>
  <c r="AD11" i="48" s="1"/>
  <c r="Y12" i="48"/>
  <c r="Z12" i="48" s="1"/>
  <c r="AD12" i="48" s="1"/>
  <c r="Y13" i="48"/>
  <c r="Z13" i="48" s="1"/>
  <c r="AD13" i="48" s="1"/>
  <c r="Y14" i="48"/>
  <c r="Z14" i="48" s="1"/>
  <c r="AD14" i="48" s="1"/>
  <c r="Y17" i="48"/>
  <c r="Z17" i="48" s="1"/>
  <c r="AD17" i="48" s="1"/>
  <c r="Y18" i="48"/>
  <c r="Z18" i="48" s="1"/>
  <c r="AD18" i="48" s="1"/>
  <c r="Y20" i="48"/>
  <c r="Z20" i="48" s="1"/>
  <c r="AD20" i="48" s="1"/>
  <c r="S36" i="44"/>
  <c r="K5" i="51"/>
  <c r="M5" i="51" s="1"/>
  <c r="AI36" i="44"/>
  <c r="Y23" i="48"/>
  <c r="Z23" i="48" s="1"/>
  <c r="AD23" i="48" s="1"/>
  <c r="Y19" i="48"/>
  <c r="Z19" i="48" s="1"/>
  <c r="AD19" i="48" s="1"/>
  <c r="Y9" i="48"/>
  <c r="Z9" i="48" s="1"/>
  <c r="AD9" i="48" s="1"/>
  <c r="Z22" i="46"/>
  <c r="AA22" i="46" s="1"/>
  <c r="AE22" i="46" s="1"/>
  <c r="Z24" i="46"/>
  <c r="AA24" i="46" s="1"/>
  <c r="AE24" i="46" s="1"/>
  <c r="Z15" i="46"/>
  <c r="AA15" i="46" s="1"/>
  <c r="AE15" i="46" s="1"/>
  <c r="Z24" i="47"/>
  <c r="AA24" i="47" s="1"/>
  <c r="AE24" i="47" s="1"/>
  <c r="Z22" i="47"/>
  <c r="AA22" i="47" s="1"/>
  <c r="AE22" i="47" s="1"/>
  <c r="Z20" i="47"/>
  <c r="AA20" i="47" s="1"/>
  <c r="AE20" i="47" s="1"/>
  <c r="Z19" i="47"/>
  <c r="AA19" i="47" s="1"/>
  <c r="AE19" i="47" s="1"/>
  <c r="Z16" i="47"/>
  <c r="AA16" i="47" s="1"/>
  <c r="AE16" i="47" s="1"/>
  <c r="Z14" i="47"/>
  <c r="AA14" i="47" s="1"/>
  <c r="AE14" i="47" s="1"/>
  <c r="K21" i="51"/>
  <c r="M21" i="51" s="1"/>
  <c r="AE36" i="44"/>
  <c r="AF36" i="44"/>
  <c r="Z36" i="44"/>
  <c r="Y36" i="44"/>
  <c r="P36" i="44"/>
  <c r="O36" i="44"/>
  <c r="I8" i="55" l="1"/>
  <c r="V8" i="55"/>
  <c r="Q8" i="55"/>
  <c r="M8" i="55"/>
  <c r="I12" i="55"/>
  <c r="V12" i="55"/>
  <c r="Q12" i="55"/>
  <c r="M12" i="55"/>
  <c r="I20" i="55"/>
  <c r="V20" i="55"/>
  <c r="Q20" i="55"/>
  <c r="M20" i="55"/>
  <c r="I10" i="55"/>
  <c r="V10" i="55"/>
  <c r="Q10" i="55"/>
  <c r="M10" i="55"/>
  <c r="I14" i="55"/>
  <c r="V14" i="55"/>
  <c r="Q14" i="55"/>
  <c r="M14" i="55"/>
  <c r="I18" i="55"/>
  <c r="V18" i="55"/>
  <c r="Q18" i="55"/>
  <c r="M18" i="55"/>
  <c r="I22" i="55"/>
  <c r="V22" i="55"/>
  <c r="Q22" i="55"/>
  <c r="M22" i="55"/>
  <c r="I15" i="55"/>
  <c r="V15" i="55"/>
  <c r="Q15" i="55"/>
  <c r="M15" i="55"/>
  <c r="I9" i="55"/>
  <c r="V9" i="55"/>
  <c r="Q9" i="55"/>
  <c r="M9" i="55"/>
  <c r="I13" i="55"/>
  <c r="V13" i="55"/>
  <c r="Q13" i="55"/>
  <c r="M13" i="55"/>
  <c r="I19" i="55"/>
  <c r="V19" i="55"/>
  <c r="Q19" i="55"/>
  <c r="M19" i="55"/>
  <c r="I25" i="55"/>
  <c r="V25" i="55"/>
  <c r="Q25" i="55"/>
  <c r="M25" i="55"/>
  <c r="I16" i="55"/>
  <c r="V16" i="55"/>
  <c r="Q16" i="55"/>
  <c r="M16" i="55"/>
  <c r="I24" i="55"/>
  <c r="V24" i="55"/>
  <c r="Q24" i="55"/>
  <c r="M24" i="55"/>
  <c r="I23" i="55"/>
  <c r="V23" i="55"/>
  <c r="Q23" i="55"/>
  <c r="M23" i="55"/>
  <c r="I11" i="55"/>
  <c r="V11" i="55"/>
  <c r="Q11" i="55"/>
  <c r="M11" i="55"/>
  <c r="I17" i="55"/>
  <c r="V17" i="55"/>
  <c r="Q17" i="55"/>
  <c r="M17" i="55"/>
  <c r="I21" i="55"/>
  <c r="V21" i="55"/>
  <c r="Q21" i="55"/>
  <c r="M21" i="55"/>
  <c r="I6" i="55"/>
  <c r="M6" i="55"/>
  <c r="V6" i="55"/>
  <c r="Q6" i="55"/>
  <c r="I5" i="55"/>
  <c r="M5" i="55"/>
  <c r="Q5" i="55"/>
  <c r="V5" i="55"/>
  <c r="I4" i="55"/>
  <c r="M4" i="55"/>
  <c r="V4" i="55"/>
  <c r="Q4" i="55"/>
  <c r="I7" i="55"/>
  <c r="M7" i="55"/>
  <c r="Q7" i="55"/>
  <c r="V7" i="55"/>
  <c r="V26" i="56"/>
  <c r="M26" i="51"/>
  <c r="E5" i="57"/>
  <c r="E7" i="57"/>
  <c r="N26" i="53"/>
  <c r="N26" i="52"/>
  <c r="E6" i="57"/>
  <c r="Y21" i="48"/>
  <c r="Z21" i="48" s="1"/>
  <c r="AD21" i="48" s="1"/>
  <c r="U21" i="48"/>
  <c r="V21" i="48" s="1"/>
  <c r="AB21" i="48" s="1"/>
  <c r="W21" i="48"/>
  <c r="X21" i="48" s="1"/>
  <c r="AC21" i="48" s="1"/>
  <c r="Z7" i="22"/>
  <c r="AA7" i="22" s="1"/>
  <c r="AE7" i="22" s="1"/>
  <c r="X7" i="22"/>
  <c r="Y7" i="22" s="1"/>
  <c r="AD7" i="22" s="1"/>
  <c r="V7" i="22"/>
  <c r="W7" i="22" s="1"/>
  <c r="AC7" i="22" s="1"/>
  <c r="W8" i="48"/>
  <c r="X8" i="48" s="1"/>
  <c r="AC8" i="48" s="1"/>
  <c r="Y8" i="48"/>
  <c r="Z8" i="48" s="1"/>
  <c r="AD8" i="48" s="1"/>
  <c r="U8" i="48"/>
  <c r="V8" i="48" s="1"/>
  <c r="AB8" i="48" s="1"/>
  <c r="Y16" i="49"/>
  <c r="Z16" i="49" s="1"/>
  <c r="AD16" i="49" s="1"/>
  <c r="U16" i="49"/>
  <c r="V16" i="49" s="1"/>
  <c r="AB16" i="49" s="1"/>
  <c r="W16" i="49"/>
  <c r="X16" i="49" s="1"/>
  <c r="AC16" i="49" s="1"/>
  <c r="U20" i="49"/>
  <c r="V20" i="49" s="1"/>
  <c r="AB20" i="49" s="1"/>
  <c r="Y20" i="49"/>
  <c r="Z20" i="49" s="1"/>
  <c r="AD20" i="49" s="1"/>
  <c r="W20" i="49"/>
  <c r="X20" i="49" s="1"/>
  <c r="AC20" i="49" s="1"/>
  <c r="W17" i="49"/>
  <c r="X17" i="49" s="1"/>
  <c r="AC17" i="49" s="1"/>
  <c r="Y17" i="49"/>
  <c r="Z17" i="49" s="1"/>
  <c r="AD17" i="49" s="1"/>
  <c r="U17" i="49"/>
  <c r="V17" i="49" s="1"/>
  <c r="AB17" i="49" s="1"/>
  <c r="Y19" i="49"/>
  <c r="Z19" i="49" s="1"/>
  <c r="AD19" i="49" s="1"/>
  <c r="U19" i="49"/>
  <c r="V19" i="49" s="1"/>
  <c r="AB19" i="49" s="1"/>
  <c r="W19" i="49"/>
  <c r="X19" i="49" s="1"/>
  <c r="AC19" i="49" s="1"/>
  <c r="Y21" i="49"/>
  <c r="Z21" i="49" s="1"/>
  <c r="AD21" i="49" s="1"/>
  <c r="U21" i="49"/>
  <c r="V21" i="49" s="1"/>
  <c r="AB21" i="49" s="1"/>
  <c r="W21" i="49"/>
  <c r="X21" i="49" s="1"/>
  <c r="AC21" i="49" s="1"/>
  <c r="W23" i="49"/>
  <c r="X23" i="49" s="1"/>
  <c r="AC23" i="49" s="1"/>
  <c r="Y23" i="49"/>
  <c r="Z23" i="49" s="1"/>
  <c r="AD23" i="49" s="1"/>
  <c r="U23" i="49"/>
  <c r="V23" i="49" s="1"/>
  <c r="AB23" i="49" s="1"/>
  <c r="Y25" i="49"/>
  <c r="Z25" i="49" s="1"/>
  <c r="AD25" i="49" s="1"/>
  <c r="U25" i="49"/>
  <c r="V25" i="49" s="1"/>
  <c r="AB25" i="49" s="1"/>
  <c r="W25" i="49"/>
  <c r="X25" i="49" s="1"/>
  <c r="AC25" i="49" s="1"/>
  <c r="Y4" i="49"/>
  <c r="Z4" i="49" s="1"/>
  <c r="AD4" i="49" s="1"/>
  <c r="W4" i="49"/>
  <c r="X4" i="49" s="1"/>
  <c r="AC4" i="49" s="1"/>
  <c r="U4" i="49"/>
  <c r="V4" i="49" s="1"/>
  <c r="AB4" i="49" s="1"/>
  <c r="Y18" i="49"/>
  <c r="Z18" i="49" s="1"/>
  <c r="AD18" i="49" s="1"/>
  <c r="W18" i="49"/>
  <c r="X18" i="49" s="1"/>
  <c r="AC18" i="49" s="1"/>
  <c r="U18" i="49"/>
  <c r="V18" i="49" s="1"/>
  <c r="AB18" i="49" s="1"/>
  <c r="W22" i="49"/>
  <c r="X22" i="49" s="1"/>
  <c r="AC22" i="49" s="1"/>
  <c r="Y22" i="49"/>
  <c r="Z22" i="49" s="1"/>
  <c r="AD22" i="49" s="1"/>
  <c r="U22" i="49"/>
  <c r="V22" i="49" s="1"/>
  <c r="AB22" i="49" s="1"/>
  <c r="W24" i="49"/>
  <c r="X24" i="49" s="1"/>
  <c r="AC24" i="49" s="1"/>
  <c r="Y24" i="49"/>
  <c r="Z24" i="49" s="1"/>
  <c r="AD24" i="49" s="1"/>
  <c r="U24" i="49"/>
  <c r="V24" i="49" s="1"/>
  <c r="AB24" i="49" s="1"/>
  <c r="U26" i="54" l="1"/>
  <c r="I26" i="55"/>
  <c r="AE26" i="46"/>
  <c r="M26" i="55"/>
  <c r="M26" i="56"/>
  <c r="E12" i="57"/>
  <c r="AD26" i="49"/>
  <c r="D12" i="57"/>
  <c r="F11" i="57"/>
  <c r="D13" i="57"/>
  <c r="AD26" i="50"/>
  <c r="E13" i="57"/>
  <c r="I26" i="56"/>
  <c r="P26" i="54"/>
  <c r="L26" i="54"/>
  <c r="D11" i="57"/>
  <c r="AD26" i="48"/>
  <c r="E8" i="57"/>
  <c r="Q26" i="55"/>
  <c r="V26" i="55"/>
  <c r="F12" i="57"/>
  <c r="F13" i="57"/>
  <c r="Q26" i="56"/>
  <c r="H26" i="54"/>
  <c r="E11" i="57"/>
  <c r="D6" i="57"/>
  <c r="AE26" i="47"/>
  <c r="D7" i="57"/>
  <c r="AD26" i="46"/>
  <c r="AC26" i="46"/>
  <c r="F14" i="57" l="1"/>
  <c r="C12" i="57"/>
  <c r="AC26" i="49"/>
  <c r="C6" i="57"/>
  <c r="AB26" i="50"/>
  <c r="B13" i="57"/>
  <c r="AC26" i="48"/>
  <c r="C11" i="57"/>
  <c r="B12" i="57"/>
  <c r="AB26" i="49"/>
  <c r="B6" i="57"/>
  <c r="C13" i="57"/>
  <c r="AC26" i="50"/>
  <c r="B11" i="57"/>
  <c r="AB26" i="48"/>
  <c r="D14" i="57"/>
  <c r="E14" i="57"/>
  <c r="B7" i="57"/>
  <c r="AC26" i="47"/>
  <c r="C7" i="57"/>
  <c r="AD26" i="47"/>
  <c r="B5" i="57"/>
  <c r="AC26" i="22"/>
  <c r="Z4" i="22"/>
  <c r="AA4" i="22" s="1"/>
  <c r="AE4" i="22" s="1"/>
  <c r="X4" i="22"/>
  <c r="Y4" i="22" s="1"/>
  <c r="AD4" i="22" s="1"/>
  <c r="B8" i="57" l="1"/>
  <c r="B14" i="57"/>
  <c r="C14" i="57"/>
  <c r="AD26" i="22"/>
  <c r="C5" i="57"/>
  <c r="C8" i="57" s="1"/>
  <c r="D5" i="57"/>
  <c r="D8" i="57" s="1"/>
  <c r="AE26" i="22"/>
</calcChain>
</file>

<file path=xl/comments1.xml><?xml version="1.0" encoding="utf-8"?>
<comments xmlns="http://schemas.openxmlformats.org/spreadsheetml/2006/main">
  <authors>
    <author>Bijkerk, Remko</author>
  </authors>
  <commentList>
    <comment ref="AJ10" authorId="0" shapeId="0">
      <text>
        <r>
          <rPr>
            <sz val="8"/>
            <color indexed="81"/>
            <rFont val="Tahoma"/>
            <family val="2"/>
          </rPr>
          <t>Bron: SSK 1990</t>
        </r>
      </text>
    </comment>
    <comment ref="F19" authorId="0" shapeId="0">
      <text>
        <r>
          <rPr>
            <sz val="8"/>
            <color indexed="81"/>
            <rFont val="Tahoma"/>
            <family val="2"/>
          </rPr>
          <t>Literatuurwaarde: 0,0667 Wijkt fors af van Bos en Delacroix, uit berekening via mass att. coëff. volgt: 0,34 mm</t>
        </r>
      </text>
    </comment>
    <comment ref="AJ20" authorId="0" shapeId="0">
      <text>
        <r>
          <rPr>
            <sz val="8"/>
            <color indexed="81"/>
            <rFont val="Tahoma"/>
            <family val="2"/>
          </rPr>
          <t>Bron: SSK 1990</t>
        </r>
      </text>
    </comment>
    <comment ref="AJ27" authorId="0" shapeId="0">
      <text>
        <r>
          <rPr>
            <sz val="8"/>
            <color indexed="81"/>
            <rFont val="Tahoma"/>
            <family val="2"/>
          </rPr>
          <t>Bron: SSK 1990</t>
        </r>
      </text>
    </comment>
    <comment ref="T28" authorId="0" shapeId="0">
      <text>
        <r>
          <rPr>
            <sz val="8"/>
            <color indexed="81"/>
            <rFont val="Tahoma"/>
            <family val="2"/>
          </rPr>
          <t xml:space="preserve">Literatuurwaarde 6,3E-02, typefout in Kev. '96 ?
</t>
        </r>
      </text>
    </comment>
    <comment ref="F30" authorId="0" shapeId="0">
      <text>
        <r>
          <rPr>
            <sz val="8"/>
            <color indexed="81"/>
            <rFont val="Tahoma"/>
            <family val="2"/>
          </rPr>
          <t>1,1 % gamma's, tot 1,27 MeV</t>
        </r>
      </text>
    </comment>
    <comment ref="F36" authorId="0" shapeId="0">
      <text>
        <r>
          <rPr>
            <sz val="8"/>
            <color indexed="81"/>
            <rFont val="Tahoma"/>
            <family val="2"/>
          </rPr>
          <t>1,1 % gamma's, tot 1,27 MeV</t>
        </r>
      </text>
    </comment>
    <comment ref="AJ36" authorId="0" shapeId="0">
      <text>
        <r>
          <rPr>
            <sz val="8"/>
            <color indexed="81"/>
            <rFont val="Tahoma"/>
            <family val="2"/>
          </rPr>
          <t>Bron: SSK 1990</t>
        </r>
      </text>
    </comment>
  </commentList>
</comments>
</file>

<file path=xl/comments2.xml><?xml version="1.0" encoding="utf-8"?>
<comments xmlns="http://schemas.openxmlformats.org/spreadsheetml/2006/main">
  <authors>
    <author>Bijkerk, Remko</author>
  </authors>
  <commentList>
    <comment ref="B5" authorId="0" shapeId="0">
      <text>
        <r>
          <rPr>
            <sz val="8"/>
            <color indexed="81"/>
            <rFont val="Tahoma"/>
            <family val="2"/>
          </rPr>
          <t>AAPM Task group 108: PET and PET/CT Shielding Requirements</t>
        </r>
      </text>
    </comment>
    <comment ref="D13" authorId="0" shapeId="0">
      <text>
        <r>
          <rPr>
            <sz val="8"/>
            <color indexed="81"/>
            <rFont val="Tahoma"/>
            <family val="2"/>
          </rPr>
          <t>Bron: Aanbevelingen NVNG 2007</t>
        </r>
      </text>
    </comment>
    <comment ref="G23" authorId="0" shapeId="0">
      <text>
        <r>
          <rPr>
            <sz val="8"/>
            <color indexed="81"/>
            <rFont val="Tahoma"/>
            <family val="2"/>
          </rPr>
          <t xml:space="preserve">Bron: NVNG aanbevelingen 2017
</t>
        </r>
      </text>
    </comment>
    <comment ref="G44" authorId="0" shapeId="0">
      <text>
        <r>
          <rPr>
            <sz val="8"/>
            <color indexed="81"/>
            <rFont val="Tahoma"/>
            <family val="2"/>
          </rPr>
          <t xml:space="preserve">Bron: NVNG aanbevelingen 2017
</t>
        </r>
      </text>
    </comment>
    <comment ref="G45" authorId="0" shapeId="0">
      <text>
        <r>
          <rPr>
            <sz val="8"/>
            <color indexed="81"/>
            <rFont val="Tahoma"/>
            <family val="2"/>
          </rPr>
          <t xml:space="preserve">Bron: NVNG aanbevelingen 2017 </t>
        </r>
      </text>
    </comment>
  </commentList>
</comments>
</file>

<file path=xl/comments3.xml><?xml version="1.0" encoding="utf-8"?>
<comments xmlns="http://schemas.openxmlformats.org/spreadsheetml/2006/main">
  <authors>
    <author>Bijkerk, Remko</author>
  </authors>
  <commentList>
    <comment ref="Q1" authorId="0" shapeId="0">
      <text>
        <r>
          <rPr>
            <b/>
            <sz val="8"/>
            <color indexed="81"/>
            <rFont val="Tahoma"/>
            <family val="2"/>
          </rPr>
          <t>Geel gemarkeerd:</t>
        </r>
        <r>
          <rPr>
            <sz val="8"/>
            <color indexed="81"/>
            <rFont val="Tahoma"/>
            <family val="2"/>
          </rPr>
          <t xml:space="preserve">
Huidige keuze voor de volgende 5 kolommen</t>
        </r>
      </text>
    </comment>
    <comment ref="J2" authorId="0" shapeId="0">
      <text>
        <r>
          <rPr>
            <sz val="8"/>
            <color indexed="81"/>
            <rFont val="Tahoma"/>
            <family val="2"/>
          </rPr>
          <t xml:space="preserve">Aanname: ooglens is gelijk aan lichaams blootsteling
</t>
        </r>
      </text>
    </comment>
  </commentList>
</comments>
</file>

<file path=xl/comments4.xml><?xml version="1.0" encoding="utf-8"?>
<comments xmlns="http://schemas.openxmlformats.org/spreadsheetml/2006/main">
  <authors>
    <author>Bijkerk, Remko</author>
  </authors>
  <commentList>
    <comment ref="Q1" authorId="0" shapeId="0">
      <text>
        <r>
          <rPr>
            <b/>
            <sz val="8"/>
            <color indexed="81"/>
            <rFont val="Tahoma"/>
            <family val="2"/>
          </rPr>
          <t xml:space="preserve">Geel gemarkeerd:
</t>
        </r>
        <r>
          <rPr>
            <sz val="8"/>
            <color indexed="81"/>
            <rFont val="Tahoma"/>
            <family val="2"/>
          </rPr>
          <t>Huidige keuze voor de volgende 5 kolommen</t>
        </r>
        <r>
          <rPr>
            <sz val="8"/>
            <color indexed="81"/>
            <rFont val="Tahoma"/>
            <family val="2"/>
          </rPr>
          <t xml:space="preserve">
</t>
        </r>
      </text>
    </comment>
  </commentList>
</comments>
</file>

<file path=xl/comments5.xml><?xml version="1.0" encoding="utf-8"?>
<comments xmlns="http://schemas.openxmlformats.org/spreadsheetml/2006/main">
  <authors>
    <author>Bijkerk, Remko</author>
  </authors>
  <commentList>
    <comment ref="Q1" authorId="0" shapeId="0">
      <text>
        <r>
          <rPr>
            <b/>
            <sz val="8"/>
            <color indexed="81"/>
            <rFont val="Tahoma"/>
            <family val="2"/>
          </rPr>
          <t xml:space="preserve">Geel gemarkeerd:
</t>
        </r>
        <r>
          <rPr>
            <sz val="8"/>
            <color indexed="81"/>
            <rFont val="Tahoma"/>
            <family val="2"/>
          </rPr>
          <t xml:space="preserve">Huidige keuze voor de volgende 5 kolommen
</t>
        </r>
      </text>
    </comment>
  </commentList>
</comments>
</file>

<file path=xl/sharedStrings.xml><?xml version="1.0" encoding="utf-8"?>
<sst xmlns="http://schemas.openxmlformats.org/spreadsheetml/2006/main" count="1663" uniqueCount="568">
  <si>
    <t>Tc-99m</t>
  </si>
  <si>
    <t>In-111</t>
  </si>
  <si>
    <t>I-123</t>
  </si>
  <si>
    <t>I-131</t>
  </si>
  <si>
    <t>F-18</t>
  </si>
  <si>
    <t>Nuclide</t>
  </si>
  <si>
    <t>Farmacon</t>
  </si>
  <si>
    <t>M</t>
  </si>
  <si>
    <t>F</t>
  </si>
  <si>
    <t>Sm-153</t>
  </si>
  <si>
    <t>Y-90</t>
  </si>
  <si>
    <t>Toelichting</t>
  </si>
  <si>
    <t>Sr-89</t>
  </si>
  <si>
    <t>Onderzoek</t>
  </si>
  <si>
    <t>Kr-81m</t>
  </si>
  <si>
    <t>I-124</t>
  </si>
  <si>
    <t>Ra-223</t>
  </si>
  <si>
    <t>Ga-68</t>
  </si>
  <si>
    <t>P-32</t>
  </si>
  <si>
    <t>Kev. 96</t>
  </si>
  <si>
    <t>ICRP 119</t>
  </si>
  <si>
    <t>A</t>
  </si>
  <si>
    <r>
      <t>Ingestie klasse f</t>
    </r>
    <r>
      <rPr>
        <vertAlign val="subscript"/>
        <sz val="10"/>
        <rFont val="Arial"/>
        <family val="2"/>
      </rPr>
      <t>1</t>
    </r>
    <r>
      <rPr>
        <sz val="10"/>
        <rFont val="Arial"/>
        <family val="2"/>
      </rPr>
      <t>:</t>
    </r>
  </si>
  <si>
    <t>e(g)5u-inhalatie:</t>
  </si>
  <si>
    <t>Inhalatieklasse:</t>
  </si>
  <si>
    <t>e(g)-intraveneus:</t>
  </si>
  <si>
    <t>H(huid):</t>
  </si>
  <si>
    <t>e(g)-ingestie:</t>
  </si>
  <si>
    <t>Farmacon:</t>
  </si>
  <si>
    <t>ICRP 53/80/106</t>
  </si>
  <si>
    <t>C-laboratorium</t>
  </si>
  <si>
    <t>LAF-kast (DIN-keuring)</t>
  </si>
  <si>
    <t>Ruimte ventilatie</t>
  </si>
  <si>
    <t>Bewerking</t>
  </si>
  <si>
    <t>TF-werker incident
(1 uur)</t>
  </si>
  <si>
    <t>Natte bewerking met een minder vluchtige vloeistof</t>
  </si>
  <si>
    <t>Natte bewerking met een waterige vloeistof</t>
  </si>
  <si>
    <t>Natte bewerking met een vluchtige vloeistof</t>
  </si>
  <si>
    <t>Natte bewerking met een vloeistof waarin een niet vluchtig radionuclide is opgelost</t>
  </si>
  <si>
    <t>Open koken van een minder vluchtige vloeistof</t>
  </si>
  <si>
    <t>n.v.t.</t>
  </si>
  <si>
    <t>Open koken van een waterige vloeistof</t>
  </si>
  <si>
    <t>Open koken van een vluchtige vloeistof</t>
  </si>
  <si>
    <t>Open koken van een vloeistof waarin een niet vluchtige radionuclide is opgelost</t>
  </si>
  <si>
    <t>Spattende bewerking met een minder vluchtige vloeistof</t>
  </si>
  <si>
    <t>Spattende bewerking met een waterige vloeistof</t>
  </si>
  <si>
    <t>Spattende bewerking met een vluchtige vloeistof</t>
  </si>
  <si>
    <t>Spattende bewerking met een vloeistof waarin een niet vluchtig radionuclide is opgelost</t>
  </si>
  <si>
    <t>Optrekken van spuiten met een minder vluchtige vloeistof</t>
  </si>
  <si>
    <t>Optrekken van spuiten met een waterige vloeistof</t>
  </si>
  <si>
    <t>Optrekken van spuiten met een vluchtige vloeistof</t>
  </si>
  <si>
    <t>Optrekken van spuiten met een vloeistof waarin een niet vluchtig radionuclide is opgelost</t>
  </si>
  <si>
    <t>0,01% vrijkomend</t>
  </si>
  <si>
    <t>0,01% vrijkomend, falende zuurkast</t>
  </si>
  <si>
    <t>0,01% vrijkomend, falend ventilatiesysteem</t>
  </si>
  <si>
    <t>10% vrijkomend</t>
  </si>
  <si>
    <t>100% vrijkomend</t>
  </si>
  <si>
    <t>100% vrijkomend, falend ventilatiesysteem</t>
  </si>
  <si>
    <t>Stoffige bewerking</t>
  </si>
  <si>
    <t>Zeer stoffige bewerking</t>
  </si>
  <si>
    <t>Gas of damp in een houder</t>
  </si>
  <si>
    <t>Petoussi</t>
  </si>
  <si>
    <t>Divers</t>
  </si>
  <si>
    <t>h(10) pat.</t>
  </si>
  <si>
    <t>nvt</t>
  </si>
  <si>
    <t>SR-0</t>
  </si>
  <si>
    <t>Ja</t>
  </si>
  <si>
    <t>Huidbesmetting</t>
  </si>
  <si>
    <t>[m]</t>
  </si>
  <si>
    <t>[cm]</t>
  </si>
  <si>
    <t>B-</t>
  </si>
  <si>
    <t>EC</t>
  </si>
  <si>
    <t>IT/EC</t>
  </si>
  <si>
    <t>EC/B+</t>
  </si>
  <si>
    <t>IT/B-</t>
  </si>
  <si>
    <t>Ga-68 PSMA</t>
  </si>
  <si>
    <t>Literatuur:</t>
  </si>
  <si>
    <t>Otto 2016</t>
  </si>
  <si>
    <t>Bron: IBC Dosisoverzicht A</t>
  </si>
  <si>
    <t>Bron: IBC Dosisoverzicht B</t>
  </si>
  <si>
    <t>Ga-68 Dotatoc</t>
  </si>
  <si>
    <t>h</t>
  </si>
  <si>
    <t>Activiteits-fractie</t>
  </si>
  <si>
    <t>Transmissie bron-afscherming</t>
  </si>
  <si>
    <t>F-18 FDG</t>
  </si>
  <si>
    <t>Transmissie</t>
  </si>
  <si>
    <t>Transmissie lichaams-afscherming</t>
  </si>
  <si>
    <t>Inhalatie klasse</t>
  </si>
  <si>
    <t>e(g)-ingestie</t>
  </si>
  <si>
    <t>F-18 Choline</t>
  </si>
  <si>
    <t>F-18 Flutemetamol</t>
  </si>
  <si>
    <t>Ga-68 Galliumchloride</t>
  </si>
  <si>
    <t>Kr-81m Edelgas</t>
  </si>
  <si>
    <t>Y-90 Citraat</t>
  </si>
  <si>
    <t>Tc-99m Natriumpertechnetaat</t>
  </si>
  <si>
    <t>Sr-89 Strontiumchloride</t>
  </si>
  <si>
    <t>Tc-99m MAA</t>
  </si>
  <si>
    <t>Tc-99m MAG3</t>
  </si>
  <si>
    <t>Tc-99m Nanocolloid</t>
  </si>
  <si>
    <t>Tc-99m Technescan DMSA</t>
  </si>
  <si>
    <t>Tc-99m Technescan DTPA</t>
  </si>
  <si>
    <t>Tc-99m HMPAO</t>
  </si>
  <si>
    <t>I-123 IBZM</t>
  </si>
  <si>
    <t>I-123 NaI capsule (35% uptake)</t>
  </si>
  <si>
    <t>I-123 MIBG</t>
  </si>
  <si>
    <t>I-123 Natriumjodide</t>
  </si>
  <si>
    <t>I-131 NaI capsule (35% uptake)</t>
  </si>
  <si>
    <t>Sm-153 Quadramet</t>
  </si>
  <si>
    <t>Handelingsniveau: Levering / Elutie / Bereiding</t>
  </si>
  <si>
    <t>Rb-81/Kr-81(m)</t>
  </si>
  <si>
    <t>Mo-99/Tc-99(m)</t>
  </si>
  <si>
    <t>Petoussi 93</t>
  </si>
  <si>
    <t>QVL</t>
  </si>
  <si>
    <t>TVL</t>
  </si>
  <si>
    <t>Verval mode</t>
  </si>
  <si>
    <t>T(1/2)</t>
  </si>
  <si>
    <t>HVL</t>
  </si>
  <si>
    <t>CVL</t>
  </si>
  <si>
    <t>MVL</t>
  </si>
  <si>
    <t>Transmissie berekening m.b.v. Smith &amp; Stabin, 2012</t>
  </si>
  <si>
    <t>18O</t>
  </si>
  <si>
    <t>32S</t>
  </si>
  <si>
    <t>68Ga</t>
  </si>
  <si>
    <t>68Zn</t>
  </si>
  <si>
    <t>Daughters</t>
  </si>
  <si>
    <t>81mKr</t>
  </si>
  <si>
    <t>81Kr</t>
  </si>
  <si>
    <t>81Br</t>
  </si>
  <si>
    <t>89Y</t>
  </si>
  <si>
    <t>90Zr</t>
  </si>
  <si>
    <t>99mTc</t>
  </si>
  <si>
    <t>99Tc</t>
  </si>
  <si>
    <t>99Ru</t>
  </si>
  <si>
    <t>111mCd</t>
  </si>
  <si>
    <t>111Cd</t>
  </si>
  <si>
    <t>123Te</t>
  </si>
  <si>
    <t>123mTe</t>
  </si>
  <si>
    <t>124Te</t>
  </si>
  <si>
    <t>131mXe</t>
  </si>
  <si>
    <t>131Xe</t>
  </si>
  <si>
    <t>153Eu</t>
  </si>
  <si>
    <t>177Hf</t>
  </si>
  <si>
    <t>219Rn</t>
  </si>
  <si>
    <t>Rn-219</t>
  </si>
  <si>
    <t>215Po</t>
  </si>
  <si>
    <t>211Pb</t>
  </si>
  <si>
    <t>Po-215</t>
  </si>
  <si>
    <t>Pb-211</t>
  </si>
  <si>
    <t>211Bi</t>
  </si>
  <si>
    <t>Bi-211</t>
  </si>
  <si>
    <t>207Tl</t>
  </si>
  <si>
    <t>211Po</t>
  </si>
  <si>
    <t>207Pb</t>
  </si>
  <si>
    <t>Tl-207</t>
  </si>
  <si>
    <t>Lu-177</t>
  </si>
  <si>
    <t>Lu-177m</t>
  </si>
  <si>
    <t>A (100 %)</t>
  </si>
  <si>
    <t>A (99,7 %)</t>
  </si>
  <si>
    <t>B- (100 %)</t>
  </si>
  <si>
    <t>237Np</t>
  </si>
  <si>
    <t>177Lu</t>
  </si>
  <si>
    <t>137mBa</t>
  </si>
  <si>
    <t>137Ba</t>
  </si>
  <si>
    <t>90Y</t>
  </si>
  <si>
    <t>57Fe</t>
  </si>
  <si>
    <t>B-/IT</t>
  </si>
  <si>
    <t>F-18 PSMA</t>
  </si>
  <si>
    <t>I-124 Natriumjodide (35% uptake)</t>
  </si>
  <si>
    <t>Tc-99m Cardiolite</t>
  </si>
  <si>
    <t>Tc-99m SestaMIBI</t>
  </si>
  <si>
    <t>Tc-99m Myoview</t>
  </si>
  <si>
    <t>Tc-99m Tetrofosmin</t>
  </si>
  <si>
    <t>Tc-99m Osteocis</t>
  </si>
  <si>
    <t>Tc-99m Medronaat</t>
  </si>
  <si>
    <t>Tc-99m MDP</t>
  </si>
  <si>
    <t>Tc-99m Albumine</t>
  </si>
  <si>
    <t>Tc-99m HSA</t>
  </si>
  <si>
    <t xml:space="preserve">Tc-99m Vasculosis </t>
  </si>
  <si>
    <t>In-111 Pentetreoide</t>
  </si>
  <si>
    <t>In-111 Octreoscan</t>
  </si>
  <si>
    <t>I-123 FP-CIT</t>
  </si>
  <si>
    <t>I-123 DATscan</t>
  </si>
  <si>
    <t>Ra-223 Radiumdichloride</t>
  </si>
  <si>
    <t>Ra-223 (eff.)</t>
  </si>
  <si>
    <t>Smith &amp; Stabin 2012</t>
  </si>
  <si>
    <t>Delacroix 2002</t>
  </si>
  <si>
    <t>&lt; 1</t>
  </si>
  <si>
    <t>Delacroix 2002 / Bos 2007</t>
  </si>
  <si>
    <t>H'(0,07) e</t>
  </si>
  <si>
    <r>
      <t xml:space="preserve">H'(0,07) </t>
    </r>
    <r>
      <rPr>
        <sz val="10"/>
        <rFont val="Microsoft Sans Serif"/>
        <family val="2"/>
      </rPr>
      <t>γ</t>
    </r>
    <r>
      <rPr>
        <sz val="10"/>
        <rFont val="Arial"/>
        <family val="2"/>
      </rPr>
      <t/>
    </r>
  </si>
  <si>
    <t>H'(0,07) sum</t>
  </si>
  <si>
    <t>H'(10) e</t>
  </si>
  <si>
    <r>
      <t xml:space="preserve">H'(10) </t>
    </r>
    <r>
      <rPr>
        <sz val="10"/>
        <rFont val="Microsoft Sans Serif"/>
        <family val="2"/>
      </rPr>
      <t>γ</t>
    </r>
    <r>
      <rPr>
        <sz val="10"/>
        <rFont val="Arial"/>
        <family val="2"/>
      </rPr>
      <t/>
    </r>
  </si>
  <si>
    <t>H'(10) sum</t>
  </si>
  <si>
    <t>125Te</t>
  </si>
  <si>
    <t>PERSONAL DOSE-EQUIVALENTCONVERSION COEFFICIENTS FOR 1252 RADIONUCLIDES, Thomas Otto, Radiation Protection Dosimetry (2016), Vol. 168, No. 1, pp. 1–70</t>
  </si>
  <si>
    <t>Bron: Otto 2016</t>
  </si>
  <si>
    <t>ICRP Publication 119: Compendium of Dose Coefficients based on ICRP Publication 60 (Anals of the ICRP, Volume 41, Supplement 1 2012)</t>
  </si>
  <si>
    <t>Smith 2012</t>
  </si>
  <si>
    <t>EXPOSURE RATE CONSTANTS AND LEAD SHIELDING VALUES FOR OVER 1,100 RADIONUCLIDES, David S. Smith and Michael G. Stabin, 2012</t>
  </si>
  <si>
    <t>Fysische halfwaardetijd, Bron: ICRP-119, ANNEX A, Table A.1</t>
  </si>
  <si>
    <t>Dose equivalent due to electrons at 10 mm depth in the ICRU sphere, for radionuclides emitted from point sources at a distance of 100 cm from the surface of the sphere. Bron: Petoussi 1993</t>
  </si>
  <si>
    <t>Dose equivalent due to photons and electrons at 10 mm depth in the ICRU sphere, for radionuclides emitted from point sources at a distance of 100 cm from the surface of the sphere. Bron: Petoussi 1993</t>
  </si>
  <si>
    <t>Dose equivalent due to photons at 10 mm depth in the ICRU sphere, for radionuclides emitted from point sources at a distance of 100 cm from the surface of the sphere. Bron: Petoussi 1993</t>
  </si>
  <si>
    <t>Petoussi 1993</t>
  </si>
  <si>
    <t>Keverling 1996</t>
  </si>
  <si>
    <t>Halfwaardedikte in mm Pb (of equivalent). Bron: Smith 2012, Table 1</t>
  </si>
  <si>
    <t>25%-waardedikte in mm Pb (of equivalent). Bron: Smith 2012, Table 1</t>
  </si>
  <si>
    <t>10%-waardedikte in mm Pb (of equivalent). Bron: Smith 2012, Table 1</t>
  </si>
  <si>
    <t>1%-waardedikte in mm Pb (of equivalent). Bron: Smith 2012, Table 1</t>
  </si>
  <si>
    <t>0,1%-waardedikte in mm Pb (of equivalent). Bron: Smith 2012, Table 1</t>
  </si>
  <si>
    <t>HVL(Del.)</t>
  </si>
  <si>
    <t>TVL(Del.)</t>
  </si>
  <si>
    <t>10%-waardedikte in mm Pb (of equivalent). Bron: Delacroix 2002</t>
  </si>
  <si>
    <t>Hp(10) ph</t>
  </si>
  <si>
    <t>Hp(10) el</t>
  </si>
  <si>
    <t>Hp(10) β+/β-</t>
  </si>
  <si>
    <t>Hp(10) an</t>
  </si>
  <si>
    <t>Hp(10) Sh</t>
  </si>
  <si>
    <t>Hp(10) USh</t>
  </si>
  <si>
    <t>Contribution of Photons to personal dose equivalent Hp(10) @ 100 cm for the ISO slab phantom. Bron: Otto 2016</t>
  </si>
  <si>
    <t>Contribution of Electrons to personal dose equivalent Hp(10) @ 100 cm for the ISO slab phantom. Bron: Otto 2016</t>
  </si>
  <si>
    <t>Contribution of Beta's to personal dose equivalent Hp(10) @ 100 cm for the ISO slab phantom. Bron: Otto 2016</t>
  </si>
  <si>
    <t>Contribution of Annihilation to personal dose equivalent Hp(10) @ 100 cm for the ISO slab phantom. Bron: Otto 2016</t>
  </si>
  <si>
    <t>Hp(3) ph</t>
  </si>
  <si>
    <t>Hp(3) el</t>
  </si>
  <si>
    <t>Hp(3) β+/β-</t>
  </si>
  <si>
    <t>Hp(3) an</t>
  </si>
  <si>
    <t>Hp(3) USh</t>
  </si>
  <si>
    <t>Hp(3) Sh</t>
  </si>
  <si>
    <t>Contribution of Photons to personal dose equivalent Hp(3) @ 100 cm for the ISO slab phantom. Bron: Otto 2016</t>
  </si>
  <si>
    <t>Contribution of Electrons to personal dose equivalent Hp(3) @ 100 cm for the ISO slab phantom. Bron: Otto 2016</t>
  </si>
  <si>
    <t>Contribution of Beta's to personal dose equivalent Hp(3) @ 100 cm for the ISO slab phantom. Bron: Otto 2016</t>
  </si>
  <si>
    <t>Contribution of Annihilation to personal dose equivalent Hp(3) @ 100 cm for the ISO slab phantom. Bron: Otto 2016</t>
  </si>
  <si>
    <t>Sum of contributions of Photons, Electrons and Beta's (Unshielded) to personal dose equivalent Hp(3) @ 100 cm for the ISO slab phantom. Bron: Otto 2016</t>
  </si>
  <si>
    <t>Sum of contributions of Photons and Annihilation (Shielded) to personal dose equivalent Hp(3) @ 100 cm for the ISO slab phantom. Bron: Otto 2016</t>
  </si>
  <si>
    <t>Hp(0,07) ph</t>
  </si>
  <si>
    <t>Hp(0,07) el</t>
  </si>
  <si>
    <t>Hp(0,07) β+/β-</t>
  </si>
  <si>
    <t>Contribution of Photons to personal dose equivalent Hp(0,07) @ 10 cm for the ISO slab phantom. Bron: Otto 2016</t>
  </si>
  <si>
    <t>Contribution of Electrons to personal dose equivalent Hp(0,07) @ 10 cm for the ISO slab phantom. Bron: Otto 2016</t>
  </si>
  <si>
    <t>Contribution of Beta's to personal dose equivalent Hp(0,07) @ 10 cm for the ISO slab phantom. Bron: Otto 2016</t>
  </si>
  <si>
    <t>Hp(0,07) an</t>
  </si>
  <si>
    <t>Contribution of Annihilation to personal dose equivalent Hp(0,07) @ 10 cm for the ISO slab phantom. Bron: Otto 2016</t>
  </si>
  <si>
    <t>Hp(0,07) USh</t>
  </si>
  <si>
    <t>Hp(0,07) Sh</t>
  </si>
  <si>
    <t>Dose equivalent due to electrons at 0,07 mm depth in the ICRU sphere, for radionuclides emitted from point sources at a distance of 10 cm from the surface of the sphere. Bron: Petoussi 1993</t>
  </si>
  <si>
    <t>Dose equivalent due to photons at 0,07 mm depth in the ICRU sphere, for radionuclides emitted from point sources at a distance of 10 cm from the surface of the sphere. Bron: Petoussi 1993</t>
  </si>
  <si>
    <t>Dose equivalent due to photons and electrons at 0,07 mm depth in the ICRU sphere, for radionuclides emitted from point sources at a distance of 10 cm from the surface of the sphere. Bron: Petoussi 1993</t>
  </si>
  <si>
    <t>[mSv/h/GBq]</t>
  </si>
  <si>
    <t>Vervalproducten. Bron: Otto 2016</t>
  </si>
  <si>
    <t>[h]</t>
  </si>
  <si>
    <t>[mm Pb]</t>
  </si>
  <si>
    <t>H'(10) γ</t>
  </si>
  <si>
    <t>H'(0,07) γ</t>
  </si>
  <si>
    <t>[µSv/h/MBq]</t>
  </si>
  <si>
    <t>H(huid)</t>
  </si>
  <si>
    <t>h(10) Pat</t>
  </si>
  <si>
    <t>Verval</t>
  </si>
  <si>
    <t>Toelichting:</t>
  </si>
  <si>
    <r>
      <rPr>
        <b/>
        <sz val="10"/>
        <rFont val="Microsoft Sans Serif"/>
        <family val="2"/>
      </rPr>
      <t>[µ</t>
    </r>
    <r>
      <rPr>
        <b/>
        <sz val="10"/>
        <rFont val="Arial"/>
        <family val="2"/>
      </rPr>
      <t>Sv/h/GBq]</t>
    </r>
  </si>
  <si>
    <r>
      <rPr>
        <b/>
        <sz val="10"/>
        <rFont val="Microsoft Sans Serif"/>
        <family val="2"/>
      </rPr>
      <t>[µ</t>
    </r>
    <r>
      <rPr>
        <b/>
        <sz val="10"/>
        <rFont val="Arial"/>
        <family val="2"/>
      </rPr>
      <t>Sv/h/MBq]</t>
    </r>
  </si>
  <si>
    <r>
      <rPr>
        <b/>
        <sz val="10"/>
        <rFont val="Microsoft Sans Serif"/>
        <family val="2"/>
      </rPr>
      <t>[µSv/h/MBq</t>
    </r>
    <r>
      <rPr>
        <b/>
        <sz val="10"/>
        <rFont val="Arial"/>
        <family val="2"/>
      </rPr>
      <t>]</t>
    </r>
  </si>
  <si>
    <t>RADIONUCLIDE AND RADIATION PROTECTION DATA HANDBOOK 2002, D. Delacroix et al, RADIATION PROTECTION DOSIMETRY Vol. 98 No 1, 2002</t>
  </si>
  <si>
    <t>Handboek RADIONUCLIDEN, A.S. Keverling Buisman, 1996</t>
  </si>
  <si>
    <t>Dose distributions in the ICRU sphere for monoenergetic photons and electrons and for ca. 800 radionuclides, N. Petoussi, M. Zankl, G. Fehrenbacher, G. Drexler, Institut für Strahlenschutz, GSF-Bericht 7/93</t>
  </si>
  <si>
    <t>[Sv/s per Bq/cm2]</t>
  </si>
  <si>
    <t>[mSv/MBq]</t>
  </si>
  <si>
    <t>e(g)-iv</t>
  </si>
  <si>
    <t>e(g)5u-inhalatie</t>
  </si>
  <si>
    <t>Effectieve dosisequivalent op 1 m afstand, na toediening aan de patiënt (inclusief zelfabsorptie). Bronvermelding per nuclide weergeven. Voor een conservatieve schatting: neem de Hp(10) behorend bij het nuclide.</t>
  </si>
  <si>
    <t>ICRP 119 (E1)</t>
  </si>
  <si>
    <t>ICRP 119 (A1)</t>
  </si>
  <si>
    <t>ICRP 119 (D1)</t>
  </si>
  <si>
    <t>P-32 Phosphate</t>
  </si>
  <si>
    <t>[Sv/Bq]</t>
  </si>
  <si>
    <r>
      <t>Ingestie klasse f</t>
    </r>
    <r>
      <rPr>
        <b/>
        <vertAlign val="subscript"/>
        <sz val="10"/>
        <color indexed="8"/>
        <rFont val="Arial"/>
        <family val="2"/>
      </rPr>
      <t>1</t>
    </r>
  </si>
  <si>
    <t>(F/M/S)</t>
  </si>
  <si>
    <t>[MBq]</t>
  </si>
  <si>
    <t>Activiteit Maximum</t>
  </si>
  <si>
    <t>Activiteit
Gemiddeld</t>
  </si>
  <si>
    <t>[Aantal/jaar]</t>
  </si>
  <si>
    <t>Tc-99m Technescan HDP</t>
  </si>
  <si>
    <t>Opmerking</t>
  </si>
  <si>
    <t>Levering</t>
  </si>
  <si>
    <t>Farmacon / Ingekapselde bron / Generator</t>
  </si>
  <si>
    <t>Onderzoek / Therapie</t>
  </si>
  <si>
    <t>Handelingen</t>
  </si>
  <si>
    <t>Handelingsniveau:</t>
  </si>
  <si>
    <t>Meetmoment: Toediengereed maken</t>
  </si>
  <si>
    <t>Tijdsduur extremiteiten blootstelling</t>
  </si>
  <si>
    <t>[min]</t>
  </si>
  <si>
    <t>Afstand extremiteiten tot bron</t>
  </si>
  <si>
    <t>Afstand lichaam tot bron</t>
  </si>
  <si>
    <t>Tijdsduur lichaams blootstelling</t>
  </si>
  <si>
    <t xml:space="preserve">Afscherming bron
</t>
  </si>
  <si>
    <t>[mm Pb eq.]</t>
  </si>
  <si>
    <t>Extra afscherming lichaam</t>
  </si>
  <si>
    <t>[Ja/Nee/Deels]</t>
  </si>
  <si>
    <t xml:space="preserve">h(0,07)
@ 10 cm
</t>
  </si>
  <si>
    <t xml:space="preserve">h(10)
@ 100 cm
</t>
  </si>
  <si>
    <t xml:space="preserve">h(3)
@ 100 cm
</t>
  </si>
  <si>
    <t xml:space="preserve">Tijd (vóór/na activiteitsmeting)
</t>
  </si>
  <si>
    <t xml:space="preserve">Dosistempo extremiteiten
</t>
  </si>
  <si>
    <t>[µSv/h]</t>
  </si>
  <si>
    <t xml:space="preserve">Extremiteiten jaardosis
</t>
  </si>
  <si>
    <t>[mSv]</t>
  </si>
  <si>
    <t>Dosistempo lichaam</t>
  </si>
  <si>
    <t>Lichaams jaardosis</t>
  </si>
  <si>
    <t>Dosistempo ooglens</t>
  </si>
  <si>
    <t>Ooglens jaardosis</t>
  </si>
  <si>
    <t>Kolom1</t>
  </si>
  <si>
    <t>Kolom3</t>
  </si>
  <si>
    <t>Kolom2</t>
  </si>
  <si>
    <t>Kolom4</t>
  </si>
  <si>
    <t>Kolom5</t>
  </si>
  <si>
    <t>Kolom6</t>
  </si>
  <si>
    <t>Kolom7</t>
  </si>
  <si>
    <t>Kolom8</t>
  </si>
  <si>
    <t>Kolom9</t>
  </si>
  <si>
    <t>Kolom10</t>
  </si>
  <si>
    <t>Kolom11</t>
  </si>
  <si>
    <t>Kolom12</t>
  </si>
  <si>
    <t>Kolom13</t>
  </si>
  <si>
    <t>Kolom14</t>
  </si>
  <si>
    <t>Kolom15</t>
  </si>
  <si>
    <t>Kolom16</t>
  </si>
  <si>
    <t>Kolom17</t>
  </si>
  <si>
    <t>Kolom18</t>
  </si>
  <si>
    <t>Kolom19</t>
  </si>
  <si>
    <t>Kolom20</t>
  </si>
  <si>
    <t>Kolom21</t>
  </si>
  <si>
    <t>Kolom22</t>
  </si>
  <si>
    <t>Kolom23</t>
  </si>
  <si>
    <t>Kolom24</t>
  </si>
  <si>
    <t>Kolom25</t>
  </si>
  <si>
    <t>Kolom26</t>
  </si>
  <si>
    <t>Kolom27</t>
  </si>
  <si>
    <t>Kolom28</t>
  </si>
  <si>
    <t>Kolom29</t>
  </si>
  <si>
    <t>Kolom30</t>
  </si>
  <si>
    <t>Kolom31</t>
  </si>
  <si>
    <t>Kolom32</t>
  </si>
  <si>
    <t>Kolom33</t>
  </si>
  <si>
    <t>Kolom34</t>
  </si>
  <si>
    <t>Kolom35</t>
  </si>
  <si>
    <t>Kolom36</t>
  </si>
  <si>
    <t>Kolom38</t>
  </si>
  <si>
    <t>Kolom39</t>
  </si>
  <si>
    <t>Otto</t>
  </si>
  <si>
    <t>HVL Smith</t>
  </si>
  <si>
    <t>A/B-</t>
  </si>
  <si>
    <t>Leveringen</t>
  </si>
  <si>
    <t>Handeling</t>
  </si>
  <si>
    <t>Collectieve dosis van alle betrokken medewerkers</t>
  </si>
  <si>
    <t>[%]</t>
  </si>
  <si>
    <t>Medewerker type</t>
  </si>
  <si>
    <t>Activiteit
Maximum</t>
  </si>
  <si>
    <t>Aantal VOG's</t>
  </si>
  <si>
    <t>[per jaar]</t>
  </si>
  <si>
    <t>Tijdsduur handeling</t>
  </si>
  <si>
    <r>
      <t>e(g)5</t>
    </r>
    <r>
      <rPr>
        <b/>
        <sz val="10"/>
        <color theme="1"/>
        <rFont val="Microsoft Sans Serif"/>
        <family val="2"/>
      </rPr>
      <t>µ</t>
    </r>
    <r>
      <rPr>
        <b/>
        <sz val="10"/>
        <color theme="1"/>
        <rFont val="Arial"/>
        <family val="2"/>
      </rPr>
      <t>-inhalatie</t>
    </r>
  </si>
  <si>
    <t>Jaardosis Inhalatie
Collectief</t>
  </si>
  <si>
    <t xml:space="preserve">Jaardosis Inhalatie Medewerker
</t>
  </si>
  <si>
    <t>FTE(m) / FTE(totaal)</t>
  </si>
  <si>
    <t>TFW per dag (5 uur)</t>
  </si>
  <si>
    <t>Type (deel)handeling</t>
  </si>
  <si>
    <t>Type
(deel)handeling</t>
  </si>
  <si>
    <t>Voorziene ongewenste gebeurtenis</t>
  </si>
  <si>
    <t>Dosistempo en Dosis per type VOG</t>
  </si>
  <si>
    <t xml:space="preserve">Dosis extremiteiten
</t>
  </si>
  <si>
    <t>Dosis
lichaam</t>
  </si>
  <si>
    <t>Dosis
ooglens</t>
  </si>
  <si>
    <t xml:space="preserve">Rekenblad 1: </t>
  </si>
  <si>
    <t>Reguliere handelingen met open (en ingekapselde) bronnen op Leveringsniveau - Uitwendige blootstelling</t>
  </si>
  <si>
    <t>Reguliere handelingen met open bronnen op niveau Toediengereed maken - Uitwendige blootstelling</t>
  </si>
  <si>
    <t>Rekenblad 2:</t>
  </si>
  <si>
    <t>Rekenblad 3:</t>
  </si>
  <si>
    <t>Reguliere handelingen met open bronnen op niveau Toediening - Uitwendige blootstelling</t>
  </si>
  <si>
    <t>Rekenblad 4:</t>
  </si>
  <si>
    <t>Reguliere handelingen met open bronnen op Leveringsniveau - Inhalatie</t>
  </si>
  <si>
    <t xml:space="preserve">Rekenblad 7: </t>
  </si>
  <si>
    <t>Voorziene onbedoelde gebeurtenissen met open (en ingekapselde) bronnen op Leveringsniveau - Uitwendige blootstelling</t>
  </si>
  <si>
    <t xml:space="preserve">Rekenblad 8: </t>
  </si>
  <si>
    <t>Voorziene onbedoelde gebeurtenissen met open bronnen op niveau Toediengereed maken - Uitwendige blootstelling</t>
  </si>
  <si>
    <t xml:space="preserve">Rekenblad 9: </t>
  </si>
  <si>
    <t>Voorziene onbedoelde gebeurtenissen met open bronnen op niveau Toediening - Uitwendige blootstelling</t>
  </si>
  <si>
    <t>Reguliere handelingen met open bronnen op niveau Toediengereed maken - Inhalatie</t>
  </si>
  <si>
    <t>Rekenblad 5:</t>
  </si>
  <si>
    <t>Reguliere handelingen met open bronnen op niveau Toediening - Inhalatie</t>
  </si>
  <si>
    <t>Rekenblad 6:</t>
  </si>
  <si>
    <t xml:space="preserve">Rekenblad 10: </t>
  </si>
  <si>
    <t>VOG's met open bronnen op Leveringsniveau - Inwendige besmetting</t>
  </si>
  <si>
    <t>TFW (inhalatie)</t>
  </si>
  <si>
    <t>Volgdosis Inhalatie</t>
  </si>
  <si>
    <t>TFW (ingestie)</t>
  </si>
  <si>
    <t>Volgdosis Ingestie</t>
  </si>
  <si>
    <t>Inhalatie incident</t>
  </si>
  <si>
    <t>Ingestie incident</t>
  </si>
  <si>
    <t>Prik incident</t>
  </si>
  <si>
    <t>TFW (prikken)</t>
  </si>
  <si>
    <t>e(g)
intra-veneus</t>
  </si>
  <si>
    <t>Volgdosis Prikken</t>
  </si>
  <si>
    <t>Volgdosis Huid</t>
  </si>
  <si>
    <t>H(huid)
per cm2</t>
  </si>
  <si>
    <t>[Sv/s/Bq]</t>
  </si>
  <si>
    <t>[mSv/cm2]</t>
  </si>
  <si>
    <t>TFW
(per cm2
huid)</t>
  </si>
  <si>
    <t>Lambda
(effectief)</t>
  </si>
  <si>
    <t>[per dag]</t>
  </si>
  <si>
    <t>VOG's met open bronnen op niveau Toediengereed maken - Inwendige besmetting</t>
  </si>
  <si>
    <t>VOG's met open bronnen op niveau Toediening - Inwendige besmetting</t>
  </si>
  <si>
    <t xml:space="preserve">Rekenblad 11: </t>
  </si>
  <si>
    <t xml:space="preserve">Rekenblad 12: </t>
  </si>
  <si>
    <t>Bron: IBC - Periodiek overzicht verbruik per farmacon</t>
  </si>
  <si>
    <t>Totaal</t>
  </si>
  <si>
    <t>Voorziene onbedoelde gebeurtenissen</t>
  </si>
  <si>
    <t>Blootstellingstype</t>
  </si>
  <si>
    <t>Niveau Reguliere handelingen</t>
  </si>
  <si>
    <t>VTGM</t>
  </si>
  <si>
    <t>Toediening</t>
  </si>
  <si>
    <t>Huiddosis
per cm2</t>
  </si>
  <si>
    <t>TF-werker per dag
(5 uur)</t>
  </si>
  <si>
    <t>Bron: HARAS p.33</t>
  </si>
  <si>
    <t>Bron: HARAS p.35</t>
  </si>
  <si>
    <t>Co-57 (s)</t>
  </si>
  <si>
    <t>Ge-68 (s)</t>
  </si>
  <si>
    <t>Gd-153 (s)</t>
  </si>
  <si>
    <t>Cs-137 (s)</t>
  </si>
  <si>
    <t>Rb-81 (s)</t>
  </si>
  <si>
    <t>Sr-90 (s)</t>
  </si>
  <si>
    <t>Mo-99 (s)</t>
  </si>
  <si>
    <t>I-125 (s)</t>
  </si>
  <si>
    <t>Am-241 (s)</t>
  </si>
  <si>
    <t>Bron: HARAS p. 39</t>
  </si>
  <si>
    <t>Bron: HARAS p. 40</t>
  </si>
  <si>
    <t>Opmerking / Handeling</t>
  </si>
  <si>
    <t>Meetmoment: Toedienen</t>
  </si>
  <si>
    <t>Ba-137m</t>
  </si>
  <si>
    <t>IT</t>
  </si>
  <si>
    <t>Cs-137 (eff.)</t>
  </si>
  <si>
    <t>Omgevingsdosis(equivalent)tempo op 1 m afstand van de bron. Bron: Handboek Radionucliden, A.S. Keverling Buisman, 1996</t>
  </si>
  <si>
    <t>Ge-68 (eff.)</t>
  </si>
  <si>
    <t>Maßnahmen bei radioaktiver Kontamination der Haut, Empfehlung der Strahlenschutzkommission, Band 15, 1990 (www.ssk.de)</t>
  </si>
  <si>
    <t>SSK 1990</t>
  </si>
  <si>
    <t>Mogelijkheden:</t>
  </si>
  <si>
    <t>Nee</t>
  </si>
  <si>
    <t>Deels</t>
  </si>
  <si>
    <t>Inwendige volgdosis</t>
  </si>
  <si>
    <t>Totaal:</t>
  </si>
  <si>
    <r>
      <t xml:space="preserve">Radionuclide (s = source oftewel ingekapselde bron of generator, eff. = effectieve waarde bij vervalreeks)
</t>
    </r>
    <r>
      <rPr>
        <sz val="10"/>
        <color rgb="FFFF0000"/>
        <rFont val="Arial"/>
        <family val="2"/>
      </rPr>
      <t xml:space="preserve">Noot: de hier gebruikte naamgeving wordt in andere tabellen voor de functie "Vertikaal zoeken" gebruikt, en dient daar exact gelijk te zijn </t>
    </r>
  </si>
  <si>
    <r>
      <t xml:space="preserve">Halfwaardedikte in mm Pb (of equivalent). Bron: Delacroix 2002.
</t>
    </r>
    <r>
      <rPr>
        <sz val="10"/>
        <color rgb="FFFF0000"/>
        <rFont val="Arial"/>
        <family val="2"/>
      </rPr>
      <t xml:space="preserve">nvt = van toepassing bij pure béta emitters, hierbij geeft Delacroix alleen de totale absorptiedikte voor glas en plastic. </t>
    </r>
  </si>
  <si>
    <r>
      <t xml:space="preserve">Sum of contributions of Photons, Electrons and Beta's (Unshielded) to personal dose equivalent Hp(10) @ 100 cm for the ISO slab phantom. Bron: Otto 2016.
</t>
    </r>
    <r>
      <rPr>
        <sz val="10"/>
        <color rgb="FFFF0000"/>
        <rFont val="Arial"/>
        <family val="2"/>
      </rPr>
      <t>Noot: rode getallen wijken een factor 2 of meer af van overeenkomstige bronconstanten in andere literatuur.</t>
    </r>
  </si>
  <si>
    <r>
      <t xml:space="preserve">Sum of contributions of Photons, Electrons and Beta's (Unshielded) to personal dose equivalent Hp(0,07) @ 10 cm for the ISO slab phantom. Bron: Otto 2016.
</t>
    </r>
    <r>
      <rPr>
        <sz val="10"/>
        <color rgb="FFFF0000"/>
        <rFont val="Arial"/>
        <family val="2"/>
      </rPr>
      <t>Noot: rode getallen wijken een factor 2 of meer af van overeenkomstige bronconstanten in andere literatuur.</t>
    </r>
  </si>
  <si>
    <r>
      <t xml:space="preserve">Sum of contributions of Photons and Annihilation (Shielded) to personal dose equivalent Hp(0,07) @ 10 cm for the ISO slab phantom. Bron: Otto 2016.
</t>
    </r>
    <r>
      <rPr>
        <sz val="10"/>
        <color rgb="FFFF0000"/>
        <rFont val="Arial"/>
        <family val="2"/>
      </rPr>
      <t>Noot: rode getallen wijken een factor 2 of meer af van overeenkomstige bronconstanten in andere literatuur.</t>
    </r>
  </si>
  <si>
    <r>
      <t xml:space="preserve">Sum of contributions of Photons and Annihilation (Shielded) to personal dose equivalent Hp(10) @ 100 cm for the ISO slab phantom. Bron: Otto 2016.
</t>
    </r>
    <r>
      <rPr>
        <sz val="10"/>
        <color rgb="FFFF0000"/>
        <rFont val="Arial"/>
        <family val="2"/>
      </rPr>
      <t>Notice: Shielded means that directly ionising particles are held back in the source, leading eventually to annihilation of positrons.</t>
    </r>
  </si>
  <si>
    <t>Longzuiveringsklassen F(ast), M(oderate) en S(low) voor zuivering uit de longen na inhalatie. Referentie: ICRP-119, ANNEX E, Table E.1. Compounds, lung clearance types, and f1 values used for the calculation of inhalation dose coefficients for workers.</t>
  </si>
  <si>
    <t>Effectieve volgdosis in Sv/Bq bij inhalatie van een aërosool met een stofdeeltjesgrootte van 5 µm, de aanbevolen waarde voor blootgestelde werknemers, Referentie: ICRP-119, ANNEX A, Table A.1.</t>
  </si>
  <si>
    <t>Fractie van de activiteit die vanuit het maagdarmkanaal wordt opgenomen. Referentie: ICRP-119, ANNEX D, Table D.1. Compounds and f1 values used for the calculation of ingestion dose coefficients for workers.</t>
  </si>
  <si>
    <t>Effectieve volgdosis in Sv/Bq bij ingestie van een radiofarmacon. Referentie: ICRP-119, ANNEX A, Table A.1.</t>
  </si>
  <si>
    <t>Effectieve volgdosis in mSv/MBq bij intaveneuze toediening van een radiofarmacon, Referentie: ICRP 53, 80 en 106, Radiation Dose to Patients from Radiopharmaceuticals. Aanvullingen uit: Procedure Guidelines Nuclear Medicine, Dutch Society of Nuclear Medicine (NVNG 2017)</t>
  </si>
  <si>
    <r>
      <t xml:space="preserve">Het farmacon dat aan het radionuclide gekoppeld wordt / is.
</t>
    </r>
    <r>
      <rPr>
        <sz val="10"/>
        <color rgb="FFFF0000"/>
        <rFont val="Arial"/>
        <family val="2"/>
      </rPr>
      <t>Noot: de hier gebruikte naamgeving wordt in reken-tabellen voor de functie "Vertikaal zoeken" gebruikt, en dient daar exact gelijk te zijn.</t>
    </r>
  </si>
  <si>
    <t>Huidige versie</t>
  </si>
  <si>
    <t>Aanpassingen</t>
  </si>
  <si>
    <t>Eerdere versies</t>
  </si>
  <si>
    <t>1.0</t>
  </si>
  <si>
    <t>1.03</t>
  </si>
  <si>
    <t>2.0</t>
  </si>
  <si>
    <t>Datum Publicatie</t>
  </si>
  <si>
    <t>113-inwendige-besmetting.xls - eerste gepubliceerde versie</t>
  </si>
  <si>
    <t>114-uitwendige-blootstelling-f-18-fdg.xls - eerste gepubliceerde versie</t>
  </si>
  <si>
    <t>115-uitwendige-blootstelling-i-131-therapie.xls - eerste gepubliceerde versie</t>
  </si>
  <si>
    <t>116-uitwendige-blootstelling-incidenteel-extremiteiten.xls - eerste gepubliceerde versie</t>
  </si>
  <si>
    <t>117-uitwendige-blootstelling-incidenteel.xls - eerste gepubliceerde versie</t>
  </si>
  <si>
    <t>118-uitwendige-blootstelling-regulier-extremiteiten.xls - eerste gepubliceerde versie</t>
  </si>
  <si>
    <t>119-uitwendige-blootstelling-regulier.xls - eerste gepubliceerde versie</t>
  </si>
  <si>
    <t>112-hulptabellen.xls - eerste gepubliceerde versie</t>
  </si>
  <si>
    <t>Document "Aanbevelingen risicoanalyse en -evaluatie voor Nucleair Geneeskundige verrichtingen in ziekenhuizen RIAS-NG", inclusief (ongewijzigde) rekentabellen beschikbaar via NCS-website, NCS Disclaimer &amp; Preface toegevoegd aan document.</t>
  </si>
  <si>
    <t>Tabblad Handelingen Leveringsniveau toegevoegd (aantal handelingen/jaar, gemiddelde en maximum activiteit)</t>
  </si>
  <si>
    <t>Tabblad Handelingen Onderzoeksniveau toegevoegd (aantal handelingen/jaar, gemiddelde en maximum activiteit)</t>
  </si>
  <si>
    <t>Percentage v.d. Activiteit</t>
  </si>
  <si>
    <t>Omschrijving</t>
  </si>
  <si>
    <t>Medewerker type 1</t>
  </si>
  <si>
    <t>Medewerker type 2</t>
  </si>
  <si>
    <r>
      <t xml:space="preserve">Rekenbladen Uitwendige blootstelling - Regulier: 3 generieke rekenbladen voor verschillende activiteitsniveau's, geschikt voor open bronnen, ingekapselde bronnen en generatoren ontworpen, waarbij: Berekening v.d. effectieve lichaamsdosis, equivalente extremiteitendosis en ooglensdosis samengevoegd in één rekenblad. Berekening activiteitsfractie op andere tijdstippen mogelijk. Onderscheid tussen afscherming lichaam (ooglens) en extremiteiten mogelijk. Keuzemogelijkheid voor béta-straling wel/deels/niet afgeschermd, met overeenkomstige bronconstanten. Keuzemogelijkheid voor berekening transmissie. Zoekfunctie voor automatische selectie van aantal, activiteit, bronconstanten en transmissie toegevoegd. Berekening voor meerdere typen medewerkers mogelijk. </t>
    </r>
    <r>
      <rPr>
        <sz val="10"/>
        <color rgb="FFFF0000"/>
        <rFont val="Arial"/>
        <family val="2"/>
      </rPr>
      <t>Referentiedosis, berekening Index dosistempo en Index Jaardosis verwijderd.</t>
    </r>
  </si>
  <si>
    <t>Tabblad Nuclide - Farmacon - Onderzoek toegevoegd, voor invullen (deel)handelingen, mogelijke blootstellingspaden, betrokken werknemers.</t>
  </si>
  <si>
    <r>
      <t xml:space="preserve">Rekenbladen Inhalatie - Regulier: 3 generieke rekenbladen voor verschillende activiteitsniveau's bij open bronnen ontworpen, waarbij: Berekening activiteitsfractie op andere tijdstippen mogelijk. Keuzemogelijkheid voor TFW per dag, per type (deel)handeling. Zoekfunctie voor automatische selectie van aantal, activiteit en dosiscoëfficiënt voor inhalatie toegevoegd. Berekening voor meerdere typen medewerkers mogelijk. </t>
    </r>
    <r>
      <rPr>
        <sz val="10"/>
        <color rgb="FFFF0000"/>
        <rFont val="Arial"/>
        <family val="2"/>
      </rPr>
      <t>Referentiedosis, berekening Dosis per dag en Index Jaardosis verwijderd.</t>
    </r>
  </si>
  <si>
    <r>
      <t xml:space="preserve">Rekenbladen Uitwendige blootstelling - VOG: 3 generieke tabellen voor verschillende activiteitsniveau's, geschikt voor open bronnen, ingekapselde bronnen en generatoren ontworpen, waarbij: Berekening v.d. effectieve lichaamsdosis, equivalente extremiteitendosis en ooglensdosis samengevoegd in één rekenblad. Doorrekening VOG's met verschillende activiteitspercentages en activiteitsfractie op andere tijdstippen mogelijk.  Onderscheid tussen afscherming lichaam (ooglens) en extremiteiten mogelijk. Keuzemogelijkheid voor béta-straling wel/deels/niet afgeschermd, met overeenkomstige bronconstanten. Keuzemogelijkheid voor berekening transmissie. Zoekfunctie voor automatische selectie van (maximum) activiteit, bronconstanten en transmissie toegevoegd. Berekening voor meerdere typen medewerkers mogelijk. </t>
    </r>
    <r>
      <rPr>
        <sz val="10"/>
        <color rgb="FFFF0000"/>
        <rFont val="Arial"/>
        <family val="2"/>
      </rPr>
      <t>Referentiedosis en berekening Index dosis per VOG verwijderd.</t>
    </r>
  </si>
  <si>
    <r>
      <t xml:space="preserve">Rekentabellen Inwendige besmetting - VOG: 3 generieke tabellen voor verschillende activiteitsniveau's bij open bronnen ontworpen, waarbij: Keuzemogelijkheid voor TFW per type (deel)handeling en activiteitsfractie. Zoekfunctie voor automatische selectie van (maximum) activiteit en dosiscoëfficiënt voor inhalatie, ingestie, prikken en huidbesmetting toegevoegd. Berekening voor meerdere typen medewerkers mogelijk. </t>
    </r>
    <r>
      <rPr>
        <sz val="10"/>
        <color rgb="FFFF0000"/>
        <rFont val="Arial"/>
        <family val="2"/>
      </rPr>
      <t>Referentiedosis en berekening Index dosis per VOG verwijderd.</t>
    </r>
  </si>
  <si>
    <t>Alle rekentabellen als tabbladen in één Excel-bestand ondergebracht.</t>
  </si>
  <si>
    <t>Tabblad Nucliden gegevens toegevoegd, nucliden toegevoegd, literatuurgegevens toegevoegd (Otto 2016, Smith &amp; Stabin 2012, Petoussi 1993, SSK 1990)</t>
  </si>
  <si>
    <t>Tabblad Transmissie door lood toegevoegd, met daarin enkele voorbeelden van een alternatieve rekenmethode voor transmissie, waarbij build-up wordt meegenomen.</t>
  </si>
  <si>
    <t>Tabblad totalen per type medewerker toegevoegd. Dit tablad kan tevens gebruikt worden om totalen per type ruimte te bepalen, i.v.m. ruimte-indeling.</t>
  </si>
  <si>
    <t>Hoofdstuk 4: HARAS-BEREKENINGEN VOOR BEWERKINGEN OP STANDAARD-LABORATORIA</t>
  </si>
  <si>
    <t>Toedienruimte / Meetkamer</t>
  </si>
  <si>
    <t>Samenvatting HARAS tabellen: Inhalatie TFW's</t>
  </si>
  <si>
    <t>Bijlage J: DE TRANSFERFRACTIES VOOR HET STANDAARD LABORATORIUM (voorbeelden)</t>
  </si>
  <si>
    <t>Bron: HARAS Bijlage J</t>
  </si>
  <si>
    <t>HARAS Hoofdstuk 5: AFSCHATTING VAN ANDERE BESMETTINGSPADEN</t>
  </si>
  <si>
    <r>
      <rPr>
        <b/>
        <sz val="10"/>
        <color rgb="FF000000"/>
        <rFont val="Arial"/>
        <family val="2"/>
      </rPr>
      <t>Ingestie-incident versie 1:</t>
    </r>
    <r>
      <rPr>
        <sz val="10"/>
        <color rgb="FF000000"/>
        <rFont val="Arial"/>
        <family val="2"/>
      </rPr>
      <t xml:space="preserve"> 10% van de gehanteerde activiteit wordt gemorst, waarvan 1 – 10% aan de handen komt, en 1 – 10% hiervan niet wordt afgeveegd. Hiervan komt een fractie van 0.1 – 1% in de mond. De TFW bedraagt hierbij </t>
    </r>
    <r>
      <rPr>
        <sz val="10"/>
        <color indexed="8"/>
        <rFont val="Arial"/>
        <family val="2"/>
      </rPr>
      <t>10</t>
    </r>
    <r>
      <rPr>
        <vertAlign val="superscript"/>
        <sz val="10"/>
        <color indexed="8"/>
        <rFont val="Arial"/>
        <family val="2"/>
      </rPr>
      <t>-5</t>
    </r>
    <r>
      <rPr>
        <sz val="10"/>
        <color indexed="8"/>
        <rFont val="Arial"/>
        <family val="2"/>
      </rPr>
      <t xml:space="preserve"> - 10</t>
    </r>
    <r>
      <rPr>
        <vertAlign val="superscript"/>
        <sz val="10"/>
        <color indexed="8"/>
        <rFont val="Arial"/>
        <family val="2"/>
      </rPr>
      <t>-8</t>
    </r>
    <r>
      <rPr>
        <sz val="10"/>
        <color indexed="8"/>
        <rFont val="Arial"/>
        <family val="2"/>
      </rPr>
      <t>.</t>
    </r>
  </si>
  <si>
    <r>
      <rPr>
        <b/>
        <sz val="10"/>
        <color rgb="FF000000"/>
        <rFont val="Arial"/>
        <family val="2"/>
      </rPr>
      <t>Prik-incident:</t>
    </r>
    <r>
      <rPr>
        <sz val="10"/>
        <color rgb="FF000000"/>
        <rFont val="Arial"/>
        <family val="2"/>
      </rPr>
      <t xml:space="preserve"> Circa 1% van de activiteit bevindt zich in de naald van een spuit (stalen gedeelte). Hiervan wordt circa 1 - 10% aan de medewerker overgedragen. De TFW bedraagt hierbij </t>
    </r>
    <r>
      <rPr>
        <sz val="10"/>
        <rFont val="Arial"/>
        <family val="2"/>
      </rPr>
      <t>10</t>
    </r>
    <r>
      <rPr>
        <vertAlign val="superscript"/>
        <sz val="10"/>
        <rFont val="Arial"/>
        <family val="2"/>
      </rPr>
      <t xml:space="preserve">-3 </t>
    </r>
    <r>
      <rPr>
        <sz val="10"/>
        <rFont val="Arial"/>
        <family val="2"/>
      </rPr>
      <t>- 10</t>
    </r>
    <r>
      <rPr>
        <vertAlign val="superscript"/>
        <sz val="10"/>
        <rFont val="Arial"/>
        <family val="2"/>
      </rPr>
      <t>-4</t>
    </r>
    <r>
      <rPr>
        <sz val="10"/>
        <rFont val="Arial"/>
        <family val="2"/>
      </rPr>
      <t>.</t>
    </r>
  </si>
  <si>
    <t>Bron: HARAS p. 41</t>
  </si>
  <si>
    <r>
      <rPr>
        <b/>
        <sz val="10"/>
        <color rgb="FF000000"/>
        <rFont val="Arial"/>
        <family val="2"/>
      </rPr>
      <t>Ingestie-incident versie 2:</t>
    </r>
    <r>
      <rPr>
        <sz val="10"/>
        <color rgb="FF000000"/>
        <rFont val="Arial"/>
        <family val="2"/>
      </rPr>
      <t xml:space="preserve"> Spattende bewerking waarbij 1% van de gehanteerde activiteit vrijkomt, waarvan 1 – 10% aan de handen komt, en 1 – 10% hiervan niet wordt afgeveegd. Hiervan komt een fractie van 0.1 – 1% in de mond. De TFW bedraagt hierbij </t>
    </r>
    <r>
      <rPr>
        <sz val="10"/>
        <color indexed="8"/>
        <rFont val="Arial"/>
        <family val="2"/>
      </rPr>
      <t>10</t>
    </r>
    <r>
      <rPr>
        <vertAlign val="superscript"/>
        <sz val="10"/>
        <color indexed="8"/>
        <rFont val="Arial"/>
        <family val="2"/>
      </rPr>
      <t>-6</t>
    </r>
    <r>
      <rPr>
        <sz val="10"/>
        <color indexed="8"/>
        <rFont val="Arial"/>
        <family val="2"/>
      </rPr>
      <t xml:space="preserve"> - 10</t>
    </r>
    <r>
      <rPr>
        <vertAlign val="superscript"/>
        <sz val="10"/>
        <color indexed="8"/>
        <rFont val="Arial"/>
        <family val="2"/>
      </rPr>
      <t>-9</t>
    </r>
    <r>
      <rPr>
        <sz val="10"/>
        <color indexed="8"/>
        <rFont val="Arial"/>
        <family val="2"/>
      </rPr>
      <t>.</t>
    </r>
  </si>
  <si>
    <r>
      <t>Tabbladen Transfer fracties werkers (TFW) uit Hulptabellen samengevoegd tot één tabblad. Besmettingsscenario's Ingestie, Prikken en Huidbesmetting aangepast (range van TFW's volgens HARAS). TFW huidbesmetting bepaald per cm</t>
    </r>
    <r>
      <rPr>
        <vertAlign val="superscript"/>
        <sz val="10"/>
        <rFont val="Arial"/>
        <family val="2"/>
      </rPr>
      <t>2</t>
    </r>
    <r>
      <rPr>
        <sz val="10"/>
        <rFont val="Arial"/>
        <family val="2"/>
      </rPr>
      <t xml:space="preserve"> besmette huid, uitgaande van besmet oppervlak van 10 cm</t>
    </r>
    <r>
      <rPr>
        <vertAlign val="superscript"/>
        <sz val="10"/>
        <rFont val="Arial"/>
        <family val="2"/>
      </rPr>
      <t>2</t>
    </r>
    <r>
      <rPr>
        <sz val="10"/>
        <rFont val="Arial"/>
        <family val="2"/>
      </rPr>
      <t>.</t>
    </r>
  </si>
  <si>
    <r>
      <rPr>
        <b/>
        <sz val="10"/>
        <color rgb="FF000000"/>
        <rFont val="Arial"/>
        <family val="2"/>
      </rPr>
      <t xml:space="preserve">Huidbesmetting versie 1: </t>
    </r>
    <r>
      <rPr>
        <sz val="10"/>
        <color rgb="FF000000"/>
        <rFont val="Arial"/>
        <family val="2"/>
      </rPr>
      <t xml:space="preserve">10% van de gehanteerde activiteit wordt gemorst, hiervan komt 0.01 – 1 % op de huid terecht </t>
    </r>
    <r>
      <rPr>
        <sz val="10"/>
        <color rgb="FFFF0000"/>
        <rFont val="Arial"/>
        <family val="2"/>
      </rPr>
      <t>(verspreid over 10 cm</t>
    </r>
    <r>
      <rPr>
        <vertAlign val="superscript"/>
        <sz val="10"/>
        <color rgb="FFFF0000"/>
        <rFont val="Arial"/>
        <family val="2"/>
      </rPr>
      <t>2</t>
    </r>
    <r>
      <rPr>
        <sz val="10"/>
        <color rgb="FFFF0000"/>
        <rFont val="Arial"/>
        <family val="2"/>
      </rPr>
      <t>)</t>
    </r>
    <r>
      <rPr>
        <sz val="10"/>
        <color rgb="FF000000"/>
        <rFont val="Arial"/>
        <family val="2"/>
      </rPr>
      <t>. De TFW bedraagt hierbij 10</t>
    </r>
    <r>
      <rPr>
        <vertAlign val="superscript"/>
        <sz val="10"/>
        <color rgb="FF000000"/>
        <rFont val="Arial"/>
        <family val="2"/>
      </rPr>
      <t>-4</t>
    </r>
    <r>
      <rPr>
        <sz val="10"/>
        <color rgb="FF000000"/>
        <rFont val="Arial"/>
        <family val="2"/>
      </rPr>
      <t xml:space="preserve"> </t>
    </r>
    <r>
      <rPr>
        <sz val="10"/>
        <rFont val="Arial"/>
        <family val="2"/>
      </rPr>
      <t>- 10</t>
    </r>
    <r>
      <rPr>
        <vertAlign val="superscript"/>
        <sz val="10"/>
        <rFont val="Arial"/>
        <family val="2"/>
      </rPr>
      <t>-6</t>
    </r>
    <r>
      <rPr>
        <sz val="10"/>
        <color rgb="FFFF0000"/>
        <rFont val="Arial"/>
        <family val="2"/>
      </rPr>
      <t xml:space="preserve"> (per cm</t>
    </r>
    <r>
      <rPr>
        <vertAlign val="superscript"/>
        <sz val="10"/>
        <color rgb="FFFF0000"/>
        <rFont val="Arial"/>
        <family val="2"/>
      </rPr>
      <t xml:space="preserve">2 </t>
    </r>
    <r>
      <rPr>
        <sz val="10"/>
        <color rgb="FFFF0000"/>
        <rFont val="Arial"/>
        <family val="2"/>
      </rPr>
      <t xml:space="preserve"> huid)</t>
    </r>
    <r>
      <rPr>
        <vertAlign val="superscript"/>
        <sz val="10"/>
        <color rgb="FFFF0000"/>
        <rFont val="Arial"/>
        <family val="2"/>
      </rPr>
      <t xml:space="preserve"> </t>
    </r>
  </si>
  <si>
    <r>
      <rPr>
        <b/>
        <sz val="10"/>
        <color rgb="FF000000"/>
        <rFont val="Arial"/>
        <family val="2"/>
      </rPr>
      <t xml:space="preserve">Huidbesmetting versie 2: </t>
    </r>
    <r>
      <rPr>
        <sz val="10"/>
        <color rgb="FF000000"/>
        <rFont val="Arial"/>
        <family val="2"/>
      </rPr>
      <t xml:space="preserve">Spattende bewerking waarbij 1% van de gehanteerde activiteit vrijkomt, hiervan komt 0.01 – 1 % op de huid terecht </t>
    </r>
    <r>
      <rPr>
        <sz val="10"/>
        <color rgb="FFFF0000"/>
        <rFont val="Arial"/>
        <family val="2"/>
      </rPr>
      <t>(verspreid over 10 cm</t>
    </r>
    <r>
      <rPr>
        <vertAlign val="superscript"/>
        <sz val="10"/>
        <color rgb="FFFF0000"/>
        <rFont val="Arial"/>
        <family val="2"/>
      </rPr>
      <t>2</t>
    </r>
    <r>
      <rPr>
        <sz val="10"/>
        <color rgb="FFFF0000"/>
        <rFont val="Arial"/>
        <family val="2"/>
      </rPr>
      <t>)</t>
    </r>
    <r>
      <rPr>
        <sz val="10"/>
        <color rgb="FF000000"/>
        <rFont val="Arial"/>
        <family val="2"/>
      </rPr>
      <t>. De TFW bedraagt hierbij 10</t>
    </r>
    <r>
      <rPr>
        <vertAlign val="superscript"/>
        <sz val="10"/>
        <color rgb="FF000000"/>
        <rFont val="Arial"/>
        <family val="2"/>
      </rPr>
      <t>-5</t>
    </r>
    <r>
      <rPr>
        <sz val="10"/>
        <color rgb="FF000000"/>
        <rFont val="Arial"/>
        <family val="2"/>
      </rPr>
      <t xml:space="preserve"> </t>
    </r>
    <r>
      <rPr>
        <sz val="10"/>
        <rFont val="Arial"/>
        <family val="2"/>
      </rPr>
      <t>- 10</t>
    </r>
    <r>
      <rPr>
        <vertAlign val="superscript"/>
        <sz val="10"/>
        <rFont val="Arial"/>
        <family val="2"/>
      </rPr>
      <t>-7</t>
    </r>
    <r>
      <rPr>
        <sz val="10"/>
        <color rgb="FFFF0000"/>
        <rFont val="Arial"/>
        <family val="2"/>
      </rPr>
      <t xml:space="preserve"> (per cm</t>
    </r>
    <r>
      <rPr>
        <vertAlign val="superscript"/>
        <sz val="10"/>
        <color rgb="FFFF0000"/>
        <rFont val="Arial"/>
        <family val="2"/>
      </rPr>
      <t xml:space="preserve">2 </t>
    </r>
    <r>
      <rPr>
        <sz val="10"/>
        <color rgb="FFFF0000"/>
        <rFont val="Arial"/>
        <family val="2"/>
      </rPr>
      <t>huid)</t>
    </r>
    <r>
      <rPr>
        <vertAlign val="superscript"/>
        <sz val="10"/>
        <color rgb="FFFF0000"/>
        <rFont val="Arial"/>
        <family val="2"/>
      </rPr>
      <t xml:space="preserve"> </t>
    </r>
  </si>
  <si>
    <r>
      <rPr>
        <b/>
        <sz val="10"/>
        <color rgb="FF000000"/>
        <rFont val="Arial"/>
        <family val="2"/>
      </rPr>
      <t xml:space="preserve">Bron: </t>
    </r>
    <r>
      <rPr>
        <b/>
        <i/>
        <sz val="10"/>
        <color rgb="FF000000"/>
        <rFont val="Arial"/>
        <family val="2"/>
      </rPr>
      <t>HARAS, Beschrijving en resultaten van een analysemethode voor risico-evaluatie van het werken met open radioactieve stoffen.</t>
    </r>
    <r>
      <rPr>
        <b/>
        <sz val="10"/>
        <color rgb="FF000000"/>
        <rFont val="Arial"/>
        <family val="2"/>
      </rPr>
      <t xml:space="preserve"> Klaver T , Huyskens Chr J en  Franken Y,</t>
    </r>
    <r>
      <rPr>
        <b/>
        <i/>
        <sz val="10"/>
        <color rgb="FF000000"/>
        <rFont val="Arial"/>
        <family val="2"/>
      </rPr>
      <t xml:space="preserve"> </t>
    </r>
    <r>
      <rPr>
        <b/>
        <sz val="10"/>
        <color rgb="FF000000"/>
        <rFont val="Arial"/>
        <family val="2"/>
      </rPr>
      <t>SBD-TU/e rapport nr. 14092, Technische Universiteit Eindhoven (1997)</t>
    </r>
  </si>
  <si>
    <t>ICRP 106</t>
  </si>
  <si>
    <t>ICRP Publication 106: Radiation Dose to Patients from Radiopharmaceuticals - Addendum 3 to ICRP Publication 53 (2007)</t>
  </si>
  <si>
    <t>ICRP Publication 53: Radiation Dose to Patients from Radiopharmaceuticals</t>
  </si>
  <si>
    <t>ICRP 53</t>
  </si>
  <si>
    <t>NVNG 2017</t>
  </si>
  <si>
    <t>Procedure Guidelines Nuclear Medicine - Dutch Society of Nuclear Medicine (2017)</t>
  </si>
  <si>
    <t>Huiddosis-conversiecoëfficiënt: Dosisequivalenttempo bij een huidbesmetting met een radiofarmacon in Sv/s per Bq, over een oppervlak van 1 cm2. Referentie:Handboek Radionucliden, A.S. Keverling Buisman, 1996, met aanvullingen uit: Maßnahmen bei radioaktiver Kontamination der Haut, Empfehlung der Strahlenschutzkommission, Band 15, 1990 (www.ssk.de)</t>
  </si>
  <si>
    <t>Activiteit Gemiddeld [MBq] bij toediening:</t>
  </si>
  <si>
    <t>Zie voor referentiewaarden: Procedure Guidelines Nuclear Medicine - Dutch Society of Nuclear Medicine (2017)</t>
  </si>
  <si>
    <t>Klankbordgroep versie 2.0:</t>
  </si>
  <si>
    <t>Theo Adriaensen, Anouk de Jong, Bastiaan van Nierop, Manfred van der Vlies en Roel Wierts. Redactie: Remko Bijkerk.</t>
  </si>
  <si>
    <t>PET FDG scan</t>
  </si>
  <si>
    <t>U</t>
  </si>
  <si>
    <t>U, IH</t>
  </si>
  <si>
    <t>Tabblad Farmacon gegevens toegevoegd, farmaca toegevoegd, literatuurgegevens toegevoegd (ICRP-119, ICRP-53/80/106, NVNG 2017)</t>
  </si>
  <si>
    <t>[uur]</t>
  </si>
  <si>
    <t>Lek bij optrekken, 10% komt vrij</t>
  </si>
  <si>
    <t>Lek bij toedienen, 10% komt vrij</t>
  </si>
  <si>
    <t>Béta-straling bron afgeschermd?</t>
  </si>
  <si>
    <t>Béta-straling lichaam afgeschermd?</t>
  </si>
  <si>
    <t>Overzicht (deel)handelingen en VOG's</t>
  </si>
  <si>
    <t>Activiteits-niveau
(L, V, T)</t>
  </si>
  <si>
    <t>Blootstellingspaden  (U, IH, IG, P, H)</t>
  </si>
  <si>
    <t>L</t>
  </si>
  <si>
    <t>V</t>
  </si>
  <si>
    <t>T</t>
  </si>
  <si>
    <t>Levering (uitpakken,desinfecteren en in LAF kast)</t>
  </si>
  <si>
    <r>
      <t xml:space="preserve">Het Nuclide dient in tabblad </t>
    </r>
    <r>
      <rPr>
        <b/>
        <sz val="10"/>
        <rFont val="Arial"/>
        <family val="2"/>
      </rPr>
      <t xml:space="preserve">Nucliden gegevens </t>
    </r>
    <r>
      <rPr>
        <sz val="10"/>
        <rFont val="Arial"/>
        <family val="2"/>
      </rPr>
      <t xml:space="preserve">voor te komen, en dient exact overeen te komen met de naamgeving in dit tabblad, om de gegevens hieruit in de rekentabellen te kunnen gebruiken.
</t>
    </r>
  </si>
  <si>
    <r>
      <t>Het Farmacon, de Ingekapselde bron of de Generator dient in Tabblad</t>
    </r>
    <r>
      <rPr>
        <b/>
        <sz val="10"/>
        <rFont val="Arial"/>
        <family val="2"/>
      </rPr>
      <t xml:space="preserve"> Farmaca gegevens </t>
    </r>
    <r>
      <rPr>
        <sz val="10"/>
        <rFont val="Arial"/>
        <family val="2"/>
      </rPr>
      <t xml:space="preserve">voor te komen, en dient exact overeen te komen met de naamgeving in dit tabblad en het Tabblad </t>
    </r>
    <r>
      <rPr>
        <b/>
        <sz val="10"/>
        <rFont val="Arial"/>
        <family val="2"/>
      </rPr>
      <t>Handelingen Leveringsniveau</t>
    </r>
    <r>
      <rPr>
        <sz val="10"/>
        <rFont val="Arial"/>
        <family val="2"/>
      </rPr>
      <t>,</t>
    </r>
    <r>
      <rPr>
        <b/>
        <sz val="10"/>
        <rFont val="Arial"/>
        <family val="2"/>
      </rPr>
      <t xml:space="preserve"> </t>
    </r>
    <r>
      <rPr>
        <sz val="10"/>
        <rFont val="Arial"/>
        <family val="2"/>
      </rPr>
      <t xml:space="preserve">om de gegevens uit deze tabbladen in de rekentabellen te kunnen gebruiken.
</t>
    </r>
  </si>
  <si>
    <r>
      <t>Het Onderzoek of de Therapie dient in Tabblad</t>
    </r>
    <r>
      <rPr>
        <b/>
        <sz val="10"/>
        <rFont val="Arial"/>
        <family val="2"/>
      </rPr>
      <t xml:space="preserve"> Handelingen Onderzoeksniveau</t>
    </r>
    <r>
      <rPr>
        <sz val="10"/>
        <rFont val="Arial"/>
        <family val="2"/>
      </rPr>
      <t xml:space="preserve"> voor te komen,</t>
    </r>
    <r>
      <rPr>
        <b/>
        <sz val="10"/>
        <rFont val="Arial"/>
        <family val="2"/>
      </rPr>
      <t xml:space="preserve"> </t>
    </r>
    <r>
      <rPr>
        <sz val="10"/>
        <rFont val="Arial"/>
        <family val="2"/>
      </rPr>
      <t xml:space="preserve">en dient exact overeen te komen met de naamgeving in dit tabblad, om de gegevens uit dit tabblad in de rekentabellen te kunnen gebruiken.
</t>
    </r>
  </si>
  <si>
    <t xml:space="preserve">Alle hier genoemde (deel)handelingen en VOG's dienen in de rekentabellen te worden ondergebracht, de twee navolgende kolommen kunnen hierbij behulpzaam  zijn voor wat betreft activiteitsniveau en mogelijke blootstellingspaden. </t>
  </si>
  <si>
    <t xml:space="preserve">Blootstellingspaden:
U: Uitwendige blootstelling
IH: Inhalatie
IG: Ingestie
P: Prik-ongeluk
H: Huidbesmetting  </t>
  </si>
  <si>
    <r>
      <rPr>
        <b/>
        <sz val="10"/>
        <rFont val="Arial"/>
        <family val="2"/>
      </rPr>
      <t>U</t>
    </r>
    <r>
      <rPr>
        <sz val="10"/>
        <rFont val="Arial"/>
        <family val="2"/>
      </rPr>
      <t xml:space="preserve">, </t>
    </r>
    <r>
      <rPr>
        <b/>
        <sz val="10"/>
        <rFont val="Arial"/>
        <family val="2"/>
      </rPr>
      <t>IH</t>
    </r>
  </si>
  <si>
    <r>
      <rPr>
        <b/>
        <sz val="10"/>
        <rFont val="Arial"/>
        <family val="2"/>
      </rPr>
      <t>U</t>
    </r>
    <r>
      <rPr>
        <sz val="10"/>
        <rFont val="Arial"/>
        <family val="2"/>
      </rPr>
      <t>,</t>
    </r>
    <r>
      <rPr>
        <b/>
        <sz val="10"/>
        <rFont val="Arial"/>
        <family val="2"/>
      </rPr>
      <t xml:space="preserve"> IH</t>
    </r>
  </si>
  <si>
    <t>VOG: Lek bij optrekken, 10% komt vrij</t>
  </si>
  <si>
    <t>Klinische I-131 therapie</t>
  </si>
  <si>
    <t>Per VTGM-sessie worden 7 spuiten opgetrokken</t>
  </si>
  <si>
    <t>Levering, uitpakken en in LAF kast</t>
  </si>
  <si>
    <t>Elutie</t>
  </si>
  <si>
    <t>Bereiding</t>
  </si>
  <si>
    <t>Activiteitsniveau:
L: Leveringsniveau
V: Niveau voor toediening gereed maken (VTGM)
T: Toediening en daarop volgende handelingen met de patiënt.</t>
  </si>
  <si>
    <t>Ruimte type 1</t>
  </si>
  <si>
    <t>Noot: De in kolom A gebruikte naamgeving wordt in reken-tabellen voor de functie "Vertikaal zoeken" gebruikt, en dient daar exact gelijk te zijn.</t>
  </si>
  <si>
    <t>Myocardscan stress</t>
  </si>
  <si>
    <t>voor toediening gereed maken (LAF-kast)</t>
  </si>
  <si>
    <t>Lekkage van de bron</t>
  </si>
  <si>
    <t>Breuk capsule, 10% komt vrij</t>
  </si>
  <si>
    <r>
      <rPr>
        <b/>
        <sz val="10"/>
        <rFont val="Arial"/>
        <family val="2"/>
      </rPr>
      <t>Lambda (effectief):</t>
    </r>
    <r>
      <rPr>
        <sz val="10"/>
        <rFont val="Arial"/>
        <family val="2"/>
      </rPr>
      <t xml:space="preserve"> Som van de vervalconstanten Lambda (fysisch) en Lambda (biologisch), waarbij laatstgenoemde uitgaat van een halveringstijd van 5 dagen (NVS-publicatie 17 (1993) en ICRP-60).</t>
    </r>
  </si>
  <si>
    <r>
      <rPr>
        <b/>
        <sz val="10"/>
        <rFont val="Arial"/>
        <family val="2"/>
      </rPr>
      <t>Volgdosis huid:</t>
    </r>
    <r>
      <rPr>
        <sz val="10"/>
        <rFont val="Arial"/>
        <family val="2"/>
      </rPr>
      <t xml:space="preserve"> Equivalente huiddosis of oppervlaktedosis, berekend uit het quotiënt van het dosistempo en de vervalconstante Lambda (effectief).</t>
    </r>
  </si>
  <si>
    <r>
      <rPr>
        <b/>
        <sz val="10"/>
        <rFont val="Arial"/>
        <family val="2"/>
      </rPr>
      <t>Activiteitsfractie</t>
    </r>
    <r>
      <rPr>
        <sz val="10"/>
        <rFont val="Arial"/>
        <family val="2"/>
      </rPr>
      <t xml:space="preserve"> (kolom P): Berekend uit Percentage v.d. Activiteit die bij de handeling van toepassing is (kolom D) én Tijd vóór/na activiteitsmeting (kolom E). Dit geeft twee opties om de gehanteerde Activiteit aan te passen.</t>
    </r>
  </si>
  <si>
    <r>
      <rPr>
        <b/>
        <sz val="10"/>
        <rFont val="Arial"/>
        <family val="2"/>
      </rPr>
      <t>Activiteitsfractie</t>
    </r>
    <r>
      <rPr>
        <sz val="10"/>
        <rFont val="Arial"/>
        <family val="2"/>
      </rPr>
      <t xml:space="preserve"> (kolom O): Berekend uit Percentage v.d. Activiteit die bij de handeling van toepassing is (kolom D) én Tijd vóór/na activiteitsmeting (kolom E). Dit geeft twee opties om de gehanteerde Activiteit aan te passen.</t>
    </r>
  </si>
  <si>
    <t>VOG: Lekkage van de bron</t>
  </si>
  <si>
    <t>VOG: Breuk capsule, 10% komt vrij</t>
  </si>
  <si>
    <t>U, IH, IG, H</t>
  </si>
  <si>
    <t>U, IK, IG, H</t>
  </si>
  <si>
    <t>VOG: Breuk capsule, 10% komt vrij, besmettingen</t>
  </si>
  <si>
    <t>VOG: Lek bij toedienen, 10% komt vrij, besmetingen</t>
  </si>
  <si>
    <t>VOG: Lek bij toedienen, 10% komt vrij, besmettingen</t>
  </si>
  <si>
    <t>Scan</t>
  </si>
  <si>
    <t>Toedienen</t>
  </si>
  <si>
    <t>Voor toediening gereed maken (LAF-kast)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</si>
</sst>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00"/>
    <numFmt numFmtId="167" formatCode="0.00000"/>
  </numFmts>
  <fonts count="34" x14ac:knownFonts="1">
    <font>
      <sz val="10"/>
      <name val="Arial"/>
    </font>
    <font>
      <b/>
      <sz val="10"/>
      <name val="Arial"/>
      <family val="2"/>
    </font>
    <font>
      <sz val="10"/>
      <name val="Arial"/>
      <family val="2"/>
    </font>
    <font>
      <sz val="12"/>
      <name val="Arial"/>
      <family val="2"/>
    </font>
    <font>
      <vertAlign val="subscript"/>
      <sz val="10"/>
      <name val="Arial"/>
      <family val="2"/>
    </font>
    <font>
      <i/>
      <sz val="10"/>
      <name val="Arial"/>
      <family val="2"/>
    </font>
    <font>
      <sz val="10"/>
      <name val="Microsoft Sans Serif"/>
      <family val="2"/>
    </font>
    <font>
      <sz val="8"/>
      <color indexed="81"/>
      <name val="Tahoma"/>
      <family val="2"/>
    </font>
    <font>
      <b/>
      <sz val="8"/>
      <color indexed="81"/>
      <name val="Tahoma"/>
      <family val="2"/>
    </font>
    <font>
      <b/>
      <sz val="10"/>
      <name val="Microsoft Sans Serif"/>
      <family val="2"/>
    </font>
    <font>
      <b/>
      <vertAlign val="subscript"/>
      <sz val="10"/>
      <color indexed="8"/>
      <name val="Arial"/>
      <family val="2"/>
    </font>
    <font>
      <sz val="10"/>
      <color rgb="FF000000"/>
      <name val="Arial"/>
      <family val="2"/>
    </font>
    <font>
      <sz val="7"/>
      <color rgb="FFFF0000"/>
      <name val="Arial"/>
      <family val="2"/>
    </font>
    <font>
      <sz val="10"/>
      <color rgb="FFFF0000"/>
      <name val="Arial"/>
      <family val="2"/>
    </font>
    <font>
      <sz val="8"/>
      <color rgb="FF000000"/>
      <name val="Arial"/>
      <family val="2"/>
    </font>
    <font>
      <sz val="7"/>
      <color rgb="FF000000"/>
      <name val="Arial"/>
      <family val="2"/>
    </font>
    <font>
      <b/>
      <sz val="14"/>
      <color rgb="FF000000"/>
      <name val="Arial"/>
      <family val="2"/>
    </font>
    <font>
      <b/>
      <sz val="10"/>
      <color rgb="FF000000"/>
      <name val="Arial"/>
      <family val="2"/>
    </font>
    <font>
      <b/>
      <sz val="8"/>
      <color rgb="FF000000"/>
      <name val="Arial"/>
      <family val="2"/>
    </font>
    <font>
      <sz val="10"/>
      <color theme="1"/>
      <name val="Microsoft Sans Serif"/>
      <family val="2"/>
    </font>
    <font>
      <sz val="10"/>
      <color theme="1"/>
      <name val="Arial"/>
      <family val="2"/>
    </font>
    <font>
      <b/>
      <sz val="10"/>
      <color theme="1"/>
      <name val="Arial"/>
      <family val="2"/>
    </font>
    <font>
      <b/>
      <sz val="10"/>
      <color theme="0" tint="-0.34998626667073579"/>
      <name val="Arial"/>
      <family val="2"/>
    </font>
    <font>
      <b/>
      <sz val="10"/>
      <color theme="1"/>
      <name val="Microsoft Sans Serif"/>
      <family val="2"/>
    </font>
    <font>
      <b/>
      <sz val="10"/>
      <color theme="0"/>
      <name val="Arial"/>
      <family val="2"/>
    </font>
    <font>
      <vertAlign val="superscript"/>
      <sz val="10"/>
      <color indexed="8"/>
      <name val="Arial"/>
      <family val="2"/>
    </font>
    <font>
      <sz val="10"/>
      <color indexed="8"/>
      <name val="Arial"/>
      <family val="2"/>
    </font>
    <font>
      <vertAlign val="superscript"/>
      <sz val="10"/>
      <name val="Arial"/>
      <family val="2"/>
    </font>
    <font>
      <vertAlign val="superscript"/>
      <sz val="10"/>
      <color rgb="FFFF0000"/>
      <name val="Arial"/>
      <family val="2"/>
    </font>
    <font>
      <sz val="10"/>
      <color theme="0"/>
      <name val="Arial"/>
      <family val="2"/>
    </font>
    <font>
      <sz val="11"/>
      <color rgb="FF00B050"/>
      <name val="Calibri"/>
      <family val="2"/>
    </font>
    <font>
      <b/>
      <i/>
      <sz val="12"/>
      <color rgb="FF000000"/>
      <name val="Garamond"/>
      <family val="1"/>
    </font>
    <font>
      <vertAlign val="superscript"/>
      <sz val="10"/>
      <color rgb="FF000000"/>
      <name val="Arial"/>
      <family val="2"/>
    </font>
    <font>
      <b/>
      <i/>
      <sz val="10"/>
      <color rgb="FF000000"/>
      <name val="Arial"/>
      <family val="2"/>
    </font>
  </fonts>
  <fills count="27">
    <fill>
      <patternFill patternType="none"/>
    </fill>
    <fill>
      <patternFill patternType="gray125"/>
    </fill>
    <fill>
      <patternFill patternType="solid">
        <fgColor rgb="FFE9EFFA"/>
        <bgColor indexed="64"/>
      </patternFill>
    </fill>
    <fill>
      <patternFill patternType="solid">
        <fgColor rgb="FFD5E1F5"/>
        <bgColor indexed="64"/>
      </patternFill>
    </fill>
    <fill>
      <patternFill patternType="solid">
        <fgColor rgb="FFFFFFFF"/>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s>
  <borders count="18">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4" tint="0.39994506668294322"/>
      </left>
      <right/>
      <top style="thin">
        <color theme="4" tint="0.39994506668294322"/>
      </top>
      <bottom style="thin">
        <color theme="4" tint="0.39994506668294322"/>
      </bottom>
      <diagonal/>
    </border>
    <border>
      <left style="thin">
        <color theme="0" tint="-0.34998626667073579"/>
      </left>
      <right/>
      <top style="thin">
        <color theme="0" tint="-0.34998626667073579"/>
      </top>
      <bottom style="thin">
        <color theme="0" tint="-0.34998626667073579"/>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4" tint="0.39994506668294322"/>
      </left>
      <right style="thin">
        <color theme="4" tint="0.39994506668294322"/>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7">
    <xf numFmtId="0" fontId="0" fillId="0" borderId="0"/>
    <xf numFmtId="0" fontId="3" fillId="0" borderId="0" applyNumberFormat="0" applyFill="0" applyBorder="0" applyAlignment="0" applyProtection="0"/>
    <xf numFmtId="0" fontId="11" fillId="0" borderId="0">
      <alignment horizontal="right" vertical="center"/>
    </xf>
    <xf numFmtId="0" fontId="11" fillId="0" borderId="0">
      <alignment horizontal="left" vertical="top"/>
    </xf>
    <xf numFmtId="0" fontId="12" fillId="2" borderId="0">
      <alignment horizontal="right" vertical="top"/>
    </xf>
    <xf numFmtId="0" fontId="13" fillId="3" borderId="0">
      <alignment horizontal="left" vertical="top"/>
    </xf>
    <xf numFmtId="0" fontId="14" fillId="0" borderId="0">
      <alignment horizontal="left" vertical="top"/>
    </xf>
    <xf numFmtId="0" fontId="14" fillId="0" borderId="0">
      <alignment horizontal="right" vertical="top"/>
    </xf>
    <xf numFmtId="0" fontId="11" fillId="2" borderId="0">
      <alignment horizontal="left" vertical="top"/>
    </xf>
    <xf numFmtId="0" fontId="15" fillId="2" borderId="0">
      <alignment horizontal="left" vertical="top"/>
    </xf>
    <xf numFmtId="0" fontId="15" fillId="2" borderId="0">
      <alignment horizontal="right" vertical="top"/>
    </xf>
    <xf numFmtId="0" fontId="15" fillId="3" borderId="0">
      <alignment horizontal="left" vertical="top"/>
    </xf>
    <xf numFmtId="0" fontId="15" fillId="3" borderId="0">
      <alignment horizontal="right" vertical="top"/>
    </xf>
    <xf numFmtId="0" fontId="11" fillId="0" borderId="0">
      <alignment horizontal="left" vertical="top"/>
    </xf>
    <xf numFmtId="0" fontId="16" fillId="0" borderId="0">
      <alignment horizontal="left" vertical="top"/>
    </xf>
    <xf numFmtId="0" fontId="17" fillId="4" borderId="0">
      <alignment horizontal="left" vertical="top"/>
    </xf>
    <xf numFmtId="0" fontId="18" fillId="0" borderId="0">
      <alignment horizontal="left" vertical="top"/>
    </xf>
    <xf numFmtId="0" fontId="18" fillId="4" borderId="0">
      <alignment horizontal="right" vertical="top"/>
    </xf>
    <xf numFmtId="0" fontId="18" fillId="0" borderId="0">
      <alignment horizontal="right" vertical="top"/>
    </xf>
    <xf numFmtId="0" fontId="18" fillId="0" borderId="0">
      <alignment horizontal="center" vertical="top"/>
    </xf>
    <xf numFmtId="0" fontId="18" fillId="0" borderId="0">
      <alignment horizontal="center" vertical="top"/>
    </xf>
    <xf numFmtId="0" fontId="15" fillId="4" borderId="0">
      <alignment horizontal="right" vertical="top"/>
    </xf>
    <xf numFmtId="0" fontId="15" fillId="0" borderId="0">
      <alignment horizontal="right" vertical="top"/>
    </xf>
    <xf numFmtId="0" fontId="15" fillId="4" borderId="0">
      <alignment horizontal="left" vertical="top"/>
    </xf>
    <xf numFmtId="0" fontId="15" fillId="0" borderId="0">
      <alignment horizontal="left" vertical="top"/>
    </xf>
    <xf numFmtId="0" fontId="2" fillId="0" borderId="0"/>
    <xf numFmtId="0" fontId="19" fillId="0" borderId="0"/>
  </cellStyleXfs>
  <cellXfs count="345">
    <xf numFmtId="0" fontId="0" fillId="0" borderId="0" xfId="0"/>
    <xf numFmtId="0" fontId="2" fillId="0" borderId="0" xfId="0" applyFont="1" applyFill="1" applyBorder="1" applyAlignment="1">
      <alignment vertical="top"/>
    </xf>
    <xf numFmtId="0" fontId="2" fillId="0" borderId="0" xfId="0" applyFont="1"/>
    <xf numFmtId="0" fontId="0" fillId="5" borderId="0" xfId="0" applyFill="1"/>
    <xf numFmtId="0" fontId="0" fillId="0" borderId="0" xfId="0" applyFill="1"/>
    <xf numFmtId="0" fontId="2" fillId="0" borderId="0" xfId="0" applyFont="1" applyFill="1"/>
    <xf numFmtId="0" fontId="2" fillId="6" borderId="0" xfId="0" applyFont="1" applyFill="1"/>
    <xf numFmtId="0" fontId="2" fillId="7" borderId="0" xfId="0" applyFont="1" applyFill="1"/>
    <xf numFmtId="0" fontId="0" fillId="8" borderId="0" xfId="0" applyFill="1"/>
    <xf numFmtId="0" fontId="0" fillId="0" borderId="0" xfId="0"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11" fontId="0" fillId="0" borderId="0" xfId="0" applyNumberFormat="1" applyFill="1" applyAlignment="1">
      <alignment horizontal="center" vertical="center"/>
    </xf>
    <xf numFmtId="0" fontId="2" fillId="0" borderId="0" xfId="0" applyFont="1" applyAlignment="1">
      <alignment horizontal="center" vertical="center"/>
    </xf>
    <xf numFmtId="0" fontId="2" fillId="0" borderId="0" xfId="25" applyFont="1"/>
    <xf numFmtId="0" fontId="2" fillId="0" borderId="0" xfId="25"/>
    <xf numFmtId="0" fontId="1" fillId="7" borderId="0" xfId="25" applyFont="1" applyFill="1" applyAlignment="1">
      <alignment horizontal="center" vertical="top" wrapText="1"/>
    </xf>
    <xf numFmtId="0" fontId="1" fillId="8" borderId="0" xfId="25" applyFont="1" applyFill="1" applyAlignment="1">
      <alignment horizontal="center" vertical="top" wrapText="1"/>
    </xf>
    <xf numFmtId="11" fontId="2" fillId="0" borderId="0" xfId="25" applyNumberFormat="1" applyAlignment="1">
      <alignment horizontal="center"/>
    </xf>
    <xf numFmtId="0" fontId="2" fillId="0" borderId="0" xfId="25" applyFill="1"/>
    <xf numFmtId="11" fontId="2" fillId="0" borderId="0" xfId="25" applyNumberFormat="1" applyFill="1" applyAlignment="1">
      <alignment horizontal="center"/>
    </xf>
    <xf numFmtId="0" fontId="5" fillId="8" borderId="0" xfId="25" applyFont="1" applyFill="1" applyAlignment="1">
      <alignment horizontal="left" indent="2"/>
    </xf>
    <xf numFmtId="11" fontId="2" fillId="8" borderId="0" xfId="25" applyNumberFormat="1" applyFill="1" applyAlignment="1">
      <alignment horizontal="center"/>
    </xf>
    <xf numFmtId="0" fontId="0" fillId="8" borderId="0" xfId="0" applyFill="1" applyAlignment="1">
      <alignment horizontal="center" vertical="center"/>
    </xf>
    <xf numFmtId="0" fontId="2" fillId="8" borderId="0" xfId="0" applyFont="1" applyFill="1" applyAlignment="1">
      <alignment horizontal="center" vertical="center"/>
    </xf>
    <xf numFmtId="0" fontId="0" fillId="0" borderId="0" xfId="0" applyFill="1" applyAlignment="1">
      <alignment horizontal="center"/>
    </xf>
    <xf numFmtId="0" fontId="1" fillId="0" borderId="0" xfId="0" applyFont="1" applyAlignment="1">
      <alignment horizontal="center" vertical="center"/>
    </xf>
    <xf numFmtId="166" fontId="2" fillId="0" borderId="0" xfId="0" applyNumberFormat="1" applyFont="1" applyFill="1" applyBorder="1" applyAlignment="1">
      <alignment horizontal="left" vertical="center"/>
    </xf>
    <xf numFmtId="166" fontId="0" fillId="0" borderId="0" xfId="0" applyNumberFormat="1" applyFill="1" applyAlignment="1">
      <alignment horizontal="center" vertical="center"/>
    </xf>
    <xf numFmtId="0" fontId="2" fillId="0" borderId="0" xfId="0" applyFont="1" applyFill="1" applyAlignment="1">
      <alignment horizontal="center"/>
    </xf>
    <xf numFmtId="0" fontId="2" fillId="0" borderId="0" xfId="0" applyFont="1" applyAlignment="1">
      <alignment horizontal="center"/>
    </xf>
    <xf numFmtId="11" fontId="2" fillId="5" borderId="0" xfId="0" applyNumberFormat="1" applyFont="1" applyFill="1" applyAlignment="1">
      <alignment horizontal="center" vertical="center"/>
    </xf>
    <xf numFmtId="11" fontId="2" fillId="8" borderId="0" xfId="0" applyNumberFormat="1" applyFont="1" applyFill="1" applyAlignment="1">
      <alignment horizontal="center" vertical="center"/>
    </xf>
    <xf numFmtId="164" fontId="0" fillId="0" borderId="0" xfId="0" applyNumberFormat="1" applyFill="1" applyAlignment="1">
      <alignment horizontal="center"/>
    </xf>
    <xf numFmtId="11" fontId="2" fillId="0" borderId="0" xfId="0" applyNumberFormat="1" applyFont="1" applyFill="1" applyAlignment="1">
      <alignment horizontal="center" vertical="center"/>
    </xf>
    <xf numFmtId="0" fontId="2" fillId="8" borderId="0" xfId="0" applyFont="1" applyFill="1" applyAlignment="1">
      <alignment horizontal="center" vertical="center" wrapText="1"/>
    </xf>
    <xf numFmtId="0" fontId="1" fillId="6" borderId="0" xfId="0" applyFont="1" applyFill="1" applyAlignment="1">
      <alignment horizontal="center" vertical="center"/>
    </xf>
    <xf numFmtId="0" fontId="1" fillId="8" borderId="0" xfId="0" applyFont="1" applyFill="1" applyAlignment="1">
      <alignment horizontal="center" vertical="center" wrapText="1"/>
    </xf>
    <xf numFmtId="0" fontId="2" fillId="10" borderId="0" xfId="0" applyFont="1" applyFill="1"/>
    <xf numFmtId="0" fontId="2" fillId="11" borderId="0" xfId="0" applyFont="1" applyFill="1"/>
    <xf numFmtId="0" fontId="2" fillId="0" borderId="0" xfId="0" applyFont="1" applyAlignment="1">
      <alignment horizontal="left"/>
    </xf>
    <xf numFmtId="0" fontId="2" fillId="11" borderId="0" xfId="0" applyFont="1" applyFill="1" applyAlignment="1">
      <alignment horizontal="left"/>
    </xf>
    <xf numFmtId="0" fontId="2" fillId="11" borderId="0" xfId="0" applyFont="1" applyFill="1" applyAlignment="1">
      <alignment horizontal="center"/>
    </xf>
    <xf numFmtId="0" fontId="2" fillId="12" borderId="0" xfId="0" applyFont="1" applyFill="1" applyAlignment="1">
      <alignment horizontal="left"/>
    </xf>
    <xf numFmtId="0" fontId="2" fillId="12" borderId="0" xfId="0" applyFont="1" applyFill="1" applyAlignment="1">
      <alignment horizontal="center"/>
    </xf>
    <xf numFmtId="1" fontId="2" fillId="8" borderId="0" xfId="0" applyNumberFormat="1" applyFont="1" applyFill="1" applyAlignment="1">
      <alignment horizontal="center" vertical="center"/>
    </xf>
    <xf numFmtId="1" fontId="2" fillId="11" borderId="0" xfId="0" applyNumberFormat="1" applyFont="1" applyFill="1" applyAlignment="1">
      <alignment horizontal="center" vertical="center"/>
    </xf>
    <xf numFmtId="11" fontId="1" fillId="0" borderId="0" xfId="0" applyNumberFormat="1" applyFont="1" applyFill="1" applyAlignment="1">
      <alignment horizontal="center" vertical="center"/>
    </xf>
    <xf numFmtId="0" fontId="2" fillId="0" borderId="0" xfId="0" applyFont="1" applyFill="1" applyAlignment="1"/>
    <xf numFmtId="0" fontId="1" fillId="0" borderId="0" xfId="0" applyFont="1"/>
    <xf numFmtId="0" fontId="1" fillId="0" borderId="0" xfId="25" applyFont="1"/>
    <xf numFmtId="0" fontId="1" fillId="0" borderId="0" xfId="0" applyFont="1" applyAlignment="1">
      <alignment vertical="top"/>
    </xf>
    <xf numFmtId="0" fontId="0" fillId="0" borderId="0" xfId="0" applyAlignment="1">
      <alignmen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Fill="1" applyAlignment="1">
      <alignment horizontal="left" vertical="top" wrapText="1"/>
    </xf>
    <xf numFmtId="0" fontId="1" fillId="0" borderId="0" xfId="0" applyFont="1" applyAlignment="1">
      <alignment vertical="top" wrapText="1"/>
    </xf>
    <xf numFmtId="164" fontId="0" fillId="0" borderId="0" xfId="0" applyNumberFormat="1" applyFill="1" applyAlignment="1">
      <alignment horizontal="center" vertical="center"/>
    </xf>
    <xf numFmtId="165" fontId="0" fillId="0" borderId="0" xfId="0" applyNumberFormat="1" applyFill="1" applyAlignment="1">
      <alignment horizontal="center" vertical="center"/>
    </xf>
    <xf numFmtId="2" fontId="0" fillId="0" borderId="0" xfId="0" applyNumberFormat="1" applyFill="1" applyAlignment="1">
      <alignment horizontal="center" vertical="center"/>
    </xf>
    <xf numFmtId="0" fontId="0" fillId="0" borderId="0" xfId="0" applyFill="1" applyAlignment="1">
      <alignment horizontal="left" vertical="center"/>
    </xf>
    <xf numFmtId="165" fontId="0" fillId="0" borderId="0" xfId="0" applyNumberFormat="1" applyFill="1" applyAlignment="1">
      <alignment horizontal="center"/>
    </xf>
    <xf numFmtId="166" fontId="0" fillId="0" borderId="0" xfId="0" applyNumberFormat="1" applyFill="1" applyAlignment="1">
      <alignment horizontal="center"/>
    </xf>
    <xf numFmtId="11" fontId="0" fillId="0" borderId="0" xfId="0" applyNumberFormat="1" applyAlignment="1">
      <alignment horizontal="center"/>
    </xf>
    <xf numFmtId="166" fontId="0" fillId="0" borderId="0" xfId="0" applyNumberFormat="1" applyAlignment="1">
      <alignment horizontal="center"/>
    </xf>
    <xf numFmtId="0" fontId="0" fillId="0" borderId="0" xfId="0" applyAlignment="1">
      <alignment horizontal="center"/>
    </xf>
    <xf numFmtId="0" fontId="1" fillId="6" borderId="0" xfId="0" applyFont="1" applyFill="1" applyAlignment="1">
      <alignment horizontal="center" vertical="center" wrapText="1"/>
    </xf>
    <xf numFmtId="1" fontId="0" fillId="0" borderId="0" xfId="0" applyNumberFormat="1" applyFill="1" applyAlignment="1">
      <alignment horizontal="center" vertical="center"/>
    </xf>
    <xf numFmtId="1" fontId="0" fillId="8" borderId="0" xfId="0" applyNumberFormat="1" applyFill="1"/>
    <xf numFmtId="167" fontId="0" fillId="0" borderId="0" xfId="0" applyNumberFormat="1" applyFill="1" applyAlignment="1">
      <alignment horizontal="center"/>
    </xf>
    <xf numFmtId="0" fontId="0" fillId="0" borderId="0" xfId="0" applyBorder="1"/>
    <xf numFmtId="0" fontId="0" fillId="0" borderId="0" xfId="0" applyFill="1" applyBorder="1"/>
    <xf numFmtId="0" fontId="0" fillId="0" borderId="0" xfId="0" applyAlignment="1">
      <alignment textRotation="180"/>
    </xf>
    <xf numFmtId="0" fontId="2" fillId="0" borderId="0" xfId="0" applyFont="1" applyAlignment="1">
      <alignment horizontal="right" vertical="top" textRotation="180" wrapText="1"/>
    </xf>
    <xf numFmtId="0" fontId="2" fillId="0" borderId="0" xfId="0" applyFont="1" applyFill="1" applyAlignment="1">
      <alignment horizontal="right" vertical="top" textRotation="180" wrapText="1"/>
    </xf>
    <xf numFmtId="0" fontId="2" fillId="6" borderId="0" xfId="0" applyFont="1" applyFill="1" applyAlignment="1">
      <alignment horizontal="center"/>
    </xf>
    <xf numFmtId="164" fontId="0" fillId="6" borderId="0" xfId="0" applyNumberFormat="1" applyFill="1" applyAlignment="1">
      <alignment horizontal="center"/>
    </xf>
    <xf numFmtId="0" fontId="0" fillId="6" borderId="0" xfId="0" applyFill="1"/>
    <xf numFmtId="0" fontId="0" fillId="6" borderId="0" xfId="0" applyFill="1" applyBorder="1"/>
    <xf numFmtId="0" fontId="2" fillId="6" borderId="0" xfId="0" applyFont="1" applyFill="1" applyBorder="1"/>
    <xf numFmtId="11" fontId="0" fillId="6" borderId="0" xfId="0" applyNumberFormat="1" applyFill="1" applyAlignment="1">
      <alignment horizontal="center"/>
    </xf>
    <xf numFmtId="0" fontId="0" fillId="6" borderId="0" xfId="0" applyFill="1" applyAlignment="1">
      <alignment horizontal="center" vertical="center"/>
    </xf>
    <xf numFmtId="0" fontId="1" fillId="8" borderId="0" xfId="0" applyFont="1" applyFill="1" applyAlignment="1">
      <alignment horizontal="center" vertical="center"/>
    </xf>
    <xf numFmtId="0" fontId="2" fillId="0" borderId="0" xfId="0" applyNumberFormat="1" applyFont="1" applyFill="1" applyAlignment="1">
      <alignment horizontal="right" vertical="top" textRotation="180" wrapText="1"/>
    </xf>
    <xf numFmtId="0" fontId="21" fillId="6" borderId="0" xfId="0" applyFont="1" applyFill="1" applyAlignment="1">
      <alignment horizontal="center" vertical="center" wrapText="1"/>
    </xf>
    <xf numFmtId="0" fontId="1" fillId="0" borderId="0" xfId="0" applyFont="1" applyFill="1" applyAlignment="1">
      <alignment vertical="center"/>
    </xf>
    <xf numFmtId="0" fontId="1" fillId="5" borderId="0" xfId="0" applyFont="1" applyFill="1" applyAlignment="1">
      <alignment horizontal="left" vertical="center"/>
    </xf>
    <xf numFmtId="0" fontId="1" fillId="11" borderId="0" xfId="0" applyFont="1" applyFill="1" applyAlignment="1">
      <alignment horizontal="left" vertical="center"/>
    </xf>
    <xf numFmtId="0" fontId="1" fillId="12" borderId="0" xfId="0" applyFont="1" applyFill="1" applyAlignment="1">
      <alignment horizontal="left" vertical="center"/>
    </xf>
    <xf numFmtId="0" fontId="2" fillId="12" borderId="0" xfId="0" applyFont="1" applyFill="1"/>
    <xf numFmtId="0" fontId="2" fillId="11" borderId="1" xfId="0" applyFont="1" applyFill="1" applyBorder="1"/>
    <xf numFmtId="0" fontId="2" fillId="11" borderId="1" xfId="0" applyFont="1" applyFill="1" applyBorder="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0" fillId="0" borderId="0" xfId="0" applyFill="1" applyBorder="1" applyAlignment="1">
      <alignment horizontal="center" vertical="center"/>
    </xf>
    <xf numFmtId="1" fontId="2" fillId="8" borderId="0" xfId="0" applyNumberFormat="1" applyFont="1" applyFill="1" applyBorder="1" applyAlignment="1">
      <alignment horizontal="center" vertical="center"/>
    </xf>
    <xf numFmtId="0" fontId="2" fillId="8" borderId="0" xfId="0" applyFont="1" applyFill="1" applyBorder="1" applyAlignment="1">
      <alignment horizontal="center" vertical="center"/>
    </xf>
    <xf numFmtId="11" fontId="2" fillId="8" borderId="0" xfId="0" applyNumberFormat="1" applyFont="1" applyFill="1" applyBorder="1" applyAlignment="1">
      <alignment horizontal="center" vertical="center"/>
    </xf>
    <xf numFmtId="1" fontId="0" fillId="8" borderId="2" xfId="0" applyNumberFormat="1" applyFill="1" applyBorder="1" applyAlignment="1">
      <alignment horizontal="center" wrapText="1"/>
    </xf>
    <xf numFmtId="2" fontId="0" fillId="8" borderId="2" xfId="0" applyNumberFormat="1" applyFill="1" applyBorder="1" applyAlignment="1">
      <alignment horizontal="center" wrapText="1"/>
    </xf>
    <xf numFmtId="0" fontId="1" fillId="13" borderId="0" xfId="0" applyFont="1" applyFill="1" applyAlignment="1">
      <alignment horizontal="left" vertical="top" wrapText="1"/>
    </xf>
    <xf numFmtId="0" fontId="1" fillId="6" borderId="0" xfId="0" applyFont="1" applyFill="1" applyAlignment="1">
      <alignment horizontal="center" vertical="top" wrapText="1"/>
    </xf>
    <xf numFmtId="0" fontId="1" fillId="13" borderId="0" xfId="0" applyFont="1" applyFill="1" applyAlignment="1">
      <alignment horizontal="center" vertical="top" wrapText="1"/>
    </xf>
    <xf numFmtId="0" fontId="1" fillId="13" borderId="0" xfId="0" applyFont="1" applyFill="1" applyAlignment="1">
      <alignment horizontal="left" vertical="top"/>
    </xf>
    <xf numFmtId="2" fontId="0" fillId="8" borderId="4" xfId="0" applyNumberFormat="1" applyFill="1" applyBorder="1" applyAlignment="1">
      <alignment horizontal="center" wrapText="1"/>
    </xf>
    <xf numFmtId="2" fontId="2" fillId="8" borderId="4" xfId="0" applyNumberFormat="1" applyFont="1" applyFill="1" applyBorder="1" applyAlignment="1">
      <alignment horizontal="center" vertical="center"/>
    </xf>
    <xf numFmtId="1" fontId="2" fillId="14" borderId="5" xfId="0" applyNumberFormat="1" applyFont="1" applyFill="1" applyBorder="1" applyAlignment="1">
      <alignment horizontal="center" wrapText="1"/>
    </xf>
    <xf numFmtId="0" fontId="0" fillId="14" borderId="1" xfId="0" applyFill="1" applyBorder="1" applyAlignment="1">
      <alignment horizontal="center" vertical="center"/>
    </xf>
    <xf numFmtId="0" fontId="0" fillId="14" borderId="3" xfId="0" applyFill="1" applyBorder="1" applyAlignment="1">
      <alignment horizontal="left" vertical="center"/>
    </xf>
    <xf numFmtId="0" fontId="2" fillId="14" borderId="3" xfId="0" applyFont="1" applyFill="1" applyBorder="1"/>
    <xf numFmtId="0" fontId="2" fillId="14" borderId="3" xfId="0" applyFont="1" applyFill="1" applyBorder="1" applyAlignment="1">
      <alignment horizontal="left" vertical="center"/>
    </xf>
    <xf numFmtId="166" fontId="2" fillId="14" borderId="3" xfId="0" applyNumberFormat="1" applyFont="1" applyFill="1" applyBorder="1" applyAlignment="1">
      <alignment horizontal="left" vertical="center"/>
    </xf>
    <xf numFmtId="0" fontId="2" fillId="14" borderId="1" xfId="0" applyFont="1" applyFill="1" applyBorder="1" applyAlignment="1">
      <alignment horizontal="center" vertical="center"/>
    </xf>
    <xf numFmtId="1" fontId="2" fillId="14" borderId="6" xfId="0" applyNumberFormat="1" applyFont="1" applyFill="1" applyBorder="1" applyAlignment="1">
      <alignment horizontal="center" wrapText="1"/>
    </xf>
    <xf numFmtId="11" fontId="0" fillId="8" borderId="2" xfId="0" applyNumberFormat="1" applyFill="1" applyBorder="1" applyAlignment="1">
      <alignment horizontal="center" vertical="center"/>
    </xf>
    <xf numFmtId="0" fontId="1" fillId="16" borderId="0" xfId="0" applyFont="1" applyFill="1" applyAlignment="1">
      <alignment horizontal="center" vertical="top" wrapText="1"/>
    </xf>
    <xf numFmtId="11" fontId="0" fillId="8" borderId="4" xfId="0" applyNumberFormat="1" applyFill="1" applyBorder="1" applyAlignment="1">
      <alignment horizontal="center" vertical="center"/>
    </xf>
    <xf numFmtId="11" fontId="0" fillId="17" borderId="7" xfId="0" applyNumberFormat="1" applyFill="1" applyBorder="1" applyAlignment="1">
      <alignment horizontal="center" vertical="center"/>
    </xf>
    <xf numFmtId="11" fontId="0" fillId="18" borderId="7" xfId="0" applyNumberFormat="1" applyFill="1" applyBorder="1" applyAlignment="1">
      <alignment horizontal="center" vertical="center"/>
    </xf>
    <xf numFmtId="9" fontId="2" fillId="14" borderId="6" xfId="0" applyNumberFormat="1" applyFont="1" applyFill="1" applyBorder="1" applyAlignment="1">
      <alignment horizontal="center" wrapText="1"/>
    </xf>
    <xf numFmtId="0" fontId="0" fillId="14" borderId="1" xfId="0" applyFill="1" applyBorder="1" applyAlignment="1">
      <alignment horizontal="left" vertical="center"/>
    </xf>
    <xf numFmtId="0" fontId="2" fillId="14" borderId="1" xfId="0" applyFont="1" applyFill="1" applyBorder="1" applyAlignment="1">
      <alignment horizontal="left" vertical="center"/>
    </xf>
    <xf numFmtId="11" fontId="1" fillId="6" borderId="0" xfId="0" applyNumberFormat="1" applyFont="1" applyFill="1" applyAlignment="1">
      <alignment horizontal="center" vertical="top" wrapText="1"/>
    </xf>
    <xf numFmtId="0" fontId="21" fillId="6" borderId="0" xfId="0" applyFont="1" applyFill="1" applyAlignment="1">
      <alignment horizontal="center" vertical="top" wrapText="1"/>
    </xf>
    <xf numFmtId="0" fontId="1" fillId="14" borderId="0" xfId="0" applyFont="1" applyFill="1" applyAlignment="1">
      <alignment horizontal="left" vertical="center"/>
    </xf>
    <xf numFmtId="0" fontId="0" fillId="14" borderId="0" xfId="0" applyFill="1"/>
    <xf numFmtId="0" fontId="1" fillId="14" borderId="6" xfId="0" applyFont="1" applyFill="1" applyBorder="1" applyAlignment="1">
      <alignment horizontal="left" vertical="center"/>
    </xf>
    <xf numFmtId="0" fontId="0" fillId="14" borderId="8" xfId="0" applyFill="1" applyBorder="1"/>
    <xf numFmtId="0" fontId="0" fillId="14" borderId="9" xfId="0" applyFill="1" applyBorder="1"/>
    <xf numFmtId="0" fontId="1" fillId="8" borderId="0" xfId="0" applyFont="1" applyFill="1" applyAlignment="1">
      <alignment horizontal="left" vertical="center"/>
    </xf>
    <xf numFmtId="0" fontId="1" fillId="15" borderId="0" xfId="0" applyFont="1" applyFill="1" applyAlignment="1">
      <alignment vertical="center"/>
    </xf>
    <xf numFmtId="0" fontId="1" fillId="14" borderId="0" xfId="0" applyFont="1" applyFill="1" applyAlignment="1">
      <alignment vertical="center"/>
    </xf>
    <xf numFmtId="0" fontId="0" fillId="14" borderId="0" xfId="0" applyFill="1" applyAlignment="1">
      <alignment horizontal="center" vertical="center"/>
    </xf>
    <xf numFmtId="0" fontId="2" fillId="14" borderId="0" xfId="0" applyFont="1" applyFill="1"/>
    <xf numFmtId="0" fontId="1" fillId="13" borderId="0" xfId="0" applyFont="1" applyFill="1" applyAlignment="1">
      <alignment horizontal="center" vertical="top"/>
    </xf>
    <xf numFmtId="11" fontId="0" fillId="14" borderId="3" xfId="0" applyNumberFormat="1" applyFill="1" applyBorder="1" applyAlignment="1">
      <alignment horizontal="center" vertical="center"/>
    </xf>
    <xf numFmtId="0" fontId="1" fillId="0" borderId="0" xfId="0" applyFont="1" applyFill="1" applyAlignment="1">
      <alignment horizontal="left" vertical="center"/>
    </xf>
    <xf numFmtId="0" fontId="0" fillId="9" borderId="0" xfId="0" applyFill="1"/>
    <xf numFmtId="11" fontId="2" fillId="9" borderId="0" xfId="0" applyNumberFormat="1" applyFont="1" applyFill="1" applyAlignment="1">
      <alignment horizontal="center" vertical="center"/>
    </xf>
    <xf numFmtId="0" fontId="1" fillId="9" borderId="0" xfId="0" applyFont="1" applyFill="1" applyAlignment="1">
      <alignment horizontal="left" vertical="center"/>
    </xf>
    <xf numFmtId="0" fontId="1" fillId="5" borderId="0" xfId="0" applyFont="1" applyFill="1" applyAlignment="1">
      <alignment vertical="center"/>
    </xf>
    <xf numFmtId="0" fontId="1" fillId="9" borderId="0" xfId="0" applyFont="1" applyFill="1" applyAlignment="1">
      <alignment vertical="center"/>
    </xf>
    <xf numFmtId="11" fontId="0" fillId="0" borderId="0" xfId="0" applyNumberFormat="1"/>
    <xf numFmtId="0" fontId="17" fillId="11" borderId="0" xfId="19" applyNumberFormat="1" applyFont="1" applyFill="1" applyAlignment="1">
      <alignment horizontal="left" vertical="center" wrapText="1"/>
    </xf>
    <xf numFmtId="2" fontId="17" fillId="11" borderId="0" xfId="19" applyNumberFormat="1" applyFont="1" applyFill="1" applyAlignment="1">
      <alignment horizontal="left" vertical="center" wrapText="1"/>
    </xf>
    <xf numFmtId="0" fontId="21" fillId="12" borderId="0" xfId="0" applyFont="1" applyFill="1" applyAlignment="1">
      <alignment horizontal="left" vertical="center" wrapText="1"/>
    </xf>
    <xf numFmtId="2" fontId="17" fillId="12" borderId="0" xfId="19" applyNumberFormat="1" applyFont="1" applyFill="1" applyAlignment="1">
      <alignment horizontal="left" vertical="center" wrapText="1"/>
    </xf>
    <xf numFmtId="0" fontId="2" fillId="0" borderId="0" xfId="0" applyFont="1" applyFill="1" applyAlignment="1">
      <alignment vertical="top"/>
    </xf>
    <xf numFmtId="0" fontId="1" fillId="10" borderId="0" xfId="0" applyFont="1" applyFill="1" applyBorder="1" applyAlignment="1">
      <alignment horizontal="center" vertical="center" wrapText="1"/>
    </xf>
    <xf numFmtId="0" fontId="1" fillId="10" borderId="0" xfId="0" applyFont="1" applyFill="1" applyAlignment="1">
      <alignment horizontal="center" vertical="center" wrapText="1"/>
    </xf>
    <xf numFmtId="0" fontId="2" fillId="15" borderId="0" xfId="0" applyFont="1" applyFill="1"/>
    <xf numFmtId="49" fontId="2" fillId="12" borderId="0" xfId="0" applyNumberFormat="1" applyFont="1" applyFill="1" applyBorder="1" applyAlignment="1">
      <alignment horizontal="left" vertical="center" wrapText="1"/>
    </xf>
    <xf numFmtId="49" fontId="0" fillId="12" borderId="0" xfId="0" applyNumberFormat="1" applyFont="1" applyFill="1" applyBorder="1" applyAlignment="1">
      <alignment horizontal="left" vertical="center" wrapText="1"/>
    </xf>
    <xf numFmtId="49" fontId="0" fillId="12" borderId="0" xfId="0" applyNumberFormat="1" applyFont="1" applyFill="1"/>
    <xf numFmtId="49" fontId="0" fillId="12" borderId="0" xfId="0" applyNumberFormat="1" applyFont="1" applyFill="1" applyAlignment="1">
      <alignment horizontal="left" vertical="center"/>
    </xf>
    <xf numFmtId="49" fontId="0" fillId="12" borderId="0" xfId="9" applyNumberFormat="1" applyFont="1" applyFill="1" applyAlignment="1">
      <alignment horizontal="left" vertical="top" wrapText="1"/>
    </xf>
    <xf numFmtId="49" fontId="0" fillId="12" borderId="0" xfId="11" applyNumberFormat="1" applyFont="1" applyFill="1" applyAlignment="1">
      <alignment horizontal="left" vertical="top" wrapText="1"/>
    </xf>
    <xf numFmtId="0" fontId="22" fillId="10" borderId="0" xfId="0" applyFont="1" applyFill="1" applyBorder="1" applyAlignment="1">
      <alignment horizontal="center" vertical="center" wrapText="1"/>
    </xf>
    <xf numFmtId="0" fontId="21" fillId="10" borderId="0" xfId="0" applyFont="1" applyFill="1" applyAlignment="1">
      <alignment horizontal="center" vertical="center" wrapText="1"/>
    </xf>
    <xf numFmtId="0" fontId="22" fillId="10" borderId="0" xfId="0" applyFont="1" applyFill="1" applyAlignment="1">
      <alignment horizontal="center" vertical="center" wrapText="1"/>
    </xf>
    <xf numFmtId="0" fontId="1" fillId="10" borderId="0" xfId="0" applyFont="1" applyFill="1" applyAlignment="1">
      <alignment horizontal="left" vertical="center"/>
    </xf>
    <xf numFmtId="0" fontId="11" fillId="0" borderId="0" xfId="8" applyNumberFormat="1" applyFont="1" applyFill="1" applyAlignment="1">
      <alignment horizontal="center" vertical="center" wrapText="1"/>
    </xf>
    <xf numFmtId="2" fontId="11" fillId="0" borderId="0" xfId="19" applyNumberFormat="1" applyFont="1" applyFill="1" applyAlignment="1">
      <alignment horizontal="center" vertical="center" wrapText="1"/>
    </xf>
    <xf numFmtId="0" fontId="20" fillId="0" borderId="0" xfId="0" applyFont="1" applyFill="1" applyAlignment="1">
      <alignment wrapText="1"/>
    </xf>
    <xf numFmtId="0" fontId="11" fillId="0" borderId="0" xfId="8" applyNumberFormat="1" applyFont="1" applyFill="1" applyAlignment="1">
      <alignment horizontal="right" vertical="top" wrapText="1"/>
    </xf>
    <xf numFmtId="0" fontId="2" fillId="12" borderId="1" xfId="0" applyFont="1" applyFill="1" applyBorder="1" applyAlignment="1">
      <alignment horizontal="left" vertical="center"/>
    </xf>
    <xf numFmtId="166" fontId="2" fillId="12" borderId="1" xfId="0" applyNumberFormat="1"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wrapText="1"/>
    </xf>
    <xf numFmtId="0" fontId="1" fillId="10" borderId="0" xfId="0" applyFont="1" applyFill="1" applyAlignment="1">
      <alignment horizontal="left" vertical="center" wrapText="1"/>
    </xf>
    <xf numFmtId="0" fontId="2" fillId="16" borderId="0" xfId="0" applyFont="1" applyFill="1"/>
    <xf numFmtId="0" fontId="1" fillId="16" borderId="0" xfId="0" applyFont="1" applyFill="1"/>
    <xf numFmtId="0" fontId="1" fillId="16" borderId="0" xfId="0" applyFont="1" applyFill="1" applyAlignment="1">
      <alignment vertical="top"/>
    </xf>
    <xf numFmtId="0" fontId="2" fillId="0" borderId="0" xfId="0" applyFont="1" applyFill="1" applyAlignment="1">
      <alignment vertical="top" wrapText="1"/>
    </xf>
    <xf numFmtId="0" fontId="1" fillId="6" borderId="0" xfId="25" applyFont="1" applyFill="1" applyAlignment="1">
      <alignment vertical="top"/>
    </xf>
    <xf numFmtId="0" fontId="1" fillId="0" borderId="0" xfId="25" applyFont="1" applyFill="1"/>
    <xf numFmtId="0" fontId="2" fillId="0" borderId="0" xfId="25" applyFont="1" applyFill="1"/>
    <xf numFmtId="0" fontId="24" fillId="20" borderId="0" xfId="25" applyFont="1" applyFill="1"/>
    <xf numFmtId="0" fontId="29" fillId="20" borderId="0" xfId="25" applyFont="1" applyFill="1"/>
    <xf numFmtId="0" fontId="24" fillId="19" borderId="0" xfId="25" applyFont="1" applyFill="1"/>
    <xf numFmtId="0" fontId="29" fillId="19" borderId="0" xfId="25" applyFont="1" applyFill="1"/>
    <xf numFmtId="166" fontId="20" fillId="12" borderId="0" xfId="0" applyNumberFormat="1" applyFont="1" applyFill="1" applyBorder="1" applyAlignment="1">
      <alignment horizontal="left" vertical="center" wrapText="1"/>
    </xf>
    <xf numFmtId="0" fontId="20" fillId="11" borderId="0" xfId="0" applyFont="1" applyFill="1" applyAlignment="1">
      <alignment horizontal="center" vertical="center"/>
    </xf>
    <xf numFmtId="2" fontId="20" fillId="12" borderId="0" xfId="0" applyNumberFormat="1" applyFont="1" applyFill="1" applyAlignment="1">
      <alignment horizontal="center" vertical="center"/>
    </xf>
    <xf numFmtId="2" fontId="20" fillId="11" borderId="0" xfId="0" applyNumberFormat="1" applyFont="1" applyFill="1" applyAlignment="1">
      <alignment horizontal="center" vertical="center"/>
    </xf>
    <xf numFmtId="0" fontId="20" fillId="12" borderId="0" xfId="0" applyFont="1" applyFill="1" applyAlignment="1">
      <alignment horizontal="center"/>
    </xf>
    <xf numFmtId="0" fontId="21" fillId="12" borderId="0" xfId="0" applyFont="1" applyFill="1" applyAlignment="1">
      <alignment horizontal="left" vertical="center"/>
    </xf>
    <xf numFmtId="166" fontId="20" fillId="12" borderId="0" xfId="0" applyNumberFormat="1" applyFont="1" applyFill="1" applyBorder="1" applyAlignment="1">
      <alignment vertical="center" wrapText="1"/>
    </xf>
    <xf numFmtId="11" fontId="20" fillId="11" borderId="0" xfId="0" applyNumberFormat="1" applyFont="1" applyFill="1" applyAlignment="1">
      <alignment vertical="center"/>
    </xf>
    <xf numFmtId="0" fontId="20" fillId="12" borderId="0" xfId="0" applyFont="1" applyFill="1" applyAlignment="1">
      <alignment vertical="center"/>
    </xf>
    <xf numFmtId="11" fontId="20" fillId="12" borderId="0" xfId="0" applyNumberFormat="1" applyFont="1" applyFill="1" applyAlignment="1">
      <alignment vertical="center"/>
    </xf>
    <xf numFmtId="0" fontId="1" fillId="0" borderId="0" xfId="0" applyFont="1" applyBorder="1"/>
    <xf numFmtId="11" fontId="1" fillId="0" borderId="0" xfId="0" applyNumberFormat="1" applyFont="1" applyFill="1"/>
    <xf numFmtId="0" fontId="1" fillId="0" borderId="0" xfId="0" applyFont="1" applyAlignment="1">
      <alignment horizontal="left" vertical="center"/>
    </xf>
    <xf numFmtId="0" fontId="2" fillId="0" borderId="0" xfId="0" applyFont="1" applyFill="1" applyAlignment="1">
      <alignment horizontal="left"/>
    </xf>
    <xf numFmtId="2" fontId="0" fillId="8" borderId="0" xfId="0" applyNumberFormat="1" applyFill="1" applyAlignment="1">
      <alignment horizontal="center"/>
    </xf>
    <xf numFmtId="1" fontId="0" fillId="8" borderId="0" xfId="0" applyNumberFormat="1" applyFill="1" applyAlignment="1">
      <alignment horizontal="center" vertical="center"/>
    </xf>
    <xf numFmtId="11" fontId="1" fillId="0" borderId="0" xfId="0" applyNumberFormat="1" applyFont="1" applyFill="1" applyAlignment="1">
      <alignment horizontal="left" vertical="center"/>
    </xf>
    <xf numFmtId="0" fontId="2" fillId="0" borderId="0" xfId="0" applyFont="1" applyAlignment="1">
      <alignment vertical="center"/>
    </xf>
    <xf numFmtId="0" fontId="0" fillId="8" borderId="0" xfId="0" applyFill="1" applyBorder="1" applyAlignment="1">
      <alignment horizontal="center" vertical="center"/>
    </xf>
    <xf numFmtId="11" fontId="0" fillId="8" borderId="0" xfId="0" applyNumberFormat="1" applyFill="1" applyAlignment="1">
      <alignment horizontal="center" vertical="center"/>
    </xf>
    <xf numFmtId="0" fontId="2" fillId="6" borderId="0" xfId="0" applyFont="1" applyFill="1" applyAlignment="1">
      <alignment horizontal="center" vertical="center"/>
    </xf>
    <xf numFmtId="11" fontId="0" fillId="0" borderId="0" xfId="0" applyNumberFormat="1" applyFill="1" applyBorder="1" applyAlignment="1">
      <alignment horizontal="center" vertical="center"/>
    </xf>
    <xf numFmtId="11" fontId="2" fillId="0" borderId="0" xfId="0" applyNumberFormat="1" applyFont="1" applyFill="1" applyBorder="1" applyAlignment="1">
      <alignment horizontal="center" vertical="center"/>
    </xf>
    <xf numFmtId="11" fontId="1" fillId="0" borderId="0" xfId="0" applyNumberFormat="1" applyFont="1" applyFill="1" applyBorder="1"/>
    <xf numFmtId="0" fontId="1" fillId="0" borderId="0" xfId="0" applyFont="1" applyFill="1"/>
    <xf numFmtId="0" fontId="1" fillId="0" borderId="0" xfId="0" applyFont="1" applyFill="1" applyBorder="1"/>
    <xf numFmtId="11" fontId="21" fillId="0" borderId="0" xfId="0" applyNumberFormat="1" applyFont="1" applyFill="1" applyBorder="1"/>
    <xf numFmtId="11" fontId="21" fillId="0" borderId="0" xfId="0" applyNumberFormat="1" applyFont="1" applyFill="1"/>
    <xf numFmtId="0" fontId="1" fillId="0" borderId="0" xfId="0" applyFont="1" applyFill="1" applyBorder="1" applyAlignment="1">
      <alignment horizontal="left" vertical="center"/>
    </xf>
    <xf numFmtId="0" fontId="0" fillId="0" borderId="0" xfId="0" applyFill="1" applyBorder="1" applyAlignment="1">
      <alignment horizontal="center"/>
    </xf>
    <xf numFmtId="0" fontId="0" fillId="0" borderId="0" xfId="0" applyBorder="1" applyAlignment="1">
      <alignment horizontal="center"/>
    </xf>
    <xf numFmtId="164" fontId="0" fillId="0" borderId="0" xfId="0" applyNumberFormat="1" applyFill="1" applyBorder="1" applyAlignment="1">
      <alignment horizontal="center"/>
    </xf>
    <xf numFmtId="165" fontId="0" fillId="0" borderId="0" xfId="0" applyNumberFormat="1" applyFill="1" applyBorder="1" applyAlignment="1">
      <alignment horizontal="center"/>
    </xf>
    <xf numFmtId="0" fontId="1" fillId="6" borderId="10"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49" fontId="1" fillId="8" borderId="13" xfId="0" applyNumberFormat="1" applyFont="1" applyFill="1" applyBorder="1" applyAlignment="1">
      <alignment horizontal="center" vertical="center"/>
    </xf>
    <xf numFmtId="49" fontId="1" fillId="8" borderId="14" xfId="0" applyNumberFormat="1" applyFont="1" applyFill="1" applyBorder="1" applyAlignment="1">
      <alignment horizontal="center" vertical="center"/>
    </xf>
    <xf numFmtId="0" fontId="1" fillId="8" borderId="15" xfId="0" applyFont="1" applyFill="1" applyBorder="1" applyAlignment="1">
      <alignment horizontal="center" vertical="center"/>
    </xf>
    <xf numFmtId="0" fontId="1" fillId="8" borderId="13" xfId="0" applyFont="1" applyFill="1" applyBorder="1" applyAlignment="1">
      <alignment horizontal="center" vertical="center"/>
    </xf>
    <xf numFmtId="0" fontId="1" fillId="8" borderId="14" xfId="0" applyFont="1" applyFill="1" applyBorder="1" applyAlignment="1">
      <alignment horizontal="center" vertical="center"/>
    </xf>
    <xf numFmtId="11" fontId="1" fillId="0" borderId="0" xfId="0" applyNumberFormat="1"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top" textRotation="180" wrapText="1"/>
    </xf>
    <xf numFmtId="49" fontId="1" fillId="6" borderId="10" xfId="0" applyNumberFormat="1" applyFont="1" applyFill="1" applyBorder="1" applyAlignment="1">
      <alignment horizontal="center" vertical="center"/>
    </xf>
    <xf numFmtId="49" fontId="1" fillId="6" borderId="11" xfId="0" applyNumberFormat="1" applyFont="1" applyFill="1" applyBorder="1" applyAlignment="1">
      <alignment horizontal="center" vertical="center"/>
    </xf>
    <xf numFmtId="49" fontId="1" fillId="6" borderId="12" xfId="0" applyNumberFormat="1" applyFont="1" applyFill="1" applyBorder="1" applyAlignment="1">
      <alignment horizontal="center" vertical="center"/>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12" xfId="0" applyFont="1" applyFill="1" applyBorder="1" applyAlignment="1">
      <alignment horizontal="center" vertical="center"/>
    </xf>
    <xf numFmtId="49" fontId="1" fillId="8" borderId="15" xfId="0" applyNumberFormat="1" applyFont="1" applyFill="1" applyBorder="1" applyAlignment="1">
      <alignment horizontal="center" vertical="center"/>
    </xf>
    <xf numFmtId="1" fontId="0" fillId="8" borderId="0" xfId="0" applyNumberFormat="1" applyFont="1" applyFill="1" applyAlignment="1">
      <alignment horizontal="center" wrapText="1"/>
    </xf>
    <xf numFmtId="0" fontId="2" fillId="5" borderId="0" xfId="0" applyFont="1" applyFill="1" applyAlignment="1">
      <alignment horizontal="center" vertical="center"/>
    </xf>
    <xf numFmtId="0" fontId="2" fillId="14" borderId="3" xfId="0" applyFont="1" applyFill="1" applyBorder="1" applyAlignment="1">
      <alignment horizontal="center" vertical="center"/>
    </xf>
    <xf numFmtId="0" fontId="2" fillId="14" borderId="5" xfId="0" applyFont="1" applyFill="1" applyBorder="1" applyAlignment="1">
      <alignment horizontal="center" vertical="center"/>
    </xf>
    <xf numFmtId="0" fontId="0" fillId="14" borderId="5" xfId="0" applyFill="1" applyBorder="1" applyAlignment="1">
      <alignment horizontal="center" vertical="center"/>
    </xf>
    <xf numFmtId="0" fontId="20" fillId="14" borderId="5" xfId="0" applyFont="1" applyFill="1" applyBorder="1" applyAlignment="1">
      <alignment horizontal="center" vertical="center" wrapText="1"/>
    </xf>
    <xf numFmtId="0" fontId="11" fillId="14" borderId="5" xfId="8" applyNumberFormat="1" applyFont="1" applyFill="1" applyBorder="1" applyAlignment="1">
      <alignment horizontal="center" vertical="center" wrapText="1"/>
    </xf>
    <xf numFmtId="0" fontId="0" fillId="14" borderId="3" xfId="0" applyFill="1" applyBorder="1" applyAlignment="1">
      <alignment horizontal="center" vertical="center"/>
    </xf>
    <xf numFmtId="11" fontId="0" fillId="16" borderId="0" xfId="0" applyNumberFormat="1" applyFill="1" applyAlignment="1">
      <alignment horizontal="center" vertical="center"/>
    </xf>
    <xf numFmtId="0" fontId="1" fillId="13" borderId="0" xfId="0" applyFont="1" applyFill="1" applyAlignment="1">
      <alignment horizontal="center" vertical="center"/>
    </xf>
    <xf numFmtId="11" fontId="2" fillId="0" borderId="0" xfId="25" applyNumberFormat="1"/>
    <xf numFmtId="0" fontId="2" fillId="21" borderId="0" xfId="0" applyFont="1" applyFill="1"/>
    <xf numFmtId="0" fontId="2" fillId="13" borderId="0" xfId="0" applyFont="1" applyFill="1"/>
    <xf numFmtId="0" fontId="2" fillId="18" borderId="0" xfId="0" applyFont="1" applyFill="1"/>
    <xf numFmtId="0" fontId="2" fillId="22" borderId="0" xfId="0" applyFont="1" applyFill="1"/>
    <xf numFmtId="0" fontId="2" fillId="23" borderId="0" xfId="0" applyFont="1" applyFill="1"/>
    <xf numFmtId="0" fontId="2" fillId="24" borderId="0" xfId="0" applyFont="1" applyFill="1"/>
    <xf numFmtId="0" fontId="2" fillId="25" borderId="0" xfId="0" applyFont="1" applyFill="1"/>
    <xf numFmtId="0" fontId="2" fillId="21" borderId="0" xfId="0" applyFont="1" applyFill="1" applyAlignment="1">
      <alignment horizontal="center" vertical="center"/>
    </xf>
    <xf numFmtId="0" fontId="2" fillId="21" borderId="0" xfId="0" applyFont="1" applyFill="1" applyBorder="1"/>
    <xf numFmtId="0" fontId="2" fillId="13" borderId="0" xfId="0" applyFont="1" applyFill="1" applyAlignment="1">
      <alignment horizontal="center" vertical="center"/>
    </xf>
    <xf numFmtId="0" fontId="2" fillId="18" borderId="0" xfId="0" applyFont="1" applyFill="1" applyAlignment="1">
      <alignment horizontal="left" vertical="center"/>
    </xf>
    <xf numFmtId="0" fontId="2" fillId="18" borderId="0" xfId="0" applyFont="1" applyFill="1" applyAlignment="1">
      <alignment horizontal="center" vertical="center"/>
    </xf>
    <xf numFmtId="0" fontId="2" fillId="22" borderId="0" xfId="0" applyFont="1" applyFill="1" applyAlignment="1">
      <alignment horizontal="left" vertical="center"/>
    </xf>
    <xf numFmtId="0" fontId="2" fillId="22" borderId="0" xfId="0" applyFont="1" applyFill="1" applyAlignment="1">
      <alignment horizontal="center" vertical="center"/>
    </xf>
    <xf numFmtId="0" fontId="2" fillId="22" borderId="0" xfId="0" applyFont="1" applyFill="1" applyBorder="1" applyAlignment="1">
      <alignment horizontal="center" vertical="center"/>
    </xf>
    <xf numFmtId="0" fontId="2" fillId="24" borderId="0" xfId="0" applyFont="1" applyFill="1" applyBorder="1" applyAlignment="1">
      <alignment horizontal="center" vertical="center"/>
    </xf>
    <xf numFmtId="0" fontId="2" fillId="24" borderId="0" xfId="0" applyFont="1" applyFill="1" applyAlignment="1">
      <alignment horizontal="center" vertical="center"/>
    </xf>
    <xf numFmtId="0" fontId="0" fillId="21" borderId="0" xfId="0" applyFill="1"/>
    <xf numFmtId="11" fontId="13" fillId="0" borderId="0" xfId="0" applyNumberFormat="1" applyFont="1" applyFill="1" applyBorder="1" applyAlignment="1">
      <alignment horizontal="center" vertical="center"/>
    </xf>
    <xf numFmtId="0" fontId="13" fillId="0" borderId="0" xfId="0" applyFont="1" applyFill="1" applyAlignment="1">
      <alignment horizontal="center" vertical="center"/>
    </xf>
    <xf numFmtId="11" fontId="13" fillId="0" borderId="0" xfId="0" applyNumberFormat="1" applyFont="1" applyFill="1" applyAlignment="1">
      <alignment horizontal="center" vertical="center"/>
    </xf>
    <xf numFmtId="11" fontId="20" fillId="0" borderId="0" xfId="0" applyNumberFormat="1" applyFont="1" applyFill="1" applyBorder="1" applyAlignment="1">
      <alignment horizontal="center" vertical="center"/>
    </xf>
    <xf numFmtId="11" fontId="13" fillId="8" borderId="0" xfId="0" applyNumberFormat="1" applyFont="1" applyFill="1" applyAlignment="1">
      <alignment horizontal="center" vertical="center"/>
    </xf>
    <xf numFmtId="11" fontId="0" fillId="8" borderId="0" xfId="0" applyNumberFormat="1" applyFill="1" applyBorder="1" applyAlignment="1">
      <alignment horizontal="center" vertical="center"/>
    </xf>
    <xf numFmtId="11" fontId="13" fillId="8" borderId="0" xfId="0" applyNumberFormat="1" applyFont="1" applyFill="1" applyBorder="1" applyAlignment="1">
      <alignment horizontal="center" vertical="center"/>
    </xf>
    <xf numFmtId="0" fontId="0" fillId="13" borderId="0" xfId="0" applyFill="1"/>
    <xf numFmtId="0" fontId="0" fillId="0" borderId="0" xfId="0" applyAlignment="1">
      <alignment wrapText="1"/>
    </xf>
    <xf numFmtId="0" fontId="2" fillId="0" borderId="0" xfId="0" applyFont="1" applyAlignment="1">
      <alignment wrapText="1"/>
    </xf>
    <xf numFmtId="0" fontId="2" fillId="0" borderId="0" xfId="0" applyFont="1" applyAlignment="1">
      <alignment vertical="top"/>
    </xf>
    <xf numFmtId="9" fontId="0" fillId="14" borderId="6" xfId="0" applyNumberFormat="1" applyFill="1" applyBorder="1" applyAlignment="1">
      <alignment horizontal="center" vertical="center"/>
    </xf>
    <xf numFmtId="49" fontId="0" fillId="0" borderId="0" xfId="0" applyNumberFormat="1" applyFont="1" applyFill="1"/>
    <xf numFmtId="1" fontId="2" fillId="0" borderId="0" xfId="0" applyNumberFormat="1" applyFont="1" applyFill="1" applyAlignment="1">
      <alignment horizontal="center" vertical="center"/>
    </xf>
    <xf numFmtId="2" fontId="2" fillId="0" borderId="0" xfId="0" applyNumberFormat="1" applyFont="1" applyFill="1" applyAlignment="1">
      <alignment horizontal="center" vertical="center"/>
    </xf>
    <xf numFmtId="49" fontId="2" fillId="0" borderId="0" xfId="0" applyNumberFormat="1" applyFont="1" applyFill="1" applyAlignment="1">
      <alignment horizontal="center"/>
    </xf>
    <xf numFmtId="0" fontId="1" fillId="15" borderId="6" xfId="0" applyFont="1" applyFill="1" applyBorder="1" applyAlignment="1">
      <alignment horizontal="left" vertical="center"/>
    </xf>
    <xf numFmtId="0" fontId="31" fillId="0" borderId="0" xfId="0" applyFont="1" applyAlignment="1">
      <alignment wrapText="1"/>
    </xf>
    <xf numFmtId="0" fontId="30" fillId="0" borderId="0" xfId="0" applyFont="1" applyFill="1" applyAlignment="1">
      <alignment horizontal="left" vertical="top"/>
    </xf>
    <xf numFmtId="0" fontId="2" fillId="0" borderId="0" xfId="25" applyFill="1" applyAlignment="1">
      <alignment horizontal="left" vertical="top"/>
    </xf>
    <xf numFmtId="0" fontId="11" fillId="0" borderId="0" xfId="0" applyFont="1" applyFill="1" applyAlignment="1">
      <alignment wrapText="1"/>
    </xf>
    <xf numFmtId="0" fontId="1" fillId="0" borderId="0" xfId="25" applyFont="1" applyAlignment="1">
      <alignment vertical="top"/>
    </xf>
    <xf numFmtId="0" fontId="33" fillId="0" borderId="0" xfId="0" applyFont="1" applyAlignment="1">
      <alignment wrapText="1"/>
    </xf>
    <xf numFmtId="166" fontId="2" fillId="0" borderId="0" xfId="0" applyNumberFormat="1" applyFont="1" applyFill="1" applyBorder="1" applyAlignment="1">
      <alignment horizontal="left" vertical="center" wrapText="1"/>
    </xf>
    <xf numFmtId="0" fontId="1" fillId="13"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Alignment="1"/>
    <xf numFmtId="1" fontId="11" fillId="11" borderId="0" xfId="19" applyNumberFormat="1" applyFont="1" applyFill="1" applyAlignment="1">
      <alignment horizontal="center" vertical="center" wrapText="1"/>
    </xf>
    <xf numFmtId="2" fontId="0" fillId="14" borderId="6" xfId="0" applyNumberFormat="1" applyFill="1" applyBorder="1" applyAlignment="1">
      <alignment horizontal="center" vertical="center"/>
    </xf>
    <xf numFmtId="0" fontId="2" fillId="13" borderId="0" xfId="0" applyFont="1" applyFill="1" applyAlignment="1">
      <alignment horizontal="center"/>
    </xf>
    <xf numFmtId="164" fontId="0" fillId="13" borderId="0" xfId="0" applyNumberFormat="1" applyFill="1" applyAlignment="1">
      <alignment horizontal="center"/>
    </xf>
    <xf numFmtId="0" fontId="1" fillId="12" borderId="1" xfId="0" applyFont="1" applyFill="1" applyBorder="1" applyAlignment="1">
      <alignment horizontal="left" vertical="center"/>
    </xf>
    <xf numFmtId="0" fontId="1" fillId="11" borderId="1" xfId="0" applyFont="1" applyFill="1" applyBorder="1" applyAlignment="1">
      <alignment horizontal="center"/>
    </xf>
    <xf numFmtId="166" fontId="1" fillId="12" borderId="1" xfId="0" applyNumberFormat="1" applyFont="1" applyFill="1" applyBorder="1" applyAlignment="1">
      <alignment horizontal="left" vertical="center" wrapText="1"/>
    </xf>
    <xf numFmtId="0" fontId="2" fillId="12" borderId="0" xfId="0" applyFont="1" applyFill="1" applyAlignment="1">
      <alignment vertical="top"/>
    </xf>
    <xf numFmtId="49" fontId="2" fillId="12" borderId="0" xfId="0" applyNumberFormat="1" applyFont="1" applyFill="1" applyAlignment="1">
      <alignment horizontal="left"/>
    </xf>
    <xf numFmtId="164" fontId="11" fillId="12" borderId="0" xfId="19" applyNumberFormat="1" applyFont="1" applyFill="1" applyAlignment="1">
      <alignment horizontal="center" vertical="top" wrapText="1"/>
    </xf>
    <xf numFmtId="164" fontId="11" fillId="11" borderId="0" xfId="19" applyNumberFormat="1" applyFont="1" applyFill="1" applyAlignment="1">
      <alignment horizontal="center" vertical="center" wrapText="1"/>
    </xf>
    <xf numFmtId="164" fontId="20" fillId="12" borderId="0" xfId="0" applyNumberFormat="1" applyFont="1" applyFill="1" applyAlignment="1">
      <alignment horizontal="center" wrapText="1"/>
    </xf>
    <xf numFmtId="164" fontId="11" fillId="11" borderId="0" xfId="8" applyNumberFormat="1" applyFont="1" applyFill="1" applyAlignment="1">
      <alignment horizontal="center" vertical="center" wrapText="1"/>
    </xf>
    <xf numFmtId="164" fontId="11" fillId="12" borderId="0" xfId="8" applyNumberFormat="1" applyFont="1" applyFill="1" applyAlignment="1">
      <alignment horizontal="center" vertical="top" wrapText="1"/>
    </xf>
    <xf numFmtId="164" fontId="11" fillId="11" borderId="0" xfId="10" applyNumberFormat="1" applyFont="1" applyFill="1" applyAlignment="1">
      <alignment horizontal="center" vertical="center" wrapText="1"/>
    </xf>
    <xf numFmtId="164" fontId="11" fillId="12" borderId="0" xfId="10" applyNumberFormat="1" applyFont="1" applyFill="1" applyAlignment="1">
      <alignment horizontal="center" vertical="top" wrapText="1"/>
    </xf>
    <xf numFmtId="1" fontId="20" fillId="12" borderId="0" xfId="0" applyNumberFormat="1" applyFont="1" applyFill="1" applyAlignment="1">
      <alignment horizontal="center" wrapText="1"/>
    </xf>
    <xf numFmtId="1" fontId="11" fillId="11" borderId="0" xfId="8" applyNumberFormat="1" applyFont="1" applyFill="1" applyAlignment="1">
      <alignment horizontal="center" vertical="center" wrapText="1"/>
    </xf>
    <xf numFmtId="1" fontId="11" fillId="11" borderId="0" xfId="10" applyNumberFormat="1" applyFont="1" applyFill="1" applyAlignment="1">
      <alignment horizontal="center" vertical="center" wrapText="1"/>
    </xf>
    <xf numFmtId="164" fontId="2" fillId="12" borderId="0" xfId="0" applyNumberFormat="1" applyFont="1" applyFill="1" applyAlignment="1">
      <alignment horizontal="center" vertical="center"/>
    </xf>
    <xf numFmtId="164" fontId="2" fillId="11" borderId="0" xfId="0" applyNumberFormat="1" applyFont="1" applyFill="1" applyAlignment="1">
      <alignment horizontal="center" vertical="center"/>
    </xf>
    <xf numFmtId="11" fontId="0" fillId="16" borderId="0" xfId="0" applyNumberFormat="1" applyFill="1" applyAlignment="1">
      <alignment horizontal="center"/>
    </xf>
    <xf numFmtId="11" fontId="0" fillId="17" borderId="0" xfId="0" applyNumberFormat="1" applyFill="1" applyAlignment="1">
      <alignment horizontal="center"/>
    </xf>
    <xf numFmtId="11" fontId="1" fillId="16" borderId="0" xfId="0" applyNumberFormat="1" applyFont="1" applyFill="1" applyAlignment="1">
      <alignment horizontal="center"/>
    </xf>
    <xf numFmtId="0" fontId="0" fillId="16" borderId="0" xfId="0" applyFill="1" applyAlignment="1">
      <alignment horizontal="center"/>
    </xf>
    <xf numFmtId="11" fontId="2" fillId="17" borderId="0" xfId="0" applyNumberFormat="1" applyFont="1" applyFill="1" applyAlignment="1">
      <alignment horizontal="center"/>
    </xf>
    <xf numFmtId="0" fontId="1" fillId="6" borderId="0" xfId="0" applyFont="1" applyFill="1" applyAlignment="1">
      <alignment horizontal="left" vertical="center"/>
    </xf>
    <xf numFmtId="0" fontId="1" fillId="6" borderId="0" xfId="0" applyFont="1" applyFill="1" applyBorder="1" applyAlignment="1">
      <alignment horizontal="left" vertical="center" wrapText="1"/>
    </xf>
    <xf numFmtId="0" fontId="1" fillId="6" borderId="0" xfId="0" applyFont="1" applyFill="1" applyBorder="1" applyAlignment="1">
      <alignment horizontal="center" vertical="center" wrapText="1"/>
    </xf>
    <xf numFmtId="0" fontId="21" fillId="8" borderId="0" xfId="0" applyFont="1" applyFill="1" applyAlignment="1">
      <alignment horizontal="center" vertical="center" wrapText="1"/>
    </xf>
    <xf numFmtId="166" fontId="2" fillId="26" borderId="17" xfId="0" applyNumberFormat="1" applyFont="1" applyFill="1" applyBorder="1" applyAlignment="1">
      <alignment horizontal="left" vertical="center"/>
    </xf>
    <xf numFmtId="11" fontId="0" fillId="26" borderId="17" xfId="0" applyNumberFormat="1" applyFill="1" applyBorder="1" applyAlignment="1">
      <alignment horizontal="center" vertical="center"/>
    </xf>
    <xf numFmtId="0" fontId="0" fillId="26" borderId="17" xfId="0" applyFill="1" applyBorder="1" applyAlignment="1">
      <alignment horizontal="center" vertical="center"/>
    </xf>
    <xf numFmtId="0" fontId="2" fillId="26" borderId="17" xfId="0" applyFont="1" applyFill="1" applyBorder="1" applyAlignment="1">
      <alignment horizontal="center" vertical="center"/>
    </xf>
    <xf numFmtId="0" fontId="2" fillId="26" borderId="17" xfId="9" applyFont="1" applyFill="1" applyBorder="1" applyAlignment="1">
      <alignment horizontal="left" vertical="top" wrapText="1"/>
    </xf>
    <xf numFmtId="0" fontId="2" fillId="26" borderId="17" xfId="11" applyFont="1" applyFill="1" applyBorder="1" applyAlignment="1">
      <alignment horizontal="left" vertical="top" wrapText="1"/>
    </xf>
    <xf numFmtId="11" fontId="0" fillId="26" borderId="17" xfId="0" applyNumberFormat="1" applyFill="1" applyBorder="1" applyAlignment="1">
      <alignment horizontal="center"/>
    </xf>
    <xf numFmtId="11" fontId="20" fillId="26" borderId="17" xfId="0" applyNumberFormat="1" applyFont="1" applyFill="1" applyBorder="1" applyAlignment="1">
      <alignment horizontal="center" vertical="center"/>
    </xf>
    <xf numFmtId="166" fontId="2" fillId="26" borderId="17" xfId="0" applyNumberFormat="1" applyFont="1" applyFill="1" applyBorder="1" applyAlignment="1">
      <alignment horizontal="left" vertical="center" wrapText="1"/>
    </xf>
    <xf numFmtId="0" fontId="0" fillId="26" borderId="17" xfId="0" applyFill="1" applyBorder="1"/>
    <xf numFmtId="0" fontId="2" fillId="26" borderId="17" xfId="0" applyFont="1" applyFill="1" applyBorder="1"/>
    <xf numFmtId="0" fontId="0" fillId="26" borderId="17" xfId="0" applyFill="1" applyBorder="1" applyAlignment="1">
      <alignment vertical="top"/>
    </xf>
    <xf numFmtId="0" fontId="2" fillId="26" borderId="17" xfId="0" applyFont="1" applyFill="1" applyBorder="1" applyAlignment="1">
      <alignment horizontal="left" vertical="center"/>
    </xf>
    <xf numFmtId="0" fontId="2" fillId="0" borderId="0" xfId="0" applyFont="1" applyAlignment="1">
      <alignment horizontal="left" wrapText="1"/>
    </xf>
    <xf numFmtId="0" fontId="0" fillId="0" borderId="0" xfId="0" applyAlignment="1">
      <alignment horizontal="left" wrapText="1"/>
    </xf>
    <xf numFmtId="0" fontId="2" fillId="0" borderId="0" xfId="0" applyFont="1" applyFill="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14" fontId="2" fillId="0" borderId="0" xfId="0" applyNumberFormat="1" applyFont="1" applyFill="1" applyAlignment="1">
      <alignment horizontal="left" vertical="center" wrapText="1"/>
    </xf>
    <xf numFmtId="14" fontId="2" fillId="0" borderId="0" xfId="0" applyNumberFormat="1" applyFont="1" applyAlignment="1">
      <alignment horizontal="left" vertical="center" wrapText="1"/>
    </xf>
    <xf numFmtId="0" fontId="0" fillId="0" borderId="0" xfId="0" applyAlignment="1">
      <alignment horizontal="left" vertical="center" wrapText="1"/>
    </xf>
    <xf numFmtId="14" fontId="0" fillId="0" borderId="0" xfId="0" applyNumberFormat="1" applyAlignment="1">
      <alignment horizontal="left" vertical="center"/>
    </xf>
    <xf numFmtId="14" fontId="2" fillId="0" borderId="0" xfId="0" applyNumberFormat="1" applyFont="1" applyAlignment="1">
      <alignment horizontal="left" vertical="center"/>
    </xf>
    <xf numFmtId="0" fontId="0" fillId="0" borderId="0" xfId="0" applyAlignment="1">
      <alignment horizontal="left" vertical="center"/>
    </xf>
    <xf numFmtId="0" fontId="1" fillId="0" borderId="0" xfId="0" applyFont="1" applyAlignment="1">
      <alignment vertical="center"/>
    </xf>
    <xf numFmtId="0" fontId="2" fillId="12" borderId="16" xfId="0" applyFont="1" applyFill="1" applyBorder="1" applyAlignment="1">
      <alignment horizontal="left" vertical="center"/>
    </xf>
  </cellXfs>
  <cellStyles count="27">
    <cellStyle name="normal" xfId="1"/>
    <cellStyle name="S0" xfId="2"/>
    <cellStyle name="S1" xfId="3"/>
    <cellStyle name="S10" xfId="4"/>
    <cellStyle name="S11" xfId="5"/>
    <cellStyle name="S12" xfId="6"/>
    <cellStyle name="S13" xfId="7"/>
    <cellStyle name="S14" xfId="8"/>
    <cellStyle name="S15" xfId="9"/>
    <cellStyle name="S16" xfId="10"/>
    <cellStyle name="S17" xfId="11"/>
    <cellStyle name="S18" xfId="12"/>
    <cellStyle name="S2" xfId="13"/>
    <cellStyle name="S3" xfId="14"/>
    <cellStyle name="S4" xfId="15"/>
    <cellStyle name="S4 2" xfId="16"/>
    <cellStyle name="S5" xfId="17"/>
    <cellStyle name="S5 2" xfId="18"/>
    <cellStyle name="S6" xfId="19"/>
    <cellStyle name="S7" xfId="20"/>
    <cellStyle name="S8" xfId="21"/>
    <cellStyle name="S8 2" xfId="22"/>
    <cellStyle name="S9" xfId="23"/>
    <cellStyle name="S9 2" xfId="24"/>
    <cellStyle name="Standaard" xfId="0" builtinId="0"/>
    <cellStyle name="Standaard 2" xfId="25"/>
    <cellStyle name="Standaard 3" xfId="26"/>
  </cellStyles>
  <dxfs count="57">
    <dxf>
      <font>
        <b val="0"/>
        <i val="0"/>
        <strike val="0"/>
        <condense val="0"/>
        <extend val="0"/>
        <outline val="0"/>
        <shadow val="0"/>
        <u val="none"/>
        <vertAlign val="baseline"/>
        <sz val="10"/>
        <color auto="1"/>
        <name val="Arial"/>
        <scheme val="none"/>
      </font>
      <fill>
        <patternFill patternType="solid">
          <fgColor indexed="64"/>
          <bgColor theme="4" tint="0.59999389629810485"/>
        </patternFill>
      </fill>
      <alignment horizontal="left" textRotation="0" indent="0" justifyLastLine="0" shrinkToFit="0" readingOrder="0"/>
    </dxf>
    <dxf>
      <font>
        <b val="0"/>
        <i val="0"/>
        <strike val="0"/>
        <condense val="0"/>
        <extend val="0"/>
        <outline val="0"/>
        <shadow val="0"/>
        <u val="none"/>
        <vertAlign val="baseline"/>
        <sz val="10"/>
        <color theme="1"/>
        <name val="Arial"/>
        <scheme val="none"/>
      </font>
      <numFmt numFmtId="164" formatCode="0.0"/>
      <fill>
        <patternFill patternType="solid">
          <fgColor indexed="64"/>
          <bgColor theme="4" tint="0.79998168889431442"/>
        </patternFill>
      </fill>
      <alignment horizontal="center" vertical="bottom" textRotation="0" wrapText="1" indent="0" justifyLastLine="0" shrinkToFit="0" readingOrder="0"/>
    </dxf>
    <dxf>
      <font>
        <b val="0"/>
        <i val="0"/>
        <strike val="0"/>
        <condense val="0"/>
        <extend val="0"/>
        <outline val="0"/>
        <shadow val="0"/>
        <u val="none"/>
        <vertAlign val="baseline"/>
        <sz val="10"/>
        <color rgb="FF000000"/>
        <name val="Arial"/>
        <scheme val="none"/>
      </font>
      <numFmt numFmtId="164" formatCode="0.0"/>
      <fill>
        <patternFill patternType="solid">
          <fgColor indexed="64"/>
          <bgColor theme="4" tint="0.79998168889431442"/>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1" formatCode="0"/>
      <fill>
        <patternFill patternType="solid">
          <fgColor indexed="64"/>
          <bgColor theme="4" tint="0.79998168889431442"/>
        </patternFill>
      </fill>
      <alignment horizontal="center" vertical="bottom" textRotation="0" wrapText="1" indent="0" justifyLastLine="0" shrinkToFit="0" readingOrder="0"/>
    </dxf>
    <dxf>
      <font>
        <b val="0"/>
        <i val="0"/>
        <strike val="0"/>
        <condense val="0"/>
        <extend val="0"/>
        <outline val="0"/>
        <shadow val="0"/>
        <u val="none"/>
        <vertAlign val="baseline"/>
        <sz val="10"/>
        <color rgb="FF000000"/>
        <name val="Arial"/>
        <scheme val="none"/>
      </font>
      <numFmt numFmtId="164" formatCode="0.0"/>
      <fill>
        <patternFill patternType="solid">
          <fgColor indexed="64"/>
          <bgColor theme="4"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164" formatCode="0.0"/>
      <fill>
        <patternFill patternType="solid">
          <fgColor indexed="64"/>
          <bgColor theme="4"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1" formatCode="0"/>
      <fill>
        <patternFill patternType="solid">
          <fgColor indexed="64"/>
          <bgColor theme="4"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4" tint="0.79998168889431442"/>
        </patternFill>
      </fill>
      <alignment horizontal="general" vertical="top" textRotation="0" wrapText="0" indent="0" justifyLastLine="0" shrinkToFit="0" readingOrder="0"/>
    </dxf>
    <dxf>
      <font>
        <b/>
      </font>
      <alignment horizontal="left" vertical="center" textRotation="0"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0.0"/>
      <fill>
        <patternFill patternType="solid">
          <fgColor indexed="64"/>
          <bgColor theme="4"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0.0"/>
      <fill>
        <patternFill patternType="solid">
          <fgColor indexed="64"/>
          <bgColor theme="4"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4"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solid">
          <fgColor indexed="64"/>
          <bgColor theme="4" tint="0.79998168889431442"/>
        </patternFill>
      </fill>
    </dxf>
    <dxf>
      <font>
        <strike val="0"/>
        <outline val="0"/>
        <shadow val="0"/>
        <u val="none"/>
        <vertAlign val="baseline"/>
        <sz val="10"/>
        <color theme="1"/>
        <name val="Arial"/>
        <scheme val="none"/>
      </font>
    </dxf>
    <dxf>
      <numFmt numFmtId="15" formatCode="0.00E+00"/>
      <fill>
        <patternFill patternType="solid">
          <fgColor indexed="64"/>
          <bgColor theme="4" tint="0.79998168889431442"/>
        </patternFill>
      </fill>
      <alignment horizontal="center" vertical="center" textRotation="0" wrapText="0" indent="0" justifyLastLine="0" shrinkToFit="0" readingOrder="0"/>
    </dxf>
    <dxf>
      <numFmt numFmtId="15" formatCode="0.00E+00"/>
      <fill>
        <patternFill patternType="solid">
          <fgColor indexed="64"/>
          <bgColor theme="4"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4" tint="0.79998168889431442"/>
        </patternFill>
      </fill>
      <alignment horizontal="center" vertical="center" textRotation="0" wrapText="0" indent="0" justifyLastLine="0" shrinkToFit="0" readingOrder="0"/>
    </dxf>
    <dxf>
      <numFmt numFmtId="15" formatCode="0.00E+00"/>
      <fill>
        <patternFill patternType="solid">
          <fgColor indexed="64"/>
          <bgColor theme="4" tint="0.59999389629810485"/>
        </patternFill>
      </fill>
      <alignment horizontal="center" vertical="center" textRotation="0" wrapText="0" indent="0" justifyLastLine="0" shrinkToFit="0" readingOrder="0"/>
    </dxf>
    <dxf>
      <fill>
        <patternFill patternType="solid">
          <fgColor indexed="64"/>
          <bgColor theme="4" tint="0.79998168889431442"/>
        </patternFill>
      </fill>
      <alignment horizontal="center" vertical="center" textRotation="0" wrapText="0" indent="0" justifyLastLine="0" shrinkToFit="0" readingOrder="0"/>
    </dxf>
    <dxf>
      <fill>
        <patternFill patternType="solid">
          <fgColor indexed="64"/>
          <bgColor theme="4" tint="0.59999389629810485"/>
        </patternFill>
      </fill>
      <alignment horizontal="general" vertical="top" textRotation="0" wrapText="0" indent="0" justifyLastLine="0" shrinkToFit="0" readingOrder="0"/>
    </dxf>
    <dxf>
      <font>
        <b val="0"/>
        <i val="0"/>
        <strike val="0"/>
        <condense val="0"/>
        <extend val="0"/>
        <outline val="0"/>
        <shadow val="0"/>
        <u val="none"/>
        <vertAlign val="baseline"/>
        <sz val="10"/>
        <color auto="1"/>
        <name val="Arial"/>
        <scheme val="none"/>
      </font>
      <numFmt numFmtId="166" formatCode="0.0000"/>
      <fill>
        <patternFill patternType="solid">
          <fgColor indexed="64"/>
          <bgColor theme="4" tint="0.79998168889431442"/>
        </patternFill>
      </fill>
      <alignment horizontal="left" vertical="center" textRotation="0" wrapText="1" indent="0" justifyLastLine="0" shrinkToFit="0" readingOrder="0"/>
    </dxf>
    <dxf>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0"/>
        <color theme="1"/>
        <name val="Arial"/>
        <scheme val="none"/>
      </font>
      <numFmt numFmtId="15" formatCode="0.00E+00"/>
      <fill>
        <patternFill patternType="none">
          <fgColor indexed="64"/>
          <bgColor indexed="65"/>
        </patternFill>
      </fill>
      <alignment horizontal="general"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numFmt numFmtId="15" formatCode="0.00E+00"/>
      <fill>
        <patternFill patternType="solid">
          <fgColor indexed="64"/>
          <bgColor rgb="FF00B0F0"/>
        </patternFill>
      </fill>
      <alignment horizontal="center" vertical="center" textRotation="0" wrapText="0" indent="0" justifyLastLine="0" shrinkToFit="0" readingOrder="0"/>
    </dxf>
    <dxf>
      <numFmt numFmtId="15" formatCode="0.00E+00"/>
      <fill>
        <patternFill patternType="solid">
          <fgColor indexed="64"/>
          <bgColor rgb="FF0070C0"/>
        </patternFill>
      </fill>
      <alignment horizontal="center" vertical="center" textRotation="0" wrapText="0" indent="0" justifyLastLine="0" shrinkToFit="0" readingOrder="0"/>
    </dxf>
    <dxf>
      <numFmt numFmtId="15" formatCode="0.00E+00"/>
      <fill>
        <patternFill patternType="none">
          <fgColor indexed="64"/>
          <bgColor indexed="65"/>
        </patternFill>
      </fill>
      <alignment horizontal="center" vertical="center" textRotation="0" wrapText="0" indent="0" justifyLastLine="0" shrinkToFit="0" readingOrder="0"/>
    </dxf>
    <dxf>
      <numFmt numFmtId="15" formatCode="0.00E+00"/>
      <fill>
        <patternFill patternType="solid">
          <fgColor indexed="64"/>
          <bgColor rgb="FF0070C0"/>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5" formatCode="0.00E+00"/>
      <fill>
        <patternFill patternType="solid">
          <fgColor indexed="64"/>
          <bgColor rgb="FF00B0F0"/>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5" formatCode="0.00E+00"/>
      <fill>
        <patternFill patternType="solid">
          <fgColor indexed="64"/>
          <bgColor rgb="FF0070C0"/>
        </patternFill>
      </fill>
      <alignment horizontal="center" vertical="center" textRotation="0" wrapText="0" indent="0" justifyLastLine="0" shrinkToFit="0" readingOrder="0"/>
    </dxf>
    <dxf>
      <numFmt numFmtId="15" formatCode="0.00E+00"/>
      <fill>
        <patternFill patternType="solid">
          <fgColor indexed="64"/>
          <bgColor rgb="FF00B0F0"/>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5" formatCode="0.00E+00"/>
      <fill>
        <patternFill patternType="solid">
          <fgColor indexed="64"/>
          <bgColor rgb="FF00B0F0"/>
        </patternFill>
      </fill>
      <alignment horizontal="center" vertical="center" textRotation="0" wrapText="0" indent="0" justifyLastLine="0" shrinkToFit="0" readingOrder="0"/>
    </dxf>
    <dxf>
      <numFmt numFmtId="15" formatCode="0.00E+00"/>
      <fill>
        <patternFill patternType="solid">
          <fgColor indexed="64"/>
          <bgColor rgb="FF00B0F0"/>
        </patternFill>
      </fill>
      <alignment horizontal="center" vertical="center" textRotation="0" wrapText="0" indent="0" justifyLastLine="0" shrinkToFit="0" readingOrder="0"/>
    </dxf>
    <dxf>
      <numFmt numFmtId="15" formatCode="0.00E+00"/>
      <fill>
        <patternFill patternType="solid">
          <fgColor indexed="64"/>
          <bgColor rgb="FF0070C0"/>
        </patternFill>
      </fill>
      <alignment horizontal="center" vertical="center" textRotation="0" wrapText="0" indent="0" justifyLastLine="0" shrinkToFit="0" readingOrder="0"/>
    </dxf>
    <dxf>
      <numFmt numFmtId="15" formatCode="0.00E+00"/>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5" formatCode="0.00E+00"/>
      <fill>
        <patternFill patternType="solid">
          <fgColor indexed="64"/>
          <bgColor rgb="FF0070C0"/>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5" formatCode="0.00E+00"/>
      <fill>
        <patternFill patternType="solid">
          <fgColor indexed="64"/>
          <bgColor rgb="FF00B0F0"/>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rgb="FF0070C0"/>
        </patternFill>
      </fill>
      <alignment horizontal="center" vertical="center" textRotation="0" wrapText="0" indent="0" justifyLastLine="0" shrinkToFit="0" readingOrder="0"/>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Transmissie door lood: Sr-89, I-124, Mo-99 en</a:t>
            </a:r>
            <a:r>
              <a:rPr lang="en-US" baseline="0"/>
              <a:t> Ga-68</a:t>
            </a:r>
            <a:endParaRPr lang="en-US"/>
          </a:p>
        </c:rich>
      </c:tx>
      <c:layout/>
      <c:overlay val="0"/>
      <c:spPr>
        <a:noFill/>
        <a:ln w="25400">
          <a:noFill/>
        </a:ln>
      </c:spPr>
    </c:title>
    <c:autoTitleDeleted val="0"/>
    <c:plotArea>
      <c:layout/>
      <c:scatterChart>
        <c:scatterStyle val="lineMarker"/>
        <c:varyColors val="0"/>
        <c:ser>
          <c:idx val="3"/>
          <c:order val="0"/>
          <c:tx>
            <c:strRef>
              <c:f>'Transmissie door Lood'!$A$4</c:f>
              <c:strCache>
                <c:ptCount val="1"/>
                <c:pt idx="0">
                  <c:v>Sr-89</c:v>
                </c:pt>
              </c:strCache>
            </c:strRef>
          </c:tx>
          <c:spPr>
            <a:ln w="28575">
              <a:noFill/>
            </a:ln>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exp"/>
            <c:intercept val="1"/>
            <c:dispRSqr val="0"/>
            <c:dispEq val="1"/>
            <c:trendlineLbl>
              <c:layout>
                <c:manualLayout>
                  <c:x val="5.2681440593121784E-2"/>
                  <c:y val="-4.1286843248561099E-2"/>
                </c:manualLayout>
              </c:layout>
              <c:numFmt formatCode="General" sourceLinked="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trendlineLbl>
          </c:trendline>
          <c:xVal>
            <c:numRef>
              <c:f>'Transmissie door Lood'!$B$4:$G$4</c:f>
              <c:numCache>
                <c:formatCode>General</c:formatCode>
                <c:ptCount val="6"/>
                <c:pt idx="0">
                  <c:v>0</c:v>
                </c:pt>
                <c:pt idx="1">
                  <c:v>12</c:v>
                </c:pt>
                <c:pt idx="3">
                  <c:v>35</c:v>
                </c:pt>
              </c:numCache>
            </c:numRef>
          </c:xVal>
          <c:yVal>
            <c:numRef>
              <c:f>'Transmissie door Lood'!$B$3:$G$3</c:f>
              <c:numCache>
                <c:formatCode>General</c:formatCode>
                <c:ptCount val="6"/>
                <c:pt idx="0">
                  <c:v>1</c:v>
                </c:pt>
                <c:pt idx="1">
                  <c:v>0.5</c:v>
                </c:pt>
                <c:pt idx="2">
                  <c:v>0.25</c:v>
                </c:pt>
                <c:pt idx="3">
                  <c:v>0.1</c:v>
                </c:pt>
                <c:pt idx="4">
                  <c:v>0.01</c:v>
                </c:pt>
                <c:pt idx="5">
                  <c:v>1E-3</c:v>
                </c:pt>
              </c:numCache>
            </c:numRef>
          </c:yVal>
          <c:smooth val="0"/>
        </c:ser>
        <c:ser>
          <c:idx val="0"/>
          <c:order val="1"/>
          <c:tx>
            <c:strRef>
              <c:f>'Transmissie door Lood'!$A$5</c:f>
              <c:strCache>
                <c:ptCount val="1"/>
                <c:pt idx="0">
                  <c:v>I-124</c:v>
                </c:pt>
              </c:strCache>
            </c:strRef>
          </c:tx>
          <c:spPr>
            <a:ln w="28575">
              <a:noFill/>
            </a:ln>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0"/>
            <c:dispEq val="1"/>
            <c:trendlineLbl>
              <c:layout>
                <c:manualLayout>
                  <c:x val="0.10052006385799714"/>
                  <c:y val="2.864906592558283E-2"/>
                </c:manualLayout>
              </c:layout>
              <c:numFmt formatCode="General" sourceLinked="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trendlineLbl>
          </c:trendline>
          <c:xVal>
            <c:numRef>
              <c:f>'Transmissie door Lood'!$B$5:$E$5</c:f>
              <c:numCache>
                <c:formatCode>General</c:formatCode>
                <c:ptCount val="4"/>
                <c:pt idx="0">
                  <c:v>0</c:v>
                </c:pt>
                <c:pt idx="1">
                  <c:v>7.2</c:v>
                </c:pt>
                <c:pt idx="2">
                  <c:v>15.9</c:v>
                </c:pt>
                <c:pt idx="3">
                  <c:v>30.5</c:v>
                </c:pt>
              </c:numCache>
            </c:numRef>
          </c:xVal>
          <c:yVal>
            <c:numRef>
              <c:f>'Transmissie door Lood'!$B$3:$G$3</c:f>
              <c:numCache>
                <c:formatCode>General</c:formatCode>
                <c:ptCount val="6"/>
                <c:pt idx="0">
                  <c:v>1</c:v>
                </c:pt>
                <c:pt idx="1">
                  <c:v>0.5</c:v>
                </c:pt>
                <c:pt idx="2">
                  <c:v>0.25</c:v>
                </c:pt>
                <c:pt idx="3">
                  <c:v>0.1</c:v>
                </c:pt>
                <c:pt idx="4">
                  <c:v>0.01</c:v>
                </c:pt>
                <c:pt idx="5">
                  <c:v>1E-3</c:v>
                </c:pt>
              </c:numCache>
            </c:numRef>
          </c:yVal>
          <c:smooth val="0"/>
        </c:ser>
        <c:ser>
          <c:idx val="1"/>
          <c:order val="2"/>
          <c:tx>
            <c:strRef>
              <c:f>'Transmissie door Lood'!$A$6</c:f>
              <c:strCache>
                <c:ptCount val="1"/>
                <c:pt idx="0">
                  <c:v>Mo-99/Tc-99(m)</c:v>
                </c:pt>
              </c:strCache>
            </c:strRef>
          </c:tx>
          <c:spPr>
            <a:ln w="28575">
              <a:noFill/>
            </a:ln>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exp"/>
            <c:dispRSqr val="0"/>
            <c:dispEq val="1"/>
            <c:trendlineLbl>
              <c:layout>
                <c:manualLayout>
                  <c:x val="-0.18181651975658"/>
                  <c:y val="-0.30765784948387803"/>
                </c:manualLayout>
              </c:layout>
              <c:numFmt formatCode="General" sourceLinked="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trendlineLbl>
          </c:trendline>
          <c:xVal>
            <c:numRef>
              <c:f>'Transmissie door Lood'!$B$6:$G$6</c:f>
              <c:numCache>
                <c:formatCode>General</c:formatCode>
                <c:ptCount val="6"/>
                <c:pt idx="0">
                  <c:v>0</c:v>
                </c:pt>
                <c:pt idx="1">
                  <c:v>5.83</c:v>
                </c:pt>
                <c:pt idx="2">
                  <c:v>13.7</c:v>
                </c:pt>
                <c:pt idx="3">
                  <c:v>23.4</c:v>
                </c:pt>
                <c:pt idx="4">
                  <c:v>46.8</c:v>
                </c:pt>
                <c:pt idx="5">
                  <c:v>69.5</c:v>
                </c:pt>
              </c:numCache>
            </c:numRef>
          </c:xVal>
          <c:yVal>
            <c:numRef>
              <c:f>'Transmissie door Lood'!$B$3:$G$3</c:f>
              <c:numCache>
                <c:formatCode>General</c:formatCode>
                <c:ptCount val="6"/>
                <c:pt idx="0">
                  <c:v>1</c:v>
                </c:pt>
                <c:pt idx="1">
                  <c:v>0.5</c:v>
                </c:pt>
                <c:pt idx="2">
                  <c:v>0.25</c:v>
                </c:pt>
                <c:pt idx="3">
                  <c:v>0.1</c:v>
                </c:pt>
                <c:pt idx="4">
                  <c:v>0.01</c:v>
                </c:pt>
                <c:pt idx="5">
                  <c:v>1E-3</c:v>
                </c:pt>
              </c:numCache>
            </c:numRef>
          </c:yVal>
          <c:smooth val="0"/>
        </c:ser>
        <c:ser>
          <c:idx val="2"/>
          <c:order val="3"/>
          <c:tx>
            <c:strRef>
              <c:f>'Transmissie door Lood'!$A$7</c:f>
              <c:strCache>
                <c:ptCount val="1"/>
                <c:pt idx="0">
                  <c:v>Ga-68</c:v>
                </c:pt>
              </c:strCache>
            </c:strRef>
          </c:tx>
          <c:spPr>
            <a:ln w="28575">
              <a:noFill/>
            </a:ln>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exp"/>
            <c:dispRSqr val="0"/>
            <c:dispEq val="1"/>
            <c:trendlineLbl>
              <c:layout>
                <c:manualLayout>
                  <c:x val="8.1941991557004074E-2"/>
                  <c:y val="3.7210130947787606E-2"/>
                </c:manualLayout>
              </c:layout>
              <c:numFmt formatCode="General" sourceLinked="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trendlineLbl>
          </c:trendline>
          <c:xVal>
            <c:numRef>
              <c:f>'Transmissie door Lood'!$B$7:$F$7</c:f>
              <c:numCache>
                <c:formatCode>General</c:formatCode>
                <c:ptCount val="5"/>
                <c:pt idx="0">
                  <c:v>0</c:v>
                </c:pt>
                <c:pt idx="1">
                  <c:v>5.12</c:v>
                </c:pt>
                <c:pt idx="2">
                  <c:v>9.84</c:v>
                </c:pt>
                <c:pt idx="3">
                  <c:v>16</c:v>
                </c:pt>
                <c:pt idx="4">
                  <c:v>33.799999999999997</c:v>
                </c:pt>
              </c:numCache>
            </c:numRef>
          </c:xVal>
          <c:yVal>
            <c:numRef>
              <c:f>'Transmissie door Lood'!$B$3:$G$3</c:f>
              <c:numCache>
                <c:formatCode>General</c:formatCode>
                <c:ptCount val="6"/>
                <c:pt idx="0">
                  <c:v>1</c:v>
                </c:pt>
                <c:pt idx="1">
                  <c:v>0.5</c:v>
                </c:pt>
                <c:pt idx="2">
                  <c:v>0.25</c:v>
                </c:pt>
                <c:pt idx="3">
                  <c:v>0.1</c:v>
                </c:pt>
                <c:pt idx="4">
                  <c:v>0.01</c:v>
                </c:pt>
                <c:pt idx="5">
                  <c:v>1E-3</c:v>
                </c:pt>
              </c:numCache>
            </c:numRef>
          </c:yVal>
          <c:smooth val="0"/>
        </c:ser>
        <c:dLbls>
          <c:showLegendKey val="0"/>
          <c:showVal val="0"/>
          <c:showCatName val="0"/>
          <c:showSerName val="0"/>
          <c:showPercent val="0"/>
          <c:showBubbleSize val="0"/>
        </c:dLbls>
        <c:axId val="285927872"/>
        <c:axId val="285928264"/>
      </c:scatterChart>
      <c:valAx>
        <c:axId val="2859278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285928264"/>
        <c:crosses val="autoZero"/>
        <c:crossBetween val="midCat"/>
      </c:valAx>
      <c:valAx>
        <c:axId val="285928264"/>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85927872"/>
        <c:crosses val="autoZero"/>
        <c:crossBetween val="midCat"/>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15478</xdr:colOff>
      <xdr:row>131</xdr:row>
      <xdr:rowOff>29765</xdr:rowOff>
    </xdr:from>
    <xdr:to>
      <xdr:col>2</xdr:col>
      <xdr:colOff>868314</xdr:colOff>
      <xdr:row>180</xdr:row>
      <xdr:rowOff>29964</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15478" y="22461140"/>
          <a:ext cx="6734524" cy="7876183"/>
        </a:xfrm>
        <a:prstGeom prst="rect">
          <a:avLst/>
        </a:prstGeom>
        <a:ln>
          <a:solidFill>
            <a:schemeClr val="accent1"/>
          </a:solidFill>
        </a:ln>
      </xdr:spPr>
    </xdr:pic>
    <xdr:clientData/>
  </xdr:twoCellAnchor>
  <xdr:twoCellAnchor editAs="oneCell">
    <xdr:from>
      <xdr:col>0</xdr:col>
      <xdr:colOff>17858</xdr:colOff>
      <xdr:row>84</xdr:row>
      <xdr:rowOff>80962</xdr:rowOff>
    </xdr:from>
    <xdr:to>
      <xdr:col>2</xdr:col>
      <xdr:colOff>859979</xdr:colOff>
      <xdr:row>131</xdr:row>
      <xdr:rowOff>24059</xdr:rowOff>
    </xdr:to>
    <xdr:pic>
      <xdr:nvPicPr>
        <xdr:cNvPr id="5" name="Afbeelding 4"/>
        <xdr:cNvPicPr>
          <a:picLocks noChangeAspect="1"/>
        </xdr:cNvPicPr>
      </xdr:nvPicPr>
      <xdr:blipFill>
        <a:blip xmlns:r="http://schemas.openxmlformats.org/officeDocument/2006/relationships" r:embed="rId2"/>
        <a:stretch>
          <a:fillRect/>
        </a:stretch>
      </xdr:blipFill>
      <xdr:spPr>
        <a:xfrm>
          <a:off x="17858" y="14957821"/>
          <a:ext cx="6723809" cy="7497613"/>
        </a:xfrm>
        <a:prstGeom prst="rect">
          <a:avLst/>
        </a:prstGeom>
        <a:ln>
          <a:solidFill>
            <a:schemeClr val="accent1"/>
          </a:solidFill>
        </a:ln>
      </xdr:spPr>
    </xdr:pic>
    <xdr:clientData/>
  </xdr:twoCellAnchor>
  <xdr:twoCellAnchor editAs="oneCell">
    <xdr:from>
      <xdr:col>3</xdr:col>
      <xdr:colOff>12700</xdr:colOff>
      <xdr:row>40</xdr:row>
      <xdr:rowOff>19050</xdr:rowOff>
    </xdr:from>
    <xdr:to>
      <xdr:col>11</xdr:col>
      <xdr:colOff>573833</xdr:colOff>
      <xdr:row>93</xdr:row>
      <xdr:rowOff>144962</xdr:rowOff>
    </xdr:to>
    <xdr:pic>
      <xdr:nvPicPr>
        <xdr:cNvPr id="7" name="Afbeelding 6"/>
        <xdr:cNvPicPr>
          <a:picLocks noChangeAspect="1"/>
        </xdr:cNvPicPr>
      </xdr:nvPicPr>
      <xdr:blipFill>
        <a:blip xmlns:r="http://schemas.openxmlformats.org/officeDocument/2006/relationships" r:embed="rId3"/>
        <a:stretch>
          <a:fillRect/>
        </a:stretch>
      </xdr:blipFill>
      <xdr:spPr>
        <a:xfrm>
          <a:off x="6807200" y="8172450"/>
          <a:ext cx="6742858" cy="8876212"/>
        </a:xfrm>
        <a:prstGeom prst="rect">
          <a:avLst/>
        </a:prstGeom>
        <a:ln>
          <a:solidFill>
            <a:schemeClr val="accent1"/>
          </a:solidFill>
        </a:ln>
      </xdr:spPr>
    </xdr:pic>
    <xdr:clientData/>
  </xdr:twoCellAnchor>
  <xdr:twoCellAnchor editAs="oneCell">
    <xdr:from>
      <xdr:col>0</xdr:col>
      <xdr:colOff>20241</xdr:colOff>
      <xdr:row>40</xdr:row>
      <xdr:rowOff>20241</xdr:rowOff>
    </xdr:from>
    <xdr:to>
      <xdr:col>2</xdr:col>
      <xdr:colOff>867125</xdr:colOff>
      <xdr:row>84</xdr:row>
      <xdr:rowOff>65779</xdr:rowOff>
    </xdr:to>
    <xdr:pic>
      <xdr:nvPicPr>
        <xdr:cNvPr id="4" name="Afbeelding 3"/>
        <xdr:cNvPicPr>
          <a:picLocks noChangeAspect="1"/>
        </xdr:cNvPicPr>
      </xdr:nvPicPr>
      <xdr:blipFill>
        <a:blip xmlns:r="http://schemas.openxmlformats.org/officeDocument/2006/relationships" r:embed="rId4"/>
        <a:stretch>
          <a:fillRect/>
        </a:stretch>
      </xdr:blipFill>
      <xdr:spPr>
        <a:xfrm>
          <a:off x="20241" y="7824788"/>
          <a:ext cx="6728572" cy="7117850"/>
        </a:xfrm>
        <a:prstGeom prst="rect">
          <a:avLst/>
        </a:prstGeom>
        <a:ln>
          <a:solidFill>
            <a:schemeClr val="accent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38101</xdr:colOff>
      <xdr:row>2</xdr:row>
      <xdr:rowOff>47625</xdr:rowOff>
    </xdr:from>
    <xdr:to>
      <xdr:col>18</xdr:col>
      <xdr:colOff>552450</xdr:colOff>
      <xdr:row>34</xdr:row>
      <xdr:rowOff>114300</xdr:rowOff>
    </xdr:to>
    <xdr:graphicFrame macro="">
      <xdr:nvGraphicFramePr>
        <xdr:cNvPr id="14213"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vkf.nl/DOCUME~1/Wil/LOCALS~1/Temp/Rar$DI03.156/RI&amp;E-verschillende%20medewerk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orant"/>
      <sheetName val="Laborant (interventie)"/>
      <sheetName val="Ok medewerker"/>
      <sheetName val="Pijnpoli medewerker"/>
      <sheetName val="Hartcatheterisatie medewerker"/>
      <sheetName val="lood"/>
      <sheetName val="beton"/>
      <sheetName val="gips"/>
      <sheetName val="staal"/>
      <sheetName val="glas"/>
    </sheetNames>
    <sheetDataSet>
      <sheetData sheetId="0" refreshError="1"/>
      <sheetData sheetId="1" refreshError="1"/>
      <sheetData sheetId="2" refreshError="1"/>
      <sheetData sheetId="3" refreshError="1"/>
      <sheetData sheetId="4" refreshError="1"/>
      <sheetData sheetId="5"/>
      <sheetData sheetId="6">
        <row r="3">
          <cell r="A3">
            <v>25</v>
          </cell>
          <cell r="B3">
            <v>0.39040000000000002</v>
          </cell>
          <cell r="C3">
            <v>1.645</v>
          </cell>
          <cell r="D3">
            <v>0.2757</v>
          </cell>
        </row>
        <row r="4">
          <cell r="A4">
            <v>30</v>
          </cell>
          <cell r="B4">
            <v>0.31730000000000003</v>
          </cell>
          <cell r="C4">
            <v>1.6890000000000001</v>
          </cell>
          <cell r="D4">
            <v>0.35930000000000001</v>
          </cell>
        </row>
        <row r="5">
          <cell r="A5">
            <v>35</v>
          </cell>
          <cell r="B5">
            <v>0.25280000000000002</v>
          </cell>
          <cell r="C5">
            <v>1.8069999999999999</v>
          </cell>
          <cell r="D5">
            <v>0.46479999999999999</v>
          </cell>
        </row>
        <row r="6">
          <cell r="A6">
            <v>40</v>
          </cell>
          <cell r="B6">
            <v>0.12970000000000001</v>
          </cell>
          <cell r="C6">
            <v>0.17799999999999999</v>
          </cell>
          <cell r="D6">
            <v>0.21890000000000001</v>
          </cell>
        </row>
        <row r="7">
          <cell r="A7">
            <v>45</v>
          </cell>
          <cell r="B7">
            <v>0.1095</v>
          </cell>
          <cell r="C7">
            <v>0.1741</v>
          </cell>
          <cell r="D7">
            <v>0.22689999999999999</v>
          </cell>
        </row>
        <row r="8">
          <cell r="A8">
            <v>50</v>
          </cell>
          <cell r="B8">
            <v>9.0320000000000011E-2</v>
          </cell>
          <cell r="C8">
            <v>0.17119999999999999</v>
          </cell>
          <cell r="D8">
            <v>0.2324</v>
          </cell>
        </row>
        <row r="9">
          <cell r="A9">
            <v>55</v>
          </cell>
          <cell r="B9">
            <v>7.4220000000000008E-2</v>
          </cell>
          <cell r="C9">
            <v>0.16969999999999999</v>
          </cell>
          <cell r="D9">
            <v>0.24540000000000001</v>
          </cell>
        </row>
        <row r="10">
          <cell r="A10">
            <v>60</v>
          </cell>
          <cell r="B10">
            <v>6.251000000000001E-2</v>
          </cell>
          <cell r="C10">
            <v>0.16919999999999999</v>
          </cell>
          <cell r="D10">
            <v>0.27329999999999999</v>
          </cell>
        </row>
        <row r="11">
          <cell r="A11">
            <v>65</v>
          </cell>
          <cell r="B11">
            <v>5.5280000000000003E-2</v>
          </cell>
          <cell r="C11">
            <v>0.1696</v>
          </cell>
          <cell r="D11">
            <v>0.32169999999999999</v>
          </cell>
        </row>
        <row r="12">
          <cell r="A12">
            <v>70</v>
          </cell>
          <cell r="B12">
            <v>5.0870000000000005E-2</v>
          </cell>
          <cell r="C12">
            <v>0.1696</v>
          </cell>
          <cell r="D12">
            <v>0.38469999999999999</v>
          </cell>
        </row>
        <row r="13">
          <cell r="A13">
            <v>75</v>
          </cell>
          <cell r="B13">
            <v>4.7970000000000006E-2</v>
          </cell>
          <cell r="C13">
            <v>0.1663</v>
          </cell>
          <cell r="D13">
            <v>0.44919999999999999</v>
          </cell>
        </row>
        <row r="14">
          <cell r="A14">
            <v>80</v>
          </cell>
          <cell r="B14">
            <v>4.5830000000000003E-2</v>
          </cell>
          <cell r="C14">
            <v>0.15490000000000001</v>
          </cell>
          <cell r="D14">
            <v>0.49259999999999998</v>
          </cell>
        </row>
        <row r="15">
          <cell r="A15">
            <v>85</v>
          </cell>
          <cell r="B15">
            <v>4.3980000000000005E-2</v>
          </cell>
          <cell r="C15">
            <v>0.1348</v>
          </cell>
          <cell r="D15">
            <v>0.49430000000000002</v>
          </cell>
        </row>
        <row r="16">
          <cell r="A16">
            <v>90</v>
          </cell>
          <cell r="B16">
            <v>4.2280000000000005E-2</v>
          </cell>
          <cell r="C16">
            <v>0.1137</v>
          </cell>
          <cell r="D16">
            <v>0.46899999999999997</v>
          </cell>
        </row>
        <row r="17">
          <cell r="A17">
            <v>95</v>
          </cell>
          <cell r="B17">
            <v>4.0680000000000001E-2</v>
          </cell>
          <cell r="C17">
            <v>9.7049999999999997E-2</v>
          </cell>
          <cell r="D17">
            <v>0.44059999999999999</v>
          </cell>
        </row>
        <row r="18">
          <cell r="A18">
            <v>100</v>
          </cell>
          <cell r="B18">
            <v>3.925E-2</v>
          </cell>
          <cell r="C18">
            <v>8.5669999999999996E-2</v>
          </cell>
          <cell r="D18">
            <v>0.42730000000000001</v>
          </cell>
        </row>
        <row r="19">
          <cell r="A19">
            <v>105</v>
          </cell>
          <cell r="B19">
            <v>3.8080000000000003E-2</v>
          </cell>
          <cell r="C19">
            <v>7.8619999999999995E-2</v>
          </cell>
          <cell r="D19">
            <v>0.43940000000000001</v>
          </cell>
        </row>
        <row r="20">
          <cell r="A20">
            <v>110</v>
          </cell>
          <cell r="B20">
            <v>3.7150000000000002E-2</v>
          </cell>
          <cell r="C20">
            <v>7.4359999999999996E-2</v>
          </cell>
          <cell r="D20">
            <v>0.47520000000000001</v>
          </cell>
        </row>
        <row r="21">
          <cell r="A21">
            <v>115</v>
          </cell>
          <cell r="B21">
            <v>3.6360000000000003E-2</v>
          </cell>
          <cell r="C21">
            <v>7.2010000000000005E-2</v>
          </cell>
          <cell r="D21">
            <v>0.53190000000000004</v>
          </cell>
        </row>
        <row r="22">
          <cell r="A22">
            <v>120</v>
          </cell>
          <cell r="B22">
            <v>3.5660000000000004E-2</v>
          </cell>
          <cell r="C22">
            <v>7.109E-2</v>
          </cell>
          <cell r="D22">
            <v>0.60729999999999995</v>
          </cell>
        </row>
        <row r="23">
          <cell r="A23">
            <v>125</v>
          </cell>
          <cell r="B23">
            <v>3.5020000000000003E-2</v>
          </cell>
          <cell r="C23">
            <v>7.1129999999999999E-2</v>
          </cell>
          <cell r="D23">
            <v>0.69740000000000002</v>
          </cell>
        </row>
        <row r="24">
          <cell r="A24">
            <v>130</v>
          </cell>
          <cell r="B24">
            <v>3.4450000000000001E-2</v>
          </cell>
          <cell r="C24">
            <v>7.1599999999999997E-2</v>
          </cell>
          <cell r="D24">
            <v>0.79690000000000005</v>
          </cell>
        </row>
        <row r="25">
          <cell r="A25">
            <v>135</v>
          </cell>
          <cell r="B25">
            <v>3.3940000000000005E-2</v>
          </cell>
          <cell r="C25">
            <v>7.263E-2</v>
          </cell>
          <cell r="D25">
            <v>0.90990000000000004</v>
          </cell>
        </row>
        <row r="26">
          <cell r="A26">
            <v>140</v>
          </cell>
          <cell r="B26">
            <v>3.3450000000000001E-2</v>
          </cell>
          <cell r="C26">
            <v>7.4759999999999993E-2</v>
          </cell>
          <cell r="D26">
            <v>1.0469999999999999</v>
          </cell>
        </row>
        <row r="27">
          <cell r="A27">
            <v>145</v>
          </cell>
          <cell r="B27">
            <v>3.2960000000000003E-2</v>
          </cell>
          <cell r="C27">
            <v>7.8750000000000001E-2</v>
          </cell>
          <cell r="D27">
            <v>1.224</v>
          </cell>
        </row>
        <row r="28">
          <cell r="A28">
            <v>150</v>
          </cell>
          <cell r="B28">
            <v>3.243E-2</v>
          </cell>
          <cell r="C28">
            <v>8.5989999999999997E-2</v>
          </cell>
          <cell r="D28">
            <v>4.4669999999999996</v>
          </cell>
        </row>
      </sheetData>
      <sheetData sheetId="7"/>
      <sheetData sheetId="8"/>
      <sheetData sheetId="9"/>
    </sheetDataSet>
  </externalBook>
</externalLink>
</file>

<file path=xl/tables/table1.xml><?xml version="1.0" encoding="utf-8"?>
<table xmlns="http://schemas.openxmlformats.org/spreadsheetml/2006/main" id="7" name="Nucliden" displayName="Nucliden" ref="A4:AL37" totalsRowShown="0" headerRowDxfId="56">
  <autoFilter ref="A4:AL37"/>
  <tableColumns count="38">
    <tableColumn id="1" name="Kolom1" dataDxfId="55"/>
    <tableColumn id="2" name="Kolom2" dataDxfId="54"/>
    <tableColumn id="3" name="Kolom3"/>
    <tableColumn id="4" name="Kolom4" dataDxfId="53"/>
    <tableColumn id="5" name="Kolom5" dataDxfId="52"/>
    <tableColumn id="6" name="Kolom6"/>
    <tableColumn id="7" name="Kolom7"/>
    <tableColumn id="8" name="Kolom8"/>
    <tableColumn id="9" name="Kolom9"/>
    <tableColumn id="10" name="Kolom10"/>
    <tableColumn id="11" name="Kolom11" dataDxfId="51"/>
    <tableColumn id="12" name="Kolom12" dataDxfId="50"/>
    <tableColumn id="13" name="Kolom13" dataDxfId="49"/>
    <tableColumn id="14" name="Kolom14" dataDxfId="48"/>
    <tableColumn id="15" name="Kolom15" dataDxfId="47">
      <calculatedColumnFormula>(K5+L5+M5)/1000</calculatedColumnFormula>
    </tableColumn>
    <tableColumn id="16" name="Kolom16" dataDxfId="46">
      <calculatedColumnFormula>(K5+N5)/1000</calculatedColumnFormula>
    </tableColumn>
    <tableColumn id="18" name="Kolom17" dataDxfId="45"/>
    <tableColumn id="19" name="Kolom18" dataDxfId="44"/>
    <tableColumn id="20" name="Kolom19" dataDxfId="43">
      <calculatedColumnFormula>Q5+R5</calculatedColumnFormula>
    </tableColumn>
    <tableColumn id="21" name="Kolom20" dataDxfId="42"/>
    <tableColumn id="22" name="Kolom21" dataDxfId="41"/>
    <tableColumn id="23" name="Kolom22" dataDxfId="40"/>
    <tableColumn id="24" name="Kolom23" dataDxfId="39"/>
    <tableColumn id="25" name="Kolom24" dataDxfId="38"/>
    <tableColumn id="26" name="Kolom25" dataDxfId="37">
      <calculatedColumnFormula>(U5+V5+W5)/1000</calculatedColumnFormula>
    </tableColumn>
    <tableColumn id="27" name="Kolom26" dataDxfId="36">
      <calculatedColumnFormula>(U5+X5)/1000</calculatedColumnFormula>
    </tableColumn>
    <tableColumn id="29" name="Kolom27" dataDxfId="35"/>
    <tableColumn id="30" name="Kolom28" dataDxfId="34"/>
    <tableColumn id="31" name="Kolom29" dataDxfId="33"/>
    <tableColumn id="32" name="Kolom30" dataDxfId="32"/>
    <tableColumn id="33" name="Kolom31" dataDxfId="31">
      <calculatedColumnFormula>AA5+AB5+AC5</calculatedColumnFormula>
    </tableColumn>
    <tableColumn id="34" name="Kolom32" dataDxfId="30">
      <calculatedColumnFormula>AA5+AD5</calculatedColumnFormula>
    </tableColumn>
    <tableColumn id="36" name="Kolom33" dataDxfId="29"/>
    <tableColumn id="37" name="Kolom34" dataDxfId="28"/>
    <tableColumn id="38" name="Kolom35" dataDxfId="27">
      <calculatedColumnFormula>AG5+AH5</calculatedColumnFormula>
    </tableColumn>
    <tableColumn id="39" name="Kolom36" dataDxfId="26"/>
    <tableColumn id="41" name="Kolom38" dataDxfId="25"/>
    <tableColumn id="42" name="Kolom39" dataDxfId="24"/>
  </tableColumns>
  <tableStyleInfo showFirstColumn="0" showLastColumn="0" showRowStripes="1" showColumnStripes="0"/>
</table>
</file>

<file path=xl/tables/table2.xml><?xml version="1.0" encoding="utf-8"?>
<table xmlns="http://schemas.openxmlformats.org/spreadsheetml/2006/main" id="2" name="Farmaca" displayName="Farmaca" ref="A4:G45" totalsRowShown="0" headerRowDxfId="23" dataDxfId="22">
  <autoFilter ref="A4:G45"/>
  <tableColumns count="7">
    <tableColumn id="1" name="Kolom1" dataDxfId="21"/>
    <tableColumn id="2" name="Kolom2" dataDxfId="20"/>
    <tableColumn id="3" name="Kolom3" dataDxfId="19"/>
    <tableColumn id="4" name="Kolom4" dataDxfId="18"/>
    <tableColumn id="5" name="Kolom5" dataDxfId="17"/>
    <tableColumn id="6" name="Kolom6" dataDxfId="16"/>
    <tableColumn id="7" name="Kolom7" dataDxfId="15"/>
  </tableColumns>
  <tableStyleInfo name="TableStyleMedium2" showFirstColumn="0" showLastColumn="0" showRowStripes="1" showColumnStripes="0"/>
</table>
</file>

<file path=xl/tables/table3.xml><?xml version="1.0" encoding="utf-8"?>
<table xmlns="http://schemas.openxmlformats.org/spreadsheetml/2006/main" id="6" name="Levering" displayName="Levering" ref="A4:E25" totalsRowShown="0" headerRowDxfId="14">
  <autoFilter ref="A4:E25"/>
  <tableColumns count="5">
    <tableColumn id="1" name="Kolom1" dataDxfId="13"/>
    <tableColumn id="2" name="Kolom2" dataDxfId="12"/>
    <tableColumn id="3" name="Kolom3" dataDxfId="11"/>
    <tableColumn id="4" name="Kolom4" dataDxfId="10"/>
    <tableColumn id="5" name="Kolom5" dataDxfId="9"/>
  </tableColumns>
  <tableStyleInfo name="TableStyleMedium2" showFirstColumn="0" showLastColumn="0" showRowStripes="1" showColumnStripes="0"/>
</table>
</file>

<file path=xl/tables/table4.xml><?xml version="1.0" encoding="utf-8"?>
<table xmlns="http://schemas.openxmlformats.org/spreadsheetml/2006/main" id="1" name="Onderzoek" displayName="Onderzoek" ref="A4:H25" totalsRowShown="0" headerRowDxfId="8">
  <autoFilter ref="A4:H25"/>
  <tableColumns count="8">
    <tableColumn id="1" name="Kolom1" dataDxfId="7"/>
    <tableColumn id="2" name="Kolom2" dataDxfId="6" dataCellStyle="S14"/>
    <tableColumn id="3" name="Kolom3" dataDxfId="5" dataCellStyle="S14"/>
    <tableColumn id="4" name="Kolom4" dataDxfId="4" dataCellStyle="S6"/>
    <tableColumn id="5" name="Kolom5" dataDxfId="3"/>
    <tableColumn id="6" name="Kolom6" dataDxfId="2" dataCellStyle="S14"/>
    <tableColumn id="7" name="Kolom7" dataDxfId="1"/>
    <tableColumn id="8" name="Kolom8" dataDxfId="0"/>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L52"/>
  <sheetViews>
    <sheetView tabSelected="1" workbookViewId="0">
      <pane xSplit="1" ySplit="4" topLeftCell="B5" activePane="bottomRight" state="frozen"/>
      <selection pane="topRight" activeCell="B1" sqref="B1"/>
      <selection pane="bottomLeft" activeCell="A5" sqref="A5"/>
      <selection pane="bottomRight"/>
    </sheetView>
  </sheetViews>
  <sheetFormatPr defaultRowHeight="12.75" x14ac:dyDescent="0.2"/>
  <cols>
    <col min="1" max="1" width="13.7109375" customWidth="1"/>
    <col min="2" max="13" width="12.7109375" customWidth="1"/>
    <col min="14" max="15" width="12.7109375" style="70" customWidth="1"/>
    <col min="16" max="16" width="15" customWidth="1"/>
    <col min="17" max="19" width="12.7109375" customWidth="1"/>
    <col min="20" max="21" width="12.7109375" style="70" customWidth="1"/>
    <col min="22" max="23" width="12.7109375" customWidth="1"/>
    <col min="24" max="26" width="12.7109375" style="70" customWidth="1"/>
    <col min="27" max="29" width="12.7109375" customWidth="1"/>
    <col min="30" max="30" width="12.7109375" style="70" customWidth="1"/>
    <col min="31" max="31" width="12.7109375" style="71" customWidth="1"/>
    <col min="32" max="32" width="12.7109375" style="70" customWidth="1"/>
    <col min="33" max="33" width="12.7109375" customWidth="1"/>
    <col min="34" max="35" width="12.7109375" style="4" customWidth="1"/>
    <col min="36" max="36" width="17.42578125" style="9" customWidth="1"/>
    <col min="37" max="38" width="10.85546875" customWidth="1"/>
  </cols>
  <sheetData>
    <row r="1" spans="1:38" x14ac:dyDescent="0.2">
      <c r="A1" s="26" t="s">
        <v>76</v>
      </c>
      <c r="B1" s="251" t="s">
        <v>77</v>
      </c>
      <c r="C1" s="253" t="s">
        <v>20</v>
      </c>
      <c r="D1" s="254" t="s">
        <v>187</v>
      </c>
      <c r="E1" s="255"/>
      <c r="F1" s="256" t="s">
        <v>184</v>
      </c>
      <c r="G1" s="257"/>
      <c r="H1" s="257"/>
      <c r="I1" s="257"/>
      <c r="J1" s="258"/>
      <c r="K1" s="252" t="s">
        <v>77</v>
      </c>
      <c r="L1" s="244"/>
      <c r="M1" s="244"/>
      <c r="N1" s="252"/>
      <c r="O1" s="252"/>
      <c r="P1" s="244"/>
      <c r="Q1" s="248" t="s">
        <v>111</v>
      </c>
      <c r="R1" s="248"/>
      <c r="S1" s="248"/>
      <c r="T1" s="259" t="s">
        <v>19</v>
      </c>
      <c r="U1" s="252" t="s">
        <v>77</v>
      </c>
      <c r="V1" s="244"/>
      <c r="W1" s="244"/>
      <c r="X1" s="252"/>
      <c r="Y1" s="252"/>
      <c r="Z1" s="252"/>
      <c r="AA1" s="244"/>
      <c r="AB1" s="244"/>
      <c r="AC1" s="244"/>
      <c r="AD1" s="252"/>
      <c r="AE1" s="252"/>
      <c r="AF1" s="252"/>
      <c r="AG1" s="248" t="s">
        <v>111</v>
      </c>
      <c r="AH1" s="248" t="s">
        <v>111</v>
      </c>
      <c r="AI1" s="248" t="s">
        <v>111</v>
      </c>
      <c r="AJ1" s="260" t="s">
        <v>19</v>
      </c>
      <c r="AK1" s="244" t="s">
        <v>77</v>
      </c>
      <c r="AL1" s="261"/>
    </row>
    <row r="2" spans="1:38" ht="17.100000000000001" customHeight="1" x14ac:dyDescent="0.2">
      <c r="A2" s="36" t="s">
        <v>5</v>
      </c>
      <c r="B2" s="37" t="s">
        <v>258</v>
      </c>
      <c r="C2" s="66" t="s">
        <v>115</v>
      </c>
      <c r="D2" s="37" t="s">
        <v>116</v>
      </c>
      <c r="E2" s="66" t="s">
        <v>113</v>
      </c>
      <c r="F2" s="37" t="s">
        <v>116</v>
      </c>
      <c r="G2" s="215" t="s">
        <v>112</v>
      </c>
      <c r="H2" s="216" t="s">
        <v>113</v>
      </c>
      <c r="I2" s="216" t="s">
        <v>117</v>
      </c>
      <c r="J2" s="217" t="s">
        <v>118</v>
      </c>
      <c r="K2" s="218" t="s">
        <v>214</v>
      </c>
      <c r="L2" s="219" t="s">
        <v>215</v>
      </c>
      <c r="M2" s="219" t="s">
        <v>216</v>
      </c>
      <c r="N2" s="219" t="s">
        <v>217</v>
      </c>
      <c r="O2" s="219" t="s">
        <v>219</v>
      </c>
      <c r="P2" s="219" t="s">
        <v>218</v>
      </c>
      <c r="Q2" s="219" t="s">
        <v>191</v>
      </c>
      <c r="R2" s="219" t="s">
        <v>253</v>
      </c>
      <c r="S2" s="219" t="s">
        <v>193</v>
      </c>
      <c r="T2" s="220" t="s">
        <v>81</v>
      </c>
      <c r="U2" s="226" t="s">
        <v>224</v>
      </c>
      <c r="V2" s="227" t="s">
        <v>225</v>
      </c>
      <c r="W2" s="227" t="s">
        <v>226</v>
      </c>
      <c r="X2" s="227" t="s">
        <v>227</v>
      </c>
      <c r="Y2" s="227" t="s">
        <v>228</v>
      </c>
      <c r="Z2" s="228" t="s">
        <v>229</v>
      </c>
      <c r="AA2" s="218" t="s">
        <v>236</v>
      </c>
      <c r="AB2" s="219" t="s">
        <v>237</v>
      </c>
      <c r="AC2" s="219" t="s">
        <v>238</v>
      </c>
      <c r="AD2" s="219" t="s">
        <v>242</v>
      </c>
      <c r="AE2" s="219" t="s">
        <v>244</v>
      </c>
      <c r="AF2" s="219" t="s">
        <v>245</v>
      </c>
      <c r="AG2" s="219" t="s">
        <v>188</v>
      </c>
      <c r="AH2" s="219" t="s">
        <v>254</v>
      </c>
      <c r="AI2" s="232" t="s">
        <v>190</v>
      </c>
      <c r="AJ2" s="66" t="s">
        <v>256</v>
      </c>
      <c r="AK2" s="82" t="s">
        <v>124</v>
      </c>
      <c r="AL2" s="8"/>
    </row>
    <row r="3" spans="1:38" ht="17.100000000000001" customHeight="1" x14ac:dyDescent="0.2">
      <c r="A3" s="81"/>
      <c r="B3" s="37"/>
      <c r="C3" s="66" t="s">
        <v>251</v>
      </c>
      <c r="D3" s="37" t="s">
        <v>252</v>
      </c>
      <c r="E3" s="66" t="s">
        <v>252</v>
      </c>
      <c r="F3" s="37" t="s">
        <v>252</v>
      </c>
      <c r="G3" s="215" t="s">
        <v>252</v>
      </c>
      <c r="H3" s="216" t="s">
        <v>252</v>
      </c>
      <c r="I3" s="216" t="s">
        <v>252</v>
      </c>
      <c r="J3" s="217" t="s">
        <v>252</v>
      </c>
      <c r="K3" s="221" t="s">
        <v>260</v>
      </c>
      <c r="L3" s="222" t="s">
        <v>260</v>
      </c>
      <c r="M3" s="222" t="s">
        <v>260</v>
      </c>
      <c r="N3" s="222" t="s">
        <v>260</v>
      </c>
      <c r="O3" s="222" t="s">
        <v>261</v>
      </c>
      <c r="P3" s="222" t="s">
        <v>261</v>
      </c>
      <c r="Q3" s="222" t="s">
        <v>262</v>
      </c>
      <c r="R3" s="222" t="s">
        <v>261</v>
      </c>
      <c r="S3" s="222" t="s">
        <v>262</v>
      </c>
      <c r="T3" s="220" t="s">
        <v>262</v>
      </c>
      <c r="U3" s="229" t="s">
        <v>260</v>
      </c>
      <c r="V3" s="230" t="s">
        <v>260</v>
      </c>
      <c r="W3" s="230" t="s">
        <v>260</v>
      </c>
      <c r="X3" s="230" t="s">
        <v>260</v>
      </c>
      <c r="Y3" s="230" t="s">
        <v>261</v>
      </c>
      <c r="Z3" s="231" t="s">
        <v>261</v>
      </c>
      <c r="AA3" s="221" t="s">
        <v>249</v>
      </c>
      <c r="AB3" s="222" t="s">
        <v>249</v>
      </c>
      <c r="AC3" s="222" t="s">
        <v>249</v>
      </c>
      <c r="AD3" s="222" t="s">
        <v>249</v>
      </c>
      <c r="AE3" s="222" t="s">
        <v>261</v>
      </c>
      <c r="AF3" s="222" t="s">
        <v>261</v>
      </c>
      <c r="AG3" s="222" t="s">
        <v>261</v>
      </c>
      <c r="AH3" s="222" t="s">
        <v>261</v>
      </c>
      <c r="AI3" s="220" t="s">
        <v>261</v>
      </c>
      <c r="AJ3" s="66" t="s">
        <v>266</v>
      </c>
      <c r="AK3" s="23"/>
      <c r="AL3" s="8"/>
    </row>
    <row r="4" spans="1:38" hidden="1" x14ac:dyDescent="0.2">
      <c r="A4" s="194" t="s">
        <v>311</v>
      </c>
      <c r="B4" s="194" t="s">
        <v>313</v>
      </c>
      <c r="C4" s="137" t="s">
        <v>312</v>
      </c>
      <c r="D4" s="137" t="s">
        <v>314</v>
      </c>
      <c r="E4" s="137" t="s">
        <v>315</v>
      </c>
      <c r="F4" s="137" t="s">
        <v>316</v>
      </c>
      <c r="G4" s="137" t="s">
        <v>317</v>
      </c>
      <c r="H4" s="137" t="s">
        <v>318</v>
      </c>
      <c r="I4" s="137" t="s">
        <v>319</v>
      </c>
      <c r="J4" s="210" t="s">
        <v>320</v>
      </c>
      <c r="K4" s="192" t="s">
        <v>321</v>
      </c>
      <c r="L4" s="49" t="s">
        <v>322</v>
      </c>
      <c r="M4" s="49" t="s">
        <v>323</v>
      </c>
      <c r="N4" s="192" t="s">
        <v>324</v>
      </c>
      <c r="O4" s="209" t="s">
        <v>325</v>
      </c>
      <c r="P4" s="193" t="s">
        <v>326</v>
      </c>
      <c r="Q4" s="198" t="s">
        <v>327</v>
      </c>
      <c r="R4" s="198" t="s">
        <v>328</v>
      </c>
      <c r="S4" s="198" t="s">
        <v>329</v>
      </c>
      <c r="T4" s="223" t="s">
        <v>330</v>
      </c>
      <c r="U4" s="192" t="s">
        <v>331</v>
      </c>
      <c r="V4" s="49" t="s">
        <v>332</v>
      </c>
      <c r="W4" s="49" t="s">
        <v>333</v>
      </c>
      <c r="X4" s="192" t="s">
        <v>334</v>
      </c>
      <c r="Y4" s="205" t="s">
        <v>335</v>
      </c>
      <c r="Z4" s="205" t="s">
        <v>336</v>
      </c>
      <c r="AA4" s="206" t="s">
        <v>337</v>
      </c>
      <c r="AB4" s="206" t="s">
        <v>338</v>
      </c>
      <c r="AC4" s="206" t="s">
        <v>339</v>
      </c>
      <c r="AD4" s="207" t="s">
        <v>340</v>
      </c>
      <c r="AE4" s="205" t="s">
        <v>341</v>
      </c>
      <c r="AF4" s="208" t="s">
        <v>342</v>
      </c>
      <c r="AG4" s="193" t="s">
        <v>343</v>
      </c>
      <c r="AH4" s="193" t="s">
        <v>344</v>
      </c>
      <c r="AI4" s="193" t="s">
        <v>345</v>
      </c>
      <c r="AJ4" s="47" t="s">
        <v>346</v>
      </c>
      <c r="AK4" s="49" t="s">
        <v>347</v>
      </c>
      <c r="AL4" s="49" t="s">
        <v>348</v>
      </c>
    </row>
    <row r="5" spans="1:38" x14ac:dyDescent="0.2">
      <c r="A5" s="9" t="s">
        <v>4</v>
      </c>
      <c r="B5" s="13" t="s">
        <v>73</v>
      </c>
      <c r="C5" s="11">
        <f>109.77/60</f>
        <v>1.8294999999999999</v>
      </c>
      <c r="D5" s="11">
        <v>6</v>
      </c>
      <c r="E5" s="11">
        <v>17</v>
      </c>
      <c r="F5" s="11">
        <v>4.95</v>
      </c>
      <c r="G5" s="11">
        <v>9.4600000000000009</v>
      </c>
      <c r="H5" s="11">
        <v>15.1</v>
      </c>
      <c r="I5" s="11">
        <v>28.9</v>
      </c>
      <c r="J5" s="95">
        <v>42.5</v>
      </c>
      <c r="K5" s="93">
        <v>0</v>
      </c>
      <c r="L5" s="9">
        <v>0</v>
      </c>
      <c r="M5" s="9">
        <v>7</v>
      </c>
      <c r="N5" s="93">
        <v>169</v>
      </c>
      <c r="O5" s="264">
        <f t="shared" ref="O5:O37" si="0">(K5+L5+M5)/1000</f>
        <v>7.0000000000000001E-3</v>
      </c>
      <c r="P5" s="12">
        <f t="shared" ref="P5:P37" si="1">(K5+N5)/1000</f>
        <v>0.16900000000000001</v>
      </c>
      <c r="Q5" s="12">
        <v>0</v>
      </c>
      <c r="R5" s="12">
        <v>0.16</v>
      </c>
      <c r="S5" s="12">
        <f t="shared" ref="S5:S37" si="2">Q5+R5</f>
        <v>0.16</v>
      </c>
      <c r="T5" s="203">
        <v>0.16600000000000001</v>
      </c>
      <c r="U5" s="93">
        <v>0</v>
      </c>
      <c r="V5" s="9">
        <v>0</v>
      </c>
      <c r="W5" s="9">
        <v>5</v>
      </c>
      <c r="X5" s="93">
        <v>169</v>
      </c>
      <c r="Y5" s="203">
        <f>(U5+V5+W5)/1000</f>
        <v>5.0000000000000001E-3</v>
      </c>
      <c r="Z5" s="203">
        <f>(U5+X5)/1000</f>
        <v>0.16900000000000001</v>
      </c>
      <c r="AA5" s="9">
        <v>0</v>
      </c>
      <c r="AB5" s="9">
        <v>0</v>
      </c>
      <c r="AC5" s="9">
        <v>1675.6</v>
      </c>
      <c r="AD5" s="93">
        <v>5.8</v>
      </c>
      <c r="AE5" s="204">
        <f>AA5+AB5+AC5</f>
        <v>1675.6</v>
      </c>
      <c r="AF5" s="262">
        <f>AA5+AD5</f>
        <v>5.8</v>
      </c>
      <c r="AG5" s="12">
        <v>1660</v>
      </c>
      <c r="AH5" s="12">
        <v>16</v>
      </c>
      <c r="AI5" s="12">
        <f t="shared" ref="AI5:AI37" si="3">AG5+AH5</f>
        <v>1676</v>
      </c>
      <c r="AJ5" s="12">
        <v>5.0000000000000003E-10</v>
      </c>
      <c r="AK5" s="92" t="s">
        <v>120</v>
      </c>
      <c r="AL5" s="92"/>
    </row>
    <row r="6" spans="1:38" x14ac:dyDescent="0.2">
      <c r="A6" s="9" t="s">
        <v>18</v>
      </c>
      <c r="B6" s="13" t="s">
        <v>70</v>
      </c>
      <c r="C6" s="11">
        <f>14.29*24</f>
        <v>342.96</v>
      </c>
      <c r="D6" s="10" t="s">
        <v>64</v>
      </c>
      <c r="E6" s="10" t="s">
        <v>64</v>
      </c>
      <c r="F6" s="10" t="s">
        <v>64</v>
      </c>
      <c r="G6" s="10" t="s">
        <v>64</v>
      </c>
      <c r="H6" s="10" t="s">
        <v>64</v>
      </c>
      <c r="I6" s="10" t="s">
        <v>64</v>
      </c>
      <c r="J6" s="168" t="s">
        <v>64</v>
      </c>
      <c r="K6" s="94">
        <v>0</v>
      </c>
      <c r="L6" s="13">
        <v>0</v>
      </c>
      <c r="M6" s="13">
        <v>1</v>
      </c>
      <c r="N6" s="94">
        <v>0</v>
      </c>
      <c r="O6" s="264">
        <f t="shared" si="0"/>
        <v>1E-3</v>
      </c>
      <c r="P6" s="12">
        <f t="shared" si="1"/>
        <v>0</v>
      </c>
      <c r="Q6" s="34">
        <v>1.9699999999999999E-4</v>
      </c>
      <c r="R6" s="12">
        <v>0</v>
      </c>
      <c r="S6" s="34">
        <f t="shared" si="2"/>
        <v>1.9699999999999999E-4</v>
      </c>
      <c r="T6" s="203"/>
      <c r="U6" s="94">
        <v>0</v>
      </c>
      <c r="V6" s="13">
        <v>0</v>
      </c>
      <c r="W6" s="13">
        <v>736</v>
      </c>
      <c r="X6" s="94">
        <v>0</v>
      </c>
      <c r="Y6" s="203">
        <f t="shared" ref="Y6:Y37" si="4">(U6+V6+W6)/1000</f>
        <v>0.73599999999999999</v>
      </c>
      <c r="Z6" s="203">
        <f t="shared" ref="Z6:Z37" si="5">(U6+X6)/1000</f>
        <v>0</v>
      </c>
      <c r="AA6" s="13">
        <v>0</v>
      </c>
      <c r="AB6" s="13">
        <v>0</v>
      </c>
      <c r="AC6" s="13">
        <v>1211.3</v>
      </c>
      <c r="AD6" s="94">
        <v>0</v>
      </c>
      <c r="AE6" s="204">
        <f>AA6+AB6+AC6</f>
        <v>1211.3</v>
      </c>
      <c r="AF6" s="203">
        <f t="shared" ref="AF6:AF37" si="6">AA6+AD6</f>
        <v>0</v>
      </c>
      <c r="AG6" s="12">
        <v>1170</v>
      </c>
      <c r="AH6" s="12">
        <v>0</v>
      </c>
      <c r="AI6" s="12">
        <f t="shared" si="3"/>
        <v>1170</v>
      </c>
      <c r="AJ6" s="12">
        <v>6E-10</v>
      </c>
      <c r="AK6" s="92" t="s">
        <v>121</v>
      </c>
      <c r="AL6" s="92"/>
    </row>
    <row r="7" spans="1:38" x14ac:dyDescent="0.2">
      <c r="A7" s="10" t="s">
        <v>425</v>
      </c>
      <c r="B7" s="13" t="s">
        <v>71</v>
      </c>
      <c r="C7" s="11">
        <f>270.9*24</f>
        <v>6501.5999999999995</v>
      </c>
      <c r="D7" s="67" t="s">
        <v>186</v>
      </c>
      <c r="E7" s="11">
        <v>1</v>
      </c>
      <c r="F7" s="11">
        <v>0.29799999999999999</v>
      </c>
      <c r="G7" s="11">
        <v>0.53300000000000003</v>
      </c>
      <c r="H7" s="11">
        <v>0.85</v>
      </c>
      <c r="I7" s="11">
        <v>2.39</v>
      </c>
      <c r="J7" s="95">
        <v>24</v>
      </c>
      <c r="K7" s="94">
        <v>24</v>
      </c>
      <c r="L7" s="9">
        <v>0</v>
      </c>
      <c r="M7" s="9">
        <v>0</v>
      </c>
      <c r="N7" s="93">
        <v>0</v>
      </c>
      <c r="O7" s="34">
        <f t="shared" si="0"/>
        <v>2.4E-2</v>
      </c>
      <c r="P7" s="12">
        <f t="shared" si="1"/>
        <v>2.4E-2</v>
      </c>
      <c r="Q7" s="34">
        <v>0</v>
      </c>
      <c r="R7" s="12">
        <v>2.1100000000000001E-2</v>
      </c>
      <c r="S7" s="12">
        <f t="shared" si="2"/>
        <v>2.1100000000000001E-2</v>
      </c>
      <c r="T7" s="203">
        <v>2.3E-2</v>
      </c>
      <c r="U7" s="94">
        <v>27</v>
      </c>
      <c r="V7" s="9">
        <v>0</v>
      </c>
      <c r="W7" s="9">
        <v>0</v>
      </c>
      <c r="X7" s="93">
        <v>0</v>
      </c>
      <c r="Y7" s="203">
        <f t="shared" si="4"/>
        <v>2.7E-2</v>
      </c>
      <c r="Z7" s="203">
        <f t="shared" si="5"/>
        <v>2.7E-2</v>
      </c>
      <c r="AA7" s="93">
        <v>2.9</v>
      </c>
      <c r="AB7" s="9">
        <v>22</v>
      </c>
      <c r="AC7" s="9">
        <v>0</v>
      </c>
      <c r="AD7" s="95">
        <v>0</v>
      </c>
      <c r="AE7" s="262">
        <f t="shared" ref="AE7:AE23" si="7">AA7+AB7+AC7</f>
        <v>24.9</v>
      </c>
      <c r="AF7" s="262">
        <f t="shared" si="6"/>
        <v>2.9</v>
      </c>
      <c r="AG7" s="12">
        <v>81.400000000000006</v>
      </c>
      <c r="AH7" s="12">
        <v>31.3</v>
      </c>
      <c r="AI7" s="12">
        <f t="shared" si="3"/>
        <v>112.7</v>
      </c>
      <c r="AJ7" s="12">
        <v>9.9999999999999994E-12</v>
      </c>
      <c r="AK7" s="92" t="s">
        <v>164</v>
      </c>
      <c r="AL7" s="92"/>
    </row>
    <row r="8" spans="1:38" x14ac:dyDescent="0.2">
      <c r="A8" s="11" t="s">
        <v>17</v>
      </c>
      <c r="B8" s="13" t="s">
        <v>73</v>
      </c>
      <c r="C8" s="58">
        <f>68/60</f>
        <v>1.1333333333333333</v>
      </c>
      <c r="D8" s="67">
        <v>6</v>
      </c>
      <c r="E8" s="67">
        <v>17</v>
      </c>
      <c r="F8" s="11">
        <v>5.12</v>
      </c>
      <c r="G8" s="11">
        <v>9.84</v>
      </c>
      <c r="H8" s="11">
        <v>16</v>
      </c>
      <c r="I8" s="11">
        <v>33.799999999999997</v>
      </c>
      <c r="J8" s="95">
        <v>61.7</v>
      </c>
      <c r="K8" s="94">
        <v>6</v>
      </c>
      <c r="L8" s="9">
        <v>0</v>
      </c>
      <c r="M8" s="9">
        <v>36</v>
      </c>
      <c r="N8" s="93">
        <v>155</v>
      </c>
      <c r="O8" s="264">
        <f t="shared" si="0"/>
        <v>4.2000000000000003E-2</v>
      </c>
      <c r="P8" s="34">
        <f t="shared" si="1"/>
        <v>0.161</v>
      </c>
      <c r="Q8" s="34">
        <v>6.5099999999999999E-4</v>
      </c>
      <c r="R8" s="12">
        <v>0.14799999999999999</v>
      </c>
      <c r="S8" s="12">
        <f t="shared" si="2"/>
        <v>0.14865100000000001</v>
      </c>
      <c r="T8" s="203"/>
      <c r="U8" s="94">
        <v>6</v>
      </c>
      <c r="V8" s="9">
        <v>0</v>
      </c>
      <c r="W8" s="9">
        <v>1197</v>
      </c>
      <c r="X8" s="93">
        <v>155</v>
      </c>
      <c r="Y8" s="203">
        <f t="shared" si="4"/>
        <v>1.2030000000000001</v>
      </c>
      <c r="Z8" s="203">
        <f t="shared" si="5"/>
        <v>0.161</v>
      </c>
      <c r="AA8" s="9">
        <v>0.1</v>
      </c>
      <c r="AB8" s="9">
        <v>0</v>
      </c>
      <c r="AC8" s="9">
        <v>1030.8</v>
      </c>
      <c r="AD8" s="93">
        <v>5.3</v>
      </c>
      <c r="AE8" s="204">
        <f t="shared" si="7"/>
        <v>1030.8999999999999</v>
      </c>
      <c r="AF8" s="262">
        <f t="shared" si="6"/>
        <v>5.3999999999999995</v>
      </c>
      <c r="AG8" s="12">
        <v>983</v>
      </c>
      <c r="AH8" s="12">
        <v>14.8</v>
      </c>
      <c r="AI8" s="12">
        <f t="shared" si="3"/>
        <v>997.8</v>
      </c>
      <c r="AJ8" s="12">
        <v>5.0000000000000003E-10</v>
      </c>
      <c r="AK8" s="92" t="s">
        <v>123</v>
      </c>
      <c r="AL8" s="92"/>
    </row>
    <row r="9" spans="1:38" x14ac:dyDescent="0.2">
      <c r="A9" s="202" t="s">
        <v>426</v>
      </c>
      <c r="B9" s="9" t="s">
        <v>71</v>
      </c>
      <c r="C9" s="11">
        <f>288*24</f>
        <v>6912</v>
      </c>
      <c r="D9" s="11"/>
      <c r="E9" s="10"/>
      <c r="F9" s="10"/>
      <c r="G9" s="10"/>
      <c r="H9" s="10"/>
      <c r="I9" s="10"/>
      <c r="J9" s="168"/>
      <c r="K9" s="94">
        <v>0</v>
      </c>
      <c r="L9" s="9">
        <v>0</v>
      </c>
      <c r="M9" s="9">
        <v>0</v>
      </c>
      <c r="N9" s="93">
        <v>0</v>
      </c>
      <c r="O9" s="34">
        <f>(K9+L9+M9)/1000</f>
        <v>0</v>
      </c>
      <c r="P9" s="34">
        <f>(K9+N9)/1000</f>
        <v>0</v>
      </c>
      <c r="Q9" s="34">
        <v>0</v>
      </c>
      <c r="R9" s="12">
        <v>4.1100000000000002E-4</v>
      </c>
      <c r="S9" s="34">
        <f>Q9+R9</f>
        <v>4.1100000000000002E-4</v>
      </c>
      <c r="T9" s="203">
        <v>3.3E-4</v>
      </c>
      <c r="U9" s="94">
        <v>3</v>
      </c>
      <c r="V9" s="9">
        <v>0</v>
      </c>
      <c r="W9" s="9">
        <v>0</v>
      </c>
      <c r="X9" s="93">
        <v>0</v>
      </c>
      <c r="Y9" s="203">
        <f>(U9+V9+W9)/1000</f>
        <v>3.0000000000000001E-3</v>
      </c>
      <c r="Z9" s="203">
        <f>(U9+X9)/1000</f>
        <v>3.0000000000000001E-3</v>
      </c>
      <c r="AA9" s="9">
        <v>0.9</v>
      </c>
      <c r="AB9" s="9">
        <v>0</v>
      </c>
      <c r="AC9" s="9">
        <v>0</v>
      </c>
      <c r="AD9" s="93">
        <v>0</v>
      </c>
      <c r="AE9" s="262">
        <f>AA9+AB9+AC9</f>
        <v>0.9</v>
      </c>
      <c r="AF9" s="262">
        <f>AA9+AD9</f>
        <v>0.9</v>
      </c>
      <c r="AG9" s="12">
        <v>0</v>
      </c>
      <c r="AH9" s="12">
        <v>10.4</v>
      </c>
      <c r="AI9" s="12">
        <f>AG9+AH9</f>
        <v>10.4</v>
      </c>
      <c r="AJ9" s="12">
        <v>2E-12</v>
      </c>
      <c r="AK9" s="92" t="s">
        <v>122</v>
      </c>
      <c r="AL9" s="92"/>
    </row>
    <row r="10" spans="1:38" x14ac:dyDescent="0.2">
      <c r="A10" s="24" t="s">
        <v>442</v>
      </c>
      <c r="B10" s="24" t="s">
        <v>73</v>
      </c>
      <c r="C10" s="23">
        <f>288*24</f>
        <v>6912</v>
      </c>
      <c r="D10" s="197">
        <v>6</v>
      </c>
      <c r="E10" s="197">
        <v>17</v>
      </c>
      <c r="F10" s="23">
        <v>5.12</v>
      </c>
      <c r="G10" s="23">
        <v>9.84</v>
      </c>
      <c r="H10" s="23">
        <v>16</v>
      </c>
      <c r="I10" s="23">
        <v>33.799999999999997</v>
      </c>
      <c r="J10" s="200">
        <v>61.7</v>
      </c>
      <c r="K10" s="97">
        <v>6</v>
      </c>
      <c r="L10" s="23">
        <v>0</v>
      </c>
      <c r="M10" s="23">
        <v>36</v>
      </c>
      <c r="N10" s="200">
        <v>155</v>
      </c>
      <c r="O10" s="266">
        <f t="shared" ref="O10" si="8">(K10+L10+M10)/1000</f>
        <v>4.2000000000000003E-2</v>
      </c>
      <c r="P10" s="32">
        <f t="shared" ref="P10" si="9">(K10+N10)/1000</f>
        <v>0.161</v>
      </c>
      <c r="Q10" s="32">
        <v>6.5099999999999999E-4</v>
      </c>
      <c r="R10" s="201">
        <v>0.14799999999999999</v>
      </c>
      <c r="S10" s="201">
        <f t="shared" ref="S10" si="10">Q10+R10</f>
        <v>0.14865100000000001</v>
      </c>
      <c r="T10" s="267"/>
      <c r="U10" s="97">
        <v>6</v>
      </c>
      <c r="V10" s="23">
        <v>0</v>
      </c>
      <c r="W10" s="23">
        <v>1197</v>
      </c>
      <c r="X10" s="200">
        <v>155</v>
      </c>
      <c r="Y10" s="267">
        <f t="shared" ref="Y10" si="11">(U10+V10+W10)/1000</f>
        <v>1.2030000000000001</v>
      </c>
      <c r="Z10" s="267">
        <f t="shared" ref="Z10" si="12">(U10+X10)/1000</f>
        <v>0.161</v>
      </c>
      <c r="AA10" s="23">
        <v>1</v>
      </c>
      <c r="AB10" s="23">
        <v>0</v>
      </c>
      <c r="AC10" s="23">
        <v>1030.8</v>
      </c>
      <c r="AD10" s="200">
        <v>5.3</v>
      </c>
      <c r="AE10" s="98">
        <f t="shared" ref="AE10" si="13">AA10+AB10+AC10</f>
        <v>1031.8</v>
      </c>
      <c r="AF10" s="268">
        <f t="shared" ref="AF10" si="14">AA10+AD10</f>
        <v>6.3</v>
      </c>
      <c r="AG10" s="201">
        <v>983</v>
      </c>
      <c r="AH10" s="201">
        <v>14.8</v>
      </c>
      <c r="AI10" s="201">
        <f t="shared" ref="AI10" si="15">AG10+AH10</f>
        <v>997.8</v>
      </c>
      <c r="AJ10" s="201">
        <v>5.0000000000000003E-10</v>
      </c>
      <c r="AK10" s="92" t="s">
        <v>123</v>
      </c>
      <c r="AL10" s="92"/>
    </row>
    <row r="11" spans="1:38" x14ac:dyDescent="0.2">
      <c r="A11" s="10" t="s">
        <v>429</v>
      </c>
      <c r="B11" s="13" t="s">
        <v>73</v>
      </c>
      <c r="C11" s="11">
        <v>4.58</v>
      </c>
      <c r="D11" s="11"/>
      <c r="E11" s="11"/>
      <c r="F11" s="11">
        <v>4.96</v>
      </c>
      <c r="G11" s="11">
        <v>9.69</v>
      </c>
      <c r="H11" s="11">
        <v>16.2</v>
      </c>
      <c r="I11" s="11">
        <v>37.9</v>
      </c>
      <c r="J11" s="95">
        <v>71.599999999999994</v>
      </c>
      <c r="K11" s="94">
        <v>44</v>
      </c>
      <c r="L11" s="9">
        <v>0</v>
      </c>
      <c r="M11" s="9">
        <v>3</v>
      </c>
      <c r="N11" s="93">
        <v>47</v>
      </c>
      <c r="O11" s="264">
        <f t="shared" si="0"/>
        <v>4.7E-2</v>
      </c>
      <c r="P11" s="34">
        <f t="shared" si="1"/>
        <v>9.0999999999999998E-2</v>
      </c>
      <c r="Q11" s="34">
        <v>1.72E-7</v>
      </c>
      <c r="R11" s="12">
        <v>0.10100000000000001</v>
      </c>
      <c r="S11" s="12">
        <f t="shared" si="2"/>
        <v>0.10100017200000001</v>
      </c>
      <c r="T11" s="265">
        <v>0.11</v>
      </c>
      <c r="U11" s="94">
        <v>65</v>
      </c>
      <c r="V11" s="9">
        <v>0</v>
      </c>
      <c r="W11" s="9">
        <v>2</v>
      </c>
      <c r="X11" s="93">
        <v>47</v>
      </c>
      <c r="Y11" s="203">
        <f>(U11+V11+W11)/1000</f>
        <v>6.7000000000000004E-2</v>
      </c>
      <c r="Z11" s="203">
        <f t="shared" si="5"/>
        <v>0.112</v>
      </c>
      <c r="AA11" s="9">
        <v>6.3</v>
      </c>
      <c r="AB11" s="9">
        <v>2.2000000000000002</v>
      </c>
      <c r="AC11" s="9">
        <v>433.2</v>
      </c>
      <c r="AD11" s="93">
        <v>1.6</v>
      </c>
      <c r="AE11" s="262">
        <f t="shared" si="7"/>
        <v>441.7</v>
      </c>
      <c r="AF11" s="262">
        <f t="shared" si="6"/>
        <v>7.9</v>
      </c>
      <c r="AG11" s="12">
        <v>1310</v>
      </c>
      <c r="AH11" s="12">
        <v>16.100000000000001</v>
      </c>
      <c r="AI11" s="12">
        <f t="shared" si="3"/>
        <v>1326.1</v>
      </c>
      <c r="AJ11" s="12">
        <v>3E-10</v>
      </c>
      <c r="AK11" s="92" t="s">
        <v>125</v>
      </c>
      <c r="AL11" s="92" t="s">
        <v>126</v>
      </c>
    </row>
    <row r="12" spans="1:38" x14ac:dyDescent="0.2">
      <c r="A12" s="11" t="s">
        <v>14</v>
      </c>
      <c r="B12" s="9" t="s">
        <v>72</v>
      </c>
      <c r="C12" s="28">
        <f>13/60/60</f>
        <v>3.6111111111111114E-3</v>
      </c>
      <c r="D12" s="11"/>
      <c r="E12" s="11"/>
      <c r="F12" s="11">
        <v>0.67500000000000004</v>
      </c>
      <c r="G12" s="11">
        <v>1.22</v>
      </c>
      <c r="H12" s="11">
        <v>1.93</v>
      </c>
      <c r="I12" s="11">
        <v>3.68</v>
      </c>
      <c r="J12" s="95">
        <v>5.43</v>
      </c>
      <c r="K12" s="94">
        <v>26</v>
      </c>
      <c r="L12" s="9">
        <v>0</v>
      </c>
      <c r="M12" s="9">
        <v>0</v>
      </c>
      <c r="N12" s="93">
        <v>0</v>
      </c>
      <c r="O12" s="34">
        <f t="shared" si="0"/>
        <v>2.5999999999999999E-2</v>
      </c>
      <c r="P12" s="34">
        <f t="shared" si="1"/>
        <v>2.5999999999999999E-2</v>
      </c>
      <c r="Q12" s="34">
        <v>0</v>
      </c>
      <c r="R12" s="12">
        <v>2.1399999999999999E-2</v>
      </c>
      <c r="S12" s="12">
        <f t="shared" si="2"/>
        <v>2.1399999999999999E-2</v>
      </c>
      <c r="T12" s="203"/>
      <c r="U12" s="94">
        <v>34</v>
      </c>
      <c r="V12" s="9">
        <v>0</v>
      </c>
      <c r="W12" s="9">
        <v>0</v>
      </c>
      <c r="X12" s="93">
        <v>0</v>
      </c>
      <c r="Y12" s="203">
        <f t="shared" si="4"/>
        <v>3.4000000000000002E-2</v>
      </c>
      <c r="Z12" s="203">
        <f t="shared" si="5"/>
        <v>3.4000000000000002E-2</v>
      </c>
      <c r="AA12" s="9">
        <v>4.3</v>
      </c>
      <c r="AB12" s="9">
        <v>1057.5</v>
      </c>
      <c r="AC12" s="9">
        <v>0</v>
      </c>
      <c r="AD12" s="93">
        <v>0</v>
      </c>
      <c r="AE12" s="204">
        <f t="shared" si="7"/>
        <v>1061.8</v>
      </c>
      <c r="AF12" s="203">
        <f t="shared" si="6"/>
        <v>4.3</v>
      </c>
      <c r="AG12" s="12">
        <v>897</v>
      </c>
      <c r="AH12" s="12">
        <v>4.07</v>
      </c>
      <c r="AI12" s="12">
        <f t="shared" si="3"/>
        <v>901.07</v>
      </c>
      <c r="AJ12" s="12" t="s">
        <v>64</v>
      </c>
      <c r="AK12" s="92" t="s">
        <v>126</v>
      </c>
      <c r="AL12" s="92" t="s">
        <v>127</v>
      </c>
    </row>
    <row r="13" spans="1:38" x14ac:dyDescent="0.2">
      <c r="A13" s="9" t="s">
        <v>12</v>
      </c>
      <c r="B13" s="13" t="s">
        <v>70</v>
      </c>
      <c r="C13" s="11">
        <f>50.5*24</f>
        <v>1212</v>
      </c>
      <c r="D13" s="67">
        <v>12</v>
      </c>
      <c r="E13" s="67">
        <v>35</v>
      </c>
      <c r="F13" s="11"/>
      <c r="G13" s="10"/>
      <c r="H13" s="10"/>
      <c r="I13" s="10"/>
      <c r="J13" s="168"/>
      <c r="K13" s="94">
        <v>0</v>
      </c>
      <c r="L13" s="9">
        <v>0</v>
      </c>
      <c r="M13" s="9">
        <v>0</v>
      </c>
      <c r="N13" s="93">
        <v>0</v>
      </c>
      <c r="O13" s="34">
        <f t="shared" si="0"/>
        <v>0</v>
      </c>
      <c r="P13" s="34">
        <f t="shared" si="1"/>
        <v>0</v>
      </c>
      <c r="Q13" s="34">
        <v>5.63E-5</v>
      </c>
      <c r="R13" s="12">
        <v>1.27E-5</v>
      </c>
      <c r="S13" s="34">
        <f t="shared" si="2"/>
        <v>6.8999999999999997E-5</v>
      </c>
      <c r="T13" s="203"/>
      <c r="U13" s="94">
        <v>0</v>
      </c>
      <c r="V13" s="9">
        <v>0</v>
      </c>
      <c r="W13" s="9">
        <v>368</v>
      </c>
      <c r="X13" s="93">
        <v>0</v>
      </c>
      <c r="Y13" s="203">
        <f t="shared" si="4"/>
        <v>0.36799999999999999</v>
      </c>
      <c r="Z13" s="203">
        <f t="shared" si="5"/>
        <v>0</v>
      </c>
      <c r="AA13" s="9">
        <v>0</v>
      </c>
      <c r="AB13" s="9">
        <v>0</v>
      </c>
      <c r="AC13" s="9">
        <v>1254.2</v>
      </c>
      <c r="AD13" s="93">
        <v>0</v>
      </c>
      <c r="AE13" s="204">
        <f t="shared" si="7"/>
        <v>1254.2</v>
      </c>
      <c r="AF13" s="204">
        <f t="shared" si="6"/>
        <v>0</v>
      </c>
      <c r="AG13" s="12">
        <v>1220</v>
      </c>
      <c r="AH13" s="12">
        <v>1.23E-3</v>
      </c>
      <c r="AI13" s="12">
        <f t="shared" si="3"/>
        <v>1220.0012300000001</v>
      </c>
      <c r="AJ13" s="12">
        <v>5.0000000000000003E-10</v>
      </c>
      <c r="AK13" s="92" t="s">
        <v>128</v>
      </c>
      <c r="AL13" s="92"/>
    </row>
    <row r="14" spans="1:38" x14ac:dyDescent="0.2">
      <c r="A14" s="10" t="s">
        <v>430</v>
      </c>
      <c r="B14" s="13" t="s">
        <v>70</v>
      </c>
      <c r="C14" s="12">
        <f>29.12*24*365.25</f>
        <v>255265.92000000001</v>
      </c>
      <c r="D14" s="67" t="s">
        <v>64</v>
      </c>
      <c r="E14" s="67" t="s">
        <v>64</v>
      </c>
      <c r="F14" s="10" t="s">
        <v>64</v>
      </c>
      <c r="G14" s="10" t="s">
        <v>64</v>
      </c>
      <c r="H14" s="10" t="s">
        <v>64</v>
      </c>
      <c r="I14" s="10" t="s">
        <v>64</v>
      </c>
      <c r="J14" s="168" t="s">
        <v>64</v>
      </c>
      <c r="K14" s="94">
        <v>0</v>
      </c>
      <c r="L14" s="9">
        <v>0</v>
      </c>
      <c r="M14" s="9">
        <v>0</v>
      </c>
      <c r="N14" s="93">
        <v>0</v>
      </c>
      <c r="O14" s="34">
        <f t="shared" si="0"/>
        <v>0</v>
      </c>
      <c r="P14" s="34">
        <f t="shared" si="1"/>
        <v>0</v>
      </c>
      <c r="Q14" s="34">
        <v>0</v>
      </c>
      <c r="R14" s="12">
        <v>0</v>
      </c>
      <c r="S14" s="34">
        <f t="shared" si="2"/>
        <v>0</v>
      </c>
      <c r="T14" s="203"/>
      <c r="U14" s="94">
        <v>0</v>
      </c>
      <c r="V14" s="9">
        <v>0</v>
      </c>
      <c r="W14" s="9">
        <v>0</v>
      </c>
      <c r="X14" s="93">
        <v>0</v>
      </c>
      <c r="Y14" s="203">
        <f t="shared" si="4"/>
        <v>0</v>
      </c>
      <c r="Z14" s="203">
        <f t="shared" si="5"/>
        <v>0</v>
      </c>
      <c r="AA14" s="93">
        <v>0</v>
      </c>
      <c r="AB14" s="9">
        <v>0</v>
      </c>
      <c r="AC14" s="9">
        <v>1456.8</v>
      </c>
      <c r="AD14" s="95">
        <v>0</v>
      </c>
      <c r="AE14" s="204">
        <f t="shared" si="7"/>
        <v>1456.8</v>
      </c>
      <c r="AF14" s="203">
        <f t="shared" si="6"/>
        <v>0</v>
      </c>
      <c r="AG14" s="12">
        <v>1460</v>
      </c>
      <c r="AH14" s="12">
        <v>0</v>
      </c>
      <c r="AI14" s="12">
        <f t="shared" si="3"/>
        <v>1460</v>
      </c>
      <c r="AJ14" s="12">
        <v>5.0000000000000003E-10</v>
      </c>
      <c r="AK14" s="92" t="s">
        <v>163</v>
      </c>
      <c r="AL14" s="92"/>
    </row>
    <row r="15" spans="1:38" x14ac:dyDescent="0.2">
      <c r="A15" s="10" t="s">
        <v>10</v>
      </c>
      <c r="B15" s="13" t="s">
        <v>70</v>
      </c>
      <c r="C15" s="11">
        <v>64</v>
      </c>
      <c r="D15" s="67" t="s">
        <v>64</v>
      </c>
      <c r="E15" s="67" t="s">
        <v>64</v>
      </c>
      <c r="F15" s="10" t="s">
        <v>64</v>
      </c>
      <c r="G15" s="10" t="s">
        <v>64</v>
      </c>
      <c r="H15" s="10" t="s">
        <v>64</v>
      </c>
      <c r="I15" s="10" t="s">
        <v>64</v>
      </c>
      <c r="J15" s="168" t="s">
        <v>64</v>
      </c>
      <c r="K15" s="94">
        <v>0</v>
      </c>
      <c r="L15" s="9">
        <v>0</v>
      </c>
      <c r="M15" s="9">
        <v>2</v>
      </c>
      <c r="N15" s="93">
        <v>0</v>
      </c>
      <c r="O15" s="264">
        <f t="shared" si="0"/>
        <v>2E-3</v>
      </c>
      <c r="P15" s="34">
        <f t="shared" si="1"/>
        <v>0</v>
      </c>
      <c r="Q15" s="34">
        <v>6.6600000000000001E-3</v>
      </c>
      <c r="R15" s="12">
        <v>2.43E-6</v>
      </c>
      <c r="S15" s="34">
        <f t="shared" si="2"/>
        <v>6.6624300000000004E-3</v>
      </c>
      <c r="T15" s="203"/>
      <c r="U15" s="94">
        <v>0</v>
      </c>
      <c r="V15" s="9">
        <v>1</v>
      </c>
      <c r="W15" s="9">
        <v>2344</v>
      </c>
      <c r="X15" s="93">
        <v>0</v>
      </c>
      <c r="Y15" s="203">
        <f t="shared" si="4"/>
        <v>2.3450000000000002</v>
      </c>
      <c r="Z15" s="203">
        <f t="shared" si="5"/>
        <v>0</v>
      </c>
      <c r="AA15" s="9">
        <v>0</v>
      </c>
      <c r="AB15" s="9">
        <v>0.1</v>
      </c>
      <c r="AC15" s="9">
        <v>1086.8</v>
      </c>
      <c r="AD15" s="93">
        <v>0</v>
      </c>
      <c r="AE15" s="204">
        <f t="shared" si="7"/>
        <v>1086.8999999999999</v>
      </c>
      <c r="AF15" s="204">
        <f t="shared" si="6"/>
        <v>0</v>
      </c>
      <c r="AG15" s="12">
        <v>1070</v>
      </c>
      <c r="AH15" s="12">
        <v>8.1800000000000004E-4</v>
      </c>
      <c r="AI15" s="12">
        <f t="shared" si="3"/>
        <v>1070.000818</v>
      </c>
      <c r="AJ15" s="12">
        <v>4.0000000000000001E-10</v>
      </c>
      <c r="AK15" s="92" t="s">
        <v>129</v>
      </c>
      <c r="AL15" s="92"/>
    </row>
    <row r="16" spans="1:38" x14ac:dyDescent="0.2">
      <c r="A16" s="10" t="s">
        <v>431</v>
      </c>
      <c r="B16" s="13" t="s">
        <v>70</v>
      </c>
      <c r="C16" s="57">
        <v>66</v>
      </c>
      <c r="D16" s="67">
        <v>1</v>
      </c>
      <c r="E16" s="67">
        <v>19</v>
      </c>
      <c r="F16" s="59">
        <v>5.83</v>
      </c>
      <c r="G16" s="57">
        <v>13.7</v>
      </c>
      <c r="H16" s="57">
        <v>23.4</v>
      </c>
      <c r="I16" s="57">
        <v>46.8</v>
      </c>
      <c r="J16" s="95">
        <v>69.5</v>
      </c>
      <c r="K16" s="94">
        <v>25</v>
      </c>
      <c r="L16" s="9">
        <v>0</v>
      </c>
      <c r="M16" s="9">
        <v>0</v>
      </c>
      <c r="N16" s="93">
        <v>0</v>
      </c>
      <c r="O16" s="34">
        <f t="shared" si="0"/>
        <v>2.5000000000000001E-2</v>
      </c>
      <c r="P16" s="34">
        <f t="shared" si="1"/>
        <v>2.5000000000000001E-2</v>
      </c>
      <c r="Q16" s="34">
        <v>3.1499999999999999E-6</v>
      </c>
      <c r="R16" s="12">
        <v>2.3699999999999999E-2</v>
      </c>
      <c r="S16" s="12">
        <f t="shared" si="2"/>
        <v>2.3703149999999999E-2</v>
      </c>
      <c r="T16" s="265">
        <v>2.5999999999999999E-2</v>
      </c>
      <c r="U16" s="94">
        <v>26</v>
      </c>
      <c r="V16" s="9">
        <v>0</v>
      </c>
      <c r="W16" s="9">
        <v>25</v>
      </c>
      <c r="X16" s="93">
        <v>0</v>
      </c>
      <c r="Y16" s="203">
        <f>(U16+V16+W16)/1000</f>
        <v>5.0999999999999997E-2</v>
      </c>
      <c r="Z16" s="203">
        <f t="shared" si="5"/>
        <v>2.5999999999999999E-2</v>
      </c>
      <c r="AA16" s="9">
        <v>1</v>
      </c>
      <c r="AB16" s="9">
        <v>31</v>
      </c>
      <c r="AC16" s="9">
        <v>1344.3</v>
      </c>
      <c r="AD16" s="93">
        <v>0</v>
      </c>
      <c r="AE16" s="204">
        <f t="shared" si="7"/>
        <v>1376.3</v>
      </c>
      <c r="AF16" s="262">
        <f t="shared" si="6"/>
        <v>1</v>
      </c>
      <c r="AG16" s="12">
        <v>1350</v>
      </c>
      <c r="AH16" s="12">
        <v>2.44</v>
      </c>
      <c r="AI16" s="12">
        <f t="shared" si="3"/>
        <v>1352.44</v>
      </c>
      <c r="AJ16" s="12">
        <v>4.0000000000000001E-10</v>
      </c>
      <c r="AK16" s="92" t="s">
        <v>130</v>
      </c>
      <c r="AL16" s="92" t="s">
        <v>131</v>
      </c>
    </row>
    <row r="17" spans="1:38" x14ac:dyDescent="0.2">
      <c r="A17" s="9" t="s">
        <v>0</v>
      </c>
      <c r="B17" s="13" t="s">
        <v>74</v>
      </c>
      <c r="C17" s="11">
        <v>6.02</v>
      </c>
      <c r="D17" s="67" t="s">
        <v>186</v>
      </c>
      <c r="E17" s="11">
        <v>1</v>
      </c>
      <c r="F17" s="11">
        <v>0.23400000000000001</v>
      </c>
      <c r="G17" s="11">
        <v>0.53500000000000003</v>
      </c>
      <c r="H17" s="11">
        <v>0.90500000000000003</v>
      </c>
      <c r="I17" s="11">
        <v>1.8</v>
      </c>
      <c r="J17" s="95">
        <v>2.7</v>
      </c>
      <c r="K17" s="94">
        <v>25</v>
      </c>
      <c r="L17" s="9">
        <v>0</v>
      </c>
      <c r="M17" s="9">
        <v>0</v>
      </c>
      <c r="N17" s="93">
        <v>0</v>
      </c>
      <c r="O17" s="34">
        <f t="shared" si="0"/>
        <v>2.5000000000000001E-2</v>
      </c>
      <c r="P17" s="34">
        <f t="shared" si="1"/>
        <v>2.5000000000000001E-2</v>
      </c>
      <c r="Q17" s="34">
        <v>0</v>
      </c>
      <c r="R17" s="12">
        <v>2.18E-2</v>
      </c>
      <c r="S17" s="12">
        <f t="shared" si="2"/>
        <v>2.18E-2</v>
      </c>
      <c r="T17" s="203">
        <v>2.3E-2</v>
      </c>
      <c r="U17" s="94">
        <v>26</v>
      </c>
      <c r="V17" s="9">
        <v>0</v>
      </c>
      <c r="W17" s="9">
        <v>0</v>
      </c>
      <c r="X17" s="93">
        <v>0</v>
      </c>
      <c r="Y17" s="203">
        <f t="shared" si="4"/>
        <v>2.5999999999999999E-2</v>
      </c>
      <c r="Z17" s="203">
        <f t="shared" si="5"/>
        <v>2.5999999999999999E-2</v>
      </c>
      <c r="AA17" s="9">
        <v>2.6</v>
      </c>
      <c r="AB17" s="9">
        <v>64.8</v>
      </c>
      <c r="AC17" s="9">
        <v>0</v>
      </c>
      <c r="AD17" s="93">
        <v>0</v>
      </c>
      <c r="AE17" s="262">
        <f t="shared" si="7"/>
        <v>67.399999999999991</v>
      </c>
      <c r="AF17" s="203">
        <f t="shared" si="6"/>
        <v>2.6</v>
      </c>
      <c r="AG17" s="12">
        <v>259</v>
      </c>
      <c r="AH17" s="12">
        <v>2.21</v>
      </c>
      <c r="AI17" s="12">
        <f t="shared" si="3"/>
        <v>261.20999999999998</v>
      </c>
      <c r="AJ17" s="12">
        <v>5.0000000000000002E-11</v>
      </c>
      <c r="AK17" s="92" t="s">
        <v>131</v>
      </c>
      <c r="AL17" s="92" t="s">
        <v>132</v>
      </c>
    </row>
    <row r="18" spans="1:38" x14ac:dyDescent="0.2">
      <c r="A18" s="9" t="s">
        <v>1</v>
      </c>
      <c r="B18" s="9" t="s">
        <v>71</v>
      </c>
      <c r="C18" s="11">
        <f>2.83*24</f>
        <v>67.92</v>
      </c>
      <c r="D18" s="67" t="s">
        <v>186</v>
      </c>
      <c r="E18" s="11">
        <v>3</v>
      </c>
      <c r="F18" s="11">
        <v>0.25700000000000001</v>
      </c>
      <c r="G18" s="11">
        <v>0.95</v>
      </c>
      <c r="H18" s="11">
        <v>1.96</v>
      </c>
      <c r="I18" s="11">
        <v>4.82</v>
      </c>
      <c r="J18" s="95">
        <v>7.77</v>
      </c>
      <c r="K18" s="94">
        <v>93</v>
      </c>
      <c r="L18" s="9">
        <v>0</v>
      </c>
      <c r="M18" s="9">
        <v>0</v>
      </c>
      <c r="N18" s="93">
        <v>0</v>
      </c>
      <c r="O18" s="34">
        <f t="shared" si="0"/>
        <v>9.2999999999999999E-2</v>
      </c>
      <c r="P18" s="34">
        <f t="shared" si="1"/>
        <v>9.2999999999999999E-2</v>
      </c>
      <c r="Q18" s="34">
        <v>0</v>
      </c>
      <c r="R18" s="12">
        <v>8.1799999999999998E-2</v>
      </c>
      <c r="S18" s="12">
        <f t="shared" si="2"/>
        <v>8.1799999999999998E-2</v>
      </c>
      <c r="T18" s="203">
        <v>8.7999999999999995E-2</v>
      </c>
      <c r="U18" s="94">
        <v>99</v>
      </c>
      <c r="V18" s="9">
        <v>0</v>
      </c>
      <c r="W18" s="9">
        <v>0</v>
      </c>
      <c r="X18" s="93">
        <v>0</v>
      </c>
      <c r="Y18" s="203">
        <f t="shared" si="4"/>
        <v>9.9000000000000005E-2</v>
      </c>
      <c r="Z18" s="203">
        <f t="shared" si="5"/>
        <v>9.9000000000000005E-2</v>
      </c>
      <c r="AA18" s="9">
        <v>9.3000000000000007</v>
      </c>
      <c r="AB18" s="9">
        <v>415.4</v>
      </c>
      <c r="AC18" s="9">
        <v>0</v>
      </c>
      <c r="AD18" s="93">
        <v>0</v>
      </c>
      <c r="AE18" s="204">
        <f t="shared" si="7"/>
        <v>424.7</v>
      </c>
      <c r="AF18" s="203">
        <f t="shared" si="6"/>
        <v>9.3000000000000007</v>
      </c>
      <c r="AG18" s="12">
        <v>408</v>
      </c>
      <c r="AH18" s="12">
        <v>8.92</v>
      </c>
      <c r="AI18" s="12">
        <f t="shared" si="3"/>
        <v>416.92</v>
      </c>
      <c r="AJ18" s="12">
        <v>7.0000000000000004E-11</v>
      </c>
      <c r="AK18" s="92" t="s">
        <v>133</v>
      </c>
      <c r="AL18" s="92" t="s">
        <v>134</v>
      </c>
    </row>
    <row r="19" spans="1:38" x14ac:dyDescent="0.2">
      <c r="A19" s="9" t="s">
        <v>2</v>
      </c>
      <c r="B19" s="9" t="s">
        <v>71</v>
      </c>
      <c r="C19" s="11">
        <v>13.2</v>
      </c>
      <c r="D19" s="67">
        <v>1</v>
      </c>
      <c r="E19" s="67">
        <v>2</v>
      </c>
      <c r="F19" s="263">
        <v>0.34</v>
      </c>
      <c r="G19" s="11">
        <v>0.442</v>
      </c>
      <c r="H19" s="11">
        <v>1.1200000000000001</v>
      </c>
      <c r="I19" s="11">
        <v>11.1</v>
      </c>
      <c r="J19" s="95">
        <v>27.1</v>
      </c>
      <c r="K19" s="94">
        <v>48</v>
      </c>
      <c r="L19" s="9">
        <v>0</v>
      </c>
      <c r="M19" s="9">
        <v>0</v>
      </c>
      <c r="N19" s="93">
        <v>0</v>
      </c>
      <c r="O19" s="34">
        <f t="shared" si="0"/>
        <v>4.8000000000000001E-2</v>
      </c>
      <c r="P19" s="34">
        <f t="shared" si="1"/>
        <v>4.8000000000000001E-2</v>
      </c>
      <c r="Q19" s="34">
        <v>0</v>
      </c>
      <c r="R19" s="12">
        <v>4.2500000000000003E-2</v>
      </c>
      <c r="S19" s="12">
        <f t="shared" si="2"/>
        <v>4.2500000000000003E-2</v>
      </c>
      <c r="T19" s="203">
        <v>4.5999999999999999E-2</v>
      </c>
      <c r="U19" s="94">
        <v>51</v>
      </c>
      <c r="V19" s="9">
        <v>0</v>
      </c>
      <c r="W19" s="9">
        <v>0</v>
      </c>
      <c r="X19" s="93">
        <v>0</v>
      </c>
      <c r="Y19" s="203">
        <f t="shared" si="4"/>
        <v>5.0999999999999997E-2</v>
      </c>
      <c r="Z19" s="203">
        <f t="shared" si="5"/>
        <v>5.0999999999999997E-2</v>
      </c>
      <c r="AA19" s="9">
        <v>5</v>
      </c>
      <c r="AB19" s="9">
        <v>191.4</v>
      </c>
      <c r="AC19" s="9">
        <v>0</v>
      </c>
      <c r="AD19" s="93">
        <v>0</v>
      </c>
      <c r="AE19" s="262">
        <f t="shared" si="7"/>
        <v>196.4</v>
      </c>
      <c r="AF19" s="203">
        <f t="shared" si="6"/>
        <v>5</v>
      </c>
      <c r="AG19" s="12">
        <v>405</v>
      </c>
      <c r="AH19" s="12">
        <v>4.51</v>
      </c>
      <c r="AI19" s="12">
        <f t="shared" si="3"/>
        <v>409.51</v>
      </c>
      <c r="AJ19" s="12">
        <v>1E-10</v>
      </c>
      <c r="AK19" s="92" t="s">
        <v>135</v>
      </c>
      <c r="AL19" s="92" t="s">
        <v>136</v>
      </c>
    </row>
    <row r="20" spans="1:38" x14ac:dyDescent="0.2">
      <c r="A20" s="11" t="s">
        <v>15</v>
      </c>
      <c r="B20" s="13" t="s">
        <v>73</v>
      </c>
      <c r="C20" s="11">
        <f>4.18*24</f>
        <v>100.32</v>
      </c>
      <c r="D20" s="67">
        <v>8</v>
      </c>
      <c r="E20" s="67">
        <v>31</v>
      </c>
      <c r="F20" s="11">
        <v>7.2</v>
      </c>
      <c r="G20" s="11">
        <v>15.9</v>
      </c>
      <c r="H20" s="11">
        <v>30.5</v>
      </c>
      <c r="I20" s="11">
        <v>76.5</v>
      </c>
      <c r="J20" s="95">
        <v>124</v>
      </c>
      <c r="K20" s="94">
        <v>143</v>
      </c>
      <c r="L20" s="9">
        <v>0</v>
      </c>
      <c r="M20" s="9">
        <v>8</v>
      </c>
      <c r="N20" s="93">
        <v>40</v>
      </c>
      <c r="O20" s="34">
        <f t="shared" si="0"/>
        <v>0.151</v>
      </c>
      <c r="P20" s="34">
        <f t="shared" si="1"/>
        <v>0.183</v>
      </c>
      <c r="Q20" s="34">
        <v>4.15E-4</v>
      </c>
      <c r="R20" s="12">
        <v>0.17</v>
      </c>
      <c r="S20" s="12">
        <f t="shared" si="2"/>
        <v>0.17041500000000001</v>
      </c>
      <c r="T20" s="203"/>
      <c r="U20" s="94">
        <v>134</v>
      </c>
      <c r="V20" s="9">
        <v>1</v>
      </c>
      <c r="W20" s="9">
        <v>304</v>
      </c>
      <c r="X20" s="93">
        <v>40</v>
      </c>
      <c r="Y20" s="203">
        <f t="shared" si="4"/>
        <v>0.439</v>
      </c>
      <c r="Z20" s="203">
        <f t="shared" si="5"/>
        <v>0.17399999999999999</v>
      </c>
      <c r="AA20" s="9">
        <v>4.2</v>
      </c>
      <c r="AB20" s="9">
        <v>4.3</v>
      </c>
      <c r="AC20" s="9">
        <v>271</v>
      </c>
      <c r="AD20" s="93">
        <v>1.4</v>
      </c>
      <c r="AE20" s="204">
        <f t="shared" si="7"/>
        <v>279.5</v>
      </c>
      <c r="AF20" s="262">
        <f t="shared" si="6"/>
        <v>5.6</v>
      </c>
      <c r="AG20" s="12">
        <v>257</v>
      </c>
      <c r="AH20" s="12">
        <v>16.7</v>
      </c>
      <c r="AI20" s="12">
        <f t="shared" si="3"/>
        <v>273.7</v>
      </c>
      <c r="AJ20" s="12">
        <v>5.0000000000000003E-10</v>
      </c>
      <c r="AK20" s="92" t="s">
        <v>137</v>
      </c>
      <c r="AL20" s="92"/>
    </row>
    <row r="21" spans="1:38" x14ac:dyDescent="0.2">
      <c r="A21" s="10" t="s">
        <v>432</v>
      </c>
      <c r="B21" s="13" t="s">
        <v>71</v>
      </c>
      <c r="C21" s="11">
        <f>60.14*24</f>
        <v>1443.3600000000001</v>
      </c>
      <c r="D21" s="67" t="s">
        <v>186</v>
      </c>
      <c r="E21" s="67" t="s">
        <v>186</v>
      </c>
      <c r="F21" s="11">
        <v>2.1100000000000001E-2</v>
      </c>
      <c r="G21" s="11">
        <v>3.9E-2</v>
      </c>
      <c r="H21" s="11">
        <v>6.2300000000000001E-2</v>
      </c>
      <c r="I21" s="11">
        <v>0.124</v>
      </c>
      <c r="J21" s="95">
        <v>0.193</v>
      </c>
      <c r="K21" s="94">
        <v>37</v>
      </c>
      <c r="L21" s="95">
        <v>0</v>
      </c>
      <c r="M21" s="95">
        <v>0</v>
      </c>
      <c r="N21" s="95">
        <v>0</v>
      </c>
      <c r="O21" s="34">
        <f t="shared" si="0"/>
        <v>3.6999999999999998E-2</v>
      </c>
      <c r="P21" s="34">
        <f t="shared" si="1"/>
        <v>3.6999999999999998E-2</v>
      </c>
      <c r="Q21" s="34">
        <v>0</v>
      </c>
      <c r="R21" s="12">
        <v>3.27E-2</v>
      </c>
      <c r="S21" s="12">
        <f t="shared" si="2"/>
        <v>3.27E-2</v>
      </c>
      <c r="T21" s="203">
        <v>3.4000000000000002E-2</v>
      </c>
      <c r="U21" s="94">
        <v>42</v>
      </c>
      <c r="V21" s="9">
        <v>0</v>
      </c>
      <c r="W21" s="9">
        <v>0</v>
      </c>
      <c r="X21" s="93">
        <v>0</v>
      </c>
      <c r="Y21" s="203">
        <f>(U21+V21+W21)/1000</f>
        <v>4.2000000000000003E-2</v>
      </c>
      <c r="Z21" s="203">
        <f t="shared" si="5"/>
        <v>4.2000000000000003E-2</v>
      </c>
      <c r="AA21" s="95">
        <v>4.3</v>
      </c>
      <c r="AB21" s="95">
        <v>0</v>
      </c>
      <c r="AC21" s="95">
        <v>0</v>
      </c>
      <c r="AD21" s="95">
        <v>0</v>
      </c>
      <c r="AE21" s="204">
        <f t="shared" si="7"/>
        <v>4.3</v>
      </c>
      <c r="AF21" s="204">
        <f t="shared" si="6"/>
        <v>4.3</v>
      </c>
      <c r="AG21" s="12">
        <v>0</v>
      </c>
      <c r="AH21" s="12">
        <v>3.9</v>
      </c>
      <c r="AI21" s="12">
        <f t="shared" si="3"/>
        <v>3.9</v>
      </c>
      <c r="AJ21" s="12">
        <v>3.9999999999999999E-12</v>
      </c>
      <c r="AK21" s="92" t="s">
        <v>194</v>
      </c>
      <c r="AL21" s="92"/>
    </row>
    <row r="22" spans="1:38" x14ac:dyDescent="0.2">
      <c r="A22" s="9" t="s">
        <v>3</v>
      </c>
      <c r="B22" s="13" t="s">
        <v>70</v>
      </c>
      <c r="C22" s="11">
        <f>8.04*24</f>
        <v>192.95999999999998</v>
      </c>
      <c r="D22" s="67">
        <v>3</v>
      </c>
      <c r="E22" s="67">
        <v>11</v>
      </c>
      <c r="F22" s="11">
        <v>2.74</v>
      </c>
      <c r="G22" s="11">
        <v>5.59</v>
      </c>
      <c r="H22" s="11">
        <v>9.93</v>
      </c>
      <c r="I22" s="11">
        <v>25.9</v>
      </c>
      <c r="J22" s="95">
        <v>45.3</v>
      </c>
      <c r="K22" s="94">
        <v>67</v>
      </c>
      <c r="L22" s="9">
        <v>0</v>
      </c>
      <c r="M22" s="9">
        <v>0</v>
      </c>
      <c r="N22" s="93">
        <v>0</v>
      </c>
      <c r="O22" s="34">
        <f t="shared" si="0"/>
        <v>6.7000000000000004E-2</v>
      </c>
      <c r="P22" s="34">
        <f t="shared" si="1"/>
        <v>6.7000000000000004E-2</v>
      </c>
      <c r="Q22" s="34">
        <v>0</v>
      </c>
      <c r="R22" s="12">
        <v>6.2300000000000001E-2</v>
      </c>
      <c r="S22" s="12">
        <f t="shared" si="2"/>
        <v>6.2300000000000001E-2</v>
      </c>
      <c r="T22" s="203">
        <v>6.6000000000000003E-2</v>
      </c>
      <c r="U22" s="94">
        <v>68</v>
      </c>
      <c r="V22" s="9">
        <v>0</v>
      </c>
      <c r="W22" s="9">
        <v>0</v>
      </c>
      <c r="X22" s="93">
        <v>0</v>
      </c>
      <c r="Y22" s="203">
        <f t="shared" si="4"/>
        <v>6.8000000000000005E-2</v>
      </c>
      <c r="Z22" s="203">
        <f t="shared" si="5"/>
        <v>6.8000000000000005E-2</v>
      </c>
      <c r="AA22" s="9">
        <v>3.4</v>
      </c>
      <c r="AB22" s="9">
        <v>46</v>
      </c>
      <c r="AC22" s="9">
        <v>1333.1</v>
      </c>
      <c r="AD22" s="93">
        <v>0</v>
      </c>
      <c r="AE22" s="204">
        <f t="shared" si="7"/>
        <v>1382.5</v>
      </c>
      <c r="AF22" s="203">
        <f t="shared" si="6"/>
        <v>3.4</v>
      </c>
      <c r="AG22" s="12">
        <v>1400</v>
      </c>
      <c r="AH22" s="12">
        <v>6.05</v>
      </c>
      <c r="AI22" s="12">
        <f t="shared" si="3"/>
        <v>1406.05</v>
      </c>
      <c r="AJ22" s="12">
        <v>4.0000000000000001E-10</v>
      </c>
      <c r="AK22" s="92" t="s">
        <v>138</v>
      </c>
      <c r="AL22" s="92" t="s">
        <v>139</v>
      </c>
    </row>
    <row r="23" spans="1:38" x14ac:dyDescent="0.2">
      <c r="A23" s="202" t="s">
        <v>428</v>
      </c>
      <c r="B23" s="13" t="s">
        <v>70</v>
      </c>
      <c r="C23" s="11">
        <f>30*24*365.25</f>
        <v>262980</v>
      </c>
      <c r="D23" s="67">
        <v>8</v>
      </c>
      <c r="E23" s="67">
        <v>24</v>
      </c>
      <c r="F23" s="11">
        <v>7.19</v>
      </c>
      <c r="G23" s="11">
        <v>13.7</v>
      </c>
      <c r="H23" s="11">
        <v>21.8</v>
      </c>
      <c r="I23" s="11">
        <v>41.5</v>
      </c>
      <c r="J23" s="95">
        <v>60.7</v>
      </c>
      <c r="K23" s="94">
        <v>0</v>
      </c>
      <c r="L23" s="9">
        <v>0</v>
      </c>
      <c r="M23" s="9">
        <v>0</v>
      </c>
      <c r="N23" s="93">
        <v>0</v>
      </c>
      <c r="O23" s="34">
        <f t="shared" si="0"/>
        <v>0</v>
      </c>
      <c r="P23" s="34">
        <f t="shared" si="1"/>
        <v>0</v>
      </c>
      <c r="Q23" s="34">
        <v>1.7700000000000001E-7</v>
      </c>
      <c r="R23" s="34">
        <v>0</v>
      </c>
      <c r="S23" s="34">
        <f t="shared" si="2"/>
        <v>1.7700000000000001E-7</v>
      </c>
      <c r="T23" s="204">
        <v>9.2999999999999999E-2</v>
      </c>
      <c r="U23" s="94">
        <v>0</v>
      </c>
      <c r="V23" s="9">
        <v>0</v>
      </c>
      <c r="W23" s="9">
        <v>1</v>
      </c>
      <c r="X23" s="93">
        <v>0</v>
      </c>
      <c r="Y23" s="203">
        <f t="shared" si="4"/>
        <v>1E-3</v>
      </c>
      <c r="Z23" s="203">
        <f t="shared" si="5"/>
        <v>0</v>
      </c>
      <c r="AA23" s="93">
        <v>0</v>
      </c>
      <c r="AB23" s="9">
        <v>0</v>
      </c>
      <c r="AC23" s="9">
        <v>1370.7</v>
      </c>
      <c r="AD23" s="95">
        <v>0</v>
      </c>
      <c r="AE23" s="204">
        <f t="shared" si="7"/>
        <v>1370.7</v>
      </c>
      <c r="AF23" s="203">
        <f t="shared" si="6"/>
        <v>0</v>
      </c>
      <c r="AG23" s="12">
        <v>1400</v>
      </c>
      <c r="AH23" s="12">
        <v>0</v>
      </c>
      <c r="AI23" s="12">
        <f t="shared" si="3"/>
        <v>1400</v>
      </c>
      <c r="AJ23" s="12">
        <v>4.0000000000000001E-10</v>
      </c>
      <c r="AK23" s="92" t="s">
        <v>161</v>
      </c>
      <c r="AL23" s="199" t="s">
        <v>162</v>
      </c>
    </row>
    <row r="24" spans="1:38" x14ac:dyDescent="0.2">
      <c r="A24" s="202" t="s">
        <v>438</v>
      </c>
      <c r="B24" s="13" t="s">
        <v>439</v>
      </c>
      <c r="C24" s="58">
        <f>2.552/60</f>
        <v>4.2533333333333333E-2</v>
      </c>
      <c r="D24" s="67">
        <v>8</v>
      </c>
      <c r="E24" s="67">
        <v>24</v>
      </c>
      <c r="F24" s="11">
        <v>7.19</v>
      </c>
      <c r="G24" s="11">
        <v>13.7</v>
      </c>
      <c r="H24" s="11">
        <v>21.8</v>
      </c>
      <c r="I24" s="11">
        <v>41.5</v>
      </c>
      <c r="J24" s="95">
        <v>60.7</v>
      </c>
      <c r="K24" s="94">
        <v>98</v>
      </c>
      <c r="L24" s="9">
        <v>0</v>
      </c>
      <c r="M24" s="9">
        <v>0</v>
      </c>
      <c r="N24" s="93">
        <v>0</v>
      </c>
      <c r="O24" s="34">
        <f t="shared" ref="O24" si="16">(K24+L24+M24)/1000</f>
        <v>9.8000000000000004E-2</v>
      </c>
      <c r="P24" s="34">
        <f t="shared" ref="P24" si="17">(K24+N24)/1000</f>
        <v>9.8000000000000004E-2</v>
      </c>
      <c r="Q24" s="34">
        <v>0</v>
      </c>
      <c r="R24" s="34">
        <v>9.1800000000000007E-2</v>
      </c>
      <c r="S24" s="34">
        <f t="shared" ref="S24" si="18">Q24+R24</f>
        <v>9.1800000000000007E-2</v>
      </c>
      <c r="T24" s="204">
        <v>9.2999999999999999E-2</v>
      </c>
      <c r="U24" s="94">
        <v>100</v>
      </c>
      <c r="V24" s="9">
        <v>0</v>
      </c>
      <c r="W24" s="9">
        <v>0</v>
      </c>
      <c r="X24" s="93">
        <v>0</v>
      </c>
      <c r="Y24" s="203">
        <f t="shared" ref="Y24" si="19">(U24+V24+W24)/1000</f>
        <v>0.1</v>
      </c>
      <c r="Z24" s="203">
        <f t="shared" ref="Z24" si="20">(U24+X24)/1000</f>
        <v>0.1</v>
      </c>
      <c r="AA24" s="93">
        <v>2.6</v>
      </c>
      <c r="AB24" s="9">
        <v>119</v>
      </c>
      <c r="AC24" s="9">
        <v>0</v>
      </c>
      <c r="AD24" s="95">
        <v>0</v>
      </c>
      <c r="AE24" s="204">
        <f t="shared" ref="AE24" si="21">AA24+AB24+AC24</f>
        <v>121.6</v>
      </c>
      <c r="AF24" s="203">
        <f t="shared" ref="AF24" si="22">AA24+AD24</f>
        <v>2.6</v>
      </c>
      <c r="AG24" s="12">
        <v>110</v>
      </c>
      <c r="AH24" s="12">
        <v>9.1999999999999993</v>
      </c>
      <c r="AI24" s="12">
        <f t="shared" ref="AI24" si="23">AG24+AH24</f>
        <v>119.2</v>
      </c>
      <c r="AJ24" s="12">
        <v>5.0000000000000002E-11</v>
      </c>
      <c r="AK24" s="199" t="s">
        <v>162</v>
      </c>
      <c r="AL24" s="92"/>
    </row>
    <row r="25" spans="1:38" x14ac:dyDescent="0.2">
      <c r="A25" s="24" t="s">
        <v>440</v>
      </c>
      <c r="B25" s="24" t="s">
        <v>165</v>
      </c>
      <c r="C25" s="197">
        <v>262980</v>
      </c>
      <c r="D25" s="197">
        <v>8</v>
      </c>
      <c r="E25" s="197">
        <v>24</v>
      </c>
      <c r="F25" s="23">
        <v>7.19</v>
      </c>
      <c r="G25" s="23">
        <v>13.7</v>
      </c>
      <c r="H25" s="23">
        <v>21.8</v>
      </c>
      <c r="I25" s="23">
        <v>41.5</v>
      </c>
      <c r="J25" s="200">
        <v>60.7</v>
      </c>
      <c r="K25" s="97">
        <f>K23+K24</f>
        <v>98</v>
      </c>
      <c r="L25" s="97">
        <f t="shared" ref="L25:N25" si="24">L23+L24</f>
        <v>0</v>
      </c>
      <c r="M25" s="97">
        <f t="shared" si="24"/>
        <v>0</v>
      </c>
      <c r="N25" s="97">
        <f t="shared" si="24"/>
        <v>0</v>
      </c>
      <c r="O25" s="32">
        <f>(K25+L25+M25)/1000</f>
        <v>9.8000000000000004E-2</v>
      </c>
      <c r="P25" s="32">
        <f>(K25+N25)/1000</f>
        <v>9.8000000000000004E-2</v>
      </c>
      <c r="Q25" s="32">
        <f t="shared" ref="Q25:R25" si="25">Q23+Q24</f>
        <v>1.7700000000000001E-7</v>
      </c>
      <c r="R25" s="32">
        <f t="shared" si="25"/>
        <v>9.1800000000000007E-2</v>
      </c>
      <c r="S25" s="32">
        <f>Q25+R25</f>
        <v>9.1800177000000011E-2</v>
      </c>
      <c r="T25" s="98">
        <v>9.2999999999999999E-2</v>
      </c>
      <c r="U25" s="97">
        <f t="shared" ref="U25:X25" si="26">U23+U24</f>
        <v>100</v>
      </c>
      <c r="V25" s="23">
        <f t="shared" si="26"/>
        <v>0</v>
      </c>
      <c r="W25" s="23">
        <f t="shared" si="26"/>
        <v>1</v>
      </c>
      <c r="X25" s="200">
        <f t="shared" si="26"/>
        <v>0</v>
      </c>
      <c r="Y25" s="267">
        <f>(U25+V25+W25)/1000</f>
        <v>0.10100000000000001</v>
      </c>
      <c r="Z25" s="267">
        <f>(U25+X25)/1000</f>
        <v>0.1</v>
      </c>
      <c r="AA25" s="200">
        <f t="shared" ref="AA25:AD25" si="27">AA23+AA24</f>
        <v>2.6</v>
      </c>
      <c r="AB25" s="23">
        <f t="shared" si="27"/>
        <v>119</v>
      </c>
      <c r="AC25" s="23">
        <f t="shared" si="27"/>
        <v>1370.7</v>
      </c>
      <c r="AD25" s="200">
        <f t="shared" si="27"/>
        <v>0</v>
      </c>
      <c r="AE25" s="98">
        <f>AA25+AB25+AC25</f>
        <v>1492.3</v>
      </c>
      <c r="AF25" s="267">
        <f>AA25+AD25</f>
        <v>2.6</v>
      </c>
      <c r="AG25" s="201">
        <f t="shared" ref="AG25:AH25" si="28">AG23+AG24</f>
        <v>1510</v>
      </c>
      <c r="AH25" s="201">
        <f t="shared" si="28"/>
        <v>9.1999999999999993</v>
      </c>
      <c r="AI25" s="201">
        <f>AG25+AH25</f>
        <v>1519.2</v>
      </c>
      <c r="AJ25" s="201">
        <f>AJ23+AJ24</f>
        <v>4.5E-10</v>
      </c>
      <c r="AK25" s="199"/>
      <c r="AL25" s="92"/>
    </row>
    <row r="26" spans="1:38" x14ac:dyDescent="0.2">
      <c r="A26" s="10" t="s">
        <v>427</v>
      </c>
      <c r="B26" s="13" t="s">
        <v>71</v>
      </c>
      <c r="C26" s="11">
        <f>242*24</f>
        <v>5808</v>
      </c>
      <c r="D26" s="11"/>
      <c r="E26" s="11"/>
      <c r="F26" s="11">
        <v>7.8299999999999995E-2</v>
      </c>
      <c r="G26" s="11">
        <v>0.17199999999999999</v>
      </c>
      <c r="H26" s="11">
        <v>0.34899999999999998</v>
      </c>
      <c r="I26" s="11">
        <v>1.01</v>
      </c>
      <c r="J26" s="95">
        <v>1.58</v>
      </c>
      <c r="K26" s="94">
        <v>32</v>
      </c>
      <c r="L26" s="9">
        <v>0</v>
      </c>
      <c r="M26" s="9">
        <v>0</v>
      </c>
      <c r="N26" s="93">
        <v>0</v>
      </c>
      <c r="O26" s="34">
        <f t="shared" si="0"/>
        <v>3.2000000000000001E-2</v>
      </c>
      <c r="P26" s="34">
        <f t="shared" si="1"/>
        <v>3.2000000000000001E-2</v>
      </c>
      <c r="Q26" s="34">
        <v>0</v>
      </c>
      <c r="R26" s="34">
        <v>2.86E-2</v>
      </c>
      <c r="S26" s="12">
        <f t="shared" si="2"/>
        <v>2.86E-2</v>
      </c>
      <c r="T26" s="203">
        <v>3.2000000000000002E-3</v>
      </c>
      <c r="U26" s="94">
        <v>32</v>
      </c>
      <c r="V26" s="9">
        <v>0</v>
      </c>
      <c r="W26" s="9">
        <v>0</v>
      </c>
      <c r="X26" s="93">
        <v>0</v>
      </c>
      <c r="Y26" s="203">
        <f t="shared" si="4"/>
        <v>3.2000000000000001E-2</v>
      </c>
      <c r="Z26" s="203">
        <f t="shared" si="5"/>
        <v>3.2000000000000001E-2</v>
      </c>
      <c r="AA26" s="93">
        <v>3.1</v>
      </c>
      <c r="AB26" s="9">
        <v>0.2</v>
      </c>
      <c r="AC26" s="9">
        <v>0</v>
      </c>
      <c r="AD26" s="95">
        <v>0</v>
      </c>
      <c r="AE26" s="262">
        <f>AA26+AB26+AC26</f>
        <v>3.3000000000000003</v>
      </c>
      <c r="AF26" s="262">
        <f t="shared" si="6"/>
        <v>3.1</v>
      </c>
      <c r="AG26" s="12">
        <v>13.6</v>
      </c>
      <c r="AH26" s="12">
        <v>13.7</v>
      </c>
      <c r="AI26" s="12">
        <f t="shared" si="3"/>
        <v>27.299999999999997</v>
      </c>
      <c r="AJ26" s="12">
        <v>1.9999999999999999E-11</v>
      </c>
      <c r="AK26" s="92" t="s">
        <v>140</v>
      </c>
      <c r="AL26" s="92"/>
    </row>
    <row r="27" spans="1:38" x14ac:dyDescent="0.2">
      <c r="A27" s="11" t="s">
        <v>9</v>
      </c>
      <c r="B27" s="13" t="s">
        <v>70</v>
      </c>
      <c r="C27" s="11">
        <v>46.7</v>
      </c>
      <c r="D27" s="67" t="s">
        <v>186</v>
      </c>
      <c r="E27" s="67" t="s">
        <v>186</v>
      </c>
      <c r="F27" s="11">
        <v>8.7599999999999997E-2</v>
      </c>
      <c r="G27" s="11">
        <v>0.20399999999999999</v>
      </c>
      <c r="H27" s="11">
        <v>0.432</v>
      </c>
      <c r="I27" s="11">
        <v>1.67</v>
      </c>
      <c r="J27" s="95">
        <v>17.600000000000001</v>
      </c>
      <c r="K27" s="94">
        <v>19</v>
      </c>
      <c r="L27" s="9">
        <v>0</v>
      </c>
      <c r="M27" s="9">
        <v>0</v>
      </c>
      <c r="N27" s="93">
        <v>0</v>
      </c>
      <c r="O27" s="34">
        <f t="shared" si="0"/>
        <v>1.9E-2</v>
      </c>
      <c r="P27" s="34">
        <f t="shared" si="1"/>
        <v>1.9E-2</v>
      </c>
      <c r="Q27" s="34">
        <v>0</v>
      </c>
      <c r="R27" s="34">
        <v>1.5900000000000001E-2</v>
      </c>
      <c r="S27" s="12">
        <f t="shared" si="2"/>
        <v>1.5900000000000001E-2</v>
      </c>
      <c r="T27" s="203"/>
      <c r="U27" s="94">
        <v>18</v>
      </c>
      <c r="V27" s="9">
        <v>0</v>
      </c>
      <c r="W27" s="9">
        <v>0</v>
      </c>
      <c r="X27" s="93">
        <v>0</v>
      </c>
      <c r="Y27" s="203">
        <f t="shared" si="4"/>
        <v>1.7999999999999999E-2</v>
      </c>
      <c r="Z27" s="203">
        <f t="shared" si="5"/>
        <v>1.7999999999999999E-2</v>
      </c>
      <c r="AA27" s="9">
        <v>1.7</v>
      </c>
      <c r="AB27" s="9">
        <v>0.4</v>
      </c>
      <c r="AC27" s="9">
        <v>1431.6</v>
      </c>
      <c r="AD27" s="93">
        <v>0</v>
      </c>
      <c r="AE27" s="204">
        <f>AA27+AB27+AC27</f>
        <v>1433.6999999999998</v>
      </c>
      <c r="AF27" s="262">
        <f t="shared" si="6"/>
        <v>1.7</v>
      </c>
      <c r="AG27" s="12">
        <v>1440</v>
      </c>
      <c r="AH27" s="12">
        <v>6.68</v>
      </c>
      <c r="AI27" s="12">
        <f t="shared" si="3"/>
        <v>1446.68</v>
      </c>
      <c r="AJ27" s="12">
        <v>6.9999999999999996E-10</v>
      </c>
      <c r="AK27" s="92" t="s">
        <v>140</v>
      </c>
      <c r="AL27" s="92"/>
    </row>
    <row r="28" spans="1:38" x14ac:dyDescent="0.2">
      <c r="A28" s="10" t="s">
        <v>154</v>
      </c>
      <c r="B28" s="13" t="s">
        <v>70</v>
      </c>
      <c r="C28" s="11">
        <f>6.71*24</f>
        <v>161.04</v>
      </c>
      <c r="D28" s="11"/>
      <c r="E28" s="11"/>
      <c r="F28" s="11">
        <v>0.54200000000000004</v>
      </c>
      <c r="G28" s="11">
        <v>1.19</v>
      </c>
      <c r="H28" s="11">
        <v>2.11</v>
      </c>
      <c r="I28" s="11">
        <v>4.7</v>
      </c>
      <c r="J28" s="95">
        <v>8.4600000000000009</v>
      </c>
      <c r="K28" s="94">
        <v>7</v>
      </c>
      <c r="L28" s="9">
        <v>0</v>
      </c>
      <c r="M28" s="9">
        <v>0</v>
      </c>
      <c r="N28" s="93">
        <v>0</v>
      </c>
      <c r="O28" s="34">
        <f t="shared" si="0"/>
        <v>7.0000000000000001E-3</v>
      </c>
      <c r="P28" s="34">
        <f t="shared" si="1"/>
        <v>7.0000000000000001E-3</v>
      </c>
      <c r="Q28" s="34">
        <v>0</v>
      </c>
      <c r="R28" s="34">
        <v>5.79E-3</v>
      </c>
      <c r="S28" s="34">
        <f t="shared" si="2"/>
        <v>5.79E-3</v>
      </c>
      <c r="T28" s="262">
        <v>6.3E-3</v>
      </c>
      <c r="U28" s="94">
        <v>7</v>
      </c>
      <c r="V28" s="9">
        <v>0</v>
      </c>
      <c r="W28" s="9">
        <v>0</v>
      </c>
      <c r="X28" s="93">
        <v>0</v>
      </c>
      <c r="Y28" s="203">
        <f>(U28+V28+W28)/1000</f>
        <v>7.0000000000000001E-3</v>
      </c>
      <c r="Z28" s="203">
        <f t="shared" si="5"/>
        <v>7.0000000000000001E-3</v>
      </c>
      <c r="AA28" s="9">
        <v>0.6</v>
      </c>
      <c r="AB28" s="9">
        <v>19.7</v>
      </c>
      <c r="AC28" s="9">
        <v>1078.4000000000001</v>
      </c>
      <c r="AD28" s="93">
        <v>0</v>
      </c>
      <c r="AE28" s="204">
        <f t="shared" ref="AE28:AE37" si="29">AA28+AB28+AC28</f>
        <v>1098.7</v>
      </c>
      <c r="AF28" s="262">
        <f t="shared" si="6"/>
        <v>0.6</v>
      </c>
      <c r="AG28" s="12">
        <v>1270</v>
      </c>
      <c r="AH28" s="12">
        <v>1.34</v>
      </c>
      <c r="AI28" s="12">
        <f t="shared" si="3"/>
        <v>1271.3399999999999</v>
      </c>
      <c r="AJ28" s="12">
        <v>4.0000000000000001E-10</v>
      </c>
      <c r="AK28" s="92" t="s">
        <v>141</v>
      </c>
      <c r="AL28" s="92"/>
    </row>
    <row r="29" spans="1:38" x14ac:dyDescent="0.2">
      <c r="A29" s="10" t="s">
        <v>155</v>
      </c>
      <c r="B29" s="13" t="s">
        <v>165</v>
      </c>
      <c r="C29" s="11">
        <f>160.9*24</f>
        <v>3861.6000000000004</v>
      </c>
      <c r="D29" s="11"/>
      <c r="E29" s="11"/>
      <c r="F29" s="11">
        <v>1.1499999999999999</v>
      </c>
      <c r="G29" s="11">
        <v>2.88</v>
      </c>
      <c r="H29" s="11">
        <v>5.93</v>
      </c>
      <c r="I29" s="11">
        <v>14.7</v>
      </c>
      <c r="J29" s="95">
        <v>23.9</v>
      </c>
      <c r="K29" s="94">
        <v>184</v>
      </c>
      <c r="L29" s="9">
        <v>0</v>
      </c>
      <c r="M29" s="9">
        <v>0</v>
      </c>
      <c r="N29" s="93">
        <v>0</v>
      </c>
      <c r="O29" s="34">
        <f t="shared" si="0"/>
        <v>0.184</v>
      </c>
      <c r="P29" s="34">
        <f t="shared" si="1"/>
        <v>0.184</v>
      </c>
      <c r="Q29" s="12">
        <v>0</v>
      </c>
      <c r="R29" s="12">
        <v>0.16600000000000001</v>
      </c>
      <c r="S29" s="12">
        <f t="shared" si="2"/>
        <v>0.16600000000000001</v>
      </c>
      <c r="T29" s="203"/>
      <c r="U29" s="94">
        <v>186</v>
      </c>
      <c r="V29" s="9">
        <v>0</v>
      </c>
      <c r="W29" s="9">
        <v>0</v>
      </c>
      <c r="X29" s="93">
        <v>0</v>
      </c>
      <c r="Y29" s="203">
        <f t="shared" si="4"/>
        <v>0.186</v>
      </c>
      <c r="Z29" s="203">
        <f t="shared" si="5"/>
        <v>0.186</v>
      </c>
      <c r="AA29" s="93">
        <v>14.1</v>
      </c>
      <c r="AB29" s="9">
        <v>1041</v>
      </c>
      <c r="AC29" s="9">
        <v>11.8</v>
      </c>
      <c r="AD29" s="95">
        <v>0</v>
      </c>
      <c r="AE29" s="204">
        <f t="shared" si="29"/>
        <v>1066.8999999999999</v>
      </c>
      <c r="AF29" s="203">
        <f t="shared" si="6"/>
        <v>14.1</v>
      </c>
      <c r="AG29" s="12">
        <v>1900</v>
      </c>
      <c r="AH29" s="12">
        <v>25.5</v>
      </c>
      <c r="AI29" s="12">
        <f t="shared" si="3"/>
        <v>1925.5</v>
      </c>
      <c r="AJ29" s="12">
        <v>3E-10</v>
      </c>
      <c r="AK29" s="92" t="s">
        <v>160</v>
      </c>
      <c r="AL29" s="92" t="s">
        <v>141</v>
      </c>
    </row>
    <row r="30" spans="1:38" x14ac:dyDescent="0.2">
      <c r="A30" s="81" t="s">
        <v>16</v>
      </c>
      <c r="B30" s="13" t="s">
        <v>156</v>
      </c>
      <c r="C30" s="11">
        <f>11.434*24</f>
        <v>274.416</v>
      </c>
      <c r="D30" s="11"/>
      <c r="E30" s="11"/>
      <c r="F30" s="11">
        <v>0.69</v>
      </c>
      <c r="G30" s="11">
        <v>1.92</v>
      </c>
      <c r="H30" s="11">
        <v>4.22</v>
      </c>
      <c r="I30" s="11">
        <v>12.2</v>
      </c>
      <c r="J30" s="95">
        <v>23.8</v>
      </c>
      <c r="K30" s="93">
        <v>29</v>
      </c>
      <c r="L30" s="9">
        <v>0</v>
      </c>
      <c r="M30" s="9">
        <v>0</v>
      </c>
      <c r="N30" s="93">
        <v>0</v>
      </c>
      <c r="O30" s="34">
        <f t="shared" si="0"/>
        <v>2.9000000000000001E-2</v>
      </c>
      <c r="P30" s="34">
        <f t="shared" si="1"/>
        <v>2.9000000000000001E-2</v>
      </c>
      <c r="Q30" s="12">
        <v>0</v>
      </c>
      <c r="R30" s="12">
        <v>2.4299999999999999E-2</v>
      </c>
      <c r="S30" s="12">
        <f t="shared" si="2"/>
        <v>2.4299999999999999E-2</v>
      </c>
      <c r="T30" s="203"/>
      <c r="U30" s="93">
        <v>40</v>
      </c>
      <c r="V30" s="9">
        <v>0</v>
      </c>
      <c r="W30" s="9">
        <v>0</v>
      </c>
      <c r="X30" s="93">
        <v>0</v>
      </c>
      <c r="Y30" s="203">
        <f>(U30+V30+W30)/1000</f>
        <v>0.04</v>
      </c>
      <c r="Z30" s="203">
        <f t="shared" si="5"/>
        <v>0.04</v>
      </c>
      <c r="AA30" s="9">
        <v>4.9000000000000004</v>
      </c>
      <c r="AB30" s="9">
        <v>604</v>
      </c>
      <c r="AC30" s="9">
        <v>0</v>
      </c>
      <c r="AD30" s="93">
        <v>0</v>
      </c>
      <c r="AE30" s="204">
        <f t="shared" si="29"/>
        <v>608.9</v>
      </c>
      <c r="AF30" s="203">
        <f t="shared" si="6"/>
        <v>4.9000000000000004</v>
      </c>
      <c r="AG30" s="12">
        <v>605</v>
      </c>
      <c r="AH30" s="12">
        <v>4.57</v>
      </c>
      <c r="AI30" s="12">
        <f t="shared" si="3"/>
        <v>609.57000000000005</v>
      </c>
      <c r="AJ30" s="12"/>
      <c r="AK30" s="92" t="s">
        <v>142</v>
      </c>
      <c r="AL30" s="92"/>
    </row>
    <row r="31" spans="1:38" x14ac:dyDescent="0.2">
      <c r="A31" s="202" t="s">
        <v>143</v>
      </c>
      <c r="B31" s="13" t="s">
        <v>156</v>
      </c>
      <c r="C31" s="11">
        <v>1.1000000000000001E-3</v>
      </c>
      <c r="D31" s="11"/>
      <c r="E31" s="11"/>
      <c r="F31" s="11">
        <v>1.85</v>
      </c>
      <c r="G31" s="11">
        <v>3.94</v>
      </c>
      <c r="H31" s="11">
        <v>7.18</v>
      </c>
      <c r="I31" s="11">
        <v>16.399999999999999</v>
      </c>
      <c r="J31" s="211">
        <v>26.1</v>
      </c>
      <c r="K31" s="93">
        <v>10</v>
      </c>
      <c r="L31" s="9">
        <v>0</v>
      </c>
      <c r="M31" s="9">
        <v>0</v>
      </c>
      <c r="N31" s="93">
        <v>0</v>
      </c>
      <c r="O31" s="34">
        <f t="shared" si="0"/>
        <v>0.01</v>
      </c>
      <c r="P31" s="34">
        <f t="shared" si="1"/>
        <v>0.01</v>
      </c>
      <c r="Q31" s="12">
        <v>0</v>
      </c>
      <c r="R31" s="12">
        <v>9.11E-3</v>
      </c>
      <c r="S31" s="12">
        <f t="shared" si="2"/>
        <v>9.11E-3</v>
      </c>
      <c r="T31" s="203"/>
      <c r="U31" s="93">
        <v>11</v>
      </c>
      <c r="V31" s="9">
        <v>0</v>
      </c>
      <c r="W31" s="9">
        <v>0</v>
      </c>
      <c r="X31" s="93">
        <v>0</v>
      </c>
      <c r="Y31" s="203">
        <f t="shared" si="4"/>
        <v>1.0999999999999999E-2</v>
      </c>
      <c r="Z31" s="203">
        <f t="shared" si="5"/>
        <v>1.0999999999999999E-2</v>
      </c>
      <c r="AA31" s="9">
        <v>0.8</v>
      </c>
      <c r="AB31" s="9">
        <v>75.099999999999994</v>
      </c>
      <c r="AC31" s="9">
        <v>0</v>
      </c>
      <c r="AD31" s="93">
        <v>0</v>
      </c>
      <c r="AE31" s="204">
        <f t="shared" si="29"/>
        <v>75.899999999999991</v>
      </c>
      <c r="AF31" s="203">
        <f t="shared" si="6"/>
        <v>0.8</v>
      </c>
      <c r="AG31" s="12">
        <v>58.9</v>
      </c>
      <c r="AH31" s="12">
        <v>0.92500000000000004</v>
      </c>
      <c r="AI31" s="12">
        <f t="shared" si="3"/>
        <v>59.824999999999996</v>
      </c>
      <c r="AJ31" s="12"/>
      <c r="AK31" s="92" t="s">
        <v>144</v>
      </c>
      <c r="AL31" s="92"/>
    </row>
    <row r="32" spans="1:38" x14ac:dyDescent="0.2">
      <c r="A32" s="202" t="s">
        <v>146</v>
      </c>
      <c r="B32" s="13" t="s">
        <v>156</v>
      </c>
      <c r="C32" s="63">
        <v>4.947E-7</v>
      </c>
      <c r="D32" s="11"/>
      <c r="E32" s="11"/>
      <c r="F32" s="25">
        <v>3.7</v>
      </c>
      <c r="G32" s="65">
        <v>7.1</v>
      </c>
      <c r="H32" s="65">
        <v>11.4</v>
      </c>
      <c r="I32" s="65">
        <v>22</v>
      </c>
      <c r="J32" s="212">
        <v>32.4</v>
      </c>
      <c r="K32" s="93">
        <v>0</v>
      </c>
      <c r="L32" s="9">
        <v>0</v>
      </c>
      <c r="M32" s="9">
        <v>0</v>
      </c>
      <c r="N32" s="93">
        <v>0</v>
      </c>
      <c r="O32" s="34">
        <f t="shared" si="0"/>
        <v>0</v>
      </c>
      <c r="P32" s="34">
        <f t="shared" si="1"/>
        <v>0</v>
      </c>
      <c r="Q32" s="12">
        <v>0</v>
      </c>
      <c r="R32" s="12">
        <v>2.8200000000000001E-5</v>
      </c>
      <c r="S32" s="12">
        <f t="shared" si="2"/>
        <v>2.8200000000000001E-5</v>
      </c>
      <c r="T32" s="203"/>
      <c r="U32" s="93">
        <v>0</v>
      </c>
      <c r="V32" s="9">
        <v>0</v>
      </c>
      <c r="W32" s="9">
        <v>0</v>
      </c>
      <c r="X32" s="93">
        <v>0</v>
      </c>
      <c r="Y32" s="203">
        <f t="shared" si="4"/>
        <v>0</v>
      </c>
      <c r="Z32" s="203">
        <f t="shared" si="5"/>
        <v>0</v>
      </c>
      <c r="AA32" s="9">
        <v>0</v>
      </c>
      <c r="AB32" s="9">
        <v>0</v>
      </c>
      <c r="AC32" s="9">
        <v>0</v>
      </c>
      <c r="AD32" s="93">
        <v>0</v>
      </c>
      <c r="AE32" s="204">
        <f t="shared" si="29"/>
        <v>0</v>
      </c>
      <c r="AF32" s="204">
        <f t="shared" si="6"/>
        <v>0</v>
      </c>
      <c r="AG32" s="12">
        <v>2.3300000000000001E-2</v>
      </c>
      <c r="AH32" s="12">
        <v>2.7799999999999999E-3</v>
      </c>
      <c r="AI32" s="12">
        <f t="shared" si="3"/>
        <v>2.6080000000000002E-2</v>
      </c>
      <c r="AJ32" s="12"/>
      <c r="AK32" s="92" t="s">
        <v>145</v>
      </c>
      <c r="AL32" s="92"/>
    </row>
    <row r="33" spans="1:38" x14ac:dyDescent="0.2">
      <c r="A33" s="202" t="s">
        <v>147</v>
      </c>
      <c r="B33" s="13" t="s">
        <v>158</v>
      </c>
      <c r="C33" s="64">
        <f>36.1/60</f>
        <v>0.60166666666666668</v>
      </c>
      <c r="D33" s="11"/>
      <c r="E33" s="11"/>
      <c r="F33" s="25">
        <v>6.25</v>
      </c>
      <c r="G33" s="65">
        <v>13.5</v>
      </c>
      <c r="H33" s="65">
        <v>23.8</v>
      </c>
      <c r="I33" s="65">
        <v>50.4</v>
      </c>
      <c r="J33" s="212">
        <v>76.900000000000006</v>
      </c>
      <c r="K33" s="93">
        <v>11</v>
      </c>
      <c r="L33" s="9">
        <v>0</v>
      </c>
      <c r="M33" s="9">
        <v>0</v>
      </c>
      <c r="N33" s="93">
        <v>0</v>
      </c>
      <c r="O33" s="34">
        <f t="shared" si="0"/>
        <v>1.0999999999999999E-2</v>
      </c>
      <c r="P33" s="34">
        <f t="shared" si="1"/>
        <v>1.0999999999999999E-2</v>
      </c>
      <c r="Q33" s="12">
        <v>1.19E-5</v>
      </c>
      <c r="R33" s="12">
        <v>7.79E-3</v>
      </c>
      <c r="S33" s="12">
        <f t="shared" si="2"/>
        <v>7.8018999999999996E-3</v>
      </c>
      <c r="T33" s="203"/>
      <c r="U33" s="93">
        <v>11</v>
      </c>
      <c r="V33" s="9">
        <v>0</v>
      </c>
      <c r="W33" s="9">
        <v>98</v>
      </c>
      <c r="X33" s="93">
        <v>0</v>
      </c>
      <c r="Y33" s="203">
        <f t="shared" si="4"/>
        <v>0.109</v>
      </c>
      <c r="Z33" s="203">
        <f t="shared" si="5"/>
        <v>1.0999999999999999E-2</v>
      </c>
      <c r="AA33" s="9">
        <v>0.4</v>
      </c>
      <c r="AB33" s="9">
        <v>17.899999999999999</v>
      </c>
      <c r="AC33" s="9">
        <v>1325</v>
      </c>
      <c r="AD33" s="93">
        <v>0</v>
      </c>
      <c r="AE33" s="204">
        <f t="shared" si="29"/>
        <v>1343.3</v>
      </c>
      <c r="AF33" s="203">
        <f t="shared" si="6"/>
        <v>0.4</v>
      </c>
      <c r="AG33" s="12">
        <v>1300</v>
      </c>
      <c r="AH33" s="12">
        <v>0.76200000000000001</v>
      </c>
      <c r="AI33" s="12">
        <f t="shared" si="3"/>
        <v>1300.7619999999999</v>
      </c>
      <c r="AJ33" s="12"/>
      <c r="AK33" s="92" t="s">
        <v>148</v>
      </c>
      <c r="AL33" s="92"/>
    </row>
    <row r="34" spans="1:38" x14ac:dyDescent="0.2">
      <c r="A34" s="202" t="s">
        <v>149</v>
      </c>
      <c r="B34" s="13" t="s">
        <v>157</v>
      </c>
      <c r="C34" s="64">
        <v>3.5666666666666666E-2</v>
      </c>
      <c r="D34" s="11"/>
      <c r="E34" s="11"/>
      <c r="F34" s="25">
        <v>2.19</v>
      </c>
      <c r="G34" s="65">
        <v>4.3499999999999996</v>
      </c>
      <c r="H34" s="65">
        <v>7.12</v>
      </c>
      <c r="I34" s="65">
        <v>14</v>
      </c>
      <c r="J34" s="212">
        <v>20.7</v>
      </c>
      <c r="K34" s="93">
        <v>8</v>
      </c>
      <c r="L34" s="9">
        <v>0</v>
      </c>
      <c r="M34" s="9">
        <v>0</v>
      </c>
      <c r="N34" s="93">
        <v>0</v>
      </c>
      <c r="O34" s="34">
        <f t="shared" si="0"/>
        <v>8.0000000000000002E-3</v>
      </c>
      <c r="P34" s="34">
        <f t="shared" si="1"/>
        <v>8.0000000000000002E-3</v>
      </c>
      <c r="Q34" s="12">
        <v>0</v>
      </c>
      <c r="R34" s="12">
        <v>7.7200000000000003E-3</v>
      </c>
      <c r="S34" s="12">
        <f t="shared" si="2"/>
        <v>7.7200000000000003E-3</v>
      </c>
      <c r="T34" s="203"/>
      <c r="U34" s="93">
        <v>9</v>
      </c>
      <c r="V34" s="9">
        <v>0</v>
      </c>
      <c r="W34" s="9">
        <v>0</v>
      </c>
      <c r="X34" s="93">
        <v>0</v>
      </c>
      <c r="Y34" s="203">
        <f t="shared" si="4"/>
        <v>8.9999999999999993E-3</v>
      </c>
      <c r="Z34" s="203">
        <f t="shared" si="5"/>
        <v>8.9999999999999993E-3</v>
      </c>
      <c r="AA34" s="9">
        <v>0.6</v>
      </c>
      <c r="AB34" s="9">
        <v>77.599999999999994</v>
      </c>
      <c r="AC34" s="9">
        <v>3.7</v>
      </c>
      <c r="AD34" s="93">
        <v>0</v>
      </c>
      <c r="AE34" s="204">
        <f t="shared" si="29"/>
        <v>81.899999999999991</v>
      </c>
      <c r="AF34" s="203">
        <f t="shared" si="6"/>
        <v>0.6</v>
      </c>
      <c r="AG34" s="12">
        <v>63.4</v>
      </c>
      <c r="AH34" s="12">
        <v>0.79</v>
      </c>
      <c r="AI34" s="12">
        <f t="shared" si="3"/>
        <v>64.19</v>
      </c>
      <c r="AJ34" s="12"/>
      <c r="AK34" s="92" t="s">
        <v>150</v>
      </c>
      <c r="AL34" s="92" t="s">
        <v>151</v>
      </c>
    </row>
    <row r="35" spans="1:38" x14ac:dyDescent="0.2">
      <c r="A35" s="202" t="s">
        <v>153</v>
      </c>
      <c r="B35" s="13" t="s">
        <v>158</v>
      </c>
      <c r="C35" s="62">
        <v>7.9499999999999987E-2</v>
      </c>
      <c r="D35" s="11"/>
      <c r="E35" s="11"/>
      <c r="F35" s="33">
        <v>11</v>
      </c>
      <c r="G35" s="33">
        <v>20.6</v>
      </c>
      <c r="H35" s="33">
        <v>32.4</v>
      </c>
      <c r="I35" s="33">
        <v>60.8</v>
      </c>
      <c r="J35" s="213">
        <v>88.3</v>
      </c>
      <c r="K35" s="93">
        <v>0</v>
      </c>
      <c r="L35" s="9">
        <v>0</v>
      </c>
      <c r="M35" s="9">
        <v>0</v>
      </c>
      <c r="N35" s="93">
        <v>0</v>
      </c>
      <c r="O35" s="34">
        <f t="shared" si="0"/>
        <v>0</v>
      </c>
      <c r="P35" s="34">
        <f t="shared" si="1"/>
        <v>0</v>
      </c>
      <c r="Q35" s="12">
        <v>1.91E-5</v>
      </c>
      <c r="R35" s="12">
        <v>3.3199999999999999E-4</v>
      </c>
      <c r="S35" s="12">
        <f t="shared" si="2"/>
        <v>3.5109999999999997E-4</v>
      </c>
      <c r="T35" s="203"/>
      <c r="U35" s="93">
        <v>0</v>
      </c>
      <c r="V35" s="9">
        <v>0</v>
      </c>
      <c r="W35" s="9">
        <v>148</v>
      </c>
      <c r="X35" s="93">
        <v>0</v>
      </c>
      <c r="Y35" s="203">
        <f>(U35+V35+W35)/1000</f>
        <v>0.14799999999999999</v>
      </c>
      <c r="Z35" s="203">
        <f t="shared" si="5"/>
        <v>0</v>
      </c>
      <c r="AA35" s="9">
        <v>0</v>
      </c>
      <c r="AB35" s="9">
        <v>0.1</v>
      </c>
      <c r="AC35" s="9">
        <v>1319.1</v>
      </c>
      <c r="AD35" s="93">
        <v>0</v>
      </c>
      <c r="AE35" s="204">
        <f t="shared" si="29"/>
        <v>1319.1999999999998</v>
      </c>
      <c r="AF35" s="204">
        <f t="shared" si="6"/>
        <v>0</v>
      </c>
      <c r="AG35" s="12">
        <v>1270</v>
      </c>
      <c r="AH35" s="12">
        <v>3.2199999999999999E-2</v>
      </c>
      <c r="AI35" s="12">
        <f t="shared" si="3"/>
        <v>1270.0322000000001</v>
      </c>
      <c r="AJ35" s="11"/>
      <c r="AK35" s="92" t="s">
        <v>152</v>
      </c>
      <c r="AL35" s="92"/>
    </row>
    <row r="36" spans="1:38" x14ac:dyDescent="0.2">
      <c r="A36" s="24" t="s">
        <v>183</v>
      </c>
      <c r="B36" s="24" t="s">
        <v>351</v>
      </c>
      <c r="C36" s="23">
        <v>274.416</v>
      </c>
      <c r="D36" s="197"/>
      <c r="E36" s="68"/>
      <c r="F36" s="196">
        <v>0.69</v>
      </c>
      <c r="G36" s="23">
        <v>1.92</v>
      </c>
      <c r="H36" s="23">
        <v>4.22</v>
      </c>
      <c r="I36" s="23">
        <v>12.2</v>
      </c>
      <c r="J36" s="200">
        <v>23.8</v>
      </c>
      <c r="K36" s="200">
        <f>SUM(K30:K35)</f>
        <v>58</v>
      </c>
      <c r="L36" s="45">
        <f>SUM(L30:L35)</f>
        <v>0</v>
      </c>
      <c r="M36" s="45">
        <f>SUM(M30:M35)</f>
        <v>0</v>
      </c>
      <c r="N36" s="96">
        <f>SUM(N30:N35)</f>
        <v>0</v>
      </c>
      <c r="O36" s="32">
        <f t="shared" si="0"/>
        <v>5.8000000000000003E-2</v>
      </c>
      <c r="P36" s="32">
        <f t="shared" si="1"/>
        <v>5.8000000000000003E-2</v>
      </c>
      <c r="Q36" s="32">
        <f>SUM(Q30:Q35)</f>
        <v>3.1000000000000001E-5</v>
      </c>
      <c r="R36" s="32">
        <f>SUM(R30:R35)</f>
        <v>4.9280199999999989E-2</v>
      </c>
      <c r="S36" s="201">
        <f t="shared" si="2"/>
        <v>4.9311199999999993E-2</v>
      </c>
      <c r="T36" s="267"/>
      <c r="U36" s="97">
        <f>SUM(U30:U35)</f>
        <v>71</v>
      </c>
      <c r="V36" s="24">
        <f>SUM(V30:V35)</f>
        <v>0</v>
      </c>
      <c r="W36" s="24">
        <f>SUM(W30:W35)</f>
        <v>246</v>
      </c>
      <c r="X36" s="97">
        <f>SUM(X30:X35)</f>
        <v>0</v>
      </c>
      <c r="Y36" s="267">
        <f t="shared" si="4"/>
        <v>0.317</v>
      </c>
      <c r="Z36" s="267">
        <f t="shared" si="5"/>
        <v>7.0999999999999994E-2</v>
      </c>
      <c r="AA36" s="24">
        <f>SUM(AA30:AA35)</f>
        <v>6.7</v>
      </c>
      <c r="AB36" s="24">
        <f>SUM(AB30:AB35)</f>
        <v>774.7</v>
      </c>
      <c r="AC36" s="24">
        <f>SUM(AC30:AC35)</f>
        <v>2647.8</v>
      </c>
      <c r="AD36" s="97">
        <f>SUM(AD30:AD35)</f>
        <v>0</v>
      </c>
      <c r="AE36" s="98">
        <f t="shared" si="29"/>
        <v>3429.2000000000003</v>
      </c>
      <c r="AF36" s="267">
        <f t="shared" si="6"/>
        <v>6.7</v>
      </c>
      <c r="AG36" s="98">
        <f>SUM(AG30:AG35)</f>
        <v>3297.3233</v>
      </c>
      <c r="AH36" s="98">
        <f>SUM(AH30:AH35)</f>
        <v>7.0819799999999988</v>
      </c>
      <c r="AI36" s="201">
        <f t="shared" si="3"/>
        <v>3304.4052799999999</v>
      </c>
      <c r="AJ36" s="201">
        <v>2.0000000000000001E-10</v>
      </c>
      <c r="AK36" s="199" t="s">
        <v>152</v>
      </c>
      <c r="AL36" s="92"/>
    </row>
    <row r="37" spans="1:38" s="4" customFormat="1" x14ac:dyDescent="0.2">
      <c r="A37" s="10" t="s">
        <v>433</v>
      </c>
      <c r="B37" s="9" t="s">
        <v>21</v>
      </c>
      <c r="C37" s="12">
        <f>432.2*24*365.25</f>
        <v>3788665.1999999997</v>
      </c>
      <c r="D37" s="67" t="s">
        <v>186</v>
      </c>
      <c r="E37" s="67" t="s">
        <v>186</v>
      </c>
      <c r="F37" s="69">
        <v>9.7400000000000004E-3</v>
      </c>
      <c r="G37" s="62">
        <v>2.35E-2</v>
      </c>
      <c r="H37" s="61">
        <v>0.106</v>
      </c>
      <c r="I37" s="61">
        <v>0.52800000000000002</v>
      </c>
      <c r="J37" s="214">
        <v>0.94799999999999995</v>
      </c>
      <c r="K37" s="168">
        <v>16</v>
      </c>
      <c r="L37" s="9">
        <v>0</v>
      </c>
      <c r="M37" s="9">
        <v>0</v>
      </c>
      <c r="N37" s="93">
        <v>0</v>
      </c>
      <c r="O37" s="34">
        <f t="shared" si="0"/>
        <v>1.6E-2</v>
      </c>
      <c r="P37" s="34">
        <f t="shared" si="1"/>
        <v>1.6E-2</v>
      </c>
      <c r="Q37" s="12">
        <v>0</v>
      </c>
      <c r="R37" s="12">
        <v>1.9300000000000001E-2</v>
      </c>
      <c r="S37" s="12">
        <f t="shared" si="2"/>
        <v>1.9300000000000001E-2</v>
      </c>
      <c r="T37" s="203">
        <v>1.7000000000000001E-2</v>
      </c>
      <c r="U37" s="168">
        <v>28</v>
      </c>
      <c r="V37" s="9">
        <v>0</v>
      </c>
      <c r="W37" s="9">
        <v>0</v>
      </c>
      <c r="X37" s="93">
        <v>0</v>
      </c>
      <c r="Y37" s="203">
        <f t="shared" si="4"/>
        <v>2.8000000000000001E-2</v>
      </c>
      <c r="Z37" s="203">
        <f t="shared" si="5"/>
        <v>2.8000000000000001E-2</v>
      </c>
      <c r="AA37" s="9">
        <v>3.7</v>
      </c>
      <c r="AB37" s="9">
        <v>0.1</v>
      </c>
      <c r="AC37" s="9">
        <v>0</v>
      </c>
      <c r="AD37" s="93">
        <v>0</v>
      </c>
      <c r="AE37" s="204">
        <f t="shared" si="29"/>
        <v>3.8000000000000003</v>
      </c>
      <c r="AF37" s="203">
        <f t="shared" si="6"/>
        <v>3.7</v>
      </c>
      <c r="AG37" s="12">
        <v>5.9200000000000003E-2</v>
      </c>
      <c r="AH37" s="12">
        <v>5.55</v>
      </c>
      <c r="AI37" s="12">
        <f t="shared" si="3"/>
        <v>5.6091999999999995</v>
      </c>
      <c r="AJ37" s="12">
        <v>4.9999999999999997E-12</v>
      </c>
      <c r="AK37" s="92" t="s">
        <v>159</v>
      </c>
      <c r="AL37" s="92"/>
    </row>
    <row r="38" spans="1:38" s="4" customFormat="1" x14ac:dyDescent="0.2">
      <c r="A38" s="10"/>
      <c r="B38" s="9"/>
      <c r="C38" s="12"/>
      <c r="D38" s="67"/>
      <c r="E38" s="67"/>
      <c r="F38" s="69"/>
      <c r="G38" s="62"/>
      <c r="H38" s="61"/>
      <c r="I38" s="61"/>
      <c r="J38" s="214"/>
      <c r="K38" s="168"/>
      <c r="L38" s="9"/>
      <c r="M38" s="9"/>
      <c r="N38" s="93"/>
      <c r="O38" s="34"/>
      <c r="P38" s="34"/>
      <c r="Q38" s="12"/>
      <c r="R38" s="12"/>
      <c r="S38" s="12"/>
      <c r="T38" s="203"/>
      <c r="U38" s="168"/>
      <c r="V38" s="9"/>
      <c r="W38" s="9"/>
      <c r="X38" s="93"/>
      <c r="Y38" s="203"/>
      <c r="Z38" s="203"/>
      <c r="AA38" s="9"/>
      <c r="AB38" s="9"/>
      <c r="AC38" s="9"/>
      <c r="AD38" s="93"/>
      <c r="AE38" s="204"/>
      <c r="AF38" s="203"/>
      <c r="AG38" s="12"/>
      <c r="AH38" s="12"/>
      <c r="AI38" s="12"/>
      <c r="AJ38" s="12"/>
      <c r="AK38" s="92"/>
      <c r="AL38" s="92"/>
    </row>
    <row r="39" spans="1:38" ht="20.100000000000001" customHeight="1" x14ac:dyDescent="0.2">
      <c r="A39" s="36" t="s">
        <v>259</v>
      </c>
      <c r="B39" s="75"/>
      <c r="C39" s="76"/>
      <c r="D39" s="76"/>
      <c r="E39" s="76"/>
      <c r="F39" s="76"/>
      <c r="G39" s="76"/>
      <c r="H39" s="76"/>
      <c r="I39" s="76"/>
      <c r="J39" s="76"/>
      <c r="K39" s="77"/>
      <c r="L39" s="77"/>
      <c r="M39" s="77"/>
      <c r="N39" s="78"/>
      <c r="O39" s="79"/>
      <c r="P39" s="6"/>
      <c r="Q39" s="77"/>
      <c r="R39" s="77"/>
      <c r="S39" s="77"/>
      <c r="T39" s="78"/>
      <c r="U39" s="78"/>
      <c r="V39" s="77"/>
      <c r="W39" s="77"/>
      <c r="X39" s="78"/>
      <c r="Y39" s="79"/>
      <c r="Z39" s="79"/>
      <c r="AA39" s="77"/>
      <c r="AB39" s="77"/>
      <c r="AC39" s="77"/>
      <c r="AD39" s="78"/>
      <c r="AE39" s="79"/>
      <c r="AF39" s="79"/>
      <c r="AG39" s="77"/>
      <c r="AH39" s="77"/>
      <c r="AI39" s="77"/>
      <c r="AJ39" s="80"/>
      <c r="AK39" s="81"/>
      <c r="AL39" s="77"/>
    </row>
    <row r="40" spans="1:38" x14ac:dyDescent="0.2">
      <c r="A40" s="10" t="s">
        <v>5</v>
      </c>
      <c r="B40" s="10" t="s">
        <v>114</v>
      </c>
      <c r="C40" s="10" t="s">
        <v>115</v>
      </c>
      <c r="D40" s="10" t="s">
        <v>211</v>
      </c>
      <c r="E40" s="10" t="s">
        <v>212</v>
      </c>
      <c r="F40" s="10" t="s">
        <v>116</v>
      </c>
      <c r="G40" s="10" t="s">
        <v>112</v>
      </c>
      <c r="H40" s="10" t="s">
        <v>113</v>
      </c>
      <c r="I40" s="10" t="s">
        <v>117</v>
      </c>
      <c r="J40" s="10" t="s">
        <v>118</v>
      </c>
      <c r="K40" s="10" t="s">
        <v>214</v>
      </c>
      <c r="L40" s="10" t="s">
        <v>215</v>
      </c>
      <c r="M40" s="10" t="s">
        <v>216</v>
      </c>
      <c r="N40" s="10" t="s">
        <v>217</v>
      </c>
      <c r="O40" s="10" t="s">
        <v>219</v>
      </c>
      <c r="P40" s="10" t="s">
        <v>218</v>
      </c>
      <c r="Q40" s="169" t="s">
        <v>191</v>
      </c>
      <c r="R40" s="169" t="s">
        <v>192</v>
      </c>
      <c r="S40" s="169" t="s">
        <v>193</v>
      </c>
      <c r="T40" s="224" t="s">
        <v>81</v>
      </c>
      <c r="U40" s="168" t="s">
        <v>224</v>
      </c>
      <c r="V40" s="10" t="s">
        <v>225</v>
      </c>
      <c r="W40" s="10" t="s">
        <v>226</v>
      </c>
      <c r="X40" s="10" t="s">
        <v>227</v>
      </c>
      <c r="Y40" s="10" t="s">
        <v>228</v>
      </c>
      <c r="Z40" s="10" t="s">
        <v>229</v>
      </c>
      <c r="AA40" s="10" t="s">
        <v>236</v>
      </c>
      <c r="AB40" s="10" t="s">
        <v>237</v>
      </c>
      <c r="AC40" s="10" t="s">
        <v>238</v>
      </c>
      <c r="AD40" s="10" t="s">
        <v>242</v>
      </c>
      <c r="AE40" s="10" t="s">
        <v>244</v>
      </c>
      <c r="AF40" s="10" t="s">
        <v>245</v>
      </c>
      <c r="AG40" s="169" t="s">
        <v>188</v>
      </c>
      <c r="AH40" s="169" t="s">
        <v>189</v>
      </c>
      <c r="AI40" s="169" t="s">
        <v>190</v>
      </c>
      <c r="AJ40" s="10" t="s">
        <v>26</v>
      </c>
      <c r="AK40" s="10" t="s">
        <v>124</v>
      </c>
      <c r="AL40" s="4"/>
    </row>
    <row r="41" spans="1:38" s="72" customFormat="1" ht="246" customHeight="1" x14ac:dyDescent="0.2">
      <c r="A41" s="73" t="s">
        <v>450</v>
      </c>
      <c r="B41" s="73" t="s">
        <v>196</v>
      </c>
      <c r="C41" s="73" t="s">
        <v>200</v>
      </c>
      <c r="D41" s="74" t="s">
        <v>451</v>
      </c>
      <c r="E41" s="74" t="s">
        <v>213</v>
      </c>
      <c r="F41" s="74" t="s">
        <v>206</v>
      </c>
      <c r="G41" s="74" t="s">
        <v>207</v>
      </c>
      <c r="H41" s="74" t="s">
        <v>208</v>
      </c>
      <c r="I41" s="74" t="s">
        <v>209</v>
      </c>
      <c r="J41" s="74" t="s">
        <v>210</v>
      </c>
      <c r="K41" s="74" t="s">
        <v>220</v>
      </c>
      <c r="L41" s="74" t="s">
        <v>221</v>
      </c>
      <c r="M41" s="74" t="s">
        <v>222</v>
      </c>
      <c r="N41" s="74" t="s">
        <v>223</v>
      </c>
      <c r="O41" s="74" t="s">
        <v>452</v>
      </c>
      <c r="P41" s="74" t="s">
        <v>455</v>
      </c>
      <c r="Q41" s="74" t="s">
        <v>201</v>
      </c>
      <c r="R41" s="74" t="s">
        <v>203</v>
      </c>
      <c r="S41" s="74" t="s">
        <v>202</v>
      </c>
      <c r="T41" s="225" t="s">
        <v>441</v>
      </c>
      <c r="U41" s="225" t="s">
        <v>230</v>
      </c>
      <c r="V41" s="74" t="s">
        <v>231</v>
      </c>
      <c r="W41" s="74" t="s">
        <v>232</v>
      </c>
      <c r="X41" s="74" t="s">
        <v>233</v>
      </c>
      <c r="Y41" s="74" t="s">
        <v>234</v>
      </c>
      <c r="Z41" s="74" t="s">
        <v>235</v>
      </c>
      <c r="AA41" s="74" t="s">
        <v>239</v>
      </c>
      <c r="AB41" s="74" t="s">
        <v>240</v>
      </c>
      <c r="AC41" s="74" t="s">
        <v>241</v>
      </c>
      <c r="AD41" s="74" t="s">
        <v>243</v>
      </c>
      <c r="AE41" s="74" t="s">
        <v>453</v>
      </c>
      <c r="AF41" s="74" t="s">
        <v>454</v>
      </c>
      <c r="AG41" s="74" t="s">
        <v>246</v>
      </c>
      <c r="AH41" s="74" t="s">
        <v>247</v>
      </c>
      <c r="AI41" s="74" t="s">
        <v>248</v>
      </c>
      <c r="AJ41" s="74" t="s">
        <v>513</v>
      </c>
      <c r="AK41" s="74" t="s">
        <v>250</v>
      </c>
    </row>
    <row r="42" spans="1:38" s="72" customFormat="1" x14ac:dyDescent="0.2">
      <c r="A42" s="73"/>
      <c r="B42" s="73"/>
      <c r="C42" s="73"/>
      <c r="D42" s="74"/>
      <c r="E42" s="74"/>
      <c r="F42" s="74"/>
      <c r="G42" s="74"/>
      <c r="H42" s="74"/>
      <c r="I42" s="74"/>
      <c r="J42" s="74"/>
      <c r="K42" s="74"/>
      <c r="L42" s="74"/>
      <c r="M42" s="74"/>
      <c r="N42" s="74"/>
      <c r="O42" s="74"/>
      <c r="P42" s="74"/>
      <c r="Q42" s="74"/>
      <c r="R42" s="74"/>
      <c r="S42" s="74"/>
      <c r="T42" s="225"/>
      <c r="U42" s="225"/>
      <c r="V42" s="74"/>
      <c r="W42" s="74"/>
      <c r="X42" s="74"/>
      <c r="Y42" s="74"/>
      <c r="Z42" s="74"/>
      <c r="AA42" s="74"/>
      <c r="AB42" s="74"/>
      <c r="AC42" s="74"/>
      <c r="AD42" s="74"/>
      <c r="AE42" s="74"/>
      <c r="AF42" s="74"/>
      <c r="AG42" s="74"/>
      <c r="AH42" s="74"/>
      <c r="AI42" s="74"/>
      <c r="AJ42" s="74"/>
      <c r="AK42" s="74"/>
    </row>
    <row r="43" spans="1:38" ht="20.100000000000001" customHeight="1" x14ac:dyDescent="0.2">
      <c r="A43" s="36" t="s">
        <v>76</v>
      </c>
      <c r="B43" s="77"/>
      <c r="C43" s="77"/>
      <c r="D43" s="77"/>
      <c r="E43" s="77"/>
      <c r="F43" s="77"/>
      <c r="G43" s="77"/>
      <c r="H43" s="77"/>
      <c r="I43" s="77"/>
      <c r="J43" s="77"/>
      <c r="K43" s="77"/>
      <c r="L43" s="77"/>
      <c r="M43" s="77"/>
      <c r="N43" s="78"/>
      <c r="O43" s="78"/>
      <c r="P43" s="77"/>
      <c r="Q43" s="77"/>
      <c r="R43" s="77"/>
      <c r="S43" s="77"/>
      <c r="T43" s="78"/>
      <c r="U43" s="78"/>
      <c r="V43" s="77"/>
      <c r="W43" s="77"/>
      <c r="X43" s="78"/>
      <c r="Y43" s="78"/>
      <c r="Z43" s="78"/>
      <c r="AA43" s="77"/>
      <c r="AB43" s="77"/>
      <c r="AC43" s="77"/>
      <c r="AD43" s="78"/>
      <c r="AE43" s="78"/>
      <c r="AF43" s="78"/>
      <c r="AG43" s="77"/>
      <c r="AH43" s="77"/>
      <c r="AI43" s="77"/>
      <c r="AJ43" s="81"/>
      <c r="AK43" s="77"/>
      <c r="AL43" s="77"/>
    </row>
    <row r="44" spans="1:38" x14ac:dyDescent="0.2">
      <c r="A44" s="244" t="s">
        <v>77</v>
      </c>
      <c r="B44" t="s">
        <v>195</v>
      </c>
    </row>
    <row r="45" spans="1:38" x14ac:dyDescent="0.2">
      <c r="A45" s="245" t="s">
        <v>20</v>
      </c>
      <c r="B45" s="2" t="s">
        <v>197</v>
      </c>
    </row>
    <row r="46" spans="1:38" x14ac:dyDescent="0.2">
      <c r="A46" s="246" t="s">
        <v>185</v>
      </c>
      <c r="B46" s="2" t="s">
        <v>263</v>
      </c>
    </row>
    <row r="47" spans="1:38" x14ac:dyDescent="0.2">
      <c r="A47" s="247" t="s">
        <v>198</v>
      </c>
      <c r="B47" t="s">
        <v>199</v>
      </c>
    </row>
    <row r="48" spans="1:38" x14ac:dyDescent="0.2">
      <c r="A48" s="248" t="s">
        <v>204</v>
      </c>
      <c r="B48" s="2" t="s">
        <v>265</v>
      </c>
    </row>
    <row r="49" spans="1:36" x14ac:dyDescent="0.2">
      <c r="A49" s="249" t="s">
        <v>205</v>
      </c>
      <c r="B49" s="2" t="s">
        <v>264</v>
      </c>
    </row>
    <row r="50" spans="1:36" x14ac:dyDescent="0.2">
      <c r="A50" s="250" t="s">
        <v>444</v>
      </c>
      <c r="B50" s="2" t="s">
        <v>443</v>
      </c>
    </row>
    <row r="51" spans="1:36" x14ac:dyDescent="0.2">
      <c r="A51" s="2"/>
      <c r="D51" s="4"/>
      <c r="E51" s="4"/>
      <c r="F51" s="4"/>
      <c r="G51" s="4"/>
      <c r="H51" s="4"/>
      <c r="I51" s="4"/>
      <c r="AF51" s="71"/>
      <c r="AJ51" s="11"/>
    </row>
    <row r="52" spans="1:36" x14ac:dyDescent="0.2">
      <c r="B52" s="5"/>
      <c r="C52" s="4"/>
      <c r="D52" s="4"/>
      <c r="E52" s="4"/>
      <c r="F52" s="4"/>
      <c r="G52" s="4"/>
      <c r="H52" s="4"/>
      <c r="I52" s="4"/>
      <c r="AE52" s="70"/>
      <c r="AF52" s="27"/>
      <c r="AH52"/>
      <c r="AI52"/>
      <c r="AJ52" s="11"/>
    </row>
  </sheetData>
  <pageMargins left="0.7" right="0.7" top="0.75" bottom="0.75" header="0.3" footer="0.3"/>
  <pageSetup paperSize="9" orientation="portrait" r:id="rId1"/>
  <ignoredErrors>
    <ignoredError sqref="K36:N36 Q36 AG36:AH36" formulaRange="1"/>
  </ignoredErrors>
  <legacy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6"/>
  <sheetViews>
    <sheetView zoomScaleNormal="100" workbookViewId="0">
      <pane xSplit="3" ySplit="3" topLeftCell="D4" activePane="bottomRight" state="frozen"/>
      <selection pane="topRight" activeCell="D1" sqref="D1"/>
      <selection pane="bottomLeft" activeCell="A4" sqref="A4"/>
      <selection pane="bottomRight" activeCell="A4" sqref="A4"/>
    </sheetView>
  </sheetViews>
  <sheetFormatPr defaultRowHeight="12.75" x14ac:dyDescent="0.2"/>
  <cols>
    <col min="1" max="1" width="13.140625" customWidth="1"/>
    <col min="2" max="2" width="30.140625" customWidth="1"/>
    <col min="3" max="3" width="22" customWidth="1"/>
    <col min="4" max="4" width="12.85546875" customWidth="1"/>
    <col min="5" max="5" width="12.140625" customWidth="1"/>
    <col min="6" max="6" width="16.28515625" style="9" customWidth="1"/>
    <col min="7" max="9" width="12.28515625" customWidth="1"/>
    <col min="10" max="10" width="13.140625" bestFit="1" customWidth="1"/>
    <col min="11" max="11" width="13.28515625" customWidth="1"/>
    <col min="12" max="12" width="10.7109375" customWidth="1"/>
    <col min="13" max="13" width="13.28515625" customWidth="1"/>
  </cols>
  <sheetData>
    <row r="1" spans="1:13" ht="30" customHeight="1" x14ac:dyDescent="0.2">
      <c r="A1" s="131" t="s">
        <v>379</v>
      </c>
      <c r="B1" s="132" t="s">
        <v>380</v>
      </c>
      <c r="C1" s="126"/>
      <c r="D1" s="126"/>
      <c r="E1" s="126"/>
      <c r="F1" s="126"/>
      <c r="G1" s="4"/>
      <c r="H1" s="4"/>
      <c r="I1" s="137"/>
      <c r="J1" s="34"/>
      <c r="K1" s="26"/>
      <c r="L1" s="125" t="s">
        <v>356</v>
      </c>
      <c r="M1" s="126"/>
    </row>
    <row r="2" spans="1:13" ht="41.25" customHeight="1" x14ac:dyDescent="0.2">
      <c r="A2" s="101" t="s">
        <v>5</v>
      </c>
      <c r="B2" s="101" t="s">
        <v>6</v>
      </c>
      <c r="C2" s="101" t="s">
        <v>366</v>
      </c>
      <c r="D2" s="103" t="s">
        <v>365</v>
      </c>
      <c r="E2" s="103" t="s">
        <v>360</v>
      </c>
      <c r="F2" s="103" t="s">
        <v>302</v>
      </c>
      <c r="G2" s="102" t="s">
        <v>352</v>
      </c>
      <c r="H2" s="102" t="s">
        <v>280</v>
      </c>
      <c r="I2" s="102" t="s">
        <v>82</v>
      </c>
      <c r="J2" s="124" t="s">
        <v>361</v>
      </c>
      <c r="K2" s="116" t="s">
        <v>362</v>
      </c>
      <c r="L2" s="103" t="s">
        <v>364</v>
      </c>
      <c r="M2" s="116" t="s">
        <v>363</v>
      </c>
    </row>
    <row r="3" spans="1:13" ht="17.25" customHeight="1" x14ac:dyDescent="0.2">
      <c r="A3" s="104"/>
      <c r="B3" s="104"/>
      <c r="C3" s="104"/>
      <c r="D3" s="135"/>
      <c r="E3" s="103" t="s">
        <v>291</v>
      </c>
      <c r="F3" s="103" t="s">
        <v>522</v>
      </c>
      <c r="G3" s="102" t="s">
        <v>281</v>
      </c>
      <c r="H3" s="123" t="s">
        <v>278</v>
      </c>
      <c r="I3" s="102"/>
      <c r="J3" s="84" t="s">
        <v>275</v>
      </c>
      <c r="K3" s="116" t="s">
        <v>306</v>
      </c>
      <c r="L3" s="103" t="s">
        <v>355</v>
      </c>
      <c r="M3" s="116" t="s">
        <v>306</v>
      </c>
    </row>
    <row r="4" spans="1:13" x14ac:dyDescent="0.2">
      <c r="A4" s="121" t="s">
        <v>0</v>
      </c>
      <c r="B4" s="109" t="s">
        <v>94</v>
      </c>
      <c r="C4" s="111" t="s">
        <v>545</v>
      </c>
      <c r="D4" s="136">
        <v>5.4000000000000004E-9</v>
      </c>
      <c r="E4" s="237">
        <v>2</v>
      </c>
      <c r="F4" s="290">
        <v>0</v>
      </c>
      <c r="G4" s="99">
        <f>VLOOKUP($B4,Levering[#All],2,FALSE)</f>
        <v>450</v>
      </c>
      <c r="H4" s="105">
        <f>VLOOKUP($B4,Levering[#All],3,FALSE)</f>
        <v>30000</v>
      </c>
      <c r="I4" s="106">
        <f>EXP(-0.693*F4/(VLOOKUP($A4,Nucliden[#All],3,FALSE)))</f>
        <v>1</v>
      </c>
      <c r="J4" s="115">
        <f>VLOOKUP(B4,Farmaca[#All],4,FALSE)</f>
        <v>2.9E-11</v>
      </c>
      <c r="K4" s="118">
        <f t="shared" ref="K4:K25" si="0">D4*E4/300*G4*H4*1000000*I4*J4*1000</f>
        <v>1.4094000000000004E-5</v>
      </c>
      <c r="L4" s="120">
        <v>1</v>
      </c>
      <c r="M4" s="119">
        <f>$K4*L4</f>
        <v>1.4094000000000004E-5</v>
      </c>
    </row>
    <row r="5" spans="1:13" x14ac:dyDescent="0.2">
      <c r="A5" s="121" t="s">
        <v>0</v>
      </c>
      <c r="B5" s="109" t="s">
        <v>171</v>
      </c>
      <c r="C5" s="111" t="s">
        <v>546</v>
      </c>
      <c r="D5" s="136">
        <v>5.4000000000000004E-9</v>
      </c>
      <c r="E5" s="237">
        <v>2</v>
      </c>
      <c r="F5" s="290">
        <v>0</v>
      </c>
      <c r="G5" s="99">
        <f>VLOOKUP($B5,Levering[#All],2,FALSE)</f>
        <v>300</v>
      </c>
      <c r="H5" s="105">
        <f>VLOOKUP($B5,Levering[#All],3,FALSE)</f>
        <v>10000</v>
      </c>
      <c r="I5" s="106">
        <f>EXP(-0.693*F5/(VLOOKUP($A5,Nucliden[#All],3,FALSE)))</f>
        <v>1</v>
      </c>
      <c r="J5" s="115">
        <f>VLOOKUP(B5,Farmaca[#All],4,FALSE)</f>
        <v>1.9999999999999999E-11</v>
      </c>
      <c r="K5" s="118">
        <f t="shared" si="0"/>
        <v>2.1600000000000001E-6</v>
      </c>
      <c r="L5" s="120">
        <v>1</v>
      </c>
      <c r="M5" s="119">
        <f t="shared" ref="M5:M25" si="1">$K5*L5</f>
        <v>2.1600000000000001E-6</v>
      </c>
    </row>
    <row r="6" spans="1:13" x14ac:dyDescent="0.2">
      <c r="A6" s="121"/>
      <c r="B6" s="110"/>
      <c r="C6" s="111"/>
      <c r="D6" s="136"/>
      <c r="E6" s="237"/>
      <c r="F6" s="290"/>
      <c r="G6" s="99" t="e">
        <f>VLOOKUP($B6,Levering[#All],2,FALSE)</f>
        <v>#N/A</v>
      </c>
      <c r="H6" s="105" t="e">
        <f>VLOOKUP($B6,Levering[#All],3,FALSE)</f>
        <v>#N/A</v>
      </c>
      <c r="I6" s="106" t="e">
        <f>EXP(-0.693*F6/(VLOOKUP($A6,Nucliden[#All],3,FALSE)))</f>
        <v>#N/A</v>
      </c>
      <c r="J6" s="115" t="e">
        <f>VLOOKUP(B6,Farmaca[#All],4,FALSE)</f>
        <v>#N/A</v>
      </c>
      <c r="K6" s="118" t="e">
        <f t="shared" si="0"/>
        <v>#N/A</v>
      </c>
      <c r="L6" s="120"/>
      <c r="M6" s="119" t="e">
        <f t="shared" si="1"/>
        <v>#N/A</v>
      </c>
    </row>
    <row r="7" spans="1:13" x14ac:dyDescent="0.2">
      <c r="A7" s="121"/>
      <c r="B7" s="109"/>
      <c r="C7" s="111"/>
      <c r="D7" s="136"/>
      <c r="E7" s="237"/>
      <c r="F7" s="290"/>
      <c r="G7" s="99" t="e">
        <f>VLOOKUP($B7,Levering[#All],2,FALSE)</f>
        <v>#N/A</v>
      </c>
      <c r="H7" s="105" t="e">
        <f>VLOOKUP($B7,Levering[#All],3,FALSE)</f>
        <v>#N/A</v>
      </c>
      <c r="I7" s="106" t="e">
        <f>EXP(-0.693*F7/(VLOOKUP($A7,Nucliden[#All],3,FALSE)))</f>
        <v>#N/A</v>
      </c>
      <c r="J7" s="115" t="e">
        <f>VLOOKUP(B7,Farmaca[#All],4,FALSE)</f>
        <v>#N/A</v>
      </c>
      <c r="K7" s="118" t="e">
        <f t="shared" si="0"/>
        <v>#N/A</v>
      </c>
      <c r="L7" s="120"/>
      <c r="M7" s="119" t="e">
        <f t="shared" si="1"/>
        <v>#N/A</v>
      </c>
    </row>
    <row r="8" spans="1:13" x14ac:dyDescent="0.2">
      <c r="A8" s="121"/>
      <c r="B8" s="109"/>
      <c r="C8" s="111"/>
      <c r="D8" s="136"/>
      <c r="E8" s="237"/>
      <c r="F8" s="290"/>
      <c r="G8" s="99" t="e">
        <f>VLOOKUP($B8,Levering[#All],2,FALSE)</f>
        <v>#N/A</v>
      </c>
      <c r="H8" s="105" t="e">
        <f>VLOOKUP($B8,Levering[#All],3,FALSE)</f>
        <v>#N/A</v>
      </c>
      <c r="I8" s="106" t="e">
        <f>EXP(-0.693*F8/(VLOOKUP($A8,Nucliden[#All],3,FALSE)))</f>
        <v>#N/A</v>
      </c>
      <c r="J8" s="115" t="e">
        <f>VLOOKUP(B8,Farmaca[#All],4,FALSE)</f>
        <v>#N/A</v>
      </c>
      <c r="K8" s="118" t="e">
        <f t="shared" si="0"/>
        <v>#N/A</v>
      </c>
      <c r="L8" s="120"/>
      <c r="M8" s="119" t="e">
        <f t="shared" si="1"/>
        <v>#N/A</v>
      </c>
    </row>
    <row r="9" spans="1:13" x14ac:dyDescent="0.2">
      <c r="A9" s="121"/>
      <c r="B9" s="109"/>
      <c r="C9" s="111"/>
      <c r="D9" s="136"/>
      <c r="E9" s="237"/>
      <c r="F9" s="290"/>
      <c r="G9" s="99" t="e">
        <f>VLOOKUP($B9,Levering[#All],2,FALSE)</f>
        <v>#N/A</v>
      </c>
      <c r="H9" s="105" t="e">
        <f>VLOOKUP($B9,Levering[#All],3,FALSE)</f>
        <v>#N/A</v>
      </c>
      <c r="I9" s="106" t="e">
        <f>EXP(-0.693*F9/(VLOOKUP($A9,Nucliden[#All],3,FALSE)))</f>
        <v>#N/A</v>
      </c>
      <c r="J9" s="115" t="e">
        <f>VLOOKUP(B9,Farmaca[#All],4,FALSE)</f>
        <v>#N/A</v>
      </c>
      <c r="K9" s="118" t="e">
        <f t="shared" si="0"/>
        <v>#N/A</v>
      </c>
      <c r="L9" s="120"/>
      <c r="M9" s="119" t="e">
        <f t="shared" si="1"/>
        <v>#N/A</v>
      </c>
    </row>
    <row r="10" spans="1:13" x14ac:dyDescent="0.2">
      <c r="A10" s="121"/>
      <c r="B10" s="109"/>
      <c r="C10" s="111"/>
      <c r="D10" s="136"/>
      <c r="E10" s="237"/>
      <c r="F10" s="290"/>
      <c r="G10" s="99" t="e">
        <f>VLOOKUP($B10,Levering[#All],2,FALSE)</f>
        <v>#N/A</v>
      </c>
      <c r="H10" s="105" t="e">
        <f>VLOOKUP($B10,Levering[#All],3,FALSE)</f>
        <v>#N/A</v>
      </c>
      <c r="I10" s="106" t="e">
        <f>EXP(-0.693*F10/(VLOOKUP($A10,Nucliden[#All],3,FALSE)))</f>
        <v>#N/A</v>
      </c>
      <c r="J10" s="115" t="e">
        <f>VLOOKUP(B10,Farmaca[#All],4,FALSE)</f>
        <v>#N/A</v>
      </c>
      <c r="K10" s="118" t="e">
        <f t="shared" si="0"/>
        <v>#N/A</v>
      </c>
      <c r="L10" s="120"/>
      <c r="M10" s="119" t="e">
        <f t="shared" si="1"/>
        <v>#N/A</v>
      </c>
    </row>
    <row r="11" spans="1:13" x14ac:dyDescent="0.2">
      <c r="A11" s="121"/>
      <c r="B11" s="109"/>
      <c r="C11" s="111"/>
      <c r="D11" s="136"/>
      <c r="E11" s="237"/>
      <c r="F11" s="290"/>
      <c r="G11" s="99" t="e">
        <f>VLOOKUP($B11,Levering[#All],2,FALSE)</f>
        <v>#N/A</v>
      </c>
      <c r="H11" s="105" t="e">
        <f>VLOOKUP($B11,Levering[#All],3,FALSE)</f>
        <v>#N/A</v>
      </c>
      <c r="I11" s="106" t="e">
        <f>EXP(-0.693*F11/(VLOOKUP($A11,Nucliden[#All],3,FALSE)))</f>
        <v>#N/A</v>
      </c>
      <c r="J11" s="115" t="e">
        <f>VLOOKUP(B11,Farmaca[#All],4,FALSE)</f>
        <v>#N/A</v>
      </c>
      <c r="K11" s="118" t="e">
        <f t="shared" ref="K11:K15" si="2">D11*E11/300*G11*H11*1000000*I11*J11*1000</f>
        <v>#N/A</v>
      </c>
      <c r="L11" s="120"/>
      <c r="M11" s="119" t="e">
        <f t="shared" si="1"/>
        <v>#N/A</v>
      </c>
    </row>
    <row r="12" spans="1:13" x14ac:dyDescent="0.2">
      <c r="A12" s="121"/>
      <c r="B12" s="109"/>
      <c r="C12" s="111"/>
      <c r="D12" s="136"/>
      <c r="E12" s="237"/>
      <c r="F12" s="290"/>
      <c r="G12" s="99" t="e">
        <f>VLOOKUP($B12,Levering[#All],2,FALSE)</f>
        <v>#N/A</v>
      </c>
      <c r="H12" s="105" t="e">
        <f>VLOOKUP($B12,Levering[#All],3,FALSE)</f>
        <v>#N/A</v>
      </c>
      <c r="I12" s="106" t="e">
        <f>EXP(-0.693*F12/(VLOOKUP($A12,Nucliden[#All],3,FALSE)))</f>
        <v>#N/A</v>
      </c>
      <c r="J12" s="115" t="e">
        <f>VLOOKUP(B12,Farmaca[#All],4,FALSE)</f>
        <v>#N/A</v>
      </c>
      <c r="K12" s="118" t="e">
        <f t="shared" si="2"/>
        <v>#N/A</v>
      </c>
      <c r="L12" s="120"/>
      <c r="M12" s="119" t="e">
        <f t="shared" si="1"/>
        <v>#N/A</v>
      </c>
    </row>
    <row r="13" spans="1:13" x14ac:dyDescent="0.2">
      <c r="A13" s="121"/>
      <c r="B13" s="109"/>
      <c r="C13" s="111"/>
      <c r="D13" s="136"/>
      <c r="E13" s="237"/>
      <c r="F13" s="290"/>
      <c r="G13" s="99" t="e">
        <f>VLOOKUP($B13,Levering[#All],2,FALSE)</f>
        <v>#N/A</v>
      </c>
      <c r="H13" s="105" t="e">
        <f>VLOOKUP($B13,Levering[#All],3,FALSE)</f>
        <v>#N/A</v>
      </c>
      <c r="I13" s="106" t="e">
        <f>EXP(-0.693*F13/(VLOOKUP($A13,Nucliden[#All],3,FALSE)))</f>
        <v>#N/A</v>
      </c>
      <c r="J13" s="115" t="e">
        <f>VLOOKUP(B13,Farmaca[#All],4,FALSE)</f>
        <v>#N/A</v>
      </c>
      <c r="K13" s="118" t="e">
        <f t="shared" si="2"/>
        <v>#N/A</v>
      </c>
      <c r="L13" s="120"/>
      <c r="M13" s="119" t="e">
        <f t="shared" si="1"/>
        <v>#N/A</v>
      </c>
    </row>
    <row r="14" spans="1:13" x14ac:dyDescent="0.2">
      <c r="A14" s="121"/>
      <c r="B14" s="109"/>
      <c r="C14" s="111"/>
      <c r="D14" s="136"/>
      <c r="E14" s="237"/>
      <c r="F14" s="290"/>
      <c r="G14" s="99" t="e">
        <f>VLOOKUP($B14,Levering[#All],2,FALSE)</f>
        <v>#N/A</v>
      </c>
      <c r="H14" s="105" t="e">
        <f>VLOOKUP($B14,Levering[#All],3,FALSE)</f>
        <v>#N/A</v>
      </c>
      <c r="I14" s="106" t="e">
        <f>EXP(-0.693*F14/(VLOOKUP($A14,Nucliden[#All],3,FALSE)))</f>
        <v>#N/A</v>
      </c>
      <c r="J14" s="115" t="e">
        <f>VLOOKUP(B14,Farmaca[#All],4,FALSE)</f>
        <v>#N/A</v>
      </c>
      <c r="K14" s="118" t="e">
        <f t="shared" si="2"/>
        <v>#N/A</v>
      </c>
      <c r="L14" s="120"/>
      <c r="M14" s="119" t="e">
        <f t="shared" si="1"/>
        <v>#N/A</v>
      </c>
    </row>
    <row r="15" spans="1:13" x14ac:dyDescent="0.2">
      <c r="A15" s="121"/>
      <c r="B15" s="109"/>
      <c r="C15" s="111"/>
      <c r="D15" s="136"/>
      <c r="E15" s="237"/>
      <c r="F15" s="290"/>
      <c r="G15" s="99" t="e">
        <f>VLOOKUP($B15,Levering[#All],2,FALSE)</f>
        <v>#N/A</v>
      </c>
      <c r="H15" s="105" t="e">
        <f>VLOOKUP($B15,Levering[#All],3,FALSE)</f>
        <v>#N/A</v>
      </c>
      <c r="I15" s="106" t="e">
        <f>EXP(-0.693*F15/(VLOOKUP($A15,Nucliden[#All],3,FALSE)))</f>
        <v>#N/A</v>
      </c>
      <c r="J15" s="115" t="e">
        <f>VLOOKUP(B15,Farmaca[#All],4,FALSE)</f>
        <v>#N/A</v>
      </c>
      <c r="K15" s="118" t="e">
        <f t="shared" si="2"/>
        <v>#N/A</v>
      </c>
      <c r="L15" s="120"/>
      <c r="M15" s="119" t="e">
        <f t="shared" si="1"/>
        <v>#N/A</v>
      </c>
    </row>
    <row r="16" spans="1:13" x14ac:dyDescent="0.2">
      <c r="A16" s="121"/>
      <c r="B16" s="109"/>
      <c r="C16" s="111"/>
      <c r="D16" s="136"/>
      <c r="E16" s="237"/>
      <c r="F16" s="290"/>
      <c r="G16" s="99" t="e">
        <f>VLOOKUP($B16,Levering[#All],2,FALSE)</f>
        <v>#N/A</v>
      </c>
      <c r="H16" s="105" t="e">
        <f>VLOOKUP($B16,Levering[#All],3,FALSE)</f>
        <v>#N/A</v>
      </c>
      <c r="I16" s="106" t="e">
        <f>EXP(-0.693*F16/(VLOOKUP($A16,Nucliden[#All],3,FALSE)))</f>
        <v>#N/A</v>
      </c>
      <c r="J16" s="115" t="e">
        <f>VLOOKUP(B16,Farmaca[#All],4,FALSE)</f>
        <v>#N/A</v>
      </c>
      <c r="K16" s="118" t="e">
        <f t="shared" si="0"/>
        <v>#N/A</v>
      </c>
      <c r="L16" s="120"/>
      <c r="M16" s="119" t="e">
        <f t="shared" si="1"/>
        <v>#N/A</v>
      </c>
    </row>
    <row r="17" spans="1:13" x14ac:dyDescent="0.2">
      <c r="A17" s="121"/>
      <c r="B17" s="109"/>
      <c r="C17" s="111"/>
      <c r="D17" s="136"/>
      <c r="E17" s="237"/>
      <c r="F17" s="290"/>
      <c r="G17" s="99" t="e">
        <f>VLOOKUP($B17,Levering[#All],2,FALSE)</f>
        <v>#N/A</v>
      </c>
      <c r="H17" s="105" t="e">
        <f>VLOOKUP($B17,Levering[#All],3,FALSE)</f>
        <v>#N/A</v>
      </c>
      <c r="I17" s="106" t="e">
        <f>EXP(-0.693*F17/(VLOOKUP($A17,Nucliden[#All],3,FALSE)))</f>
        <v>#N/A</v>
      </c>
      <c r="J17" s="115" t="e">
        <f>VLOOKUP(B17,Farmaca[#All],4,FALSE)</f>
        <v>#N/A</v>
      </c>
      <c r="K17" s="118" t="e">
        <f t="shared" si="0"/>
        <v>#N/A</v>
      </c>
      <c r="L17" s="120"/>
      <c r="M17" s="119" t="e">
        <f t="shared" si="1"/>
        <v>#N/A</v>
      </c>
    </row>
    <row r="18" spans="1:13" x14ac:dyDescent="0.2">
      <c r="A18" s="121"/>
      <c r="B18" s="109"/>
      <c r="C18" s="111"/>
      <c r="D18" s="136"/>
      <c r="E18" s="237"/>
      <c r="F18" s="290"/>
      <c r="G18" s="99" t="e">
        <f>VLOOKUP($B18,Levering[#All],2,FALSE)</f>
        <v>#N/A</v>
      </c>
      <c r="H18" s="105" t="e">
        <f>VLOOKUP($B18,Levering[#All],3,FALSE)</f>
        <v>#N/A</v>
      </c>
      <c r="I18" s="106" t="e">
        <f>EXP(-0.693*F18/(VLOOKUP($A18,Nucliden[#All],3,FALSE)))</f>
        <v>#N/A</v>
      </c>
      <c r="J18" s="115" t="e">
        <f>VLOOKUP(B18,Farmaca[#All],4,FALSE)</f>
        <v>#N/A</v>
      </c>
      <c r="K18" s="118" t="e">
        <f t="shared" si="0"/>
        <v>#N/A</v>
      </c>
      <c r="L18" s="120"/>
      <c r="M18" s="119" t="e">
        <f t="shared" si="1"/>
        <v>#N/A</v>
      </c>
    </row>
    <row r="19" spans="1:13" x14ac:dyDescent="0.2">
      <c r="A19" s="121"/>
      <c r="B19" s="109"/>
      <c r="C19" s="111"/>
      <c r="D19" s="136"/>
      <c r="E19" s="237"/>
      <c r="F19" s="290"/>
      <c r="G19" s="99" t="e">
        <f>VLOOKUP($B19,Levering[#All],2,FALSE)</f>
        <v>#N/A</v>
      </c>
      <c r="H19" s="105" t="e">
        <f>VLOOKUP($B19,Levering[#All],3,FALSE)</f>
        <v>#N/A</v>
      </c>
      <c r="I19" s="106" t="e">
        <f>EXP(-0.693*F19/(VLOOKUP($A19,Nucliden[#All],3,FALSE)))</f>
        <v>#N/A</v>
      </c>
      <c r="J19" s="115" t="e">
        <f>VLOOKUP(B19,Farmaca[#All],4,FALSE)</f>
        <v>#N/A</v>
      </c>
      <c r="K19" s="118" t="e">
        <f t="shared" si="0"/>
        <v>#N/A</v>
      </c>
      <c r="L19" s="120"/>
      <c r="M19" s="119" t="e">
        <f t="shared" si="1"/>
        <v>#N/A</v>
      </c>
    </row>
    <row r="20" spans="1:13" x14ac:dyDescent="0.2">
      <c r="A20" s="121"/>
      <c r="B20" s="109"/>
      <c r="C20" s="111"/>
      <c r="D20" s="136"/>
      <c r="E20" s="237"/>
      <c r="F20" s="290"/>
      <c r="G20" s="99" t="e">
        <f>VLOOKUP($B20,Levering[#All],2,FALSE)</f>
        <v>#N/A</v>
      </c>
      <c r="H20" s="105" t="e">
        <f>VLOOKUP($B20,Levering[#All],3,FALSE)</f>
        <v>#N/A</v>
      </c>
      <c r="I20" s="106" t="e">
        <f>EXP(-0.693*F20/(VLOOKUP($A20,Nucliden[#All],3,FALSE)))</f>
        <v>#N/A</v>
      </c>
      <c r="J20" s="115" t="e">
        <f>VLOOKUP(B20,Farmaca[#All],4,FALSE)</f>
        <v>#N/A</v>
      </c>
      <c r="K20" s="118" t="e">
        <f t="shared" si="0"/>
        <v>#N/A</v>
      </c>
      <c r="L20" s="120"/>
      <c r="M20" s="119" t="e">
        <f t="shared" si="1"/>
        <v>#N/A</v>
      </c>
    </row>
    <row r="21" spans="1:13" x14ac:dyDescent="0.2">
      <c r="A21" s="121"/>
      <c r="B21" s="112"/>
      <c r="C21" s="111"/>
      <c r="D21" s="136"/>
      <c r="E21" s="237"/>
      <c r="F21" s="290"/>
      <c r="G21" s="99" t="e">
        <f>VLOOKUP($B21,Levering[#All],2,FALSE)</f>
        <v>#N/A</v>
      </c>
      <c r="H21" s="105" t="e">
        <f>VLOOKUP($B21,Levering[#All],3,FALSE)</f>
        <v>#N/A</v>
      </c>
      <c r="I21" s="106" t="e">
        <f>EXP(-0.693*F21/(VLOOKUP($A21,Nucliden[#All],3,FALSE)))</f>
        <v>#N/A</v>
      </c>
      <c r="J21" s="115" t="e">
        <f>VLOOKUP(B21,Farmaca[#All],4,FALSE)</f>
        <v>#N/A</v>
      </c>
      <c r="K21" s="118" t="e">
        <f t="shared" si="0"/>
        <v>#N/A</v>
      </c>
      <c r="L21" s="120"/>
      <c r="M21" s="119" t="e">
        <f t="shared" si="1"/>
        <v>#N/A</v>
      </c>
    </row>
    <row r="22" spans="1:13" x14ac:dyDescent="0.2">
      <c r="A22" s="121"/>
      <c r="B22" s="109"/>
      <c r="C22" s="111"/>
      <c r="D22" s="136"/>
      <c r="E22" s="237"/>
      <c r="F22" s="290"/>
      <c r="G22" s="99" t="e">
        <f>VLOOKUP($B22,Levering[#All],2,FALSE)</f>
        <v>#N/A</v>
      </c>
      <c r="H22" s="105" t="e">
        <f>VLOOKUP($B22,Levering[#All],3,FALSE)</f>
        <v>#N/A</v>
      </c>
      <c r="I22" s="106" t="e">
        <f>EXP(-0.693*F22/(VLOOKUP($A22,Nucliden[#All],3,FALSE)))</f>
        <v>#N/A</v>
      </c>
      <c r="J22" s="115" t="e">
        <f>VLOOKUP(B22,Farmaca[#All],4,FALSE)</f>
        <v>#N/A</v>
      </c>
      <c r="K22" s="118" t="e">
        <f t="shared" si="0"/>
        <v>#N/A</v>
      </c>
      <c r="L22" s="120"/>
      <c r="M22" s="119" t="e">
        <f t="shared" si="1"/>
        <v>#N/A</v>
      </c>
    </row>
    <row r="23" spans="1:13" x14ac:dyDescent="0.2">
      <c r="A23" s="121"/>
      <c r="B23" s="109"/>
      <c r="C23" s="111"/>
      <c r="D23" s="136"/>
      <c r="E23" s="237"/>
      <c r="F23" s="290"/>
      <c r="G23" s="99" t="e">
        <f>VLOOKUP($B23,Levering[#All],2,FALSE)</f>
        <v>#N/A</v>
      </c>
      <c r="H23" s="105" t="e">
        <f>VLOOKUP($B23,Levering[#All],3,FALSE)</f>
        <v>#N/A</v>
      </c>
      <c r="I23" s="106" t="e">
        <f>EXP(-0.693*F23/(VLOOKUP($A23,Nucliden[#All],3,FALSE)))</f>
        <v>#N/A</v>
      </c>
      <c r="J23" s="115" t="e">
        <f>VLOOKUP(B23,Farmaca[#All],4,FALSE)</f>
        <v>#N/A</v>
      </c>
      <c r="K23" s="118" t="e">
        <f t="shared" si="0"/>
        <v>#N/A</v>
      </c>
      <c r="L23" s="120"/>
      <c r="M23" s="119" t="e">
        <f t="shared" si="1"/>
        <v>#N/A</v>
      </c>
    </row>
    <row r="24" spans="1:13" x14ac:dyDescent="0.2">
      <c r="A24" s="121"/>
      <c r="B24" s="111"/>
      <c r="C24" s="111"/>
      <c r="D24" s="136"/>
      <c r="E24" s="237"/>
      <c r="F24" s="290"/>
      <c r="G24" s="99" t="e">
        <f>VLOOKUP($B24,Levering[#All],2,FALSE)</f>
        <v>#N/A</v>
      </c>
      <c r="H24" s="105" t="e">
        <f>VLOOKUP($B24,Levering[#All],3,FALSE)</f>
        <v>#N/A</v>
      </c>
      <c r="I24" s="106" t="e">
        <f>EXP(-0.693*F24/(VLOOKUP($A24,Nucliden[#All],3,FALSE)))</f>
        <v>#N/A</v>
      </c>
      <c r="J24" s="115" t="e">
        <f>VLOOKUP(B24,Farmaca[#All],4,FALSE)</f>
        <v>#N/A</v>
      </c>
      <c r="K24" s="118" t="e">
        <f t="shared" si="0"/>
        <v>#N/A</v>
      </c>
      <c r="L24" s="120"/>
      <c r="M24" s="119" t="e">
        <f t="shared" si="1"/>
        <v>#N/A</v>
      </c>
    </row>
    <row r="25" spans="1:13" x14ac:dyDescent="0.2">
      <c r="A25" s="121"/>
      <c r="B25" s="111"/>
      <c r="C25" s="111"/>
      <c r="D25" s="136"/>
      <c r="E25" s="237"/>
      <c r="F25" s="290"/>
      <c r="G25" s="99" t="e">
        <f>VLOOKUP($B25,Levering[#All],2,FALSE)</f>
        <v>#N/A</v>
      </c>
      <c r="H25" s="105" t="e">
        <f>VLOOKUP($B25,Levering[#All],3,FALSE)</f>
        <v>#N/A</v>
      </c>
      <c r="I25" s="106" t="e">
        <f>EXP(-0.693*F25/(VLOOKUP($A25,Nucliden[#All],3,FALSE)))</f>
        <v>#N/A</v>
      </c>
      <c r="J25" s="115" t="e">
        <f>VLOOKUP(B25,Farmaca[#All],4,FALSE)</f>
        <v>#N/A</v>
      </c>
      <c r="K25" s="118" t="e">
        <f t="shared" si="0"/>
        <v>#N/A</v>
      </c>
      <c r="L25" s="120"/>
      <c r="M25" s="119" t="e">
        <f t="shared" si="1"/>
        <v>#N/A</v>
      </c>
    </row>
    <row r="26" spans="1:13" x14ac:dyDescent="0.2">
      <c r="A26" s="4"/>
      <c r="B26" s="4"/>
      <c r="C26" s="4"/>
      <c r="D26" s="4"/>
      <c r="L26" s="242" t="s">
        <v>449</v>
      </c>
      <c r="M26" s="241" t="e">
        <f>SUM(M4:M25)</f>
        <v>#N/A</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6"/>
  <sheetViews>
    <sheetView zoomScaleNormal="100" workbookViewId="0">
      <pane xSplit="4" ySplit="3" topLeftCell="E4" activePane="bottomRight" state="frozen"/>
      <selection pane="topRight" activeCell="E1" sqref="E1"/>
      <selection pane="bottomLeft" activeCell="A4" sqref="A4"/>
      <selection pane="bottomRight" activeCell="A4" sqref="A4"/>
    </sheetView>
  </sheetViews>
  <sheetFormatPr defaultRowHeight="12.75" x14ac:dyDescent="0.2"/>
  <cols>
    <col min="1" max="1" width="13.140625" customWidth="1"/>
    <col min="2" max="2" width="30.140625" customWidth="1"/>
    <col min="3" max="3" width="25.7109375" customWidth="1"/>
    <col min="4" max="4" width="35.7109375" bestFit="1" customWidth="1"/>
    <col min="5" max="5" width="12.85546875" customWidth="1"/>
    <col min="6" max="6" width="12.140625" customWidth="1"/>
    <col min="7" max="7" width="16.28515625" style="9" customWidth="1"/>
    <col min="8" max="10" width="12.28515625" customWidth="1"/>
    <col min="11" max="11" width="13.140625" bestFit="1" customWidth="1"/>
    <col min="12" max="12" width="13.28515625" customWidth="1"/>
    <col min="13" max="13" width="10.7109375" customWidth="1"/>
    <col min="14" max="14" width="13.28515625" customWidth="1"/>
  </cols>
  <sheetData>
    <row r="1" spans="1:14" ht="30" customHeight="1" x14ac:dyDescent="0.2">
      <c r="A1" s="131" t="s">
        <v>388</v>
      </c>
      <c r="B1" s="132" t="s">
        <v>387</v>
      </c>
      <c r="C1" s="126"/>
      <c r="D1" s="126"/>
      <c r="E1" s="126"/>
      <c r="F1" s="126"/>
      <c r="G1" s="126"/>
      <c r="H1" s="4"/>
      <c r="I1" s="4"/>
      <c r="J1" s="137"/>
      <c r="K1" s="34"/>
      <c r="L1" s="26"/>
      <c r="M1" s="125" t="s">
        <v>356</v>
      </c>
      <c r="N1" s="126"/>
    </row>
    <row r="2" spans="1:14" ht="41.25" customHeight="1" x14ac:dyDescent="0.2">
      <c r="A2" s="103" t="s">
        <v>5</v>
      </c>
      <c r="B2" s="101" t="s">
        <v>6</v>
      </c>
      <c r="C2" s="101" t="s">
        <v>13</v>
      </c>
      <c r="D2" s="101" t="s">
        <v>366</v>
      </c>
      <c r="E2" s="103" t="s">
        <v>365</v>
      </c>
      <c r="F2" s="103" t="s">
        <v>360</v>
      </c>
      <c r="G2" s="103" t="s">
        <v>302</v>
      </c>
      <c r="H2" s="102" t="s">
        <v>287</v>
      </c>
      <c r="I2" s="102" t="s">
        <v>280</v>
      </c>
      <c r="J2" s="102" t="s">
        <v>82</v>
      </c>
      <c r="K2" s="124" t="s">
        <v>361</v>
      </c>
      <c r="L2" s="116" t="s">
        <v>362</v>
      </c>
      <c r="M2" s="103" t="s">
        <v>364</v>
      </c>
      <c r="N2" s="116" t="s">
        <v>363</v>
      </c>
    </row>
    <row r="3" spans="1:14" ht="17.25" customHeight="1" x14ac:dyDescent="0.2">
      <c r="A3" s="104"/>
      <c r="B3" s="104"/>
      <c r="C3" s="104"/>
      <c r="D3" s="104"/>
      <c r="E3" s="135"/>
      <c r="F3" s="103" t="s">
        <v>291</v>
      </c>
      <c r="G3" s="103" t="s">
        <v>522</v>
      </c>
      <c r="H3" s="102" t="s">
        <v>281</v>
      </c>
      <c r="I3" s="123" t="s">
        <v>278</v>
      </c>
      <c r="J3" s="102"/>
      <c r="K3" s="84" t="s">
        <v>275</v>
      </c>
      <c r="L3" s="116" t="s">
        <v>306</v>
      </c>
      <c r="M3" s="103" t="s">
        <v>355</v>
      </c>
      <c r="N3" s="116" t="s">
        <v>306</v>
      </c>
    </row>
    <row r="4" spans="1:14" x14ac:dyDescent="0.2">
      <c r="A4" s="108" t="s">
        <v>4</v>
      </c>
      <c r="B4" s="109" t="s">
        <v>84</v>
      </c>
      <c r="C4" s="109" t="s">
        <v>518</v>
      </c>
      <c r="D4" s="111" t="s">
        <v>567</v>
      </c>
      <c r="E4" s="136">
        <v>5.4000000000000004E-9</v>
      </c>
      <c r="F4" s="236">
        <v>2</v>
      </c>
      <c r="G4" s="290">
        <v>0</v>
      </c>
      <c r="H4" s="99">
        <f>VLOOKUP($C4,Onderzoek[#All],2,FALSE)</f>
        <v>2000</v>
      </c>
      <c r="I4" s="100">
        <f>VLOOKUP($C4,Onderzoek[#All],3,FALSE)</f>
        <v>350</v>
      </c>
      <c r="J4" s="106">
        <f>EXP(-0.693*G4/(VLOOKUP($A4,Nucliden[#All],3,FALSE)))</f>
        <v>1</v>
      </c>
      <c r="K4" s="115">
        <f>VLOOKUP(B4,Farmaca[#All],4,FALSE)</f>
        <v>5.4000000000000001E-11</v>
      </c>
      <c r="L4" s="118">
        <f>E4*F4/300*H4*I4*1000000*J4*K4*1000</f>
        <v>1.3608000000000002E-6</v>
      </c>
      <c r="M4" s="120">
        <v>1</v>
      </c>
      <c r="N4" s="119">
        <f>$L4*M4</f>
        <v>1.3608000000000002E-6</v>
      </c>
    </row>
    <row r="5" spans="1:14" x14ac:dyDescent="0.2">
      <c r="A5" s="108" t="s">
        <v>0</v>
      </c>
      <c r="B5" s="109" t="s">
        <v>171</v>
      </c>
      <c r="C5" s="111" t="s">
        <v>550</v>
      </c>
      <c r="D5" s="111" t="s">
        <v>567</v>
      </c>
      <c r="E5" s="136">
        <v>5.4000000000000004E-9</v>
      </c>
      <c r="F5" s="236">
        <v>2</v>
      </c>
      <c r="G5" s="290">
        <v>0</v>
      </c>
      <c r="H5" s="99">
        <f>VLOOKUP($C5,Onderzoek[#All],2,FALSE)</f>
        <v>1500</v>
      </c>
      <c r="I5" s="100">
        <f>VLOOKUP($C5,Onderzoek[#All],3,FALSE)</f>
        <v>600</v>
      </c>
      <c r="J5" s="106">
        <f>EXP(-0.693*G5/(VLOOKUP($A5,Nucliden[#All],3,FALSE)))</f>
        <v>1</v>
      </c>
      <c r="K5" s="115">
        <f>VLOOKUP(B5,Farmaca[#All],4,FALSE)</f>
        <v>1.9999999999999999E-11</v>
      </c>
      <c r="L5" s="118">
        <f t="shared" ref="L5:L9" si="0">E5*F5/300*H5*I5*1000000*J5*K5*1000</f>
        <v>6.4799999999999998E-7</v>
      </c>
      <c r="M5" s="120">
        <v>1</v>
      </c>
      <c r="N5" s="119">
        <f t="shared" ref="N5:N25" si="1">$L5*M5</f>
        <v>6.4799999999999998E-7</v>
      </c>
    </row>
    <row r="6" spans="1:14" x14ac:dyDescent="0.2">
      <c r="A6" s="108" t="s">
        <v>3</v>
      </c>
      <c r="B6" s="109" t="s">
        <v>106</v>
      </c>
      <c r="C6" s="109" t="s">
        <v>542</v>
      </c>
      <c r="D6" s="111" t="s">
        <v>567</v>
      </c>
      <c r="E6" s="136">
        <v>5.4000000000000004E-9</v>
      </c>
      <c r="F6" s="236">
        <v>2</v>
      </c>
      <c r="G6" s="290">
        <v>0</v>
      </c>
      <c r="H6" s="99">
        <f>VLOOKUP($C6,Onderzoek[#All],2,FALSE)</f>
        <v>40</v>
      </c>
      <c r="I6" s="100">
        <f>VLOOKUP($C6,Onderzoek[#All],3,FALSE)</f>
        <v>2000</v>
      </c>
      <c r="J6" s="106">
        <f>EXP(-0.693*G6/(VLOOKUP($A6,Nucliden[#All],3,FALSE)))</f>
        <v>1</v>
      </c>
      <c r="K6" s="115">
        <f>VLOOKUP(B6,Farmaca[#All],4,FALSE)</f>
        <v>1.0999999999999999E-8</v>
      </c>
      <c r="L6" s="118">
        <f t="shared" si="0"/>
        <v>3.1680000000000002E-5</v>
      </c>
      <c r="M6" s="120">
        <v>1</v>
      </c>
      <c r="N6" s="119">
        <f t="shared" si="1"/>
        <v>3.1680000000000002E-5</v>
      </c>
    </row>
    <row r="7" spans="1:14" x14ac:dyDescent="0.2">
      <c r="A7" s="113"/>
      <c r="B7" s="111"/>
      <c r="C7" s="111"/>
      <c r="D7" s="111"/>
      <c r="E7" s="136"/>
      <c r="F7" s="236"/>
      <c r="G7" s="290"/>
      <c r="H7" s="99" t="e">
        <f>VLOOKUP($C7,Onderzoek[#All],2,FALSE)</f>
        <v>#N/A</v>
      </c>
      <c r="I7" s="100" t="e">
        <f>VLOOKUP($C7,Onderzoek[#All],3,FALSE)</f>
        <v>#N/A</v>
      </c>
      <c r="J7" s="106" t="e">
        <f>EXP(-0.693*G7/(VLOOKUP($A7,Nucliden[#All],3,FALSE)))</f>
        <v>#N/A</v>
      </c>
      <c r="K7" s="115" t="e">
        <f>VLOOKUP(B7,Farmaca[#All],4,FALSE)</f>
        <v>#N/A</v>
      </c>
      <c r="L7" s="118" t="e">
        <f t="shared" si="0"/>
        <v>#N/A</v>
      </c>
      <c r="M7" s="120"/>
      <c r="N7" s="119" t="e">
        <f t="shared" si="1"/>
        <v>#N/A</v>
      </c>
    </row>
    <row r="8" spans="1:14" x14ac:dyDescent="0.2">
      <c r="A8" s="108"/>
      <c r="B8" s="109"/>
      <c r="C8" s="111"/>
      <c r="D8" s="111"/>
      <c r="E8" s="136"/>
      <c r="F8" s="236"/>
      <c r="G8" s="290"/>
      <c r="H8" s="99" t="e">
        <f>VLOOKUP($C8,Onderzoek[#All],2,FALSE)</f>
        <v>#N/A</v>
      </c>
      <c r="I8" s="100" t="e">
        <f>VLOOKUP($C8,Onderzoek[#All],3,FALSE)</f>
        <v>#N/A</v>
      </c>
      <c r="J8" s="106" t="e">
        <f>EXP(-0.693*G8/(VLOOKUP($A8,Nucliden[#All],3,FALSE)))</f>
        <v>#N/A</v>
      </c>
      <c r="K8" s="115" t="e">
        <f>VLOOKUP(B8,Farmaca[#All],4,FALSE)</f>
        <v>#N/A</v>
      </c>
      <c r="L8" s="118" t="e">
        <f t="shared" si="0"/>
        <v>#N/A</v>
      </c>
      <c r="M8" s="120"/>
      <c r="N8" s="119" t="e">
        <f t="shared" si="1"/>
        <v>#N/A</v>
      </c>
    </row>
    <row r="9" spans="1:14" x14ac:dyDescent="0.2">
      <c r="A9" s="108"/>
      <c r="B9" s="111"/>
      <c r="C9" s="111"/>
      <c r="D9" s="111"/>
      <c r="E9" s="136"/>
      <c r="F9" s="236"/>
      <c r="G9" s="290"/>
      <c r="H9" s="99" t="e">
        <f>VLOOKUP($C9,Onderzoek[#All],2,FALSE)</f>
        <v>#N/A</v>
      </c>
      <c r="I9" s="100" t="e">
        <f>VLOOKUP($C9,Onderzoek[#All],3,FALSE)</f>
        <v>#N/A</v>
      </c>
      <c r="J9" s="106" t="e">
        <f>EXP(-0.693*G9/(VLOOKUP($A9,Nucliden[#All],3,FALSE)))</f>
        <v>#N/A</v>
      </c>
      <c r="K9" s="115" t="e">
        <f>VLOOKUP(B9,Farmaca[#All],4,FALSE)</f>
        <v>#N/A</v>
      </c>
      <c r="L9" s="118" t="e">
        <f t="shared" si="0"/>
        <v>#N/A</v>
      </c>
      <c r="M9" s="120"/>
      <c r="N9" s="119" t="e">
        <f t="shared" si="1"/>
        <v>#N/A</v>
      </c>
    </row>
    <row r="10" spans="1:14" x14ac:dyDescent="0.2">
      <c r="A10" s="113"/>
      <c r="B10" s="109"/>
      <c r="C10" s="111"/>
      <c r="D10" s="111"/>
      <c r="E10" s="136"/>
      <c r="F10" s="236"/>
      <c r="G10" s="290"/>
      <c r="H10" s="99" t="e">
        <f>VLOOKUP($D10,Onderzoek[#All],2,FALSE)</f>
        <v>#N/A</v>
      </c>
      <c r="I10" s="100" t="e">
        <f>VLOOKUP($D10,Onderzoek[#All],3,FALSE)</f>
        <v>#N/A</v>
      </c>
      <c r="J10" s="106" t="e">
        <f>EXP(-0.693*G10/(VLOOKUP($A10,Nucliden[#All],3,FALSE)))</f>
        <v>#N/A</v>
      </c>
      <c r="K10" s="115" t="e">
        <f>VLOOKUP(C5,Farmaca[#All],4,FALSE)</f>
        <v>#N/A</v>
      </c>
      <c r="L10" s="118" t="e">
        <f t="shared" ref="L10:L25" si="2">E10*F10/300*H10*I10*1000000*J10*K10*1000</f>
        <v>#N/A</v>
      </c>
      <c r="M10" s="120"/>
      <c r="N10" s="119" t="e">
        <f t="shared" si="1"/>
        <v>#N/A</v>
      </c>
    </row>
    <row r="11" spans="1:14" x14ac:dyDescent="0.2">
      <c r="A11" s="113"/>
      <c r="B11" s="111"/>
      <c r="C11" s="111"/>
      <c r="D11" s="111"/>
      <c r="E11" s="136"/>
      <c r="F11" s="236"/>
      <c r="G11" s="290"/>
      <c r="H11" s="99" t="e">
        <f>VLOOKUP($D11,Onderzoek[#All],2,FALSE)</f>
        <v>#N/A</v>
      </c>
      <c r="I11" s="100" t="e">
        <f>VLOOKUP($D11,Onderzoek[#All],3,FALSE)</f>
        <v>#N/A</v>
      </c>
      <c r="J11" s="106" t="e">
        <f>EXP(-0.693*G11/(VLOOKUP($A11,Nucliden[#All],3,FALSE)))</f>
        <v>#N/A</v>
      </c>
      <c r="K11" s="115" t="e">
        <f>VLOOKUP(C11,Farmaca[#All],4,FALSE)</f>
        <v>#N/A</v>
      </c>
      <c r="L11" s="118" t="e">
        <f t="shared" si="2"/>
        <v>#N/A</v>
      </c>
      <c r="M11" s="120"/>
      <c r="N11" s="119" t="e">
        <f t="shared" si="1"/>
        <v>#N/A</v>
      </c>
    </row>
    <row r="12" spans="1:14" x14ac:dyDescent="0.2">
      <c r="A12" s="113"/>
      <c r="B12" s="111"/>
      <c r="C12" s="111"/>
      <c r="D12" s="111"/>
      <c r="E12" s="136"/>
      <c r="F12" s="236"/>
      <c r="G12" s="290"/>
      <c r="H12" s="99" t="e">
        <f>VLOOKUP($C12,Onderzoek[#All],2,FALSE)</f>
        <v>#N/A</v>
      </c>
      <c r="I12" s="100" t="e">
        <f>VLOOKUP($C12,Onderzoek[#All],3,FALSE)</f>
        <v>#N/A</v>
      </c>
      <c r="J12" s="106" t="e">
        <f>EXP(-0.693*G12/(VLOOKUP($A12,Nucliden[#All],3,FALSE)))</f>
        <v>#N/A</v>
      </c>
      <c r="K12" s="115" t="e">
        <f>VLOOKUP(B12,Farmaca[#All],4,FALSE)</f>
        <v>#N/A</v>
      </c>
      <c r="L12" s="118" t="e">
        <f t="shared" si="2"/>
        <v>#N/A</v>
      </c>
      <c r="M12" s="120"/>
      <c r="N12" s="119" t="e">
        <f t="shared" si="1"/>
        <v>#N/A</v>
      </c>
    </row>
    <row r="13" spans="1:14" x14ac:dyDescent="0.2">
      <c r="A13" s="113"/>
      <c r="B13" s="109"/>
      <c r="C13" s="111"/>
      <c r="D13" s="111"/>
      <c r="E13" s="136"/>
      <c r="F13" s="236"/>
      <c r="G13" s="290"/>
      <c r="H13" s="99" t="e">
        <f>VLOOKUP($C13,Onderzoek[#All],2,FALSE)</f>
        <v>#N/A</v>
      </c>
      <c r="I13" s="100" t="e">
        <f>VLOOKUP($C13,Onderzoek[#All],3,FALSE)</f>
        <v>#N/A</v>
      </c>
      <c r="J13" s="106" t="e">
        <f>EXP(-0.693*G13/(VLOOKUP($A13,Nucliden[#All],3,FALSE)))</f>
        <v>#N/A</v>
      </c>
      <c r="K13" s="115" t="e">
        <f>VLOOKUP(B13,Farmaca[#All],4,FALSE)</f>
        <v>#N/A</v>
      </c>
      <c r="L13" s="118" t="e">
        <f t="shared" si="2"/>
        <v>#N/A</v>
      </c>
      <c r="M13" s="120"/>
      <c r="N13" s="119" t="e">
        <f t="shared" si="1"/>
        <v>#N/A</v>
      </c>
    </row>
    <row r="14" spans="1:14" x14ac:dyDescent="0.2">
      <c r="A14" s="113"/>
      <c r="B14" s="111"/>
      <c r="C14" s="111"/>
      <c r="D14" s="111"/>
      <c r="E14" s="136"/>
      <c r="F14" s="236"/>
      <c r="G14" s="290"/>
      <c r="H14" s="99" t="e">
        <f>VLOOKUP($C14,Onderzoek[#All],2,FALSE)</f>
        <v>#N/A</v>
      </c>
      <c r="I14" s="100" t="e">
        <f>VLOOKUP($C14,Onderzoek[#All],3,FALSE)</f>
        <v>#N/A</v>
      </c>
      <c r="J14" s="106" t="e">
        <f>EXP(-0.693*G14/(VLOOKUP($A14,Nucliden[#All],3,FALSE)))</f>
        <v>#N/A</v>
      </c>
      <c r="K14" s="115" t="e">
        <f>VLOOKUP(B14,Farmaca[#All],4,FALSE)</f>
        <v>#N/A</v>
      </c>
      <c r="L14" s="118" t="e">
        <f t="shared" si="2"/>
        <v>#N/A</v>
      </c>
      <c r="M14" s="120"/>
      <c r="N14" s="119" t="e">
        <f t="shared" si="1"/>
        <v>#N/A</v>
      </c>
    </row>
    <row r="15" spans="1:14" x14ac:dyDescent="0.2">
      <c r="A15" s="113"/>
      <c r="B15" s="111"/>
      <c r="C15" s="111"/>
      <c r="D15" s="111"/>
      <c r="E15" s="136"/>
      <c r="F15" s="236"/>
      <c r="G15" s="290"/>
      <c r="H15" s="99" t="e">
        <f>VLOOKUP($C15,Onderzoek[#All],2,FALSE)</f>
        <v>#N/A</v>
      </c>
      <c r="I15" s="100" t="e">
        <f>VLOOKUP($C15,Onderzoek[#All],3,FALSE)</f>
        <v>#N/A</v>
      </c>
      <c r="J15" s="106" t="e">
        <f>EXP(-0.693*G15/(VLOOKUP($A15,Nucliden[#All],3,FALSE)))</f>
        <v>#N/A</v>
      </c>
      <c r="K15" s="115" t="e">
        <f>VLOOKUP(B15,Farmaca[#All],4,FALSE)</f>
        <v>#N/A</v>
      </c>
      <c r="L15" s="118" t="e">
        <f t="shared" si="2"/>
        <v>#N/A</v>
      </c>
      <c r="M15" s="120"/>
      <c r="N15" s="119" t="e">
        <f t="shared" si="1"/>
        <v>#N/A</v>
      </c>
    </row>
    <row r="16" spans="1:14" x14ac:dyDescent="0.2">
      <c r="A16" s="113"/>
      <c r="B16" s="111"/>
      <c r="C16" s="111"/>
      <c r="D16" s="111"/>
      <c r="E16" s="136"/>
      <c r="F16" s="236"/>
      <c r="G16" s="290"/>
      <c r="H16" s="99" t="e">
        <f>VLOOKUP($C16,Onderzoek[#All],2,FALSE)</f>
        <v>#N/A</v>
      </c>
      <c r="I16" s="100" t="e">
        <f>VLOOKUP($C16,Onderzoek[#All],3,FALSE)</f>
        <v>#N/A</v>
      </c>
      <c r="J16" s="106" t="e">
        <f>EXP(-0.693*G16/(VLOOKUP($A16,Nucliden[#All],3,FALSE)))</f>
        <v>#N/A</v>
      </c>
      <c r="K16" s="115" t="e">
        <f>VLOOKUP(B16,Farmaca[#All],4,FALSE)</f>
        <v>#N/A</v>
      </c>
      <c r="L16" s="118" t="e">
        <f t="shared" si="2"/>
        <v>#N/A</v>
      </c>
      <c r="M16" s="120"/>
      <c r="N16" s="119" t="e">
        <f t="shared" si="1"/>
        <v>#N/A</v>
      </c>
    </row>
    <row r="17" spans="1:14" x14ac:dyDescent="0.2">
      <c r="A17" s="113"/>
      <c r="B17" s="111"/>
      <c r="C17" s="111"/>
      <c r="D17" s="111"/>
      <c r="E17" s="136"/>
      <c r="F17" s="236"/>
      <c r="G17" s="290"/>
      <c r="H17" s="99" t="e">
        <f>VLOOKUP($C17,Onderzoek[#All],2,FALSE)</f>
        <v>#N/A</v>
      </c>
      <c r="I17" s="100" t="e">
        <f>VLOOKUP($C17,Onderzoek[#All],3,FALSE)</f>
        <v>#N/A</v>
      </c>
      <c r="J17" s="106" t="e">
        <f>EXP(-0.693*G17/(VLOOKUP($A17,Nucliden[#All],3,FALSE)))</f>
        <v>#N/A</v>
      </c>
      <c r="K17" s="115" t="e">
        <f>VLOOKUP(B17,Farmaca[#All],4,FALSE)</f>
        <v>#N/A</v>
      </c>
      <c r="L17" s="118" t="e">
        <f t="shared" si="2"/>
        <v>#N/A</v>
      </c>
      <c r="M17" s="120"/>
      <c r="N17" s="119" t="e">
        <f t="shared" si="1"/>
        <v>#N/A</v>
      </c>
    </row>
    <row r="18" spans="1:14" x14ac:dyDescent="0.2">
      <c r="A18" s="113"/>
      <c r="B18" s="111"/>
      <c r="C18" s="111"/>
      <c r="D18" s="111"/>
      <c r="E18" s="136"/>
      <c r="F18" s="236"/>
      <c r="G18" s="290"/>
      <c r="H18" s="99" t="e">
        <f>VLOOKUP($C18,Onderzoek[#All],2,FALSE)</f>
        <v>#N/A</v>
      </c>
      <c r="I18" s="100" t="e">
        <f>VLOOKUP($C18,Onderzoek[#All],3,FALSE)</f>
        <v>#N/A</v>
      </c>
      <c r="J18" s="106" t="e">
        <f>EXP(-0.693*G18/(VLOOKUP($A18,Nucliden[#All],3,FALSE)))</f>
        <v>#N/A</v>
      </c>
      <c r="K18" s="115" t="e">
        <f>VLOOKUP(B18,Farmaca[#All],4,FALSE)</f>
        <v>#N/A</v>
      </c>
      <c r="L18" s="118" t="e">
        <f t="shared" si="2"/>
        <v>#N/A</v>
      </c>
      <c r="M18" s="120"/>
      <c r="N18" s="119" t="e">
        <f t="shared" si="1"/>
        <v>#N/A</v>
      </c>
    </row>
    <row r="19" spans="1:14" x14ac:dyDescent="0.2">
      <c r="A19" s="113"/>
      <c r="B19" s="111"/>
      <c r="C19" s="111"/>
      <c r="D19" s="111"/>
      <c r="E19" s="136"/>
      <c r="F19" s="236"/>
      <c r="G19" s="290"/>
      <c r="H19" s="99" t="e">
        <f>VLOOKUP($C19,Onderzoek[#All],2,FALSE)</f>
        <v>#N/A</v>
      </c>
      <c r="I19" s="100" t="e">
        <f>VLOOKUP($C19,Onderzoek[#All],3,FALSE)</f>
        <v>#N/A</v>
      </c>
      <c r="J19" s="106" t="e">
        <f>EXP(-0.693*G19/(VLOOKUP($A19,Nucliden[#All],3,FALSE)))</f>
        <v>#N/A</v>
      </c>
      <c r="K19" s="115" t="e">
        <f>VLOOKUP(B19,Farmaca[#All],4,FALSE)</f>
        <v>#N/A</v>
      </c>
      <c r="L19" s="118" t="e">
        <f t="shared" si="2"/>
        <v>#N/A</v>
      </c>
      <c r="M19" s="120"/>
      <c r="N19" s="119" t="e">
        <f t="shared" si="1"/>
        <v>#N/A</v>
      </c>
    </row>
    <row r="20" spans="1:14" x14ac:dyDescent="0.2">
      <c r="A20" s="113"/>
      <c r="B20" s="111"/>
      <c r="C20" s="111"/>
      <c r="D20" s="111"/>
      <c r="E20" s="136"/>
      <c r="F20" s="236"/>
      <c r="G20" s="290"/>
      <c r="H20" s="99" t="e">
        <f>VLOOKUP($C20,Onderzoek[#All],2,FALSE)</f>
        <v>#N/A</v>
      </c>
      <c r="I20" s="100" t="e">
        <f>VLOOKUP($C20,Onderzoek[#All],3,FALSE)</f>
        <v>#N/A</v>
      </c>
      <c r="J20" s="106" t="e">
        <f>EXP(-0.693*G20/(VLOOKUP($A20,Nucliden[#All],3,FALSE)))</f>
        <v>#N/A</v>
      </c>
      <c r="K20" s="115" t="e">
        <f>VLOOKUP(B20,Farmaca[#All],4,FALSE)</f>
        <v>#N/A</v>
      </c>
      <c r="L20" s="118" t="e">
        <f t="shared" si="2"/>
        <v>#N/A</v>
      </c>
      <c r="M20" s="120"/>
      <c r="N20" s="119" t="e">
        <f t="shared" si="1"/>
        <v>#N/A</v>
      </c>
    </row>
    <row r="21" spans="1:14" x14ac:dyDescent="0.2">
      <c r="A21" s="113"/>
      <c r="B21" s="111"/>
      <c r="C21" s="111"/>
      <c r="D21" s="111"/>
      <c r="E21" s="136"/>
      <c r="F21" s="236"/>
      <c r="G21" s="290"/>
      <c r="H21" s="99" t="e">
        <f>VLOOKUP($C21,Onderzoek[#All],2,FALSE)</f>
        <v>#N/A</v>
      </c>
      <c r="I21" s="100" t="e">
        <f>VLOOKUP($C21,Onderzoek[#All],3,FALSE)</f>
        <v>#N/A</v>
      </c>
      <c r="J21" s="106" t="e">
        <f>EXP(-0.693*G21/(VLOOKUP($A21,Nucliden[#All],3,FALSE)))</f>
        <v>#N/A</v>
      </c>
      <c r="K21" s="115" t="e">
        <f>VLOOKUP(B21,Farmaca[#All],4,FALSE)</f>
        <v>#N/A</v>
      </c>
      <c r="L21" s="118" t="e">
        <f t="shared" si="2"/>
        <v>#N/A</v>
      </c>
      <c r="M21" s="120"/>
      <c r="N21" s="119" t="e">
        <f t="shared" si="1"/>
        <v>#N/A</v>
      </c>
    </row>
    <row r="22" spans="1:14" x14ac:dyDescent="0.2">
      <c r="A22" s="113"/>
      <c r="B22" s="111"/>
      <c r="C22" s="111"/>
      <c r="D22" s="111"/>
      <c r="E22" s="136"/>
      <c r="F22" s="236"/>
      <c r="G22" s="290"/>
      <c r="H22" s="99" t="e">
        <f>VLOOKUP($C22,Onderzoek[#All],2,FALSE)</f>
        <v>#N/A</v>
      </c>
      <c r="I22" s="100" t="e">
        <f>VLOOKUP($C22,Onderzoek[#All],3,FALSE)</f>
        <v>#N/A</v>
      </c>
      <c r="J22" s="106" t="e">
        <f>EXP(-0.693*G22/(VLOOKUP($A22,Nucliden[#All],3,FALSE)))</f>
        <v>#N/A</v>
      </c>
      <c r="K22" s="115" t="e">
        <f>VLOOKUP(B22,Farmaca[#All],4,FALSE)</f>
        <v>#N/A</v>
      </c>
      <c r="L22" s="118" t="e">
        <f t="shared" si="2"/>
        <v>#N/A</v>
      </c>
      <c r="M22" s="120"/>
      <c r="N22" s="119" t="e">
        <f t="shared" si="1"/>
        <v>#N/A</v>
      </c>
    </row>
    <row r="23" spans="1:14" x14ac:dyDescent="0.2">
      <c r="A23" s="113"/>
      <c r="B23" s="111"/>
      <c r="C23" s="111"/>
      <c r="D23" s="111"/>
      <c r="E23" s="136"/>
      <c r="F23" s="236"/>
      <c r="G23" s="290"/>
      <c r="H23" s="99" t="e">
        <f>VLOOKUP($C23,Onderzoek[#All],2,FALSE)</f>
        <v>#N/A</v>
      </c>
      <c r="I23" s="100" t="e">
        <f>VLOOKUP($C23,Onderzoek[#All],3,FALSE)</f>
        <v>#N/A</v>
      </c>
      <c r="J23" s="106" t="e">
        <f>EXP(-0.693*G23/(VLOOKUP($A23,Nucliden[#All],3,FALSE)))</f>
        <v>#N/A</v>
      </c>
      <c r="K23" s="115" t="e">
        <f>VLOOKUP(B23,Farmaca[#All],4,FALSE)</f>
        <v>#N/A</v>
      </c>
      <c r="L23" s="118" t="e">
        <f t="shared" si="2"/>
        <v>#N/A</v>
      </c>
      <c r="M23" s="120"/>
      <c r="N23" s="119" t="e">
        <f t="shared" si="1"/>
        <v>#N/A</v>
      </c>
    </row>
    <row r="24" spans="1:14" x14ac:dyDescent="0.2">
      <c r="A24" s="113"/>
      <c r="B24" s="111"/>
      <c r="C24" s="111"/>
      <c r="D24" s="111"/>
      <c r="E24" s="136"/>
      <c r="F24" s="236"/>
      <c r="G24" s="290"/>
      <c r="H24" s="99" t="e">
        <f>VLOOKUP($C24,Onderzoek[#All],2,FALSE)</f>
        <v>#N/A</v>
      </c>
      <c r="I24" s="100" t="e">
        <f>VLOOKUP($C24,Onderzoek[#All],3,FALSE)</f>
        <v>#N/A</v>
      </c>
      <c r="J24" s="106" t="e">
        <f>EXP(-0.693*G24/(VLOOKUP($A24,Nucliden[#All],3,FALSE)))</f>
        <v>#N/A</v>
      </c>
      <c r="K24" s="115" t="e">
        <f>VLOOKUP(B24,Farmaca[#All],4,FALSE)</f>
        <v>#N/A</v>
      </c>
      <c r="L24" s="118" t="e">
        <f t="shared" si="2"/>
        <v>#N/A</v>
      </c>
      <c r="M24" s="120"/>
      <c r="N24" s="119" t="e">
        <f t="shared" si="1"/>
        <v>#N/A</v>
      </c>
    </row>
    <row r="25" spans="1:14" x14ac:dyDescent="0.2">
      <c r="A25" s="113"/>
      <c r="B25" s="111"/>
      <c r="C25" s="111"/>
      <c r="D25" s="111"/>
      <c r="E25" s="136"/>
      <c r="F25" s="236"/>
      <c r="G25" s="290"/>
      <c r="H25" s="99" t="e">
        <f>VLOOKUP($C25,Onderzoek[#All],2,FALSE)</f>
        <v>#N/A</v>
      </c>
      <c r="I25" s="100" t="e">
        <f>VLOOKUP($C25,Onderzoek[#All],3,FALSE)</f>
        <v>#N/A</v>
      </c>
      <c r="J25" s="106" t="e">
        <f>EXP(-0.693*G25/(VLOOKUP($A25,Nucliden[#All],3,FALSE)))</f>
        <v>#N/A</v>
      </c>
      <c r="K25" s="115" t="e">
        <f>VLOOKUP(B25,Farmaca[#All],4,FALSE)</f>
        <v>#N/A</v>
      </c>
      <c r="L25" s="118" t="e">
        <f t="shared" si="2"/>
        <v>#N/A</v>
      </c>
      <c r="M25" s="120"/>
      <c r="N25" s="119" t="e">
        <f t="shared" si="1"/>
        <v>#N/A</v>
      </c>
    </row>
    <row r="26" spans="1:14" x14ac:dyDescent="0.2">
      <c r="M26" s="242" t="s">
        <v>449</v>
      </c>
      <c r="N26" s="241" t="e">
        <f>SUM(N4:N25)</f>
        <v>#N/A</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6"/>
  <sheetViews>
    <sheetView zoomScaleNormal="100" workbookViewId="0">
      <pane xSplit="4" ySplit="3" topLeftCell="E4" activePane="bottomRight" state="frozen"/>
      <selection pane="topRight" activeCell="E1" sqref="E1"/>
      <selection pane="bottomLeft" activeCell="A4" sqref="A4"/>
      <selection pane="bottomRight" activeCell="A4" sqref="A4"/>
    </sheetView>
  </sheetViews>
  <sheetFormatPr defaultRowHeight="12.75" x14ac:dyDescent="0.2"/>
  <cols>
    <col min="1" max="1" width="13.140625" customWidth="1"/>
    <col min="2" max="2" width="30.140625" customWidth="1"/>
    <col min="3" max="3" width="36.7109375" customWidth="1"/>
    <col min="4" max="4" width="22" customWidth="1"/>
    <col min="5" max="5" width="12.85546875" customWidth="1"/>
    <col min="6" max="6" width="12.140625" customWidth="1"/>
    <col min="7" max="7" width="16.28515625" style="9" customWidth="1"/>
    <col min="8" max="10" width="12.28515625" customWidth="1"/>
    <col min="11" max="11" width="13.140625" bestFit="1" customWidth="1"/>
    <col min="12" max="12" width="13.28515625" customWidth="1"/>
    <col min="13" max="13" width="10.7109375" customWidth="1"/>
    <col min="14" max="14" width="13.28515625" customWidth="1"/>
  </cols>
  <sheetData>
    <row r="1" spans="1:14" ht="30" customHeight="1" x14ac:dyDescent="0.2">
      <c r="A1" s="131" t="s">
        <v>390</v>
      </c>
      <c r="B1" s="132" t="s">
        <v>389</v>
      </c>
      <c r="C1" s="126"/>
      <c r="D1" s="126"/>
      <c r="E1" s="126"/>
      <c r="F1" s="126"/>
      <c r="G1" s="126"/>
      <c r="H1" s="4"/>
      <c r="I1" s="4"/>
      <c r="J1" s="137"/>
      <c r="K1" s="34"/>
      <c r="L1" s="26"/>
      <c r="M1" s="125" t="s">
        <v>356</v>
      </c>
      <c r="N1" s="126"/>
    </row>
    <row r="2" spans="1:14" ht="41.25" customHeight="1" x14ac:dyDescent="0.2">
      <c r="A2" s="103" t="s">
        <v>5</v>
      </c>
      <c r="B2" s="101" t="s">
        <v>6</v>
      </c>
      <c r="C2" s="101" t="s">
        <v>13</v>
      </c>
      <c r="D2" s="101" t="s">
        <v>366</v>
      </c>
      <c r="E2" s="103" t="s">
        <v>365</v>
      </c>
      <c r="F2" s="103" t="s">
        <v>360</v>
      </c>
      <c r="G2" s="103" t="s">
        <v>302</v>
      </c>
      <c r="H2" s="102" t="s">
        <v>287</v>
      </c>
      <c r="I2" s="102" t="s">
        <v>280</v>
      </c>
      <c r="J2" s="102" t="s">
        <v>82</v>
      </c>
      <c r="K2" s="124" t="s">
        <v>361</v>
      </c>
      <c r="L2" s="116" t="s">
        <v>362</v>
      </c>
      <c r="M2" s="103" t="s">
        <v>364</v>
      </c>
      <c r="N2" s="116" t="s">
        <v>363</v>
      </c>
    </row>
    <row r="3" spans="1:14" ht="17.25" customHeight="1" x14ac:dyDescent="0.2">
      <c r="A3" s="104"/>
      <c r="B3" s="104"/>
      <c r="C3" s="104"/>
      <c r="D3" s="104"/>
      <c r="E3" s="135"/>
      <c r="F3" s="103" t="s">
        <v>291</v>
      </c>
      <c r="G3" s="103" t="s">
        <v>522</v>
      </c>
      <c r="H3" s="102" t="s">
        <v>281</v>
      </c>
      <c r="I3" s="123" t="s">
        <v>278</v>
      </c>
      <c r="J3" s="102"/>
      <c r="K3" s="84" t="s">
        <v>275</v>
      </c>
      <c r="L3" s="116" t="s">
        <v>306</v>
      </c>
      <c r="M3" s="103" t="s">
        <v>355</v>
      </c>
      <c r="N3" s="116" t="s">
        <v>306</v>
      </c>
    </row>
    <row r="4" spans="1:14" x14ac:dyDescent="0.2">
      <c r="A4" s="108" t="s">
        <v>4</v>
      </c>
      <c r="B4" s="109" t="s">
        <v>84</v>
      </c>
      <c r="C4" s="109" t="s">
        <v>518</v>
      </c>
      <c r="D4" s="111" t="s">
        <v>566</v>
      </c>
      <c r="E4" s="136">
        <v>5.4999999999999996E-9</v>
      </c>
      <c r="F4" s="236">
        <v>2</v>
      </c>
      <c r="G4" s="290">
        <v>0</v>
      </c>
      <c r="H4" s="99">
        <f>VLOOKUP($C4,Onderzoek[#All],5,FALSE)</f>
        <v>2000</v>
      </c>
      <c r="I4" s="100">
        <f>VLOOKUP($C4,Onderzoek[#All],6,FALSE)</f>
        <v>150</v>
      </c>
      <c r="J4" s="106">
        <f>EXP(-0.693*G4/(VLOOKUP($A4,Nucliden[#All],3,FALSE)))</f>
        <v>1</v>
      </c>
      <c r="K4" s="115">
        <f>VLOOKUP(B4,Farmaca[#All],4,FALSE)</f>
        <v>5.4000000000000001E-11</v>
      </c>
      <c r="L4" s="118">
        <f>E4*F4/300*H4*I4*1000000*J4*K4*1000</f>
        <v>5.9400000000000005E-7</v>
      </c>
      <c r="M4" s="120">
        <v>1</v>
      </c>
      <c r="N4" s="119">
        <f>$L4*M4</f>
        <v>5.9400000000000005E-7</v>
      </c>
    </row>
    <row r="5" spans="1:14" x14ac:dyDescent="0.2">
      <c r="A5" s="108" t="s">
        <v>0</v>
      </c>
      <c r="B5" s="109" t="s">
        <v>171</v>
      </c>
      <c r="C5" s="111" t="s">
        <v>550</v>
      </c>
      <c r="D5" s="111" t="s">
        <v>566</v>
      </c>
      <c r="E5" s="136">
        <v>5.4999999999999996E-9</v>
      </c>
      <c r="F5" s="236">
        <v>2</v>
      </c>
      <c r="G5" s="290">
        <v>0</v>
      </c>
      <c r="H5" s="99">
        <f>VLOOKUP($C5,Onderzoek[#All],5,FALSE)</f>
        <v>1500</v>
      </c>
      <c r="I5" s="100">
        <f>VLOOKUP($C5,Onderzoek[#All],6,FALSE)</f>
        <v>550</v>
      </c>
      <c r="J5" s="106">
        <f>EXP(-0.693*G5/(VLOOKUP($A5,Nucliden[#All],3,FALSE)))</f>
        <v>1</v>
      </c>
      <c r="K5" s="115">
        <f>VLOOKUP(B5,Farmaca[#All],4,FALSE)</f>
        <v>1.9999999999999999E-11</v>
      </c>
      <c r="L5" s="118">
        <f t="shared" ref="L5:L25" si="0">E5*F5/300*H5*I5*1000000*J5*K5*1000</f>
        <v>6.0499999999999992E-7</v>
      </c>
      <c r="M5" s="120">
        <v>1</v>
      </c>
      <c r="N5" s="119">
        <f t="shared" ref="N5:N25" si="1">$L5*M5</f>
        <v>6.0499999999999992E-7</v>
      </c>
    </row>
    <row r="6" spans="1:14" x14ac:dyDescent="0.2">
      <c r="A6" s="108" t="s">
        <v>3</v>
      </c>
      <c r="B6" s="109" t="s">
        <v>106</v>
      </c>
      <c r="C6" s="111" t="s">
        <v>542</v>
      </c>
      <c r="D6" s="111" t="s">
        <v>566</v>
      </c>
      <c r="E6" s="136">
        <v>5.4999999999999996E-9</v>
      </c>
      <c r="F6" s="236">
        <v>2</v>
      </c>
      <c r="G6" s="290">
        <v>0</v>
      </c>
      <c r="H6" s="99">
        <f>VLOOKUP($C6,Onderzoek[#All],5,FALSE)</f>
        <v>40</v>
      </c>
      <c r="I6" s="100">
        <f>VLOOKUP($C6,Onderzoek[#All],6,FALSE)</f>
        <v>2000</v>
      </c>
      <c r="J6" s="106">
        <f>EXP(-0.693*G6/(VLOOKUP($A6,Nucliden[#All],3,FALSE)))</f>
        <v>1</v>
      </c>
      <c r="K6" s="115">
        <f>VLOOKUP(B6,Farmaca[#All],4,FALSE)</f>
        <v>1.0999999999999999E-8</v>
      </c>
      <c r="L6" s="118">
        <f t="shared" si="0"/>
        <v>3.2266666666666667E-5</v>
      </c>
      <c r="M6" s="120">
        <v>1</v>
      </c>
      <c r="N6" s="119">
        <f t="shared" si="1"/>
        <v>3.2266666666666667E-5</v>
      </c>
    </row>
    <row r="7" spans="1:14" x14ac:dyDescent="0.2">
      <c r="A7" s="113"/>
      <c r="B7" s="111"/>
      <c r="C7" s="111"/>
      <c r="D7" s="111"/>
      <c r="E7" s="136"/>
      <c r="F7" s="236"/>
      <c r="G7" s="290"/>
      <c r="H7" s="99" t="e">
        <f>VLOOKUP($C7,Onderzoek[#All],5,FALSE)</f>
        <v>#N/A</v>
      </c>
      <c r="I7" s="100" t="e">
        <f>VLOOKUP($C7,Onderzoek[#All],6,FALSE)</f>
        <v>#N/A</v>
      </c>
      <c r="J7" s="106" t="e">
        <f>EXP(-0.693*G7/(VLOOKUP($A7,Nucliden[#All],3,FALSE)))</f>
        <v>#N/A</v>
      </c>
      <c r="K7" s="115" t="e">
        <f>VLOOKUP(B7,Farmaca[#All],4,FALSE)</f>
        <v>#N/A</v>
      </c>
      <c r="L7" s="118" t="e">
        <f t="shared" si="0"/>
        <v>#N/A</v>
      </c>
      <c r="M7" s="120"/>
      <c r="N7" s="119" t="e">
        <f t="shared" si="1"/>
        <v>#N/A</v>
      </c>
    </row>
    <row r="8" spans="1:14" x14ac:dyDescent="0.2">
      <c r="A8" s="113"/>
      <c r="B8" s="111"/>
      <c r="C8" s="111"/>
      <c r="D8" s="111"/>
      <c r="E8" s="136"/>
      <c r="F8" s="236"/>
      <c r="G8" s="290"/>
      <c r="H8" s="99" t="e">
        <f>VLOOKUP($C8,Onderzoek[#All],5,FALSE)</f>
        <v>#N/A</v>
      </c>
      <c r="I8" s="100" t="e">
        <f>VLOOKUP($C8,Onderzoek[#All],6,FALSE)</f>
        <v>#N/A</v>
      </c>
      <c r="J8" s="106" t="e">
        <f>EXP(-0.693*G8/(VLOOKUP($A8,Nucliden[#All],3,FALSE)))</f>
        <v>#N/A</v>
      </c>
      <c r="K8" s="115" t="e">
        <f>VLOOKUP(B8,Farmaca[#All],4,FALSE)</f>
        <v>#N/A</v>
      </c>
      <c r="L8" s="118" t="e">
        <f t="shared" si="0"/>
        <v>#N/A</v>
      </c>
      <c r="M8" s="120"/>
      <c r="N8" s="119" t="e">
        <f t="shared" si="1"/>
        <v>#N/A</v>
      </c>
    </row>
    <row r="9" spans="1:14" x14ac:dyDescent="0.2">
      <c r="A9" s="113"/>
      <c r="B9" s="111"/>
      <c r="C9" s="111"/>
      <c r="D9" s="111"/>
      <c r="E9" s="136"/>
      <c r="F9" s="236"/>
      <c r="G9" s="290"/>
      <c r="H9" s="99" t="e">
        <f>VLOOKUP($C9,Onderzoek[#All],5,FALSE)</f>
        <v>#N/A</v>
      </c>
      <c r="I9" s="100" t="e">
        <f>VLOOKUP($C9,Onderzoek[#All],6,FALSE)</f>
        <v>#N/A</v>
      </c>
      <c r="J9" s="106" t="e">
        <f>EXP(-0.693*G9/(VLOOKUP($A9,Nucliden[#All],3,FALSE)))</f>
        <v>#N/A</v>
      </c>
      <c r="K9" s="115" t="e">
        <f>VLOOKUP(B9,Farmaca[#All],4,FALSE)</f>
        <v>#N/A</v>
      </c>
      <c r="L9" s="118" t="e">
        <f t="shared" si="0"/>
        <v>#N/A</v>
      </c>
      <c r="M9" s="120"/>
      <c r="N9" s="119" t="e">
        <f t="shared" si="1"/>
        <v>#N/A</v>
      </c>
    </row>
    <row r="10" spans="1:14" x14ac:dyDescent="0.2">
      <c r="A10" s="113"/>
      <c r="B10" s="111"/>
      <c r="C10" s="111"/>
      <c r="D10" s="111"/>
      <c r="E10" s="136"/>
      <c r="F10" s="236"/>
      <c r="G10" s="290"/>
      <c r="H10" s="99" t="e">
        <f>VLOOKUP($C10,Onderzoek[#All],5,FALSE)</f>
        <v>#N/A</v>
      </c>
      <c r="I10" s="100" t="e">
        <f>VLOOKUP($C10,Onderzoek[#All],6,FALSE)</f>
        <v>#N/A</v>
      </c>
      <c r="J10" s="106" t="e">
        <f>EXP(-0.693*G10/(VLOOKUP($A10,Nucliden[#All],3,FALSE)))</f>
        <v>#N/A</v>
      </c>
      <c r="K10" s="115" t="e">
        <f>VLOOKUP(B10,Farmaca[#All],4,FALSE)</f>
        <v>#N/A</v>
      </c>
      <c r="L10" s="118" t="e">
        <f t="shared" si="0"/>
        <v>#N/A</v>
      </c>
      <c r="M10" s="120"/>
      <c r="N10" s="119" t="e">
        <f t="shared" si="1"/>
        <v>#N/A</v>
      </c>
    </row>
    <row r="11" spans="1:14" x14ac:dyDescent="0.2">
      <c r="A11" s="113"/>
      <c r="B11" s="111"/>
      <c r="C11" s="111"/>
      <c r="D11" s="111"/>
      <c r="E11" s="136"/>
      <c r="F11" s="236"/>
      <c r="G11" s="290"/>
      <c r="H11" s="99" t="e">
        <f>VLOOKUP($C11,Onderzoek[#All],5,FALSE)</f>
        <v>#N/A</v>
      </c>
      <c r="I11" s="100" t="e">
        <f>VLOOKUP($C11,Onderzoek[#All],6,FALSE)</f>
        <v>#N/A</v>
      </c>
      <c r="J11" s="106" t="e">
        <f>EXP(-0.693*G11/(VLOOKUP($A11,Nucliden[#All],3,FALSE)))</f>
        <v>#N/A</v>
      </c>
      <c r="K11" s="115" t="e">
        <f>VLOOKUP(B11,Farmaca[#All],4,FALSE)</f>
        <v>#N/A</v>
      </c>
      <c r="L11" s="118" t="e">
        <f t="shared" si="0"/>
        <v>#N/A</v>
      </c>
      <c r="M11" s="120"/>
      <c r="N11" s="119" t="e">
        <f t="shared" si="1"/>
        <v>#N/A</v>
      </c>
    </row>
    <row r="12" spans="1:14" x14ac:dyDescent="0.2">
      <c r="A12" s="113"/>
      <c r="B12" s="111"/>
      <c r="C12" s="111"/>
      <c r="D12" s="111"/>
      <c r="E12" s="136"/>
      <c r="F12" s="236"/>
      <c r="G12" s="290"/>
      <c r="H12" s="99" t="e">
        <f>VLOOKUP($C12,Onderzoek[#All],5,FALSE)</f>
        <v>#N/A</v>
      </c>
      <c r="I12" s="100" t="e">
        <f>VLOOKUP($C12,Onderzoek[#All],6,FALSE)</f>
        <v>#N/A</v>
      </c>
      <c r="J12" s="106" t="e">
        <f>EXP(-0.693*G12/(VLOOKUP($A12,Nucliden[#All],3,FALSE)))</f>
        <v>#N/A</v>
      </c>
      <c r="K12" s="115" t="e">
        <f>VLOOKUP(B12,Farmaca[#All],4,FALSE)</f>
        <v>#N/A</v>
      </c>
      <c r="L12" s="118" t="e">
        <f t="shared" si="0"/>
        <v>#N/A</v>
      </c>
      <c r="M12" s="120"/>
      <c r="N12" s="119" t="e">
        <f t="shared" si="1"/>
        <v>#N/A</v>
      </c>
    </row>
    <row r="13" spans="1:14" x14ac:dyDescent="0.2">
      <c r="A13" s="113"/>
      <c r="B13" s="111"/>
      <c r="C13" s="111"/>
      <c r="D13" s="111"/>
      <c r="E13" s="136"/>
      <c r="F13" s="236"/>
      <c r="G13" s="290"/>
      <c r="H13" s="99" t="e">
        <f>VLOOKUP($C13,Onderzoek[#All],5,FALSE)</f>
        <v>#N/A</v>
      </c>
      <c r="I13" s="100" t="e">
        <f>VLOOKUP($C13,Onderzoek[#All],6,FALSE)</f>
        <v>#N/A</v>
      </c>
      <c r="J13" s="106" t="e">
        <f>EXP(-0.693*G13/(VLOOKUP($A13,Nucliden[#All],3,FALSE)))</f>
        <v>#N/A</v>
      </c>
      <c r="K13" s="115" t="e">
        <f>VLOOKUP(B13,Farmaca[#All],4,FALSE)</f>
        <v>#N/A</v>
      </c>
      <c r="L13" s="118" t="e">
        <f t="shared" si="0"/>
        <v>#N/A</v>
      </c>
      <c r="M13" s="120"/>
      <c r="N13" s="119" t="e">
        <f t="shared" si="1"/>
        <v>#N/A</v>
      </c>
    </row>
    <row r="14" spans="1:14" x14ac:dyDescent="0.2">
      <c r="A14" s="113"/>
      <c r="B14" s="111"/>
      <c r="C14" s="111"/>
      <c r="D14" s="111"/>
      <c r="E14" s="136"/>
      <c r="F14" s="236"/>
      <c r="G14" s="290"/>
      <c r="H14" s="99" t="e">
        <f>VLOOKUP($C14,Onderzoek[#All],5,FALSE)</f>
        <v>#N/A</v>
      </c>
      <c r="I14" s="100" t="e">
        <f>VLOOKUP($C14,Onderzoek[#All],6,FALSE)</f>
        <v>#N/A</v>
      </c>
      <c r="J14" s="106" t="e">
        <f>EXP(-0.693*G14/(VLOOKUP($A14,Nucliden[#All],3,FALSE)))</f>
        <v>#N/A</v>
      </c>
      <c r="K14" s="115" t="e">
        <f>VLOOKUP(B14,Farmaca[#All],4,FALSE)</f>
        <v>#N/A</v>
      </c>
      <c r="L14" s="118" t="e">
        <f t="shared" si="0"/>
        <v>#N/A</v>
      </c>
      <c r="M14" s="120"/>
      <c r="N14" s="119" t="e">
        <f t="shared" si="1"/>
        <v>#N/A</v>
      </c>
    </row>
    <row r="15" spans="1:14" x14ac:dyDescent="0.2">
      <c r="A15" s="113"/>
      <c r="B15" s="111"/>
      <c r="C15" s="111"/>
      <c r="D15" s="111"/>
      <c r="E15" s="136"/>
      <c r="F15" s="236"/>
      <c r="G15" s="290"/>
      <c r="H15" s="99" t="e">
        <f>VLOOKUP($C15,Onderzoek[#All],5,FALSE)</f>
        <v>#N/A</v>
      </c>
      <c r="I15" s="100" t="e">
        <f>VLOOKUP($C15,Onderzoek[#All],6,FALSE)</f>
        <v>#N/A</v>
      </c>
      <c r="J15" s="106" t="e">
        <f>EXP(-0.693*G15/(VLOOKUP($A15,Nucliden[#All],3,FALSE)))</f>
        <v>#N/A</v>
      </c>
      <c r="K15" s="115" t="e">
        <f>VLOOKUP(B15,Farmaca[#All],4,FALSE)</f>
        <v>#N/A</v>
      </c>
      <c r="L15" s="118" t="e">
        <f t="shared" si="0"/>
        <v>#N/A</v>
      </c>
      <c r="M15" s="120"/>
      <c r="N15" s="119" t="e">
        <f t="shared" si="1"/>
        <v>#N/A</v>
      </c>
    </row>
    <row r="16" spans="1:14" x14ac:dyDescent="0.2">
      <c r="A16" s="113"/>
      <c r="B16" s="111"/>
      <c r="C16" s="111"/>
      <c r="D16" s="111"/>
      <c r="E16" s="136"/>
      <c r="F16" s="236"/>
      <c r="G16" s="290"/>
      <c r="H16" s="99" t="e">
        <f>VLOOKUP($C16,Onderzoek[#All],5,FALSE)</f>
        <v>#N/A</v>
      </c>
      <c r="I16" s="100" t="e">
        <f>VLOOKUP($C16,Onderzoek[#All],6,FALSE)</f>
        <v>#N/A</v>
      </c>
      <c r="J16" s="106" t="e">
        <f>EXP(-0.693*G16/(VLOOKUP($A16,Nucliden[#All],3,FALSE)))</f>
        <v>#N/A</v>
      </c>
      <c r="K16" s="115" t="e">
        <f>VLOOKUP(B16,Farmaca[#All],4,FALSE)</f>
        <v>#N/A</v>
      </c>
      <c r="L16" s="118" t="e">
        <f t="shared" si="0"/>
        <v>#N/A</v>
      </c>
      <c r="M16" s="120"/>
      <c r="N16" s="119" t="e">
        <f t="shared" si="1"/>
        <v>#N/A</v>
      </c>
    </row>
    <row r="17" spans="1:14" x14ac:dyDescent="0.2">
      <c r="A17" s="113"/>
      <c r="B17" s="111"/>
      <c r="C17" s="111"/>
      <c r="D17" s="111"/>
      <c r="E17" s="136"/>
      <c r="F17" s="236"/>
      <c r="G17" s="290"/>
      <c r="H17" s="99" t="e">
        <f>VLOOKUP($C17,Onderzoek[#All],5,FALSE)</f>
        <v>#N/A</v>
      </c>
      <c r="I17" s="100" t="e">
        <f>VLOOKUP($C17,Onderzoek[#All],6,FALSE)</f>
        <v>#N/A</v>
      </c>
      <c r="J17" s="106" t="e">
        <f>EXP(-0.693*G17/(VLOOKUP($A17,Nucliden[#All],3,FALSE)))</f>
        <v>#N/A</v>
      </c>
      <c r="K17" s="115" t="e">
        <f>VLOOKUP(B17,Farmaca[#All],4,FALSE)</f>
        <v>#N/A</v>
      </c>
      <c r="L17" s="118" t="e">
        <f t="shared" si="0"/>
        <v>#N/A</v>
      </c>
      <c r="M17" s="120"/>
      <c r="N17" s="119" t="e">
        <f t="shared" si="1"/>
        <v>#N/A</v>
      </c>
    </row>
    <row r="18" spans="1:14" x14ac:dyDescent="0.2">
      <c r="A18" s="113"/>
      <c r="B18" s="111"/>
      <c r="C18" s="111"/>
      <c r="D18" s="111"/>
      <c r="E18" s="136"/>
      <c r="F18" s="236"/>
      <c r="G18" s="290"/>
      <c r="H18" s="99" t="e">
        <f>VLOOKUP($C18,Onderzoek[#All],5,FALSE)</f>
        <v>#N/A</v>
      </c>
      <c r="I18" s="100" t="e">
        <f>VLOOKUP($C18,Onderzoek[#All],6,FALSE)</f>
        <v>#N/A</v>
      </c>
      <c r="J18" s="106" t="e">
        <f>EXP(-0.693*G18/(VLOOKUP($A18,Nucliden[#All],3,FALSE)))</f>
        <v>#N/A</v>
      </c>
      <c r="K18" s="115" t="e">
        <f>VLOOKUP(B18,Farmaca[#All],4,FALSE)</f>
        <v>#N/A</v>
      </c>
      <c r="L18" s="118" t="e">
        <f t="shared" si="0"/>
        <v>#N/A</v>
      </c>
      <c r="M18" s="120"/>
      <c r="N18" s="119" t="e">
        <f t="shared" si="1"/>
        <v>#N/A</v>
      </c>
    </row>
    <row r="19" spans="1:14" x14ac:dyDescent="0.2">
      <c r="A19" s="113"/>
      <c r="B19" s="111"/>
      <c r="C19" s="111"/>
      <c r="D19" s="111"/>
      <c r="E19" s="136"/>
      <c r="F19" s="236"/>
      <c r="G19" s="290"/>
      <c r="H19" s="99" t="e">
        <f>VLOOKUP($C19,Onderzoek[#All],5,FALSE)</f>
        <v>#N/A</v>
      </c>
      <c r="I19" s="100" t="e">
        <f>VLOOKUP($C19,Onderzoek[#All],6,FALSE)</f>
        <v>#N/A</v>
      </c>
      <c r="J19" s="106" t="e">
        <f>EXP(-0.693*G19/(VLOOKUP($A19,Nucliden[#All],3,FALSE)))</f>
        <v>#N/A</v>
      </c>
      <c r="K19" s="115" t="e">
        <f>VLOOKUP(B19,Farmaca[#All],4,FALSE)</f>
        <v>#N/A</v>
      </c>
      <c r="L19" s="118" t="e">
        <f t="shared" si="0"/>
        <v>#N/A</v>
      </c>
      <c r="M19" s="120"/>
      <c r="N19" s="119" t="e">
        <f t="shared" si="1"/>
        <v>#N/A</v>
      </c>
    </row>
    <row r="20" spans="1:14" x14ac:dyDescent="0.2">
      <c r="A20" s="113"/>
      <c r="B20" s="111"/>
      <c r="C20" s="111"/>
      <c r="D20" s="111"/>
      <c r="E20" s="136"/>
      <c r="F20" s="236"/>
      <c r="G20" s="290"/>
      <c r="H20" s="99" t="e">
        <f>VLOOKUP($C20,Onderzoek[#All],5,FALSE)</f>
        <v>#N/A</v>
      </c>
      <c r="I20" s="100" t="e">
        <f>VLOOKUP($C20,Onderzoek[#All],6,FALSE)</f>
        <v>#N/A</v>
      </c>
      <c r="J20" s="106" t="e">
        <f>EXP(-0.693*G20/(VLOOKUP($A20,Nucliden[#All],3,FALSE)))</f>
        <v>#N/A</v>
      </c>
      <c r="K20" s="115" t="e">
        <f>VLOOKUP(B20,Farmaca[#All],4,FALSE)</f>
        <v>#N/A</v>
      </c>
      <c r="L20" s="118" t="e">
        <f t="shared" si="0"/>
        <v>#N/A</v>
      </c>
      <c r="M20" s="120"/>
      <c r="N20" s="119" t="e">
        <f t="shared" si="1"/>
        <v>#N/A</v>
      </c>
    </row>
    <row r="21" spans="1:14" x14ac:dyDescent="0.2">
      <c r="A21" s="113"/>
      <c r="B21" s="111"/>
      <c r="C21" s="111"/>
      <c r="D21" s="111"/>
      <c r="E21" s="136"/>
      <c r="F21" s="236"/>
      <c r="G21" s="290"/>
      <c r="H21" s="99" t="e">
        <f>VLOOKUP($C21,Onderzoek[#All],5,FALSE)</f>
        <v>#N/A</v>
      </c>
      <c r="I21" s="100" t="e">
        <f>VLOOKUP($C21,Onderzoek[#All],6,FALSE)</f>
        <v>#N/A</v>
      </c>
      <c r="J21" s="106" t="e">
        <f>EXP(-0.693*G21/(VLOOKUP($A21,Nucliden[#All],3,FALSE)))</f>
        <v>#N/A</v>
      </c>
      <c r="K21" s="115" t="e">
        <f>VLOOKUP(B21,Farmaca[#All],4,FALSE)</f>
        <v>#N/A</v>
      </c>
      <c r="L21" s="118" t="e">
        <f t="shared" si="0"/>
        <v>#N/A</v>
      </c>
      <c r="M21" s="120"/>
      <c r="N21" s="119" t="e">
        <f t="shared" si="1"/>
        <v>#N/A</v>
      </c>
    </row>
    <row r="22" spans="1:14" x14ac:dyDescent="0.2">
      <c r="A22" s="113"/>
      <c r="B22" s="111"/>
      <c r="C22" s="111"/>
      <c r="D22" s="111"/>
      <c r="E22" s="136"/>
      <c r="F22" s="236"/>
      <c r="G22" s="290"/>
      <c r="H22" s="99" t="e">
        <f>VLOOKUP($C22,Onderzoek[#All],5,FALSE)</f>
        <v>#N/A</v>
      </c>
      <c r="I22" s="100" t="e">
        <f>VLOOKUP($C22,Onderzoek[#All],6,FALSE)</f>
        <v>#N/A</v>
      </c>
      <c r="J22" s="106" t="e">
        <f>EXP(-0.693*G22/(VLOOKUP($A22,Nucliden[#All],3,FALSE)))</f>
        <v>#N/A</v>
      </c>
      <c r="K22" s="115" t="e">
        <f>VLOOKUP(B22,Farmaca[#All],4,FALSE)</f>
        <v>#N/A</v>
      </c>
      <c r="L22" s="118" t="e">
        <f t="shared" si="0"/>
        <v>#N/A</v>
      </c>
      <c r="M22" s="120"/>
      <c r="N22" s="119" t="e">
        <f t="shared" si="1"/>
        <v>#N/A</v>
      </c>
    </row>
    <row r="23" spans="1:14" x14ac:dyDescent="0.2">
      <c r="A23" s="113"/>
      <c r="B23" s="111"/>
      <c r="C23" s="111"/>
      <c r="D23" s="111"/>
      <c r="E23" s="136"/>
      <c r="F23" s="236"/>
      <c r="G23" s="290"/>
      <c r="H23" s="99" t="e">
        <f>VLOOKUP($C23,Onderzoek[#All],5,FALSE)</f>
        <v>#N/A</v>
      </c>
      <c r="I23" s="100" t="e">
        <f>VLOOKUP($C23,Onderzoek[#All],6,FALSE)</f>
        <v>#N/A</v>
      </c>
      <c r="J23" s="106" t="e">
        <f>EXP(-0.693*G23/(VLOOKUP($A23,Nucliden[#All],3,FALSE)))</f>
        <v>#N/A</v>
      </c>
      <c r="K23" s="115" t="e">
        <f>VLOOKUP(B23,Farmaca[#All],4,FALSE)</f>
        <v>#N/A</v>
      </c>
      <c r="L23" s="118" t="e">
        <f t="shared" si="0"/>
        <v>#N/A</v>
      </c>
      <c r="M23" s="120"/>
      <c r="N23" s="119" t="e">
        <f t="shared" si="1"/>
        <v>#N/A</v>
      </c>
    </row>
    <row r="24" spans="1:14" x14ac:dyDescent="0.2">
      <c r="A24" s="113"/>
      <c r="B24" s="111"/>
      <c r="C24" s="111"/>
      <c r="D24" s="111"/>
      <c r="E24" s="136"/>
      <c r="F24" s="236"/>
      <c r="G24" s="290"/>
      <c r="H24" s="99" t="e">
        <f>VLOOKUP($C24,Onderzoek[#All],5,FALSE)</f>
        <v>#N/A</v>
      </c>
      <c r="I24" s="100" t="e">
        <f>VLOOKUP($C24,Onderzoek[#All],6,FALSE)</f>
        <v>#N/A</v>
      </c>
      <c r="J24" s="106" t="e">
        <f>EXP(-0.693*G24/(VLOOKUP($A24,Nucliden[#All],3,FALSE)))</f>
        <v>#N/A</v>
      </c>
      <c r="K24" s="115" t="e">
        <f>VLOOKUP(B24,Farmaca[#All],4,FALSE)</f>
        <v>#N/A</v>
      </c>
      <c r="L24" s="118" t="e">
        <f t="shared" si="0"/>
        <v>#N/A</v>
      </c>
      <c r="M24" s="120"/>
      <c r="N24" s="119" t="e">
        <f t="shared" si="1"/>
        <v>#N/A</v>
      </c>
    </row>
    <row r="25" spans="1:14" x14ac:dyDescent="0.2">
      <c r="A25" s="113"/>
      <c r="B25" s="111"/>
      <c r="C25" s="111"/>
      <c r="D25" s="111"/>
      <c r="E25" s="136"/>
      <c r="F25" s="236"/>
      <c r="G25" s="290"/>
      <c r="H25" s="99" t="e">
        <f>VLOOKUP($C25,Onderzoek[#All],5,FALSE)</f>
        <v>#N/A</v>
      </c>
      <c r="I25" s="100" t="e">
        <f>VLOOKUP($C25,Onderzoek[#All],6,FALSE)</f>
        <v>#N/A</v>
      </c>
      <c r="J25" s="106" t="e">
        <f>EXP(-0.693*G25/(VLOOKUP($A25,Nucliden[#All],3,FALSE)))</f>
        <v>#N/A</v>
      </c>
      <c r="K25" s="115" t="e">
        <f>VLOOKUP(B25,Farmaca[#All],4,FALSE)</f>
        <v>#N/A</v>
      </c>
      <c r="L25" s="118" t="e">
        <f t="shared" si="0"/>
        <v>#N/A</v>
      </c>
      <c r="M25" s="120"/>
      <c r="N25" s="119" t="e">
        <f t="shared" si="1"/>
        <v>#N/A</v>
      </c>
    </row>
    <row r="26" spans="1:14" x14ac:dyDescent="0.2">
      <c r="M26" s="242" t="s">
        <v>449</v>
      </c>
      <c r="N26" s="241" t="e">
        <f>SUM(N4:N25)</f>
        <v>#N/A</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33"/>
  <sheetViews>
    <sheetView zoomScaleNormal="100" workbookViewId="0">
      <pane xSplit="3" ySplit="3" topLeftCell="D4" activePane="bottomRight" state="frozen"/>
      <selection pane="topRight" activeCell="D1" sqref="D1"/>
      <selection pane="bottomLeft" activeCell="A4" sqref="A4"/>
      <selection pane="bottomRight" activeCell="A4" sqref="A4"/>
    </sheetView>
  </sheetViews>
  <sheetFormatPr defaultRowHeight="12.75" x14ac:dyDescent="0.2"/>
  <cols>
    <col min="1" max="1" width="13.140625" customWidth="1"/>
    <col min="2" max="2" width="25.7109375" customWidth="1"/>
    <col min="3" max="3" width="30.7109375" customWidth="1"/>
    <col min="4" max="4" width="16.28515625" customWidth="1"/>
    <col min="5" max="5" width="16.28515625" style="9" customWidth="1"/>
    <col min="6" max="6" width="14" customWidth="1"/>
    <col min="7" max="7" width="13" customWidth="1"/>
    <col min="8" max="8" width="12.5703125" customWidth="1"/>
    <col min="9" max="9" width="14.28515625" customWidth="1"/>
    <col min="10" max="10" width="11.85546875" customWidth="1"/>
    <col min="11" max="11" width="10.42578125" bestFit="1" customWidth="1"/>
    <col min="12" max="12" width="13.42578125" bestFit="1" customWidth="1"/>
    <col min="13" max="13" width="14.28515625" customWidth="1"/>
    <col min="14" max="15" width="12.28515625" customWidth="1"/>
    <col min="16" max="17" width="13.140625" bestFit="1" customWidth="1"/>
    <col min="18" max="18" width="13.140625" customWidth="1"/>
    <col min="19" max="19" width="11.85546875" customWidth="1"/>
    <col min="20" max="20" width="12.7109375" customWidth="1"/>
    <col min="21" max="26" width="13.28515625" customWidth="1"/>
    <col min="27" max="27" width="9.7109375" customWidth="1"/>
    <col min="28" max="30" width="13.28515625" customWidth="1"/>
  </cols>
  <sheetData>
    <row r="1" spans="1:30" ht="30" customHeight="1" x14ac:dyDescent="0.2">
      <c r="A1" s="131" t="s">
        <v>381</v>
      </c>
      <c r="B1" s="132" t="s">
        <v>382</v>
      </c>
      <c r="C1" s="126"/>
      <c r="D1" s="126"/>
      <c r="E1" s="133"/>
      <c r="F1" s="126"/>
      <c r="G1" s="126"/>
      <c r="H1" s="126"/>
      <c r="I1" s="126"/>
      <c r="J1" s="126"/>
      <c r="K1" s="126"/>
      <c r="L1" s="126"/>
      <c r="M1" s="126"/>
      <c r="O1" s="2"/>
      <c r="P1" s="13" t="s">
        <v>61</v>
      </c>
      <c r="Q1" s="13" t="s">
        <v>61</v>
      </c>
      <c r="R1" s="13" t="s">
        <v>349</v>
      </c>
      <c r="S1" s="13" t="s">
        <v>350</v>
      </c>
      <c r="U1" s="130" t="s">
        <v>369</v>
      </c>
      <c r="V1" s="24"/>
      <c r="W1" s="35"/>
      <c r="X1" s="24"/>
      <c r="Y1" s="35"/>
      <c r="Z1" s="24"/>
      <c r="AA1" s="125" t="s">
        <v>356</v>
      </c>
      <c r="AB1" s="126"/>
      <c r="AC1" s="126"/>
      <c r="AD1" s="126"/>
    </row>
    <row r="2" spans="1:30" ht="41.25" customHeight="1" x14ac:dyDescent="0.2">
      <c r="A2" s="101" t="s">
        <v>5</v>
      </c>
      <c r="B2" s="103" t="s">
        <v>285</v>
      </c>
      <c r="C2" s="103" t="s">
        <v>368</v>
      </c>
      <c r="D2" s="103" t="s">
        <v>480</v>
      </c>
      <c r="E2" s="103" t="s">
        <v>302</v>
      </c>
      <c r="F2" s="103" t="s">
        <v>290</v>
      </c>
      <c r="G2" s="103" t="s">
        <v>292</v>
      </c>
      <c r="H2" s="103" t="s">
        <v>295</v>
      </c>
      <c r="I2" s="103" t="s">
        <v>525</v>
      </c>
      <c r="J2" s="103" t="s">
        <v>294</v>
      </c>
      <c r="K2" s="103" t="s">
        <v>293</v>
      </c>
      <c r="L2" s="103" t="s">
        <v>297</v>
      </c>
      <c r="M2" s="103" t="s">
        <v>526</v>
      </c>
      <c r="N2" s="102" t="s">
        <v>357</v>
      </c>
      <c r="O2" s="102" t="s">
        <v>82</v>
      </c>
      <c r="P2" s="102" t="s">
        <v>299</v>
      </c>
      <c r="Q2" s="102" t="s">
        <v>300</v>
      </c>
      <c r="R2" s="102" t="s">
        <v>301</v>
      </c>
      <c r="S2" s="102" t="s">
        <v>83</v>
      </c>
      <c r="T2" s="102" t="s">
        <v>86</v>
      </c>
      <c r="U2" s="116" t="s">
        <v>303</v>
      </c>
      <c r="V2" s="116" t="s">
        <v>370</v>
      </c>
      <c r="W2" s="116" t="s">
        <v>307</v>
      </c>
      <c r="X2" s="116" t="s">
        <v>371</v>
      </c>
      <c r="Y2" s="116" t="s">
        <v>309</v>
      </c>
      <c r="Z2" s="116" t="s">
        <v>372</v>
      </c>
      <c r="AA2" s="103" t="s">
        <v>358</v>
      </c>
      <c r="AB2" s="116" t="s">
        <v>305</v>
      </c>
      <c r="AC2" s="116" t="s">
        <v>308</v>
      </c>
      <c r="AD2" s="116" t="s">
        <v>310</v>
      </c>
    </row>
    <row r="3" spans="1:30" ht="17.25" customHeight="1" x14ac:dyDescent="0.2">
      <c r="A3" s="104"/>
      <c r="B3" s="104"/>
      <c r="C3" s="104"/>
      <c r="D3" s="104"/>
      <c r="E3" s="103" t="s">
        <v>522</v>
      </c>
      <c r="F3" s="103" t="s">
        <v>291</v>
      </c>
      <c r="G3" s="103" t="s">
        <v>69</v>
      </c>
      <c r="H3" s="103" t="s">
        <v>296</v>
      </c>
      <c r="I3" s="103" t="s">
        <v>298</v>
      </c>
      <c r="J3" s="103" t="s">
        <v>291</v>
      </c>
      <c r="K3" s="103" t="s">
        <v>68</v>
      </c>
      <c r="L3" s="103" t="s">
        <v>296</v>
      </c>
      <c r="M3" s="103" t="s">
        <v>298</v>
      </c>
      <c r="N3" s="102" t="str">
        <f>'Handelingen Leveringsniveau'!C3</f>
        <v>[MBq]</v>
      </c>
      <c r="O3" s="102"/>
      <c r="P3" s="102" t="s">
        <v>255</v>
      </c>
      <c r="Q3" s="102" t="s">
        <v>255</v>
      </c>
      <c r="R3" s="102" t="s">
        <v>255</v>
      </c>
      <c r="S3" s="102"/>
      <c r="T3" s="102"/>
      <c r="U3" s="116" t="s">
        <v>304</v>
      </c>
      <c r="V3" s="116" t="s">
        <v>306</v>
      </c>
      <c r="W3" s="116" t="s">
        <v>304</v>
      </c>
      <c r="X3" s="116" t="s">
        <v>306</v>
      </c>
      <c r="Y3" s="116" t="s">
        <v>304</v>
      </c>
      <c r="Z3" s="116" t="s">
        <v>306</v>
      </c>
      <c r="AA3" s="103" t="s">
        <v>359</v>
      </c>
      <c r="AB3" s="116" t="s">
        <v>306</v>
      </c>
      <c r="AC3" s="116" t="s">
        <v>306</v>
      </c>
      <c r="AD3" s="116" t="s">
        <v>306</v>
      </c>
    </row>
    <row r="4" spans="1:30" x14ac:dyDescent="0.2">
      <c r="A4" s="108" t="s">
        <v>4</v>
      </c>
      <c r="B4" s="109" t="s">
        <v>84</v>
      </c>
      <c r="C4" s="111" t="s">
        <v>552</v>
      </c>
      <c r="D4" s="273">
        <v>0.1</v>
      </c>
      <c r="E4" s="290">
        <v>0</v>
      </c>
      <c r="F4" s="236">
        <v>1</v>
      </c>
      <c r="G4" s="237">
        <v>5</v>
      </c>
      <c r="H4" s="238">
        <v>0</v>
      </c>
      <c r="I4" s="114" t="s">
        <v>446</v>
      </c>
      <c r="J4" s="237">
        <v>1</v>
      </c>
      <c r="K4" s="239">
        <v>0.5</v>
      </c>
      <c r="L4" s="238">
        <v>10</v>
      </c>
      <c r="M4" s="114" t="s">
        <v>66</v>
      </c>
      <c r="N4" s="105">
        <f>VLOOKUP(B4,Levering[#All],4,FALSE)</f>
        <v>4400</v>
      </c>
      <c r="O4" s="106">
        <f>EXP(-0.693*E4/(VLOOKUP(A4,Nucliden[#All],3,FALSE)))*D4</f>
        <v>0.1</v>
      </c>
      <c r="P4" s="115">
        <f>IF(I4="Nee",(VLOOKUP(A4,Nucliden[#All],35,FALSE)),(IF(I4="Ja",(VLOOKUP(A4,Nucliden[#All],34,FALSE)),(IF(I4="Deels","Bepaal h(0,07)","")))))</f>
        <v>1676</v>
      </c>
      <c r="Q4" s="115">
        <f>IF(M4="Nee",(VLOOKUP(A4,Nucliden[#All],19,FALSE)),(IF(M4="Ja",(VLOOKUP(A4,Nucliden[#All],18,FALSE)),(IF(M4="Deels","Bepaal h(10)","")))))</f>
        <v>0.16</v>
      </c>
      <c r="R4" s="115">
        <f>IF(M4="Nee",(VLOOKUP(A4,Nucliden[#All],25,FALSE)),(IF(M4="Ja",(VLOOKUP(A4,Nucliden[#All],26,FALSE)),(IF(M4="Deels","Bepaal h(3)","")))))</f>
        <v>0.16900000000000001</v>
      </c>
      <c r="S4" s="115">
        <f>EXP(-0.693*H4/(VLOOKUP(A4,Nucliden[#All],6,FALSE)))</f>
        <v>1</v>
      </c>
      <c r="T4" s="117">
        <f>EXP(-0.693*L4/(VLOOKUP(A4,Nucliden[#All],6,FALSE)))</f>
        <v>0.24659696394160649</v>
      </c>
      <c r="U4" s="118">
        <f t="shared" ref="U4:U25" si="0">N4*O4*(10/G4)^2*P4*S4</f>
        <v>2949760</v>
      </c>
      <c r="V4" s="119">
        <f t="shared" ref="V4:V25" si="1">F4/60*U4/1000</f>
        <v>49.162666666666667</v>
      </c>
      <c r="W4" s="118">
        <f t="shared" ref="W4:W25" si="2">N4*O4*(1/K4)^2*Q4*S4*T4</f>
        <v>69.441705045956397</v>
      </c>
      <c r="X4" s="119">
        <f t="shared" ref="X4:X25" si="3">J4/60*W4/1000</f>
        <v>1.1573617507659398E-3</v>
      </c>
      <c r="Y4" s="118">
        <f t="shared" ref="Y4:Y25" si="4">N4*O4*(1/K4)^2*R4*S4*T4</f>
        <v>73.347800954791438</v>
      </c>
      <c r="Z4" s="119">
        <f t="shared" ref="Z4:Z25" si="5">J4/60*Y4/1000</f>
        <v>1.2224633492465241E-3</v>
      </c>
      <c r="AA4" s="114">
        <v>1</v>
      </c>
      <c r="AB4" s="119">
        <f>AA4*$V4</f>
        <v>49.162666666666667</v>
      </c>
      <c r="AC4" s="119">
        <f>AA4*$X4</f>
        <v>1.1573617507659398E-3</v>
      </c>
      <c r="AD4" s="119">
        <f>AA4*$Z4</f>
        <v>1.2224633492465241E-3</v>
      </c>
    </row>
    <row r="5" spans="1:30" x14ac:dyDescent="0.2">
      <c r="A5" s="108" t="s">
        <v>0</v>
      </c>
      <c r="B5" s="109" t="s">
        <v>94</v>
      </c>
      <c r="C5" s="111" t="s">
        <v>552</v>
      </c>
      <c r="D5" s="273">
        <v>0.1</v>
      </c>
      <c r="E5" s="290">
        <v>0</v>
      </c>
      <c r="F5" s="236">
        <v>1</v>
      </c>
      <c r="G5" s="237">
        <v>5</v>
      </c>
      <c r="H5" s="238">
        <v>0</v>
      </c>
      <c r="I5" s="114" t="s">
        <v>446</v>
      </c>
      <c r="J5" s="237">
        <v>1</v>
      </c>
      <c r="K5" s="239">
        <v>0.5</v>
      </c>
      <c r="L5" s="238">
        <v>10</v>
      </c>
      <c r="M5" s="114" t="s">
        <v>66</v>
      </c>
      <c r="N5" s="105">
        <f>VLOOKUP(B5,Levering[#All],4,FALSE)</f>
        <v>70000</v>
      </c>
      <c r="O5" s="106">
        <f>EXP(-0.693*E5/(VLOOKUP(A5,Nucliden[#All],3,FALSE)))*D5</f>
        <v>0.1</v>
      </c>
      <c r="P5" s="115">
        <f>IF(I5="Nee",(VLOOKUP(A5,Nucliden[#All],35,FALSE)),(IF(I5="Ja",(VLOOKUP(A5,Nucliden[#All],34,FALSE)),(IF(I5="Deels","Bepaal h(0,07)","")))))</f>
        <v>261.20999999999998</v>
      </c>
      <c r="Q5" s="115">
        <f>IF(M5="Nee",(VLOOKUP(A5,Nucliden[#All],19,FALSE)),(IF(M5="Ja",(VLOOKUP(A5,Nucliden[#All],18,FALSE)),(IF(M5="Deels","Bepaal h(10)","")))))</f>
        <v>2.18E-2</v>
      </c>
      <c r="R5" s="115">
        <f>IF(M5="Nee",(VLOOKUP(A5,Nucliden[#All],25,FALSE)),(IF(M5="Ja",(VLOOKUP(A5,Nucliden[#All],26,FALSE)),(IF(M5="Deels","Bepaal h(3)","")))))</f>
        <v>2.5999999999999999E-2</v>
      </c>
      <c r="S5" s="115">
        <f>EXP(-0.693*H5/(VLOOKUP(A5,Nucliden[#All],6,FALSE)))</f>
        <v>1</v>
      </c>
      <c r="T5" s="117">
        <f>EXP(-0.693*L5/(VLOOKUP(A5,Nucliden[#All],6,FALSE)))</f>
        <v>1.374680847871773E-13</v>
      </c>
      <c r="U5" s="118">
        <f t="shared" ref="U5:U7" si="6">N5*O5*(10/G5)^2*P5*S5</f>
        <v>7313879.9999999991</v>
      </c>
      <c r="V5" s="119">
        <f t="shared" ref="V5:V7" si="7">F5/60*U5/1000</f>
        <v>121.89799999999998</v>
      </c>
      <c r="W5" s="118">
        <f t="shared" ref="W5:W7" si="8">N5*O5*(1/K5)^2*Q5*S5*T5</f>
        <v>8.3910518954093021E-11</v>
      </c>
      <c r="X5" s="119">
        <f t="shared" ref="X5:X7" si="9">J5/60*W5/1000</f>
        <v>1.3985086492348836E-15</v>
      </c>
      <c r="Y5" s="118">
        <f t="shared" ref="Y5:Y7" si="10">N5*O5*(1/K5)^2*R5*S5*T5</f>
        <v>1.0007676572506507E-10</v>
      </c>
      <c r="Z5" s="119">
        <f t="shared" ref="Z5:Z7" si="11">J5/60*Y5/1000</f>
        <v>1.6679460954177511E-15</v>
      </c>
      <c r="AA5" s="114">
        <v>1</v>
      </c>
      <c r="AB5" s="119">
        <f t="shared" ref="AB5:AB25" si="12">AA5*$V5</f>
        <v>121.89799999999998</v>
      </c>
      <c r="AC5" s="119">
        <f t="shared" ref="AC5:AC25" si="13">AA5*$X5</f>
        <v>1.3985086492348836E-15</v>
      </c>
      <c r="AD5" s="119">
        <f t="shared" ref="AD5:AD25" si="14">AA5*$Z5</f>
        <v>1.6679460954177511E-15</v>
      </c>
    </row>
    <row r="6" spans="1:30" x14ac:dyDescent="0.2">
      <c r="A6" s="108" t="s">
        <v>0</v>
      </c>
      <c r="B6" s="109" t="s">
        <v>171</v>
      </c>
      <c r="C6" s="111" t="s">
        <v>552</v>
      </c>
      <c r="D6" s="273">
        <v>0.1</v>
      </c>
      <c r="E6" s="290">
        <v>0</v>
      </c>
      <c r="F6" s="236">
        <v>1</v>
      </c>
      <c r="G6" s="237">
        <v>5</v>
      </c>
      <c r="H6" s="238">
        <v>0</v>
      </c>
      <c r="I6" s="114" t="s">
        <v>446</v>
      </c>
      <c r="J6" s="237">
        <v>1</v>
      </c>
      <c r="K6" s="239">
        <v>0.5</v>
      </c>
      <c r="L6" s="238">
        <v>10</v>
      </c>
      <c r="M6" s="114" t="s">
        <v>66</v>
      </c>
      <c r="N6" s="105">
        <f>VLOOKUP(B6,Levering[#All],4,FALSE)</f>
        <v>14000</v>
      </c>
      <c r="O6" s="106">
        <f>EXP(-0.693*E6/(VLOOKUP(A6,Nucliden[#All],3,FALSE)))*D6</f>
        <v>0.1</v>
      </c>
      <c r="P6" s="115">
        <f>IF(I6="Nee",(VLOOKUP(A6,Nucliden[#All],35,FALSE)),(IF(I6="Ja",(VLOOKUP(A6,Nucliden[#All],34,FALSE)),(IF(I6="Deels","Bepaal h(0,07)","")))))</f>
        <v>261.20999999999998</v>
      </c>
      <c r="Q6" s="115">
        <f>IF(M6="Nee",(VLOOKUP(A6,Nucliden[#All],19,FALSE)),(IF(M6="Ja",(VLOOKUP(A6,Nucliden[#All],18,FALSE)),(IF(M6="Deels","Bepaal h(10)","")))))</f>
        <v>2.18E-2</v>
      </c>
      <c r="R6" s="115">
        <f>IF(M6="Nee",(VLOOKUP(A6,Nucliden[#All],25,FALSE)),(IF(M6="Ja",(VLOOKUP(A6,Nucliden[#All],26,FALSE)),(IF(M6="Deels","Bepaal h(3)","")))))</f>
        <v>2.5999999999999999E-2</v>
      </c>
      <c r="S6" s="115">
        <f>EXP(-0.693*H6/(VLOOKUP(A6,Nucliden[#All],6,FALSE)))</f>
        <v>1</v>
      </c>
      <c r="T6" s="117">
        <f>EXP(-0.693*L6/(VLOOKUP(A6,Nucliden[#All],6,FALSE)))</f>
        <v>1.374680847871773E-13</v>
      </c>
      <c r="U6" s="118">
        <f t="shared" si="6"/>
        <v>1462776</v>
      </c>
      <c r="V6" s="119">
        <f t="shared" si="7"/>
        <v>24.3796</v>
      </c>
      <c r="W6" s="118">
        <f t="shared" si="8"/>
        <v>1.6782103790818604E-11</v>
      </c>
      <c r="X6" s="119">
        <f t="shared" si="9"/>
        <v>2.7970172984697674E-16</v>
      </c>
      <c r="Y6" s="118">
        <f t="shared" si="10"/>
        <v>2.0015353145013012E-11</v>
      </c>
      <c r="Z6" s="119">
        <f t="shared" si="11"/>
        <v>3.3358921908355017E-16</v>
      </c>
      <c r="AA6" s="114">
        <v>1</v>
      </c>
      <c r="AB6" s="119">
        <f t="shared" si="12"/>
        <v>24.3796</v>
      </c>
      <c r="AC6" s="119">
        <f t="shared" si="13"/>
        <v>2.7970172984697674E-16</v>
      </c>
      <c r="AD6" s="119">
        <f t="shared" si="14"/>
        <v>3.3358921908355017E-16</v>
      </c>
    </row>
    <row r="7" spans="1:30" x14ac:dyDescent="0.2">
      <c r="A7" s="108"/>
      <c r="B7" s="109"/>
      <c r="C7" s="240"/>
      <c r="D7" s="273"/>
      <c r="E7" s="290"/>
      <c r="F7" s="236"/>
      <c r="G7" s="237"/>
      <c r="H7" s="238"/>
      <c r="I7" s="114"/>
      <c r="J7" s="237"/>
      <c r="K7" s="239"/>
      <c r="L7" s="238"/>
      <c r="M7" s="114"/>
      <c r="N7" s="105" t="e">
        <f>VLOOKUP(B7,Levering[#All],4,FALSE)</f>
        <v>#N/A</v>
      </c>
      <c r="O7" s="106" t="e">
        <f>EXP(-0.693*E7/(VLOOKUP(A7,Nucliden[#All],3,FALSE)))*D7</f>
        <v>#N/A</v>
      </c>
      <c r="P7" s="115" t="str">
        <f>IF(I7="Nee",(VLOOKUP(A7,Nucliden[#All],35,FALSE)),(IF(I7="Ja",(VLOOKUP(A7,Nucliden[#All],34,FALSE)),(IF(I7="Deels","Bepaal h(0,07)","")))))</f>
        <v/>
      </c>
      <c r="Q7" s="115" t="str">
        <f>IF(M7="Nee",(VLOOKUP(A7,Nucliden[#All],19,FALSE)),(IF(M7="Ja",(VLOOKUP(A7,Nucliden[#All],18,FALSE)),(IF(M7="Deels","Bepaal h(10)","")))))</f>
        <v/>
      </c>
      <c r="R7" s="115" t="str">
        <f>IF(M7="Nee",(VLOOKUP(A7,Nucliden[#All],25,FALSE)),(IF(M7="Ja",(VLOOKUP(A7,Nucliden[#All],26,FALSE)),(IF(M7="Deels","Bepaal h(3)","")))))</f>
        <v/>
      </c>
      <c r="S7" s="115" t="e">
        <f>EXP(-0.693*H7/(VLOOKUP(A7,Nucliden[#All],6,FALSE)))</f>
        <v>#N/A</v>
      </c>
      <c r="T7" s="117" t="e">
        <f>EXP(-0.693*L7/(VLOOKUP(A7,Nucliden[#All],6,FALSE)))</f>
        <v>#N/A</v>
      </c>
      <c r="U7" s="118" t="e">
        <f t="shared" si="6"/>
        <v>#N/A</v>
      </c>
      <c r="V7" s="119" t="e">
        <f t="shared" si="7"/>
        <v>#N/A</v>
      </c>
      <c r="W7" s="118" t="e">
        <f t="shared" si="8"/>
        <v>#N/A</v>
      </c>
      <c r="X7" s="119" t="e">
        <f t="shared" si="9"/>
        <v>#N/A</v>
      </c>
      <c r="Y7" s="118" t="e">
        <f t="shared" si="10"/>
        <v>#N/A</v>
      </c>
      <c r="Z7" s="119" t="e">
        <f t="shared" si="11"/>
        <v>#N/A</v>
      </c>
      <c r="AA7" s="114"/>
      <c r="AB7" s="119" t="e">
        <f t="shared" si="12"/>
        <v>#N/A</v>
      </c>
      <c r="AC7" s="119" t="e">
        <f t="shared" si="13"/>
        <v>#N/A</v>
      </c>
      <c r="AD7" s="119" t="e">
        <f t="shared" si="14"/>
        <v>#N/A</v>
      </c>
    </row>
    <row r="8" spans="1:30" x14ac:dyDescent="0.2">
      <c r="A8" s="108"/>
      <c r="B8" s="109"/>
      <c r="C8" s="240"/>
      <c r="D8" s="273"/>
      <c r="E8" s="290"/>
      <c r="F8" s="236"/>
      <c r="G8" s="237"/>
      <c r="H8" s="238"/>
      <c r="I8" s="114"/>
      <c r="J8" s="237"/>
      <c r="K8" s="239"/>
      <c r="L8" s="238"/>
      <c r="M8" s="114"/>
      <c r="N8" s="105" t="e">
        <f>VLOOKUP(B8,Levering[#All],4,FALSE)</f>
        <v>#N/A</v>
      </c>
      <c r="O8" s="106" t="e">
        <f>EXP(-0.693*E8/(VLOOKUP(A8,Nucliden[#All],3,FALSE)))*D8</f>
        <v>#N/A</v>
      </c>
      <c r="P8" s="115" t="str">
        <f>IF(I8="Nee",(VLOOKUP(A8,Nucliden[#All],35,FALSE)),(IF(I8="Ja",(VLOOKUP(A8,Nucliden[#All],34,FALSE)),(IF(I8="Deels","Bepaal h(0,07)","")))))</f>
        <v/>
      </c>
      <c r="Q8" s="115" t="str">
        <f>IF(M8="Nee",(VLOOKUP(A8,Nucliden[#All],19,FALSE)),(IF(M8="Ja",(VLOOKUP(A8,Nucliden[#All],18,FALSE)),(IF(M8="Deels","Bepaal h(10)","")))))</f>
        <v/>
      </c>
      <c r="R8" s="115" t="str">
        <f>IF(M8="Nee",(VLOOKUP(A8,Nucliden[#All],25,FALSE)),(IF(M8="Ja",(VLOOKUP(A8,Nucliden[#All],26,FALSE)),(IF(M8="Deels","Bepaal h(3)","")))))</f>
        <v/>
      </c>
      <c r="S8" s="115" t="e">
        <f>EXP(-0.693*H8/(VLOOKUP(A8,Nucliden[#All],6,FALSE)))</f>
        <v>#N/A</v>
      </c>
      <c r="T8" s="117" t="e">
        <f>EXP(-0.693*L8/(VLOOKUP(A8,Nucliden[#All],6,FALSE)))</f>
        <v>#N/A</v>
      </c>
      <c r="U8" s="118" t="e">
        <f t="shared" si="0"/>
        <v>#N/A</v>
      </c>
      <c r="V8" s="119" t="e">
        <f t="shared" si="1"/>
        <v>#N/A</v>
      </c>
      <c r="W8" s="118" t="e">
        <f t="shared" si="2"/>
        <v>#N/A</v>
      </c>
      <c r="X8" s="119" t="e">
        <f t="shared" si="3"/>
        <v>#N/A</v>
      </c>
      <c r="Y8" s="118" t="e">
        <f t="shared" si="4"/>
        <v>#N/A</v>
      </c>
      <c r="Z8" s="119" t="e">
        <f t="shared" si="5"/>
        <v>#N/A</v>
      </c>
      <c r="AA8" s="114"/>
      <c r="AB8" s="119" t="e">
        <f t="shared" si="12"/>
        <v>#N/A</v>
      </c>
      <c r="AC8" s="119" t="e">
        <f t="shared" si="13"/>
        <v>#N/A</v>
      </c>
      <c r="AD8" s="119" t="e">
        <f t="shared" si="14"/>
        <v>#N/A</v>
      </c>
    </row>
    <row r="9" spans="1:30" x14ac:dyDescent="0.2">
      <c r="A9" s="121"/>
      <c r="B9" s="109"/>
      <c r="C9" s="240"/>
      <c r="D9" s="273"/>
      <c r="E9" s="290"/>
      <c r="F9" s="236"/>
      <c r="G9" s="237"/>
      <c r="H9" s="238"/>
      <c r="I9" s="114"/>
      <c r="J9" s="237"/>
      <c r="K9" s="239"/>
      <c r="L9" s="238"/>
      <c r="M9" s="114"/>
      <c r="N9" s="105" t="e">
        <f>VLOOKUP(B9,Levering[#All],4,FALSE)</f>
        <v>#N/A</v>
      </c>
      <c r="O9" s="106" t="e">
        <f>EXP(-0.693*E9/(VLOOKUP(A9,Nucliden[#All],3,FALSE)))*D9</f>
        <v>#N/A</v>
      </c>
      <c r="P9" s="115" t="str">
        <f>IF(I9="Nee",(VLOOKUP(A9,Nucliden[#All],35,FALSE)),(IF(I9="Ja",(VLOOKUP(A9,Nucliden[#All],34,FALSE)),(IF(I9="Deels","Bepaal h(0,07)","")))))</f>
        <v/>
      </c>
      <c r="Q9" s="115" t="str">
        <f>IF(M9="Nee",(VLOOKUP(A9,Nucliden[#All],19,FALSE)),(IF(M9="Ja",(VLOOKUP(A9,Nucliden[#All],18,FALSE)),(IF(M9="Deels","Bepaal h(10)","")))))</f>
        <v/>
      </c>
      <c r="R9" s="115" t="str">
        <f>IF(M9="Nee",(VLOOKUP(A9,Nucliden[#All],25,FALSE)),(IF(M9="Ja",(VLOOKUP(A9,Nucliden[#All],26,FALSE)),(IF(M9="Deels","Bepaal h(3)","")))))</f>
        <v/>
      </c>
      <c r="S9" s="115" t="e">
        <f>EXP(-0.693*H9/(VLOOKUP(A9,Nucliden[#All],6,FALSE)))</f>
        <v>#N/A</v>
      </c>
      <c r="T9" s="117" t="e">
        <f>EXP(-0.693*L9/(VLOOKUP(A9,Nucliden[#All],6,FALSE)))</f>
        <v>#N/A</v>
      </c>
      <c r="U9" s="118" t="e">
        <f t="shared" si="0"/>
        <v>#N/A</v>
      </c>
      <c r="V9" s="119" t="e">
        <f t="shared" si="1"/>
        <v>#N/A</v>
      </c>
      <c r="W9" s="118" t="e">
        <f t="shared" si="2"/>
        <v>#N/A</v>
      </c>
      <c r="X9" s="119" t="e">
        <f t="shared" si="3"/>
        <v>#N/A</v>
      </c>
      <c r="Y9" s="118" t="e">
        <f t="shared" si="4"/>
        <v>#N/A</v>
      </c>
      <c r="Z9" s="119" t="e">
        <f t="shared" si="5"/>
        <v>#N/A</v>
      </c>
      <c r="AA9" s="114"/>
      <c r="AB9" s="119" t="e">
        <f t="shared" si="12"/>
        <v>#N/A</v>
      </c>
      <c r="AC9" s="119" t="e">
        <f t="shared" si="13"/>
        <v>#N/A</v>
      </c>
      <c r="AD9" s="119" t="e">
        <f t="shared" si="14"/>
        <v>#N/A</v>
      </c>
    </row>
    <row r="10" spans="1:30" x14ac:dyDescent="0.2">
      <c r="A10" s="121"/>
      <c r="B10" s="109"/>
      <c r="C10" s="240"/>
      <c r="D10" s="273"/>
      <c r="E10" s="290"/>
      <c r="F10" s="236"/>
      <c r="G10" s="237"/>
      <c r="H10" s="238"/>
      <c r="I10" s="114"/>
      <c r="J10" s="237"/>
      <c r="K10" s="239"/>
      <c r="L10" s="238"/>
      <c r="M10" s="114"/>
      <c r="N10" s="105" t="e">
        <f>VLOOKUP(B10,Levering[#All],4,FALSE)</f>
        <v>#N/A</v>
      </c>
      <c r="O10" s="106" t="e">
        <f>EXP(-0.693*E10/(VLOOKUP(A10,Nucliden[#All],3,FALSE)))*D10</f>
        <v>#N/A</v>
      </c>
      <c r="P10" s="115" t="str">
        <f>IF(I10="Nee",(VLOOKUP(A10,Nucliden[#All],35,FALSE)),(IF(I10="Ja",(VLOOKUP(A10,Nucliden[#All],34,FALSE)),(IF(I10="Deels","Bepaal h(0,07)","")))))</f>
        <v/>
      </c>
      <c r="Q10" s="115" t="str">
        <f>IF(M10="Nee",(VLOOKUP(A10,Nucliden[#All],19,FALSE)),(IF(M10="Ja",(VLOOKUP(A10,Nucliden[#All],18,FALSE)),(IF(M10="Deels","Bepaal h(10)","")))))</f>
        <v/>
      </c>
      <c r="R10" s="115" t="str">
        <f>IF(M10="Nee",(VLOOKUP(A10,Nucliden[#All],25,FALSE)),(IF(M10="Ja",(VLOOKUP(A10,Nucliden[#All],26,FALSE)),(IF(M10="Deels","Bepaal h(3)","")))))</f>
        <v/>
      </c>
      <c r="S10" s="115" t="e">
        <f>EXP(-0.693*H10/(VLOOKUP(A10,Nucliden[#All],6,FALSE)))</f>
        <v>#N/A</v>
      </c>
      <c r="T10" s="117" t="e">
        <f>EXP(-0.693*L10/(VLOOKUP(A10,Nucliden[#All],6,FALSE)))</f>
        <v>#N/A</v>
      </c>
      <c r="U10" s="118" t="e">
        <f t="shared" si="0"/>
        <v>#N/A</v>
      </c>
      <c r="V10" s="119" t="e">
        <f t="shared" si="1"/>
        <v>#N/A</v>
      </c>
      <c r="W10" s="118" t="e">
        <f t="shared" si="2"/>
        <v>#N/A</v>
      </c>
      <c r="X10" s="119" t="e">
        <f t="shared" si="3"/>
        <v>#N/A</v>
      </c>
      <c r="Y10" s="118" t="e">
        <f t="shared" si="4"/>
        <v>#N/A</v>
      </c>
      <c r="Z10" s="119" t="e">
        <f t="shared" si="5"/>
        <v>#N/A</v>
      </c>
      <c r="AA10" s="114"/>
      <c r="AB10" s="119" t="e">
        <f t="shared" si="12"/>
        <v>#N/A</v>
      </c>
      <c r="AC10" s="119" t="e">
        <f t="shared" si="13"/>
        <v>#N/A</v>
      </c>
      <c r="AD10" s="119" t="e">
        <f t="shared" si="14"/>
        <v>#N/A</v>
      </c>
    </row>
    <row r="11" spans="1:30" x14ac:dyDescent="0.2">
      <c r="A11" s="121"/>
      <c r="B11" s="109"/>
      <c r="C11" s="240"/>
      <c r="D11" s="273"/>
      <c r="E11" s="290"/>
      <c r="F11" s="236"/>
      <c r="G11" s="237"/>
      <c r="H11" s="238"/>
      <c r="I11" s="114"/>
      <c r="J11" s="237"/>
      <c r="K11" s="239"/>
      <c r="L11" s="238"/>
      <c r="M11" s="114"/>
      <c r="N11" s="105" t="e">
        <f>VLOOKUP(B11,Levering[#All],4,FALSE)</f>
        <v>#N/A</v>
      </c>
      <c r="O11" s="106" t="e">
        <f>EXP(-0.693*E11/(VLOOKUP(A11,Nucliden[#All],3,FALSE)))*D11</f>
        <v>#N/A</v>
      </c>
      <c r="P11" s="115" t="str">
        <f>IF(I11="Nee",(VLOOKUP(A11,Nucliden[#All],35,FALSE)),(IF(I11="Ja",(VLOOKUP(A11,Nucliden[#All],34,FALSE)),(IF(I11="Deels","Bepaal h(0,07)","")))))</f>
        <v/>
      </c>
      <c r="Q11" s="115" t="str">
        <f>IF(M11="Nee",(VLOOKUP(A11,Nucliden[#All],19,FALSE)),(IF(M11="Ja",(VLOOKUP(A11,Nucliden[#All],18,FALSE)),(IF(M11="Deels","Bepaal h(10)","")))))</f>
        <v/>
      </c>
      <c r="R11" s="115" t="str">
        <f>IF(M11="Nee",(VLOOKUP(A11,Nucliden[#All],25,FALSE)),(IF(M11="Ja",(VLOOKUP(A11,Nucliden[#All],26,FALSE)),(IF(M11="Deels","Bepaal h(3)","")))))</f>
        <v/>
      </c>
      <c r="S11" s="115" t="e">
        <f>EXP(-0.693*H11/(VLOOKUP(A11,Nucliden[#All],6,FALSE)))</f>
        <v>#N/A</v>
      </c>
      <c r="T11" s="117" t="e">
        <f>EXP(-0.693*L11/(VLOOKUP(A11,Nucliden[#All],6,FALSE)))</f>
        <v>#N/A</v>
      </c>
      <c r="U11" s="118" t="e">
        <f t="shared" si="0"/>
        <v>#N/A</v>
      </c>
      <c r="V11" s="119" t="e">
        <f t="shared" si="1"/>
        <v>#N/A</v>
      </c>
      <c r="W11" s="118" t="e">
        <f t="shared" si="2"/>
        <v>#N/A</v>
      </c>
      <c r="X11" s="119" t="e">
        <f t="shared" si="3"/>
        <v>#N/A</v>
      </c>
      <c r="Y11" s="118" t="e">
        <f t="shared" si="4"/>
        <v>#N/A</v>
      </c>
      <c r="Z11" s="119" t="e">
        <f t="shared" si="5"/>
        <v>#N/A</v>
      </c>
      <c r="AA11" s="114"/>
      <c r="AB11" s="119" t="e">
        <f t="shared" si="12"/>
        <v>#N/A</v>
      </c>
      <c r="AC11" s="119" t="e">
        <f t="shared" si="13"/>
        <v>#N/A</v>
      </c>
      <c r="AD11" s="119" t="e">
        <f t="shared" si="14"/>
        <v>#N/A</v>
      </c>
    </row>
    <row r="12" spans="1:30" x14ac:dyDescent="0.2">
      <c r="A12" s="121"/>
      <c r="B12" s="109"/>
      <c r="C12" s="240"/>
      <c r="D12" s="273"/>
      <c r="E12" s="290"/>
      <c r="F12" s="236"/>
      <c r="G12" s="237"/>
      <c r="H12" s="238"/>
      <c r="I12" s="114"/>
      <c r="J12" s="237"/>
      <c r="K12" s="239"/>
      <c r="L12" s="238"/>
      <c r="M12" s="114"/>
      <c r="N12" s="105" t="e">
        <f>VLOOKUP(B12,Levering[#All],4,FALSE)</f>
        <v>#N/A</v>
      </c>
      <c r="O12" s="106" t="e">
        <f>EXP(-0.693*E12/(VLOOKUP(A12,Nucliden[#All],3,FALSE)))*D12</f>
        <v>#N/A</v>
      </c>
      <c r="P12" s="115" t="str">
        <f>IF(I12="Nee",(VLOOKUP(A12,Nucliden[#All],35,FALSE)),(IF(I12="Ja",(VLOOKUP(A12,Nucliden[#All],34,FALSE)),(IF(I12="Deels","Bepaal h(0,07)","")))))</f>
        <v/>
      </c>
      <c r="Q12" s="115" t="str">
        <f>IF(M12="Nee",(VLOOKUP(A12,Nucliden[#All],19,FALSE)),(IF(M12="Ja",(VLOOKUP(A12,Nucliden[#All],18,FALSE)),(IF(M12="Deels","Bepaal h(10)","")))))</f>
        <v/>
      </c>
      <c r="R12" s="115" t="str">
        <f>IF(M12="Nee",(VLOOKUP(A12,Nucliden[#All],25,FALSE)),(IF(M12="Ja",(VLOOKUP(A12,Nucliden[#All],26,FALSE)),(IF(M12="Deels","Bepaal h(3)","")))))</f>
        <v/>
      </c>
      <c r="S12" s="115" t="e">
        <f>EXP(-0.693*H12/(VLOOKUP(A12,Nucliden[#All],6,FALSE)))</f>
        <v>#N/A</v>
      </c>
      <c r="T12" s="117" t="e">
        <f>EXP(-0.693*L12/(VLOOKUP(A12,Nucliden[#All],6,FALSE)))</f>
        <v>#N/A</v>
      </c>
      <c r="U12" s="118" t="e">
        <f t="shared" si="0"/>
        <v>#N/A</v>
      </c>
      <c r="V12" s="119" t="e">
        <f t="shared" si="1"/>
        <v>#N/A</v>
      </c>
      <c r="W12" s="118" t="e">
        <f t="shared" si="2"/>
        <v>#N/A</v>
      </c>
      <c r="X12" s="119" t="e">
        <f t="shared" si="3"/>
        <v>#N/A</v>
      </c>
      <c r="Y12" s="118" t="e">
        <f t="shared" si="4"/>
        <v>#N/A</v>
      </c>
      <c r="Z12" s="119" t="e">
        <f t="shared" si="5"/>
        <v>#N/A</v>
      </c>
      <c r="AA12" s="114"/>
      <c r="AB12" s="119" t="e">
        <f t="shared" si="12"/>
        <v>#N/A</v>
      </c>
      <c r="AC12" s="119" t="e">
        <f t="shared" si="13"/>
        <v>#N/A</v>
      </c>
      <c r="AD12" s="119" t="e">
        <f t="shared" si="14"/>
        <v>#N/A</v>
      </c>
    </row>
    <row r="13" spans="1:30" x14ac:dyDescent="0.2">
      <c r="A13" s="108"/>
      <c r="B13" s="109"/>
      <c r="C13" s="240"/>
      <c r="D13" s="273"/>
      <c r="E13" s="290"/>
      <c r="F13" s="236"/>
      <c r="G13" s="237"/>
      <c r="H13" s="238"/>
      <c r="I13" s="114"/>
      <c r="J13" s="237"/>
      <c r="K13" s="239"/>
      <c r="L13" s="238"/>
      <c r="M13" s="114"/>
      <c r="N13" s="105" t="e">
        <f>VLOOKUP(B13,Levering[#All],4,FALSE)</f>
        <v>#N/A</v>
      </c>
      <c r="O13" s="106" t="e">
        <f>EXP(-0.693*E13/(VLOOKUP(A13,Nucliden[#All],3,FALSE)))*D13</f>
        <v>#N/A</v>
      </c>
      <c r="P13" s="115" t="str">
        <f>IF(I13="Nee",(VLOOKUP(A13,Nucliden[#All],35,FALSE)),(IF(I13="Ja",(VLOOKUP(A13,Nucliden[#All],34,FALSE)),(IF(I13="Deels","Bepaal h(0,07)","")))))</f>
        <v/>
      </c>
      <c r="Q13" s="115" t="str">
        <f>IF(M13="Nee",(VLOOKUP(A13,Nucliden[#All],19,FALSE)),(IF(M13="Ja",(VLOOKUP(A13,Nucliden[#All],18,FALSE)),(IF(M13="Deels","Bepaal h(10)","")))))</f>
        <v/>
      </c>
      <c r="R13" s="115" t="str">
        <f>IF(M13="Nee",(VLOOKUP(A13,Nucliden[#All],25,FALSE)),(IF(M13="Ja",(VLOOKUP(A13,Nucliden[#All],26,FALSE)),(IF(M13="Deels","Bepaal h(3)","")))))</f>
        <v/>
      </c>
      <c r="S13" s="115" t="e">
        <f>EXP(-0.693*H13/(VLOOKUP(A13,Nucliden[#All],6,FALSE)))</f>
        <v>#N/A</v>
      </c>
      <c r="T13" s="117" t="e">
        <f>EXP(-0.693*L13/(VLOOKUP(A13,Nucliden[#All],6,FALSE)))</f>
        <v>#N/A</v>
      </c>
      <c r="U13" s="118" t="e">
        <f t="shared" si="0"/>
        <v>#N/A</v>
      </c>
      <c r="V13" s="119" t="e">
        <f t="shared" si="1"/>
        <v>#N/A</v>
      </c>
      <c r="W13" s="118" t="e">
        <f t="shared" si="2"/>
        <v>#N/A</v>
      </c>
      <c r="X13" s="119" t="e">
        <f t="shared" si="3"/>
        <v>#N/A</v>
      </c>
      <c r="Y13" s="118" t="e">
        <f t="shared" si="4"/>
        <v>#N/A</v>
      </c>
      <c r="Z13" s="119" t="e">
        <f t="shared" si="5"/>
        <v>#N/A</v>
      </c>
      <c r="AA13" s="114"/>
      <c r="AB13" s="119" t="e">
        <f t="shared" si="12"/>
        <v>#N/A</v>
      </c>
      <c r="AC13" s="119" t="e">
        <f t="shared" si="13"/>
        <v>#N/A</v>
      </c>
      <c r="AD13" s="119" t="e">
        <f t="shared" si="14"/>
        <v>#N/A</v>
      </c>
    </row>
    <row r="14" spans="1:30" x14ac:dyDescent="0.2">
      <c r="A14" s="108"/>
      <c r="B14" s="109"/>
      <c r="C14" s="240"/>
      <c r="D14" s="273"/>
      <c r="E14" s="290"/>
      <c r="F14" s="236"/>
      <c r="G14" s="237"/>
      <c r="H14" s="238"/>
      <c r="I14" s="114"/>
      <c r="J14" s="237"/>
      <c r="K14" s="239"/>
      <c r="L14" s="238"/>
      <c r="M14" s="114"/>
      <c r="N14" s="105" t="e">
        <f>VLOOKUP(B14,Levering[#All],4,FALSE)</f>
        <v>#N/A</v>
      </c>
      <c r="O14" s="106" t="e">
        <f>EXP(-0.693*E14/(VLOOKUP(A14,Nucliden[#All],3,FALSE)))*D14</f>
        <v>#N/A</v>
      </c>
      <c r="P14" s="115" t="str">
        <f>IF(I14="Nee",(VLOOKUP(A14,Nucliden[#All],35,FALSE)),(IF(I14="Ja",(VLOOKUP(A14,Nucliden[#All],34,FALSE)),(IF(I14="Deels","Bepaal h(0,07)","")))))</f>
        <v/>
      </c>
      <c r="Q14" s="115" t="str">
        <f>IF(M14="Nee",(VLOOKUP(A14,Nucliden[#All],19,FALSE)),(IF(M14="Ja",(VLOOKUP(A14,Nucliden[#All],18,FALSE)),(IF(M14="Deels","Bepaal h(10)","")))))</f>
        <v/>
      </c>
      <c r="R14" s="115" t="str">
        <f>IF(M14="Nee",(VLOOKUP(A14,Nucliden[#All],25,FALSE)),(IF(M14="Ja",(VLOOKUP(A14,Nucliden[#All],26,FALSE)),(IF(M14="Deels","Bepaal h(3)","")))))</f>
        <v/>
      </c>
      <c r="S14" s="115" t="e">
        <f>EXP(-0.693*H14/(VLOOKUP(A14,Nucliden[#All],6,FALSE)))</f>
        <v>#N/A</v>
      </c>
      <c r="T14" s="117" t="e">
        <f>EXP(-0.693*L14/(VLOOKUP(A14,Nucliden[#All],6,FALSE)))</f>
        <v>#N/A</v>
      </c>
      <c r="U14" s="118" t="e">
        <f t="shared" si="0"/>
        <v>#N/A</v>
      </c>
      <c r="V14" s="119" t="e">
        <f t="shared" si="1"/>
        <v>#N/A</v>
      </c>
      <c r="W14" s="118" t="e">
        <f t="shared" si="2"/>
        <v>#N/A</v>
      </c>
      <c r="X14" s="119" t="e">
        <f t="shared" si="3"/>
        <v>#N/A</v>
      </c>
      <c r="Y14" s="118" t="e">
        <f t="shared" si="4"/>
        <v>#N/A</v>
      </c>
      <c r="Z14" s="119" t="e">
        <f t="shared" si="5"/>
        <v>#N/A</v>
      </c>
      <c r="AA14" s="114"/>
      <c r="AB14" s="119" t="e">
        <f t="shared" si="12"/>
        <v>#N/A</v>
      </c>
      <c r="AC14" s="119" t="e">
        <f t="shared" si="13"/>
        <v>#N/A</v>
      </c>
      <c r="AD14" s="119" t="e">
        <f t="shared" si="14"/>
        <v>#N/A</v>
      </c>
    </row>
    <row r="15" spans="1:30" x14ac:dyDescent="0.2">
      <c r="A15" s="108"/>
      <c r="B15" s="109"/>
      <c r="C15" s="240"/>
      <c r="D15" s="273"/>
      <c r="E15" s="290"/>
      <c r="F15" s="236"/>
      <c r="G15" s="237"/>
      <c r="H15" s="238"/>
      <c r="I15" s="114"/>
      <c r="J15" s="237"/>
      <c r="K15" s="239"/>
      <c r="L15" s="238"/>
      <c r="M15" s="114"/>
      <c r="N15" s="105" t="e">
        <f>VLOOKUP(B15,Levering[#All],4,FALSE)</f>
        <v>#N/A</v>
      </c>
      <c r="O15" s="106" t="e">
        <f>EXP(-0.693*E15/(VLOOKUP(A15,Nucliden[#All],3,FALSE)))*D15</f>
        <v>#N/A</v>
      </c>
      <c r="P15" s="115" t="str">
        <f>IF(I15="Nee",(VLOOKUP(A15,Nucliden[#All],35,FALSE)),(IF(I15="Ja",(VLOOKUP(A15,Nucliden[#All],34,FALSE)),(IF(I15="Deels","Bepaal h(0,07)","")))))</f>
        <v/>
      </c>
      <c r="Q15" s="115" t="str">
        <f>IF(M15="Nee",(VLOOKUP(A15,Nucliden[#All],19,FALSE)),(IF(M15="Ja",(VLOOKUP(A15,Nucliden[#All],18,FALSE)),(IF(M15="Deels","Bepaal h(10)","")))))</f>
        <v/>
      </c>
      <c r="R15" s="115" t="str">
        <f>IF(M15="Nee",(VLOOKUP(A15,Nucliden[#All],25,FALSE)),(IF(M15="Ja",(VLOOKUP(A15,Nucliden[#All],26,FALSE)),(IF(M15="Deels","Bepaal h(3)","")))))</f>
        <v/>
      </c>
      <c r="S15" s="115" t="e">
        <f>EXP(-0.693*H15/(VLOOKUP(A15,Nucliden[#All],6,FALSE)))</f>
        <v>#N/A</v>
      </c>
      <c r="T15" s="117" t="e">
        <f>EXP(-0.693*L15/(VLOOKUP(A15,Nucliden[#All],6,FALSE)))</f>
        <v>#N/A</v>
      </c>
      <c r="U15" s="118" t="e">
        <f t="shared" ref="U15:U16" si="15">N15*O15*(10/G15)^2*P15*S15</f>
        <v>#N/A</v>
      </c>
      <c r="V15" s="119" t="e">
        <f t="shared" ref="V15:V16" si="16">F15/60*U15/1000</f>
        <v>#N/A</v>
      </c>
      <c r="W15" s="118" t="e">
        <f t="shared" ref="W15:W16" si="17">N15*O15*(1/K15)^2*Q15*S15*T15</f>
        <v>#N/A</v>
      </c>
      <c r="X15" s="119" t="e">
        <f t="shared" ref="X15:X16" si="18">J15/60*W15/1000</f>
        <v>#N/A</v>
      </c>
      <c r="Y15" s="118" t="e">
        <f t="shared" ref="Y15:Y16" si="19">N15*O15*(1/K15)^2*R15*S15*T15</f>
        <v>#N/A</v>
      </c>
      <c r="Z15" s="119" t="e">
        <f t="shared" ref="Z15:Z16" si="20">J15/60*Y15/1000</f>
        <v>#N/A</v>
      </c>
      <c r="AA15" s="114"/>
      <c r="AB15" s="119" t="e">
        <f t="shared" si="12"/>
        <v>#N/A</v>
      </c>
      <c r="AC15" s="119" t="e">
        <f t="shared" si="13"/>
        <v>#N/A</v>
      </c>
      <c r="AD15" s="119" t="e">
        <f t="shared" si="14"/>
        <v>#N/A</v>
      </c>
    </row>
    <row r="16" spans="1:30" x14ac:dyDescent="0.2">
      <c r="A16" s="108"/>
      <c r="B16" s="109"/>
      <c r="C16" s="240"/>
      <c r="D16" s="273"/>
      <c r="E16" s="290"/>
      <c r="F16" s="236"/>
      <c r="G16" s="237"/>
      <c r="H16" s="238"/>
      <c r="I16" s="114"/>
      <c r="J16" s="237"/>
      <c r="K16" s="239"/>
      <c r="L16" s="238"/>
      <c r="M16" s="114"/>
      <c r="N16" s="105" t="e">
        <f>VLOOKUP(B16,Levering[#All],4,FALSE)</f>
        <v>#N/A</v>
      </c>
      <c r="O16" s="106" t="e">
        <f>EXP(-0.693*E16/(VLOOKUP(A16,Nucliden[#All],3,FALSE)))*D16</f>
        <v>#N/A</v>
      </c>
      <c r="P16" s="115" t="str">
        <f>IF(I16="Nee",(VLOOKUP(A16,Nucliden[#All],35,FALSE)),(IF(I16="Ja",(VLOOKUP(A16,Nucliden[#All],34,FALSE)),(IF(I16="Deels","Bepaal h(0,07)","")))))</f>
        <v/>
      </c>
      <c r="Q16" s="115" t="str">
        <f>IF(M16="Nee",(VLOOKUP(A16,Nucliden[#All],19,FALSE)),(IF(M16="Ja",(VLOOKUP(A16,Nucliden[#All],18,FALSE)),(IF(M16="Deels","Bepaal h(10)","")))))</f>
        <v/>
      </c>
      <c r="R16" s="115" t="str">
        <f>IF(M16="Nee",(VLOOKUP(A16,Nucliden[#All],25,FALSE)),(IF(M16="Ja",(VLOOKUP(A16,Nucliden[#All],26,FALSE)),(IF(M16="Deels","Bepaal h(3)","")))))</f>
        <v/>
      </c>
      <c r="S16" s="115" t="e">
        <f>EXP(-0.693*H16/(VLOOKUP(A16,Nucliden[#All],6,FALSE)))</f>
        <v>#N/A</v>
      </c>
      <c r="T16" s="117" t="e">
        <f>EXP(-0.693*L16/(VLOOKUP(A16,Nucliden[#All],6,FALSE)))</f>
        <v>#N/A</v>
      </c>
      <c r="U16" s="118" t="e">
        <f t="shared" si="15"/>
        <v>#N/A</v>
      </c>
      <c r="V16" s="119" t="e">
        <f t="shared" si="16"/>
        <v>#N/A</v>
      </c>
      <c r="W16" s="118" t="e">
        <f t="shared" si="17"/>
        <v>#N/A</v>
      </c>
      <c r="X16" s="119" t="e">
        <f t="shared" si="18"/>
        <v>#N/A</v>
      </c>
      <c r="Y16" s="118" t="e">
        <f t="shared" si="19"/>
        <v>#N/A</v>
      </c>
      <c r="Z16" s="119" t="e">
        <f t="shared" si="20"/>
        <v>#N/A</v>
      </c>
      <c r="AA16" s="114"/>
      <c r="AB16" s="119" t="e">
        <f t="shared" si="12"/>
        <v>#N/A</v>
      </c>
      <c r="AC16" s="119" t="e">
        <f t="shared" si="13"/>
        <v>#N/A</v>
      </c>
      <c r="AD16" s="119" t="e">
        <f t="shared" si="14"/>
        <v>#N/A</v>
      </c>
    </row>
    <row r="17" spans="1:30" x14ac:dyDescent="0.2">
      <c r="A17" s="108"/>
      <c r="B17" s="109"/>
      <c r="C17" s="240"/>
      <c r="D17" s="273"/>
      <c r="E17" s="290"/>
      <c r="F17" s="236"/>
      <c r="G17" s="237"/>
      <c r="H17" s="238"/>
      <c r="I17" s="114"/>
      <c r="J17" s="237"/>
      <c r="K17" s="239"/>
      <c r="L17" s="238"/>
      <c r="M17" s="114"/>
      <c r="N17" s="105" t="e">
        <f>VLOOKUP(B17,Levering[#All],4,FALSE)</f>
        <v>#N/A</v>
      </c>
      <c r="O17" s="106" t="e">
        <f>EXP(-0.693*E17/(VLOOKUP(A17,Nucliden[#All],3,FALSE)))*D17</f>
        <v>#N/A</v>
      </c>
      <c r="P17" s="115" t="str">
        <f>IF(I17="Nee",(VLOOKUP(A17,Nucliden[#All],35,FALSE)),(IF(I17="Ja",(VLOOKUP(A17,Nucliden[#All],34,FALSE)),(IF(I17="Deels","Bepaal h(0,07)","")))))</f>
        <v/>
      </c>
      <c r="Q17" s="115" t="str">
        <f>IF(M17="Nee",(VLOOKUP(A17,Nucliden[#All],19,FALSE)),(IF(M17="Ja",(VLOOKUP(A17,Nucliden[#All],18,FALSE)),(IF(M17="Deels","Bepaal h(10)","")))))</f>
        <v/>
      </c>
      <c r="R17" s="115" t="str">
        <f>IF(M17="Nee",(VLOOKUP(A17,Nucliden[#All],25,FALSE)),(IF(M17="Ja",(VLOOKUP(A17,Nucliden[#All],26,FALSE)),(IF(M17="Deels","Bepaal h(3)","")))))</f>
        <v/>
      </c>
      <c r="S17" s="115" t="e">
        <f>EXP(-0.693*H17/(VLOOKUP(A17,Nucliden[#All],6,FALSE)))</f>
        <v>#N/A</v>
      </c>
      <c r="T17" s="117" t="e">
        <f>EXP(-0.693*L17/(VLOOKUP(A17,Nucliden[#All],6,FALSE)))</f>
        <v>#N/A</v>
      </c>
      <c r="U17" s="118" t="e">
        <f t="shared" si="0"/>
        <v>#N/A</v>
      </c>
      <c r="V17" s="119" t="e">
        <f t="shared" si="1"/>
        <v>#N/A</v>
      </c>
      <c r="W17" s="118" t="e">
        <f t="shared" si="2"/>
        <v>#N/A</v>
      </c>
      <c r="X17" s="119" t="e">
        <f t="shared" si="3"/>
        <v>#N/A</v>
      </c>
      <c r="Y17" s="118" t="e">
        <f t="shared" si="4"/>
        <v>#N/A</v>
      </c>
      <c r="Z17" s="119" t="e">
        <f t="shared" si="5"/>
        <v>#N/A</v>
      </c>
      <c r="AA17" s="114"/>
      <c r="AB17" s="119" t="e">
        <f t="shared" si="12"/>
        <v>#N/A</v>
      </c>
      <c r="AC17" s="119" t="e">
        <f t="shared" si="13"/>
        <v>#N/A</v>
      </c>
      <c r="AD17" s="119" t="e">
        <f t="shared" si="14"/>
        <v>#N/A</v>
      </c>
    </row>
    <row r="18" spans="1:30" x14ac:dyDescent="0.2">
      <c r="A18" s="108"/>
      <c r="B18" s="109"/>
      <c r="C18" s="240"/>
      <c r="D18" s="273"/>
      <c r="E18" s="290"/>
      <c r="F18" s="236"/>
      <c r="G18" s="237"/>
      <c r="H18" s="238"/>
      <c r="I18" s="114"/>
      <c r="J18" s="237"/>
      <c r="K18" s="239"/>
      <c r="L18" s="238"/>
      <c r="M18" s="114"/>
      <c r="N18" s="105" t="e">
        <f>VLOOKUP(B18,Levering[#All],4,FALSE)</f>
        <v>#N/A</v>
      </c>
      <c r="O18" s="106" t="e">
        <f>EXP(-0.693*E18/(VLOOKUP(A18,Nucliden[#All],3,FALSE)))*D18</f>
        <v>#N/A</v>
      </c>
      <c r="P18" s="115" t="str">
        <f>IF(I18="Nee",(VLOOKUP(A18,Nucliden[#All],35,FALSE)),(IF(I18="Ja",(VLOOKUP(A18,Nucliden[#All],34,FALSE)),(IF(I18="Deels","Bepaal h(0,07)","")))))</f>
        <v/>
      </c>
      <c r="Q18" s="115" t="str">
        <f>IF(M18="Nee",(VLOOKUP(A18,Nucliden[#All],19,FALSE)),(IF(M18="Ja",(VLOOKUP(A18,Nucliden[#All],18,FALSE)),(IF(M18="Deels","Bepaal h(10)","")))))</f>
        <v/>
      </c>
      <c r="R18" s="115" t="str">
        <f>IF(M18="Nee",(VLOOKUP(A18,Nucliden[#All],25,FALSE)),(IF(M18="Ja",(VLOOKUP(A18,Nucliden[#All],26,FALSE)),(IF(M18="Deels","Bepaal h(3)","")))))</f>
        <v/>
      </c>
      <c r="S18" s="115" t="e">
        <f>EXP(-0.693*H18/(VLOOKUP(A18,Nucliden[#All],6,FALSE)))</f>
        <v>#N/A</v>
      </c>
      <c r="T18" s="117" t="e">
        <f>EXP(-0.693*L18/(VLOOKUP(A18,Nucliden[#All],6,FALSE)))</f>
        <v>#N/A</v>
      </c>
      <c r="U18" s="118" t="e">
        <f t="shared" si="0"/>
        <v>#N/A</v>
      </c>
      <c r="V18" s="119" t="e">
        <f t="shared" si="1"/>
        <v>#N/A</v>
      </c>
      <c r="W18" s="118" t="e">
        <f t="shared" si="2"/>
        <v>#N/A</v>
      </c>
      <c r="X18" s="119" t="e">
        <f t="shared" si="3"/>
        <v>#N/A</v>
      </c>
      <c r="Y18" s="118" t="e">
        <f t="shared" si="4"/>
        <v>#N/A</v>
      </c>
      <c r="Z18" s="119" t="e">
        <f t="shared" si="5"/>
        <v>#N/A</v>
      </c>
      <c r="AA18" s="114"/>
      <c r="AB18" s="119" t="e">
        <f t="shared" si="12"/>
        <v>#N/A</v>
      </c>
      <c r="AC18" s="119" t="e">
        <f t="shared" si="13"/>
        <v>#N/A</v>
      </c>
      <c r="AD18" s="119" t="e">
        <f t="shared" si="14"/>
        <v>#N/A</v>
      </c>
    </row>
    <row r="19" spans="1:30" x14ac:dyDescent="0.2">
      <c r="A19" s="108"/>
      <c r="B19" s="109"/>
      <c r="C19" s="240"/>
      <c r="D19" s="273"/>
      <c r="E19" s="290"/>
      <c r="F19" s="236"/>
      <c r="G19" s="237"/>
      <c r="H19" s="238"/>
      <c r="I19" s="114"/>
      <c r="J19" s="237"/>
      <c r="K19" s="239"/>
      <c r="L19" s="238"/>
      <c r="M19" s="114"/>
      <c r="N19" s="105" t="e">
        <f>VLOOKUP(B19,Levering[#All],4,FALSE)</f>
        <v>#N/A</v>
      </c>
      <c r="O19" s="106" t="e">
        <f>EXP(-0.693*E19/(VLOOKUP(A19,Nucliden[#All],3,FALSE)))*D19</f>
        <v>#N/A</v>
      </c>
      <c r="P19" s="115" t="str">
        <f>IF(I19="Nee",(VLOOKUP(A19,Nucliden[#All],35,FALSE)),(IF(I19="Ja",(VLOOKUP(A19,Nucliden[#All],34,FALSE)),(IF(I19="Deels","Bepaal h(0,07)","")))))</f>
        <v/>
      </c>
      <c r="Q19" s="115" t="str">
        <f>IF(M19="Nee",(VLOOKUP(A19,Nucliden[#All],19,FALSE)),(IF(M19="Ja",(VLOOKUP(A19,Nucliden[#All],18,FALSE)),(IF(M19="Deels","Bepaal h(10)","")))))</f>
        <v/>
      </c>
      <c r="R19" s="115" t="str">
        <f>IF(M19="Nee",(VLOOKUP(A19,Nucliden[#All],25,FALSE)),(IF(M19="Ja",(VLOOKUP(A19,Nucliden[#All],26,FALSE)),(IF(M19="Deels","Bepaal h(3)","")))))</f>
        <v/>
      </c>
      <c r="S19" s="115" t="e">
        <f>EXP(-0.693*H19/(VLOOKUP(A19,Nucliden[#All],6,FALSE)))</f>
        <v>#N/A</v>
      </c>
      <c r="T19" s="117" t="e">
        <f>EXP(-0.693*L19/(VLOOKUP(A19,Nucliden[#All],6,FALSE)))</f>
        <v>#N/A</v>
      </c>
      <c r="U19" s="118" t="e">
        <f t="shared" si="0"/>
        <v>#N/A</v>
      </c>
      <c r="V19" s="119" t="e">
        <f t="shared" si="1"/>
        <v>#N/A</v>
      </c>
      <c r="W19" s="118" t="e">
        <f t="shared" si="2"/>
        <v>#N/A</v>
      </c>
      <c r="X19" s="119" t="e">
        <f t="shared" si="3"/>
        <v>#N/A</v>
      </c>
      <c r="Y19" s="118" t="e">
        <f t="shared" si="4"/>
        <v>#N/A</v>
      </c>
      <c r="Z19" s="119" t="e">
        <f t="shared" si="5"/>
        <v>#N/A</v>
      </c>
      <c r="AA19" s="114"/>
      <c r="AB19" s="119" t="e">
        <f t="shared" si="12"/>
        <v>#N/A</v>
      </c>
      <c r="AC19" s="119" t="e">
        <f t="shared" si="13"/>
        <v>#N/A</v>
      </c>
      <c r="AD19" s="119" t="e">
        <f t="shared" si="14"/>
        <v>#N/A</v>
      </c>
    </row>
    <row r="20" spans="1:30" x14ac:dyDescent="0.2">
      <c r="A20" s="108"/>
      <c r="B20" s="109"/>
      <c r="C20" s="240"/>
      <c r="D20" s="273"/>
      <c r="E20" s="290"/>
      <c r="F20" s="236"/>
      <c r="G20" s="237"/>
      <c r="H20" s="238"/>
      <c r="I20" s="114"/>
      <c r="J20" s="237"/>
      <c r="K20" s="239"/>
      <c r="L20" s="238"/>
      <c r="M20" s="114"/>
      <c r="N20" s="105" t="e">
        <f>VLOOKUP(B20,Levering[#All],4,FALSE)</f>
        <v>#N/A</v>
      </c>
      <c r="O20" s="106" t="e">
        <f>EXP(-0.693*E20/(VLOOKUP(A20,Nucliden[#All],3,FALSE)))*D20</f>
        <v>#N/A</v>
      </c>
      <c r="P20" s="115" t="str">
        <f>IF(I20="Nee",(VLOOKUP(A20,Nucliden[#All],35,FALSE)),(IF(I20="Ja",(VLOOKUP(A20,Nucliden[#All],34,FALSE)),(IF(I20="Deels","Bepaal h(0,07)","")))))</f>
        <v/>
      </c>
      <c r="Q20" s="115" t="str">
        <f>IF(M20="Nee",(VLOOKUP(A20,Nucliden[#All],19,FALSE)),(IF(M20="Ja",(VLOOKUP(A20,Nucliden[#All],18,FALSE)),(IF(M20="Deels","Bepaal h(10)","")))))</f>
        <v/>
      </c>
      <c r="R20" s="115" t="str">
        <f>IF(M20="Nee",(VLOOKUP(A20,Nucliden[#All],25,FALSE)),(IF(M20="Ja",(VLOOKUP(A20,Nucliden[#All],26,FALSE)),(IF(M20="Deels","Bepaal h(3)","")))))</f>
        <v/>
      </c>
      <c r="S20" s="115" t="e">
        <f>EXP(-0.693*H20/(VLOOKUP(A20,Nucliden[#All],6,FALSE)))</f>
        <v>#N/A</v>
      </c>
      <c r="T20" s="117" t="e">
        <f>EXP(-0.693*L20/(VLOOKUP(A20,Nucliden[#All],6,FALSE)))</f>
        <v>#N/A</v>
      </c>
      <c r="U20" s="118" t="e">
        <f t="shared" si="0"/>
        <v>#N/A</v>
      </c>
      <c r="V20" s="119" t="e">
        <f t="shared" si="1"/>
        <v>#N/A</v>
      </c>
      <c r="W20" s="118" t="e">
        <f t="shared" si="2"/>
        <v>#N/A</v>
      </c>
      <c r="X20" s="119" t="e">
        <f t="shared" si="3"/>
        <v>#N/A</v>
      </c>
      <c r="Y20" s="118" t="e">
        <f t="shared" si="4"/>
        <v>#N/A</v>
      </c>
      <c r="Z20" s="119" t="e">
        <f t="shared" si="5"/>
        <v>#N/A</v>
      </c>
      <c r="AA20" s="114"/>
      <c r="AB20" s="119" t="e">
        <f t="shared" si="12"/>
        <v>#N/A</v>
      </c>
      <c r="AC20" s="119" t="e">
        <f t="shared" si="13"/>
        <v>#N/A</v>
      </c>
      <c r="AD20" s="119" t="e">
        <f t="shared" si="14"/>
        <v>#N/A</v>
      </c>
    </row>
    <row r="21" spans="1:30" x14ac:dyDescent="0.2">
      <c r="A21" s="108"/>
      <c r="B21" s="112"/>
      <c r="C21" s="240"/>
      <c r="D21" s="273"/>
      <c r="E21" s="290"/>
      <c r="F21" s="236"/>
      <c r="G21" s="237"/>
      <c r="H21" s="238"/>
      <c r="I21" s="114"/>
      <c r="J21" s="237"/>
      <c r="K21" s="239"/>
      <c r="L21" s="238"/>
      <c r="M21" s="114"/>
      <c r="N21" s="105" t="e">
        <f>VLOOKUP(B21,Levering[#All],4,FALSE)</f>
        <v>#N/A</v>
      </c>
      <c r="O21" s="106" t="e">
        <f>EXP(-0.693*E21/(VLOOKUP(A21,Nucliden[#All],3,FALSE)))*D21</f>
        <v>#N/A</v>
      </c>
      <c r="P21" s="115" t="str">
        <f>IF(I21="Nee",(VLOOKUP(A21,Nucliden[#All],35,FALSE)),(IF(I21="Ja",(VLOOKUP(A21,Nucliden[#All],34,FALSE)),(IF(I21="Deels","Bepaal h(0,07)","")))))</f>
        <v/>
      </c>
      <c r="Q21" s="115" t="str">
        <f>IF(M21="Nee",(VLOOKUP(A21,Nucliden[#All],19,FALSE)),(IF(M21="Ja",(VLOOKUP(A21,Nucliden[#All],18,FALSE)),(IF(M21="Deels","Bepaal h(10)","")))))</f>
        <v/>
      </c>
      <c r="R21" s="115" t="str">
        <f>IF(M21="Nee",(VLOOKUP(A21,Nucliden[#All],25,FALSE)),(IF(M21="Ja",(VLOOKUP(A21,Nucliden[#All],26,FALSE)),(IF(M21="Deels","Bepaal h(3)","")))))</f>
        <v/>
      </c>
      <c r="S21" s="115" t="e">
        <f>EXP(-0.693*H21/(VLOOKUP(A21,Nucliden[#All],6,FALSE)))</f>
        <v>#N/A</v>
      </c>
      <c r="T21" s="117" t="e">
        <f>EXP(-0.693*L21/(VLOOKUP(A21,Nucliden[#All],6,FALSE)))</f>
        <v>#N/A</v>
      </c>
      <c r="U21" s="118" t="e">
        <f t="shared" si="0"/>
        <v>#N/A</v>
      </c>
      <c r="V21" s="119" t="e">
        <f t="shared" si="1"/>
        <v>#N/A</v>
      </c>
      <c r="W21" s="118" t="e">
        <f t="shared" si="2"/>
        <v>#N/A</v>
      </c>
      <c r="X21" s="119" t="e">
        <f t="shared" si="3"/>
        <v>#N/A</v>
      </c>
      <c r="Y21" s="118" t="e">
        <f t="shared" si="4"/>
        <v>#N/A</v>
      </c>
      <c r="Z21" s="119" t="e">
        <f t="shared" si="5"/>
        <v>#N/A</v>
      </c>
      <c r="AA21" s="114"/>
      <c r="AB21" s="119" t="e">
        <f t="shared" si="12"/>
        <v>#N/A</v>
      </c>
      <c r="AC21" s="119" t="e">
        <f t="shared" si="13"/>
        <v>#N/A</v>
      </c>
      <c r="AD21" s="119" t="e">
        <f t="shared" si="14"/>
        <v>#N/A</v>
      </c>
    </row>
    <row r="22" spans="1:30" x14ac:dyDescent="0.2">
      <c r="A22" s="108"/>
      <c r="B22" s="109"/>
      <c r="C22" s="240"/>
      <c r="D22" s="273"/>
      <c r="E22" s="290"/>
      <c r="F22" s="236"/>
      <c r="G22" s="237"/>
      <c r="H22" s="238"/>
      <c r="I22" s="114"/>
      <c r="J22" s="237"/>
      <c r="K22" s="239"/>
      <c r="L22" s="238"/>
      <c r="M22" s="114"/>
      <c r="N22" s="105" t="e">
        <f>VLOOKUP(B22,Levering[#All],4,FALSE)</f>
        <v>#N/A</v>
      </c>
      <c r="O22" s="106" t="e">
        <f>EXP(-0.693*E22/(VLOOKUP(A22,Nucliden[#All],3,FALSE)))*D22</f>
        <v>#N/A</v>
      </c>
      <c r="P22" s="115" t="str">
        <f>IF(I22="Nee",(VLOOKUP(A22,Nucliden[#All],35,FALSE)),(IF(I22="Ja",(VLOOKUP(A22,Nucliden[#All],34,FALSE)),(IF(I22="Deels","Bepaal h(0,07)","")))))</f>
        <v/>
      </c>
      <c r="Q22" s="115" t="str">
        <f>IF(M22="Nee",(VLOOKUP(A22,Nucliden[#All],19,FALSE)),(IF(M22="Ja",(VLOOKUP(A22,Nucliden[#All],18,FALSE)),(IF(M22="Deels","Bepaal h(10)","")))))</f>
        <v/>
      </c>
      <c r="R22" s="115" t="str">
        <f>IF(M22="Nee",(VLOOKUP(A22,Nucliden[#All],25,FALSE)),(IF(M22="Ja",(VLOOKUP(A22,Nucliden[#All],26,FALSE)),(IF(M22="Deels","Bepaal h(3)","")))))</f>
        <v/>
      </c>
      <c r="S22" s="115" t="e">
        <f>EXP(-0.693*H22/(VLOOKUP(A22,Nucliden[#All],6,FALSE)))</f>
        <v>#N/A</v>
      </c>
      <c r="T22" s="117" t="e">
        <f>EXP(-0.693*L22/(VLOOKUP(A22,Nucliden[#All],6,FALSE)))</f>
        <v>#N/A</v>
      </c>
      <c r="U22" s="118" t="e">
        <f t="shared" si="0"/>
        <v>#N/A</v>
      </c>
      <c r="V22" s="119" t="e">
        <f t="shared" si="1"/>
        <v>#N/A</v>
      </c>
      <c r="W22" s="118" t="e">
        <f t="shared" si="2"/>
        <v>#N/A</v>
      </c>
      <c r="X22" s="119" t="e">
        <f t="shared" si="3"/>
        <v>#N/A</v>
      </c>
      <c r="Y22" s="118" t="e">
        <f t="shared" si="4"/>
        <v>#N/A</v>
      </c>
      <c r="Z22" s="119" t="e">
        <f t="shared" si="5"/>
        <v>#N/A</v>
      </c>
      <c r="AA22" s="114"/>
      <c r="AB22" s="119" t="e">
        <f t="shared" si="12"/>
        <v>#N/A</v>
      </c>
      <c r="AC22" s="119" t="e">
        <f t="shared" si="13"/>
        <v>#N/A</v>
      </c>
      <c r="AD22" s="119" t="e">
        <f t="shared" si="14"/>
        <v>#N/A</v>
      </c>
    </row>
    <row r="23" spans="1:30" x14ac:dyDescent="0.2">
      <c r="A23" s="108"/>
      <c r="B23" s="109"/>
      <c r="C23" s="240"/>
      <c r="D23" s="273"/>
      <c r="E23" s="290"/>
      <c r="F23" s="236"/>
      <c r="G23" s="237"/>
      <c r="H23" s="238"/>
      <c r="I23" s="114"/>
      <c r="J23" s="237"/>
      <c r="K23" s="239"/>
      <c r="L23" s="238"/>
      <c r="M23" s="114"/>
      <c r="N23" s="105" t="e">
        <f>VLOOKUP(B23,Levering[#All],4,FALSE)</f>
        <v>#N/A</v>
      </c>
      <c r="O23" s="106" t="e">
        <f>EXP(-0.693*E23/(VLOOKUP(A23,Nucliden[#All],3,FALSE)))*D23</f>
        <v>#N/A</v>
      </c>
      <c r="P23" s="115" t="str">
        <f>IF(I23="Nee",(VLOOKUP(A23,Nucliden[#All],35,FALSE)),(IF(I23="Ja",(VLOOKUP(A23,Nucliden[#All],34,FALSE)),(IF(I23="Deels","Bepaal h(0,07)","")))))</f>
        <v/>
      </c>
      <c r="Q23" s="115" t="str">
        <f>IF(M23="Nee",(VLOOKUP(A23,Nucliden[#All],19,FALSE)),(IF(M23="Ja",(VLOOKUP(A23,Nucliden[#All],18,FALSE)),(IF(M23="Deels","Bepaal h(10)","")))))</f>
        <v/>
      </c>
      <c r="R23" s="115" t="str">
        <f>IF(M23="Nee",(VLOOKUP(A23,Nucliden[#All],25,FALSE)),(IF(M23="Ja",(VLOOKUP(A23,Nucliden[#All],26,FALSE)),(IF(M23="Deels","Bepaal h(3)","")))))</f>
        <v/>
      </c>
      <c r="S23" s="115" t="e">
        <f>EXP(-0.693*H23/(VLOOKUP(A23,Nucliden[#All],6,FALSE)))</f>
        <v>#N/A</v>
      </c>
      <c r="T23" s="117" t="e">
        <f>EXP(-0.693*L23/(VLOOKUP(A23,Nucliden[#All],6,FALSE)))</f>
        <v>#N/A</v>
      </c>
      <c r="U23" s="118" t="e">
        <f t="shared" si="0"/>
        <v>#N/A</v>
      </c>
      <c r="V23" s="119" t="e">
        <f t="shared" si="1"/>
        <v>#N/A</v>
      </c>
      <c r="W23" s="118" t="e">
        <f t="shared" si="2"/>
        <v>#N/A</v>
      </c>
      <c r="X23" s="119" t="e">
        <f t="shared" si="3"/>
        <v>#N/A</v>
      </c>
      <c r="Y23" s="118" t="e">
        <f t="shared" si="4"/>
        <v>#N/A</v>
      </c>
      <c r="Z23" s="119" t="e">
        <f t="shared" si="5"/>
        <v>#N/A</v>
      </c>
      <c r="AA23" s="114"/>
      <c r="AB23" s="119" t="e">
        <f t="shared" si="12"/>
        <v>#N/A</v>
      </c>
      <c r="AC23" s="119" t="e">
        <f t="shared" si="13"/>
        <v>#N/A</v>
      </c>
      <c r="AD23" s="119" t="e">
        <f t="shared" si="14"/>
        <v>#N/A</v>
      </c>
    </row>
    <row r="24" spans="1:30" x14ac:dyDescent="0.2">
      <c r="A24" s="108"/>
      <c r="B24" s="111"/>
      <c r="C24" s="240"/>
      <c r="D24" s="273"/>
      <c r="E24" s="290"/>
      <c r="F24" s="236"/>
      <c r="G24" s="237"/>
      <c r="H24" s="238"/>
      <c r="I24" s="114"/>
      <c r="J24" s="237"/>
      <c r="K24" s="239"/>
      <c r="L24" s="238"/>
      <c r="M24" s="114"/>
      <c r="N24" s="105" t="e">
        <f>VLOOKUP(B24,Levering[#All],4,FALSE)</f>
        <v>#N/A</v>
      </c>
      <c r="O24" s="106" t="e">
        <f>EXP(-0.693*E24/(VLOOKUP(A24,Nucliden[#All],3,FALSE)))*D24</f>
        <v>#N/A</v>
      </c>
      <c r="P24" s="115" t="str">
        <f>IF(I24="Nee",(VLOOKUP(A24,Nucliden[#All],35,FALSE)),(IF(I24="Ja",(VLOOKUP(A24,Nucliden[#All],34,FALSE)),(IF(I24="Deels","Bepaal h(0,07)","")))))</f>
        <v/>
      </c>
      <c r="Q24" s="115" t="str">
        <f>IF(M24="Nee",(VLOOKUP(A24,Nucliden[#All],19,FALSE)),(IF(M24="Ja",(VLOOKUP(A24,Nucliden[#All],18,FALSE)),(IF(M24="Deels","Bepaal h(10)","")))))</f>
        <v/>
      </c>
      <c r="R24" s="115" t="str">
        <f>IF(M24="Nee",(VLOOKUP(A24,Nucliden[#All],25,FALSE)),(IF(M24="Ja",(VLOOKUP(A24,Nucliden[#All],26,FALSE)),(IF(M24="Deels","Bepaal h(3)","")))))</f>
        <v/>
      </c>
      <c r="S24" s="115" t="e">
        <f>EXP(-0.693*H24/(VLOOKUP(A24,Nucliden[#All],6,FALSE)))</f>
        <v>#N/A</v>
      </c>
      <c r="T24" s="117" t="e">
        <f>EXP(-0.693*L24/(VLOOKUP(A24,Nucliden[#All],6,FALSE)))</f>
        <v>#N/A</v>
      </c>
      <c r="U24" s="118" t="e">
        <f t="shared" si="0"/>
        <v>#N/A</v>
      </c>
      <c r="V24" s="119" t="e">
        <f t="shared" si="1"/>
        <v>#N/A</v>
      </c>
      <c r="W24" s="118" t="e">
        <f t="shared" si="2"/>
        <v>#N/A</v>
      </c>
      <c r="X24" s="119" t="e">
        <f t="shared" si="3"/>
        <v>#N/A</v>
      </c>
      <c r="Y24" s="118" t="e">
        <f t="shared" si="4"/>
        <v>#N/A</v>
      </c>
      <c r="Z24" s="119" t="e">
        <f t="shared" si="5"/>
        <v>#N/A</v>
      </c>
      <c r="AA24" s="114"/>
      <c r="AB24" s="119" t="e">
        <f t="shared" si="12"/>
        <v>#N/A</v>
      </c>
      <c r="AC24" s="119" t="e">
        <f t="shared" si="13"/>
        <v>#N/A</v>
      </c>
      <c r="AD24" s="119" t="e">
        <f t="shared" si="14"/>
        <v>#N/A</v>
      </c>
    </row>
    <row r="25" spans="1:30" x14ac:dyDescent="0.2">
      <c r="A25" s="108"/>
      <c r="B25" s="111"/>
      <c r="C25" s="240"/>
      <c r="D25" s="273"/>
      <c r="E25" s="290"/>
      <c r="F25" s="236"/>
      <c r="G25" s="237"/>
      <c r="H25" s="238"/>
      <c r="I25" s="114"/>
      <c r="J25" s="237"/>
      <c r="K25" s="239"/>
      <c r="L25" s="238"/>
      <c r="M25" s="114"/>
      <c r="N25" s="105" t="e">
        <f>VLOOKUP(B25,Levering[#All],4,FALSE)</f>
        <v>#N/A</v>
      </c>
      <c r="O25" s="106" t="e">
        <f>EXP(-0.693*E25/(VLOOKUP(A25,Nucliden[#All],3,FALSE)))*D25</f>
        <v>#N/A</v>
      </c>
      <c r="P25" s="115" t="str">
        <f>IF(I25="Nee",(VLOOKUP(A25,Nucliden[#All],35,FALSE)),(IF(I25="Ja",(VLOOKUP(A25,Nucliden[#All],34,FALSE)),(IF(I25="Deels","Bepaal h(0,07)","")))))</f>
        <v/>
      </c>
      <c r="Q25" s="115" t="str">
        <f>IF(M25="Nee",(VLOOKUP(A25,Nucliden[#All],19,FALSE)),(IF(M25="Ja",(VLOOKUP(A25,Nucliden[#All],18,FALSE)),(IF(M25="Deels","Bepaal h(10)","")))))</f>
        <v/>
      </c>
      <c r="R25" s="115" t="str">
        <f>IF(M25="Nee",(VLOOKUP(A25,Nucliden[#All],25,FALSE)),(IF(M25="Ja",(VLOOKUP(A25,Nucliden[#All],26,FALSE)),(IF(M25="Deels","Bepaal h(3)","")))))</f>
        <v/>
      </c>
      <c r="S25" s="115" t="e">
        <f>EXP(-0.693*H25/(VLOOKUP(A25,Nucliden[#All],6,FALSE)))</f>
        <v>#N/A</v>
      </c>
      <c r="T25" s="117" t="e">
        <f>EXP(-0.693*L25/(VLOOKUP(A25,Nucliden[#All],6,FALSE)))</f>
        <v>#N/A</v>
      </c>
      <c r="U25" s="118" t="e">
        <f t="shared" si="0"/>
        <v>#N/A</v>
      </c>
      <c r="V25" s="119" t="e">
        <f t="shared" si="1"/>
        <v>#N/A</v>
      </c>
      <c r="W25" s="118" t="e">
        <f t="shared" si="2"/>
        <v>#N/A</v>
      </c>
      <c r="X25" s="119" t="e">
        <f t="shared" si="3"/>
        <v>#N/A</v>
      </c>
      <c r="Y25" s="118" t="e">
        <f t="shared" si="4"/>
        <v>#N/A</v>
      </c>
      <c r="Z25" s="119" t="e">
        <f t="shared" si="5"/>
        <v>#N/A</v>
      </c>
      <c r="AA25" s="114"/>
      <c r="AB25" s="119" t="e">
        <f t="shared" si="12"/>
        <v>#N/A</v>
      </c>
      <c r="AC25" s="119" t="e">
        <f t="shared" si="13"/>
        <v>#N/A</v>
      </c>
      <c r="AD25" s="119" t="e">
        <f t="shared" si="14"/>
        <v>#N/A</v>
      </c>
    </row>
    <row r="26" spans="1:30" x14ac:dyDescent="0.2">
      <c r="A26" s="286" t="s">
        <v>259</v>
      </c>
      <c r="B26" s="269"/>
      <c r="C26" s="269"/>
      <c r="D26" s="4"/>
      <c r="I26" s="7" t="s">
        <v>445</v>
      </c>
      <c r="M26" s="7" t="s">
        <v>445</v>
      </c>
      <c r="AA26" s="242" t="s">
        <v>449</v>
      </c>
      <c r="AB26" s="241" t="e">
        <f>SUM(AB4:AB25)</f>
        <v>#N/A</v>
      </c>
      <c r="AC26" s="241" t="e">
        <f>SUM(AC4:AC25)</f>
        <v>#N/A</v>
      </c>
      <c r="AD26" s="241" t="e">
        <f>SUM(AD4:AD25)</f>
        <v>#N/A</v>
      </c>
    </row>
    <row r="27" spans="1:30" x14ac:dyDescent="0.2">
      <c r="A27" s="332" t="s">
        <v>557</v>
      </c>
      <c r="B27" s="333"/>
      <c r="C27" s="333"/>
      <c r="D27" s="4"/>
      <c r="E27" s="4"/>
      <c r="F27" s="4"/>
      <c r="G27" s="4"/>
      <c r="H27" s="4"/>
      <c r="I27" s="233" t="s">
        <v>66</v>
      </c>
      <c r="M27" s="233" t="s">
        <v>66</v>
      </c>
    </row>
    <row r="28" spans="1:30" ht="12.75" customHeight="1" x14ac:dyDescent="0.2">
      <c r="A28" s="333"/>
      <c r="B28" s="333"/>
      <c r="C28" s="333"/>
      <c r="I28" s="233" t="s">
        <v>446</v>
      </c>
      <c r="M28" s="233" t="s">
        <v>446</v>
      </c>
    </row>
    <row r="29" spans="1:30" x14ac:dyDescent="0.2">
      <c r="A29" s="333"/>
      <c r="B29" s="333"/>
      <c r="C29" s="333"/>
      <c r="H29" s="5"/>
      <c r="I29" s="233" t="s">
        <v>447</v>
      </c>
      <c r="J29" s="4"/>
      <c r="K29" s="4"/>
      <c r="M29" s="233" t="s">
        <v>447</v>
      </c>
    </row>
    <row r="30" spans="1:30" x14ac:dyDescent="0.2">
      <c r="A30" s="2"/>
      <c r="B30" s="2"/>
      <c r="C30" s="2"/>
      <c r="D30" s="1"/>
      <c r="H30" s="4"/>
      <c r="J30" s="4"/>
      <c r="K30" s="4"/>
    </row>
    <row r="31" spans="1:30" x14ac:dyDescent="0.2">
      <c r="D31" s="2"/>
      <c r="H31" s="5"/>
      <c r="J31" s="4"/>
      <c r="K31" s="4"/>
    </row>
    <row r="33" spans="5:6" x14ac:dyDescent="0.2">
      <c r="E33" s="11"/>
      <c r="F33" s="4"/>
    </row>
  </sheetData>
  <mergeCells count="1">
    <mergeCell ref="A27:C29"/>
  </mergeCells>
  <dataValidations count="1">
    <dataValidation type="list" allowBlank="1" showInputMessage="1" showErrorMessage="1" sqref="I4:I25 M4:M25">
      <formula1>$M$27:$M$29</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31"/>
  <sheetViews>
    <sheetView zoomScaleNormal="100" workbookViewId="0">
      <pane xSplit="3" ySplit="3" topLeftCell="D4" activePane="bottomRight" state="frozen"/>
      <selection pane="topRight" activeCell="D1" sqref="D1"/>
      <selection pane="bottomLeft" activeCell="A4" sqref="A4"/>
      <selection pane="bottomRight" activeCell="A4" sqref="A4"/>
    </sheetView>
  </sheetViews>
  <sheetFormatPr defaultRowHeight="12.75" x14ac:dyDescent="0.2"/>
  <cols>
    <col min="1" max="1" width="13.140625" customWidth="1"/>
    <col min="2" max="2" width="25.7109375" customWidth="1"/>
    <col min="3" max="3" width="30.7109375" customWidth="1"/>
    <col min="4" max="4" width="16.28515625" customWidth="1"/>
    <col min="5" max="5" width="16.28515625" style="9" customWidth="1"/>
    <col min="6" max="6" width="14" customWidth="1"/>
    <col min="7" max="7" width="13" customWidth="1"/>
    <col min="8" max="8" width="12.5703125" customWidth="1"/>
    <col min="9" max="9" width="14.28515625" customWidth="1"/>
    <col min="10" max="10" width="11.85546875" customWidth="1"/>
    <col min="11" max="11" width="10.42578125" bestFit="1" customWidth="1"/>
    <col min="12" max="12" width="13.42578125" bestFit="1" customWidth="1"/>
    <col min="13" max="13" width="14.28515625" customWidth="1"/>
    <col min="14" max="15" width="12.28515625" customWidth="1"/>
    <col min="16" max="17" width="13.140625" bestFit="1" customWidth="1"/>
    <col min="18" max="18" width="13.140625" customWidth="1"/>
    <col min="19" max="19" width="11.85546875" customWidth="1"/>
    <col min="20" max="20" width="12.7109375" customWidth="1"/>
    <col min="21" max="26" width="13.28515625" customWidth="1"/>
    <col min="27" max="27" width="9.7109375" customWidth="1"/>
    <col min="28" max="30" width="13.28515625" customWidth="1"/>
  </cols>
  <sheetData>
    <row r="1" spans="1:30" ht="30" customHeight="1" x14ac:dyDescent="0.2">
      <c r="A1" s="131" t="s">
        <v>383</v>
      </c>
      <c r="B1" s="132" t="s">
        <v>384</v>
      </c>
      <c r="C1" s="126"/>
      <c r="D1" s="126"/>
      <c r="E1" s="133"/>
      <c r="F1" s="126"/>
      <c r="G1" s="126"/>
      <c r="H1" s="126"/>
      <c r="I1" s="126"/>
      <c r="J1" s="126"/>
      <c r="K1" s="126"/>
      <c r="L1" s="126"/>
      <c r="M1" s="126"/>
      <c r="O1" s="2"/>
      <c r="P1" s="13" t="s">
        <v>61</v>
      </c>
      <c r="Q1" s="13" t="s">
        <v>61</v>
      </c>
      <c r="R1" s="13" t="s">
        <v>349</v>
      </c>
      <c r="S1" s="13" t="s">
        <v>350</v>
      </c>
      <c r="U1" s="130" t="s">
        <v>369</v>
      </c>
      <c r="V1" s="24"/>
      <c r="W1" s="35"/>
      <c r="X1" s="24"/>
      <c r="Y1" s="35"/>
      <c r="Z1" s="24"/>
      <c r="AA1" s="125" t="s">
        <v>356</v>
      </c>
      <c r="AB1" s="126"/>
      <c r="AC1" s="126"/>
      <c r="AD1" s="126"/>
    </row>
    <row r="2" spans="1:30" ht="41.25" customHeight="1" x14ac:dyDescent="0.2">
      <c r="A2" s="103" t="s">
        <v>5</v>
      </c>
      <c r="B2" s="103" t="s">
        <v>13</v>
      </c>
      <c r="C2" s="103" t="s">
        <v>368</v>
      </c>
      <c r="D2" s="103" t="s">
        <v>480</v>
      </c>
      <c r="E2" s="103" t="s">
        <v>302</v>
      </c>
      <c r="F2" s="103" t="s">
        <v>290</v>
      </c>
      <c r="G2" s="103" t="s">
        <v>292</v>
      </c>
      <c r="H2" s="103" t="s">
        <v>295</v>
      </c>
      <c r="I2" s="103" t="s">
        <v>525</v>
      </c>
      <c r="J2" s="103" t="s">
        <v>294</v>
      </c>
      <c r="K2" s="103" t="s">
        <v>293</v>
      </c>
      <c r="L2" s="103" t="s">
        <v>297</v>
      </c>
      <c r="M2" s="103" t="s">
        <v>526</v>
      </c>
      <c r="N2" s="102" t="s">
        <v>357</v>
      </c>
      <c r="O2" s="102" t="s">
        <v>82</v>
      </c>
      <c r="P2" s="102" t="s">
        <v>299</v>
      </c>
      <c r="Q2" s="102" t="s">
        <v>300</v>
      </c>
      <c r="R2" s="102" t="s">
        <v>301</v>
      </c>
      <c r="S2" s="102" t="s">
        <v>83</v>
      </c>
      <c r="T2" s="102" t="s">
        <v>86</v>
      </c>
      <c r="U2" s="116" t="s">
        <v>303</v>
      </c>
      <c r="V2" s="116" t="s">
        <v>370</v>
      </c>
      <c r="W2" s="116" t="s">
        <v>307</v>
      </c>
      <c r="X2" s="116" t="s">
        <v>371</v>
      </c>
      <c r="Y2" s="116" t="s">
        <v>309</v>
      </c>
      <c r="Z2" s="116" t="s">
        <v>372</v>
      </c>
      <c r="AA2" s="103" t="s">
        <v>358</v>
      </c>
      <c r="AB2" s="116" t="s">
        <v>305</v>
      </c>
      <c r="AC2" s="116" t="s">
        <v>308</v>
      </c>
      <c r="AD2" s="116" t="s">
        <v>310</v>
      </c>
    </row>
    <row r="3" spans="1:30" ht="17.25" customHeight="1" x14ac:dyDescent="0.2">
      <c r="A3" s="104"/>
      <c r="B3" s="104"/>
      <c r="C3" s="104"/>
      <c r="D3" s="104"/>
      <c r="E3" s="103" t="s">
        <v>522</v>
      </c>
      <c r="F3" s="103" t="s">
        <v>291</v>
      </c>
      <c r="G3" s="103" t="s">
        <v>69</v>
      </c>
      <c r="H3" s="103" t="s">
        <v>296</v>
      </c>
      <c r="I3" s="103" t="s">
        <v>298</v>
      </c>
      <c r="J3" s="103" t="s">
        <v>291</v>
      </c>
      <c r="K3" s="103" t="s">
        <v>68</v>
      </c>
      <c r="L3" s="103" t="s">
        <v>296</v>
      </c>
      <c r="M3" s="103" t="s">
        <v>298</v>
      </c>
      <c r="N3" s="102" t="str">
        <f>'Handelingen Leveringsniveau'!C3</f>
        <v>[MBq]</v>
      </c>
      <c r="O3" s="102"/>
      <c r="P3" s="102" t="s">
        <v>255</v>
      </c>
      <c r="Q3" s="102" t="s">
        <v>255</v>
      </c>
      <c r="R3" s="102" t="s">
        <v>255</v>
      </c>
      <c r="S3" s="102"/>
      <c r="T3" s="102"/>
      <c r="U3" s="116" t="s">
        <v>304</v>
      </c>
      <c r="V3" s="116" t="s">
        <v>306</v>
      </c>
      <c r="W3" s="116" t="s">
        <v>304</v>
      </c>
      <c r="X3" s="116" t="s">
        <v>306</v>
      </c>
      <c r="Y3" s="116" t="s">
        <v>304</v>
      </c>
      <c r="Z3" s="116" t="s">
        <v>306</v>
      </c>
      <c r="AA3" s="103" t="s">
        <v>359</v>
      </c>
      <c r="AB3" s="116" t="s">
        <v>306</v>
      </c>
      <c r="AC3" s="116" t="s">
        <v>306</v>
      </c>
      <c r="AD3" s="116" t="s">
        <v>306</v>
      </c>
    </row>
    <row r="4" spans="1:30" x14ac:dyDescent="0.2">
      <c r="A4" s="113" t="s">
        <v>4</v>
      </c>
      <c r="B4" s="109" t="s">
        <v>518</v>
      </c>
      <c r="C4" s="109" t="s">
        <v>523</v>
      </c>
      <c r="D4" s="273">
        <v>0.1</v>
      </c>
      <c r="E4" s="290">
        <v>0</v>
      </c>
      <c r="F4" s="236">
        <v>1</v>
      </c>
      <c r="G4" s="237">
        <v>5</v>
      </c>
      <c r="H4" s="238">
        <v>0</v>
      </c>
      <c r="I4" s="114" t="s">
        <v>446</v>
      </c>
      <c r="J4" s="237">
        <v>1</v>
      </c>
      <c r="K4" s="239">
        <v>0.5</v>
      </c>
      <c r="L4" s="238">
        <v>10</v>
      </c>
      <c r="M4" s="114" t="s">
        <v>66</v>
      </c>
      <c r="N4" s="100">
        <f>VLOOKUP(B4,Onderzoek[#All],4,FALSE)</f>
        <v>1000</v>
      </c>
      <c r="O4" s="106">
        <f>EXP(-0.693*E4/(VLOOKUP(A4,Nucliden[#All],3,FALSE)))*D4</f>
        <v>0.1</v>
      </c>
      <c r="P4" s="115">
        <f>IF(I4="Nee",(VLOOKUP(A4,Nucliden[#All],35,FALSE)),(IF(I4="Ja",(VLOOKUP(A4,Nucliden[#All],34,FALSE)),(IF(I4="Deels","Bepaal h(0,07)","")))))</f>
        <v>1676</v>
      </c>
      <c r="Q4" s="115">
        <f>IF(M4="Nee",(VLOOKUP(A4,Nucliden[#All],19,FALSE)),(IF(M4="Ja",(VLOOKUP(A4,Nucliden[#All],18,FALSE)),(IF(M4="Deels","Bepaal h(10)","")))))</f>
        <v>0.16</v>
      </c>
      <c r="R4" s="115">
        <f>IF(M4="Nee",(VLOOKUP(A4,Nucliden[#All],25,FALSE)),(IF(M4="Ja",(VLOOKUP(A4,Nucliden[#All],26,FALSE)),(IF(M4="Deels","Bepaal h(3)","")))))</f>
        <v>0.16900000000000001</v>
      </c>
      <c r="S4" s="115">
        <f>EXP(-0.693*H4/(VLOOKUP(A4,Nucliden[#All],6,FALSE)))</f>
        <v>1</v>
      </c>
      <c r="T4" s="117">
        <f>EXP(-0.693*L4/(VLOOKUP(A4,Nucliden[#All],6,FALSE)))</f>
        <v>0.24659696394160649</v>
      </c>
      <c r="U4" s="118">
        <f t="shared" ref="U4:U25" si="0">N4*O4*(10/G4)^2*P4*S4</f>
        <v>670400</v>
      </c>
      <c r="V4" s="119">
        <f>F4/60*U4/1000</f>
        <v>11.173333333333334</v>
      </c>
      <c r="W4" s="118">
        <f t="shared" ref="W4:W25" si="1">N4*O4*(1/K4)^2*Q4*S4*T4</f>
        <v>15.782205692262815</v>
      </c>
      <c r="X4" s="119">
        <f>J4/60*W4/1000</f>
        <v>2.6303676153771361E-4</v>
      </c>
      <c r="Y4" s="118">
        <f t="shared" ref="Y4:Y25" si="2">N4*O4*(1/K4)^2*R4*S4*T4</f>
        <v>16.669954762452601</v>
      </c>
      <c r="Z4" s="119">
        <f>J4/60*Y4/1000</f>
        <v>2.7783257937421E-4</v>
      </c>
      <c r="AA4" s="114">
        <v>1</v>
      </c>
      <c r="AB4" s="119">
        <f>AA4*$V4</f>
        <v>11.173333333333334</v>
      </c>
      <c r="AC4" s="119">
        <f>AA4*$X4</f>
        <v>2.6303676153771361E-4</v>
      </c>
      <c r="AD4" s="119">
        <f>AA4*$Z4</f>
        <v>2.7783257937421E-4</v>
      </c>
    </row>
    <row r="5" spans="1:30" x14ac:dyDescent="0.2">
      <c r="A5" s="108" t="s">
        <v>0</v>
      </c>
      <c r="B5" s="111" t="s">
        <v>550</v>
      </c>
      <c r="C5" s="109" t="s">
        <v>523</v>
      </c>
      <c r="D5" s="273">
        <v>0.1</v>
      </c>
      <c r="E5" s="290">
        <v>0</v>
      </c>
      <c r="F5" s="236">
        <v>1</v>
      </c>
      <c r="G5" s="237">
        <v>5</v>
      </c>
      <c r="H5" s="238">
        <v>0</v>
      </c>
      <c r="I5" s="114" t="s">
        <v>446</v>
      </c>
      <c r="J5" s="237">
        <v>1</v>
      </c>
      <c r="K5" s="239">
        <v>0.5</v>
      </c>
      <c r="L5" s="238">
        <v>10</v>
      </c>
      <c r="M5" s="114" t="s">
        <v>66</v>
      </c>
      <c r="N5" s="100">
        <f>VLOOKUP(B5,Onderzoek[#All],4,FALSE)</f>
        <v>900</v>
      </c>
      <c r="O5" s="106">
        <f>EXP(-0.693*E5/(VLOOKUP(A5,Nucliden[#All],3,FALSE)))*D5</f>
        <v>0.1</v>
      </c>
      <c r="P5" s="115">
        <f>IF(I5="Nee",(VLOOKUP(A5,Nucliden[#All],35,FALSE)),(IF(I5="Ja",(VLOOKUP(A5,Nucliden[#All],34,FALSE)),(IF(I5="Deels","Bepaal h(0,07)","")))))</f>
        <v>261.20999999999998</v>
      </c>
      <c r="Q5" s="115">
        <f>IF(M5="Nee",(VLOOKUP(A5,Nucliden[#All],19,FALSE)),(IF(M5="Ja",(VLOOKUP(A5,Nucliden[#All],18,FALSE)),(IF(M5="Deels","Bepaal h(10)","")))))</f>
        <v>2.18E-2</v>
      </c>
      <c r="R5" s="115">
        <f>IF(M5="Nee",(VLOOKUP(A5,Nucliden[#All],25,FALSE)),(IF(M5="Ja",(VLOOKUP(A5,Nucliden[#All],26,FALSE)),(IF(M5="Deels","Bepaal h(3)","")))))</f>
        <v>2.5999999999999999E-2</v>
      </c>
      <c r="S5" s="115">
        <f>EXP(-0.693*H5/(VLOOKUP(A5,Nucliden[#All],6,FALSE)))</f>
        <v>1</v>
      </c>
      <c r="T5" s="117">
        <f>EXP(-0.693*L5/(VLOOKUP(A5,Nucliden[#All],6,FALSE)))</f>
        <v>1.374680847871773E-13</v>
      </c>
      <c r="U5" s="118">
        <f t="shared" ref="U5:U15" si="3">N5*O5*(10/G5)^2*P5*S5</f>
        <v>94035.599999999991</v>
      </c>
      <c r="V5" s="119">
        <f t="shared" ref="V5:V15" si="4">F5/60*U5/1000</f>
        <v>1.5672599999999997</v>
      </c>
      <c r="W5" s="118">
        <f t="shared" ref="W5:W15" si="5">N5*O5*(1/K5)^2*Q5*S5*T5</f>
        <v>1.0788495294097674E-12</v>
      </c>
      <c r="X5" s="119">
        <f t="shared" ref="X5:X15" si="6">J5/60*W5/1000</f>
        <v>1.7980825490162789E-17</v>
      </c>
      <c r="Y5" s="118">
        <f t="shared" ref="Y5:Y15" si="7">N5*O5*(1/K5)^2*R5*S5*T5</f>
        <v>1.2867012736079795E-12</v>
      </c>
      <c r="Z5" s="119">
        <f t="shared" ref="Z5:Z15" si="8">J5/60*Y5/1000</f>
        <v>2.1445021226799658E-17</v>
      </c>
      <c r="AA5" s="114">
        <v>1</v>
      </c>
      <c r="AB5" s="119">
        <f t="shared" ref="AB5:AB25" si="9">AA5*$V5</f>
        <v>1.5672599999999997</v>
      </c>
      <c r="AC5" s="119">
        <f t="shared" ref="AC5:AC25" si="10">AA5*$X5</f>
        <v>1.7980825490162789E-17</v>
      </c>
      <c r="AD5" s="119">
        <f t="shared" ref="AD5:AD25" si="11">AA5*$Z5</f>
        <v>2.1445021226799658E-17</v>
      </c>
    </row>
    <row r="6" spans="1:30" x14ac:dyDescent="0.2">
      <c r="A6" s="108" t="s">
        <v>3</v>
      </c>
      <c r="B6" s="109" t="s">
        <v>542</v>
      </c>
      <c r="C6" s="109" t="s">
        <v>553</v>
      </c>
      <c r="D6" s="273">
        <v>0.1</v>
      </c>
      <c r="E6" s="290">
        <v>0</v>
      </c>
      <c r="F6" s="236">
        <v>1</v>
      </c>
      <c r="G6" s="237">
        <v>5</v>
      </c>
      <c r="H6" s="238">
        <v>0</v>
      </c>
      <c r="I6" s="114" t="s">
        <v>446</v>
      </c>
      <c r="J6" s="237">
        <v>1</v>
      </c>
      <c r="K6" s="239">
        <v>0.5</v>
      </c>
      <c r="L6" s="238">
        <v>10</v>
      </c>
      <c r="M6" s="114" t="s">
        <v>66</v>
      </c>
      <c r="N6" s="100">
        <f>VLOOKUP(B6,Onderzoek[#All],4,FALSE)</f>
        <v>5500</v>
      </c>
      <c r="O6" s="106">
        <f>EXP(-0.693*E6/(VLOOKUP(A6,Nucliden[#All],3,FALSE)))*D6</f>
        <v>0.1</v>
      </c>
      <c r="P6" s="115">
        <f>IF(I6="Nee",(VLOOKUP(A6,Nucliden[#All],35,FALSE)),(IF(I6="Ja",(VLOOKUP(A6,Nucliden[#All],34,FALSE)),(IF(I6="Deels","Bepaal h(0,07)","")))))</f>
        <v>1406.05</v>
      </c>
      <c r="Q6" s="115">
        <f>IF(M6="Nee",(VLOOKUP(A6,Nucliden[#All],19,FALSE)),(IF(M6="Ja",(VLOOKUP(A6,Nucliden[#All],18,FALSE)),(IF(M6="Deels","Bepaal h(10)","")))))</f>
        <v>6.2300000000000001E-2</v>
      </c>
      <c r="R6" s="115">
        <f>IF(M6="Nee",(VLOOKUP(A6,Nucliden[#All],25,FALSE)),(IF(M6="Ja",(VLOOKUP(A6,Nucliden[#All],26,FALSE)),(IF(M6="Deels","Bepaal h(3)","")))))</f>
        <v>6.8000000000000005E-2</v>
      </c>
      <c r="S6" s="115">
        <f>EXP(-0.693*H6/(VLOOKUP(A6,Nucliden[#All],6,FALSE)))</f>
        <v>1</v>
      </c>
      <c r="T6" s="117">
        <f>EXP(-0.693*L6/(VLOOKUP(A6,Nucliden[#All],6,FALSE)))</f>
        <v>7.9723005767372443E-2</v>
      </c>
      <c r="U6" s="118">
        <f t="shared" si="3"/>
        <v>3093310</v>
      </c>
      <c r="V6" s="119">
        <f t="shared" si="4"/>
        <v>51.555166666666665</v>
      </c>
      <c r="W6" s="118">
        <f t="shared" si="5"/>
        <v>10.926835170476068</v>
      </c>
      <c r="X6" s="119">
        <f t="shared" si="6"/>
        <v>1.8211391950793447E-4</v>
      </c>
      <c r="Y6" s="118">
        <f t="shared" si="7"/>
        <v>11.926561662798919</v>
      </c>
      <c r="Z6" s="119">
        <f t="shared" si="8"/>
        <v>1.9877602771331532E-4</v>
      </c>
      <c r="AA6" s="114">
        <v>1</v>
      </c>
      <c r="AB6" s="119">
        <f t="shared" si="9"/>
        <v>51.555166666666665</v>
      </c>
      <c r="AC6" s="119">
        <f t="shared" si="10"/>
        <v>1.8211391950793447E-4</v>
      </c>
      <c r="AD6" s="119">
        <f t="shared" si="11"/>
        <v>1.9877602771331532E-4</v>
      </c>
    </row>
    <row r="7" spans="1:30" x14ac:dyDescent="0.2">
      <c r="A7" s="108"/>
      <c r="B7" s="109"/>
      <c r="C7" s="109"/>
      <c r="D7" s="273"/>
      <c r="E7" s="290"/>
      <c r="F7" s="236"/>
      <c r="G7" s="237"/>
      <c r="H7" s="238"/>
      <c r="I7" s="114"/>
      <c r="J7" s="237"/>
      <c r="K7" s="239"/>
      <c r="L7" s="238"/>
      <c r="M7" s="114"/>
      <c r="N7" s="100" t="e">
        <f>VLOOKUP(B7,Onderzoek[#All],4,FALSE)</f>
        <v>#N/A</v>
      </c>
      <c r="O7" s="106" t="e">
        <f>EXP(-0.693*E7/(VLOOKUP(A7,Nucliden[#All],3,FALSE)))*D7</f>
        <v>#N/A</v>
      </c>
      <c r="P7" s="115" t="str">
        <f>IF(I7="Nee",(VLOOKUP(A7,Nucliden[#All],35,FALSE)),(IF(I7="Ja",(VLOOKUP(A7,Nucliden[#All],34,FALSE)),(IF(I7="Deels","Bepaal h(0,07)","")))))</f>
        <v/>
      </c>
      <c r="Q7" s="115" t="str">
        <f>IF(M7="Nee",(VLOOKUP(A7,Nucliden[#All],19,FALSE)),(IF(M7="Ja",(VLOOKUP(A7,Nucliden[#All],18,FALSE)),(IF(M7="Deels","Bepaal h(10)","")))))</f>
        <v/>
      </c>
      <c r="R7" s="115" t="str">
        <f>IF(M7="Nee",(VLOOKUP(A7,Nucliden[#All],25,FALSE)),(IF(M7="Ja",(VLOOKUP(A7,Nucliden[#All],26,FALSE)),(IF(M7="Deels","Bepaal h(3)","")))))</f>
        <v/>
      </c>
      <c r="S7" s="115" t="e">
        <f>EXP(-0.693*H7/(VLOOKUP(A7,Nucliden[#All],6,FALSE)))</f>
        <v>#N/A</v>
      </c>
      <c r="T7" s="117" t="e">
        <f>EXP(-0.693*L7/(VLOOKUP(A7,Nucliden[#All],6,FALSE)))</f>
        <v>#N/A</v>
      </c>
      <c r="U7" s="118" t="e">
        <f t="shared" si="3"/>
        <v>#N/A</v>
      </c>
      <c r="V7" s="119" t="e">
        <f t="shared" si="4"/>
        <v>#N/A</v>
      </c>
      <c r="W7" s="118" t="e">
        <f t="shared" si="5"/>
        <v>#N/A</v>
      </c>
      <c r="X7" s="119" t="e">
        <f t="shared" si="6"/>
        <v>#N/A</v>
      </c>
      <c r="Y7" s="118" t="e">
        <f t="shared" si="7"/>
        <v>#N/A</v>
      </c>
      <c r="Z7" s="119" t="e">
        <f t="shared" si="8"/>
        <v>#N/A</v>
      </c>
      <c r="AA7" s="114"/>
      <c r="AB7" s="119" t="e">
        <f t="shared" si="9"/>
        <v>#N/A</v>
      </c>
      <c r="AC7" s="119" t="e">
        <f t="shared" si="10"/>
        <v>#N/A</v>
      </c>
      <c r="AD7" s="119" t="e">
        <f t="shared" si="11"/>
        <v>#N/A</v>
      </c>
    </row>
    <row r="8" spans="1:30" x14ac:dyDescent="0.2">
      <c r="A8" s="108"/>
      <c r="B8" s="109"/>
      <c r="C8" s="109"/>
      <c r="D8" s="273"/>
      <c r="E8" s="290"/>
      <c r="F8" s="236"/>
      <c r="G8" s="237"/>
      <c r="H8" s="238"/>
      <c r="I8" s="114"/>
      <c r="J8" s="237"/>
      <c r="K8" s="239"/>
      <c r="L8" s="238"/>
      <c r="M8" s="114"/>
      <c r="N8" s="100" t="e">
        <f>VLOOKUP(B8,Onderzoek[#All],4,FALSE)</f>
        <v>#N/A</v>
      </c>
      <c r="O8" s="106" t="e">
        <f>EXP(-0.693*E8/(VLOOKUP(A8,Nucliden[#All],3,FALSE)))*D8</f>
        <v>#N/A</v>
      </c>
      <c r="P8" s="115" t="str">
        <f>IF(I8="Nee",(VLOOKUP(A8,Nucliden[#All],35,FALSE)),(IF(I8="Ja",(VLOOKUP(A8,Nucliden[#All],34,FALSE)),(IF(I8="Deels","Bepaal h(0,07)","")))))</f>
        <v/>
      </c>
      <c r="Q8" s="115" t="str">
        <f>IF(M8="Nee",(VLOOKUP(A8,Nucliden[#All],19,FALSE)),(IF(M8="Ja",(VLOOKUP(A8,Nucliden[#All],18,FALSE)),(IF(M8="Deels","Bepaal h(10)","")))))</f>
        <v/>
      </c>
      <c r="R8" s="115" t="str">
        <f>IF(M8="Nee",(VLOOKUP(A8,Nucliden[#All],25,FALSE)),(IF(M8="Ja",(VLOOKUP(A8,Nucliden[#All],26,FALSE)),(IF(M8="Deels","Bepaal h(3)","")))))</f>
        <v/>
      </c>
      <c r="S8" s="115" t="e">
        <f>EXP(-0.693*H8/(VLOOKUP(A8,Nucliden[#All],6,FALSE)))</f>
        <v>#N/A</v>
      </c>
      <c r="T8" s="117" t="e">
        <f>EXP(-0.693*L8/(VLOOKUP(A8,Nucliden[#All],6,FALSE)))</f>
        <v>#N/A</v>
      </c>
      <c r="U8" s="118" t="e">
        <f t="shared" si="3"/>
        <v>#N/A</v>
      </c>
      <c r="V8" s="119" t="e">
        <f t="shared" si="4"/>
        <v>#N/A</v>
      </c>
      <c r="W8" s="118" t="e">
        <f t="shared" si="5"/>
        <v>#N/A</v>
      </c>
      <c r="X8" s="119" t="e">
        <f t="shared" si="6"/>
        <v>#N/A</v>
      </c>
      <c r="Y8" s="118" t="e">
        <f t="shared" si="7"/>
        <v>#N/A</v>
      </c>
      <c r="Z8" s="119" t="e">
        <f t="shared" si="8"/>
        <v>#N/A</v>
      </c>
      <c r="AA8" s="114"/>
      <c r="AB8" s="119" t="e">
        <f t="shared" si="9"/>
        <v>#N/A</v>
      </c>
      <c r="AC8" s="119" t="e">
        <f t="shared" si="10"/>
        <v>#N/A</v>
      </c>
      <c r="AD8" s="119" t="e">
        <f t="shared" si="11"/>
        <v>#N/A</v>
      </c>
    </row>
    <row r="9" spans="1:30" x14ac:dyDescent="0.2">
      <c r="A9" s="113"/>
      <c r="B9" s="111"/>
      <c r="C9" s="109"/>
      <c r="D9" s="273"/>
      <c r="E9" s="290"/>
      <c r="F9" s="236"/>
      <c r="G9" s="237"/>
      <c r="H9" s="238"/>
      <c r="I9" s="114"/>
      <c r="J9" s="237"/>
      <c r="K9" s="239"/>
      <c r="L9" s="238"/>
      <c r="M9" s="114"/>
      <c r="N9" s="100" t="e">
        <f>VLOOKUP(B9,Onderzoek[#All],4,FALSE)</f>
        <v>#N/A</v>
      </c>
      <c r="O9" s="106" t="e">
        <f>EXP(-0.693*E9/(VLOOKUP(A9,Nucliden[#All],3,FALSE)))*D9</f>
        <v>#N/A</v>
      </c>
      <c r="P9" s="115" t="str">
        <f>IF(I9="Nee",(VLOOKUP(A9,Nucliden[#All],35,FALSE)),(IF(I9="Ja",(VLOOKUP(A9,Nucliden[#All],34,FALSE)),(IF(I9="Deels","Bepaal h(0,07)","")))))</f>
        <v/>
      </c>
      <c r="Q9" s="115" t="str">
        <f>IF(M9="Nee",(VLOOKUP(A9,Nucliden[#All],19,FALSE)),(IF(M9="Ja",(VLOOKUP(A9,Nucliden[#All],18,FALSE)),(IF(M9="Deels","Bepaal h(10)","")))))</f>
        <v/>
      </c>
      <c r="R9" s="115" t="str">
        <f>IF(M9="Nee",(VLOOKUP(A9,Nucliden[#All],25,FALSE)),(IF(M9="Ja",(VLOOKUP(A9,Nucliden[#All],26,FALSE)),(IF(M9="Deels","Bepaal h(3)","")))))</f>
        <v/>
      </c>
      <c r="S9" s="115" t="e">
        <f>EXP(-0.693*H9/(VLOOKUP(A9,Nucliden[#All],6,FALSE)))</f>
        <v>#N/A</v>
      </c>
      <c r="T9" s="117" t="e">
        <f>EXP(-0.693*L9/(VLOOKUP(A9,Nucliden[#All],6,FALSE)))</f>
        <v>#N/A</v>
      </c>
      <c r="U9" s="118" t="e">
        <f t="shared" si="3"/>
        <v>#N/A</v>
      </c>
      <c r="V9" s="119" t="e">
        <f t="shared" si="4"/>
        <v>#N/A</v>
      </c>
      <c r="W9" s="118" t="e">
        <f t="shared" si="5"/>
        <v>#N/A</v>
      </c>
      <c r="X9" s="119" t="e">
        <f t="shared" si="6"/>
        <v>#N/A</v>
      </c>
      <c r="Y9" s="118" t="e">
        <f t="shared" si="7"/>
        <v>#N/A</v>
      </c>
      <c r="Z9" s="119" t="e">
        <f t="shared" si="8"/>
        <v>#N/A</v>
      </c>
      <c r="AA9" s="114"/>
      <c r="AB9" s="119" t="e">
        <f t="shared" si="9"/>
        <v>#N/A</v>
      </c>
      <c r="AC9" s="119" t="e">
        <f t="shared" si="10"/>
        <v>#N/A</v>
      </c>
      <c r="AD9" s="119" t="e">
        <f t="shared" si="11"/>
        <v>#N/A</v>
      </c>
    </row>
    <row r="10" spans="1:30" x14ac:dyDescent="0.2">
      <c r="A10" s="108"/>
      <c r="B10" s="109"/>
      <c r="C10" s="109"/>
      <c r="D10" s="273"/>
      <c r="E10" s="290"/>
      <c r="F10" s="236"/>
      <c r="G10" s="237"/>
      <c r="H10" s="238"/>
      <c r="I10" s="114"/>
      <c r="J10" s="237"/>
      <c r="K10" s="239"/>
      <c r="L10" s="238"/>
      <c r="M10" s="114"/>
      <c r="N10" s="100" t="e">
        <f>VLOOKUP(B10,Onderzoek[#All],4,FALSE)</f>
        <v>#N/A</v>
      </c>
      <c r="O10" s="106" t="e">
        <f>EXP(-0.693*E10/(VLOOKUP(A10,Nucliden[#All],3,FALSE)))*D10</f>
        <v>#N/A</v>
      </c>
      <c r="P10" s="115" t="str">
        <f>IF(I10="Nee",(VLOOKUP(A10,Nucliden[#All],35,FALSE)),(IF(I10="Ja",(VLOOKUP(A10,Nucliden[#All],34,FALSE)),(IF(I10="Deels","Bepaal h(0,07)","")))))</f>
        <v/>
      </c>
      <c r="Q10" s="115" t="str">
        <f>IF(M10="Nee",(VLOOKUP(A10,Nucliden[#All],19,FALSE)),(IF(M10="Ja",(VLOOKUP(A10,Nucliden[#All],18,FALSE)),(IF(M10="Deels","Bepaal h(10)","")))))</f>
        <v/>
      </c>
      <c r="R10" s="115" t="str">
        <f>IF(M10="Nee",(VLOOKUP(A10,Nucliden[#All],25,FALSE)),(IF(M10="Ja",(VLOOKUP(A10,Nucliden[#All],26,FALSE)),(IF(M10="Deels","Bepaal h(3)","")))))</f>
        <v/>
      </c>
      <c r="S10" s="115" t="e">
        <f>EXP(-0.693*H10/(VLOOKUP(A10,Nucliden[#All],6,FALSE)))</f>
        <v>#N/A</v>
      </c>
      <c r="T10" s="117" t="e">
        <f>EXP(-0.693*L10/(VLOOKUP(A10,Nucliden[#All],6,FALSE)))</f>
        <v>#N/A</v>
      </c>
      <c r="U10" s="118" t="e">
        <f t="shared" si="3"/>
        <v>#N/A</v>
      </c>
      <c r="V10" s="119" t="e">
        <f t="shared" si="4"/>
        <v>#N/A</v>
      </c>
      <c r="W10" s="118" t="e">
        <f t="shared" si="5"/>
        <v>#N/A</v>
      </c>
      <c r="X10" s="119" t="e">
        <f t="shared" si="6"/>
        <v>#N/A</v>
      </c>
      <c r="Y10" s="118" t="e">
        <f t="shared" si="7"/>
        <v>#N/A</v>
      </c>
      <c r="Z10" s="119" t="e">
        <f t="shared" si="8"/>
        <v>#N/A</v>
      </c>
      <c r="AA10" s="114"/>
      <c r="AB10" s="119" t="e">
        <f t="shared" si="9"/>
        <v>#N/A</v>
      </c>
      <c r="AC10" s="119" t="e">
        <f t="shared" si="10"/>
        <v>#N/A</v>
      </c>
      <c r="AD10" s="119" t="e">
        <f t="shared" si="11"/>
        <v>#N/A</v>
      </c>
    </row>
    <row r="11" spans="1:30" x14ac:dyDescent="0.2">
      <c r="A11" s="108"/>
      <c r="B11" s="111"/>
      <c r="C11" s="109"/>
      <c r="D11" s="273"/>
      <c r="E11" s="290"/>
      <c r="F11" s="236"/>
      <c r="G11" s="237"/>
      <c r="H11" s="238"/>
      <c r="I11" s="114"/>
      <c r="J11" s="237"/>
      <c r="K11" s="239"/>
      <c r="L11" s="238"/>
      <c r="M11" s="114"/>
      <c r="N11" s="100" t="e">
        <f>VLOOKUP(B11,Onderzoek[#All],4,FALSE)</f>
        <v>#N/A</v>
      </c>
      <c r="O11" s="106" t="e">
        <f>EXP(-0.693*E11/(VLOOKUP(A11,Nucliden[#All],3,FALSE)))*D11</f>
        <v>#N/A</v>
      </c>
      <c r="P11" s="115" t="str">
        <f>IF(I11="Nee",(VLOOKUP(A11,Nucliden[#All],35,FALSE)),(IF(I11="Ja",(VLOOKUP(A11,Nucliden[#All],34,FALSE)),(IF(I11="Deels","Bepaal h(0,07)","")))))</f>
        <v/>
      </c>
      <c r="Q11" s="115" t="str">
        <f>IF(M11="Nee",(VLOOKUP(A11,Nucliden[#All],19,FALSE)),(IF(M11="Ja",(VLOOKUP(A11,Nucliden[#All],18,FALSE)),(IF(M11="Deels","Bepaal h(10)","")))))</f>
        <v/>
      </c>
      <c r="R11" s="115" t="str">
        <f>IF(M11="Nee",(VLOOKUP(A11,Nucliden[#All],25,FALSE)),(IF(M11="Ja",(VLOOKUP(A11,Nucliden[#All],26,FALSE)),(IF(M11="Deels","Bepaal h(3)","")))))</f>
        <v/>
      </c>
      <c r="S11" s="115" t="e">
        <f>EXP(-0.693*H11/(VLOOKUP(A11,Nucliden[#All],6,FALSE)))</f>
        <v>#N/A</v>
      </c>
      <c r="T11" s="117" t="e">
        <f>EXP(-0.693*L11/(VLOOKUP(A11,Nucliden[#All],6,FALSE)))</f>
        <v>#N/A</v>
      </c>
      <c r="U11" s="118" t="e">
        <f t="shared" si="3"/>
        <v>#N/A</v>
      </c>
      <c r="V11" s="119" t="e">
        <f t="shared" si="4"/>
        <v>#N/A</v>
      </c>
      <c r="W11" s="118" t="e">
        <f t="shared" si="5"/>
        <v>#N/A</v>
      </c>
      <c r="X11" s="119" t="e">
        <f t="shared" si="6"/>
        <v>#N/A</v>
      </c>
      <c r="Y11" s="118" t="e">
        <f t="shared" si="7"/>
        <v>#N/A</v>
      </c>
      <c r="Z11" s="119" t="e">
        <f t="shared" si="8"/>
        <v>#N/A</v>
      </c>
      <c r="AA11" s="114"/>
      <c r="AB11" s="119" t="e">
        <f t="shared" si="9"/>
        <v>#N/A</v>
      </c>
      <c r="AC11" s="119" t="e">
        <f t="shared" si="10"/>
        <v>#N/A</v>
      </c>
      <c r="AD11" s="119" t="e">
        <f t="shared" si="11"/>
        <v>#N/A</v>
      </c>
    </row>
    <row r="12" spans="1:30" x14ac:dyDescent="0.2">
      <c r="A12" s="113"/>
      <c r="B12" s="109"/>
      <c r="C12" s="109"/>
      <c r="D12" s="273"/>
      <c r="E12" s="290"/>
      <c r="F12" s="236"/>
      <c r="G12" s="237"/>
      <c r="H12" s="238"/>
      <c r="I12" s="114"/>
      <c r="J12" s="237"/>
      <c r="K12" s="239"/>
      <c r="L12" s="238"/>
      <c r="M12" s="114"/>
      <c r="N12" s="100" t="e">
        <f>VLOOKUP(B12,Onderzoek[#All],4,FALSE)</f>
        <v>#N/A</v>
      </c>
      <c r="O12" s="106" t="e">
        <f>EXP(-0.693*E12/(VLOOKUP(A12,Nucliden[#All],3,FALSE)))*D12</f>
        <v>#N/A</v>
      </c>
      <c r="P12" s="115" t="str">
        <f>IF(I12="Nee",(VLOOKUP(A12,Nucliden[#All],35,FALSE)),(IF(I12="Ja",(VLOOKUP(A12,Nucliden[#All],34,FALSE)),(IF(I12="Deels","Bepaal h(0,07)","")))))</f>
        <v/>
      </c>
      <c r="Q12" s="115" t="str">
        <f>IF(M12="Nee",(VLOOKUP(A12,Nucliden[#All],19,FALSE)),(IF(M12="Ja",(VLOOKUP(A12,Nucliden[#All],18,FALSE)),(IF(M12="Deels","Bepaal h(10)","")))))</f>
        <v/>
      </c>
      <c r="R12" s="115" t="str">
        <f>IF(M12="Nee",(VLOOKUP(A12,Nucliden[#All],25,FALSE)),(IF(M12="Ja",(VLOOKUP(A12,Nucliden[#All],26,FALSE)),(IF(M12="Deels","Bepaal h(3)","")))))</f>
        <v/>
      </c>
      <c r="S12" s="115" t="e">
        <f>EXP(-0.693*H12/(VLOOKUP(A12,Nucliden[#All],6,FALSE)))</f>
        <v>#N/A</v>
      </c>
      <c r="T12" s="117" t="e">
        <f>EXP(-0.693*L12/(VLOOKUP(A12,Nucliden[#All],6,FALSE)))</f>
        <v>#N/A</v>
      </c>
      <c r="U12" s="118" t="e">
        <f t="shared" si="3"/>
        <v>#N/A</v>
      </c>
      <c r="V12" s="119" t="e">
        <f t="shared" si="4"/>
        <v>#N/A</v>
      </c>
      <c r="W12" s="118" t="e">
        <f t="shared" si="5"/>
        <v>#N/A</v>
      </c>
      <c r="X12" s="119" t="e">
        <f t="shared" si="6"/>
        <v>#N/A</v>
      </c>
      <c r="Y12" s="118" t="e">
        <f t="shared" si="7"/>
        <v>#N/A</v>
      </c>
      <c r="Z12" s="119" t="e">
        <f t="shared" si="8"/>
        <v>#N/A</v>
      </c>
      <c r="AA12" s="114"/>
      <c r="AB12" s="119" t="e">
        <f t="shared" si="9"/>
        <v>#N/A</v>
      </c>
      <c r="AC12" s="119" t="e">
        <f t="shared" si="10"/>
        <v>#N/A</v>
      </c>
      <c r="AD12" s="119" t="e">
        <f t="shared" si="11"/>
        <v>#N/A</v>
      </c>
    </row>
    <row r="13" spans="1:30" x14ac:dyDescent="0.2">
      <c r="A13" s="113"/>
      <c r="B13" s="112"/>
      <c r="C13" s="109"/>
      <c r="D13" s="273"/>
      <c r="E13" s="290"/>
      <c r="F13" s="236"/>
      <c r="G13" s="237"/>
      <c r="H13" s="238"/>
      <c r="I13" s="114"/>
      <c r="J13" s="237"/>
      <c r="K13" s="239"/>
      <c r="L13" s="238"/>
      <c r="M13" s="114"/>
      <c r="N13" s="100" t="e">
        <f>VLOOKUP(B13,Onderzoek[#All],4,FALSE)</f>
        <v>#N/A</v>
      </c>
      <c r="O13" s="106" t="e">
        <f>EXP(-0.693*E13/(VLOOKUP(A13,Nucliden[#All],3,FALSE)))*D13</f>
        <v>#N/A</v>
      </c>
      <c r="P13" s="115" t="str">
        <f>IF(I13="Nee",(VLOOKUP(A13,Nucliden[#All],35,FALSE)),(IF(I13="Ja",(VLOOKUP(A13,Nucliden[#All],34,FALSE)),(IF(I13="Deels","Bepaal h(0,07)","")))))</f>
        <v/>
      </c>
      <c r="Q13" s="115" t="str">
        <f>IF(M13="Nee",(VLOOKUP(A13,Nucliden[#All],19,FALSE)),(IF(M13="Ja",(VLOOKUP(A13,Nucliden[#All],18,FALSE)),(IF(M13="Deels","Bepaal h(10)","")))))</f>
        <v/>
      </c>
      <c r="R13" s="115" t="str">
        <f>IF(M13="Nee",(VLOOKUP(A13,Nucliden[#All],25,FALSE)),(IF(M13="Ja",(VLOOKUP(A13,Nucliden[#All],26,FALSE)),(IF(M13="Deels","Bepaal h(3)","")))))</f>
        <v/>
      </c>
      <c r="S13" s="115" t="e">
        <f>EXP(-0.693*H13/(VLOOKUP(A13,Nucliden[#All],6,FALSE)))</f>
        <v>#N/A</v>
      </c>
      <c r="T13" s="117" t="e">
        <f>EXP(-0.693*L13/(VLOOKUP(A13,Nucliden[#All],6,FALSE)))</f>
        <v>#N/A</v>
      </c>
      <c r="U13" s="118" t="e">
        <f t="shared" si="3"/>
        <v>#N/A</v>
      </c>
      <c r="V13" s="119" t="e">
        <f t="shared" si="4"/>
        <v>#N/A</v>
      </c>
      <c r="W13" s="118" t="e">
        <f t="shared" si="5"/>
        <v>#N/A</v>
      </c>
      <c r="X13" s="119" t="e">
        <f t="shared" si="6"/>
        <v>#N/A</v>
      </c>
      <c r="Y13" s="118" t="e">
        <f t="shared" si="7"/>
        <v>#N/A</v>
      </c>
      <c r="Z13" s="119" t="e">
        <f t="shared" si="8"/>
        <v>#N/A</v>
      </c>
      <c r="AA13" s="114"/>
      <c r="AB13" s="119" t="e">
        <f t="shared" si="9"/>
        <v>#N/A</v>
      </c>
      <c r="AC13" s="119" t="e">
        <f t="shared" si="10"/>
        <v>#N/A</v>
      </c>
      <c r="AD13" s="119" t="e">
        <f t="shared" si="11"/>
        <v>#N/A</v>
      </c>
    </row>
    <row r="14" spans="1:30" x14ac:dyDescent="0.2">
      <c r="A14" s="113"/>
      <c r="B14" s="109"/>
      <c r="C14" s="109"/>
      <c r="D14" s="273"/>
      <c r="E14" s="290"/>
      <c r="F14" s="236"/>
      <c r="G14" s="237"/>
      <c r="H14" s="238"/>
      <c r="I14" s="114"/>
      <c r="J14" s="237"/>
      <c r="K14" s="239"/>
      <c r="L14" s="238"/>
      <c r="M14" s="114"/>
      <c r="N14" s="100" t="e">
        <f>VLOOKUP(B14,Onderzoek[#All],4,FALSE)</f>
        <v>#N/A</v>
      </c>
      <c r="O14" s="106" t="e">
        <f>EXP(-0.693*E14/(VLOOKUP(A14,Nucliden[#All],3,FALSE)))*D14</f>
        <v>#N/A</v>
      </c>
      <c r="P14" s="115" t="str">
        <f>IF(I14="Nee",(VLOOKUP(A14,Nucliden[#All],35,FALSE)),(IF(I14="Ja",(VLOOKUP(A14,Nucliden[#All],34,FALSE)),(IF(I14="Deels","Bepaal h(0,07)","")))))</f>
        <v/>
      </c>
      <c r="Q14" s="115" t="str">
        <f>IF(M14="Nee",(VLOOKUP(A14,Nucliden[#All],19,FALSE)),(IF(M14="Ja",(VLOOKUP(A14,Nucliden[#All],18,FALSE)),(IF(M14="Deels","Bepaal h(10)","")))))</f>
        <v/>
      </c>
      <c r="R14" s="115" t="str">
        <f>IF(M14="Nee",(VLOOKUP(A14,Nucliden[#All],25,FALSE)),(IF(M14="Ja",(VLOOKUP(A14,Nucliden[#All],26,FALSE)),(IF(M14="Deels","Bepaal h(3)","")))))</f>
        <v/>
      </c>
      <c r="S14" s="115" t="e">
        <f>EXP(-0.693*H14/(VLOOKUP(A14,Nucliden[#All],6,FALSE)))</f>
        <v>#N/A</v>
      </c>
      <c r="T14" s="117" t="e">
        <f>EXP(-0.693*L14/(VLOOKUP(A14,Nucliden[#All],6,FALSE)))</f>
        <v>#N/A</v>
      </c>
      <c r="U14" s="118" t="e">
        <f t="shared" si="3"/>
        <v>#N/A</v>
      </c>
      <c r="V14" s="119" t="e">
        <f t="shared" si="4"/>
        <v>#N/A</v>
      </c>
      <c r="W14" s="118" t="e">
        <f t="shared" si="5"/>
        <v>#N/A</v>
      </c>
      <c r="X14" s="119" t="e">
        <f t="shared" si="6"/>
        <v>#N/A</v>
      </c>
      <c r="Y14" s="118" t="e">
        <f t="shared" si="7"/>
        <v>#N/A</v>
      </c>
      <c r="Z14" s="119" t="e">
        <f t="shared" si="8"/>
        <v>#N/A</v>
      </c>
      <c r="AA14" s="114"/>
      <c r="AB14" s="119" t="e">
        <f t="shared" si="9"/>
        <v>#N/A</v>
      </c>
      <c r="AC14" s="119" t="e">
        <f t="shared" si="10"/>
        <v>#N/A</v>
      </c>
      <c r="AD14" s="119" t="e">
        <f t="shared" si="11"/>
        <v>#N/A</v>
      </c>
    </row>
    <row r="15" spans="1:30" x14ac:dyDescent="0.2">
      <c r="A15" s="113"/>
      <c r="B15" s="109"/>
      <c r="C15" s="109"/>
      <c r="D15" s="273"/>
      <c r="E15" s="290"/>
      <c r="F15" s="236"/>
      <c r="G15" s="237"/>
      <c r="H15" s="238"/>
      <c r="I15" s="114"/>
      <c r="J15" s="237"/>
      <c r="K15" s="239"/>
      <c r="L15" s="238"/>
      <c r="M15" s="114"/>
      <c r="N15" s="100" t="e">
        <f>VLOOKUP(B15,Onderzoek[#All],4,FALSE)</f>
        <v>#N/A</v>
      </c>
      <c r="O15" s="106" t="e">
        <f>EXP(-0.693*E15/(VLOOKUP(A15,Nucliden[#All],3,FALSE)))*D15</f>
        <v>#N/A</v>
      </c>
      <c r="P15" s="115" t="str">
        <f>IF(I15="Nee",(VLOOKUP(A15,Nucliden[#All],35,FALSE)),(IF(I15="Ja",(VLOOKUP(A15,Nucliden[#All],34,FALSE)),(IF(I15="Deels","Bepaal h(0,07)","")))))</f>
        <v/>
      </c>
      <c r="Q15" s="115" t="str">
        <f>IF(M15="Nee",(VLOOKUP(A15,Nucliden[#All],19,FALSE)),(IF(M15="Ja",(VLOOKUP(A15,Nucliden[#All],18,FALSE)),(IF(M15="Deels","Bepaal h(10)","")))))</f>
        <v/>
      </c>
      <c r="R15" s="115" t="str">
        <f>IF(M15="Nee",(VLOOKUP(A15,Nucliden[#All],25,FALSE)),(IF(M15="Ja",(VLOOKUP(A15,Nucliden[#All],26,FALSE)),(IF(M15="Deels","Bepaal h(3)","")))))</f>
        <v/>
      </c>
      <c r="S15" s="115" t="e">
        <f>EXP(-0.693*H15/(VLOOKUP(A15,Nucliden[#All],6,FALSE)))</f>
        <v>#N/A</v>
      </c>
      <c r="T15" s="117" t="e">
        <f>EXP(-0.693*L15/(VLOOKUP(A15,Nucliden[#All],6,FALSE)))</f>
        <v>#N/A</v>
      </c>
      <c r="U15" s="118" t="e">
        <f t="shared" si="3"/>
        <v>#N/A</v>
      </c>
      <c r="V15" s="119" t="e">
        <f t="shared" si="4"/>
        <v>#N/A</v>
      </c>
      <c r="W15" s="118" t="e">
        <f t="shared" si="5"/>
        <v>#N/A</v>
      </c>
      <c r="X15" s="119" t="e">
        <f t="shared" si="6"/>
        <v>#N/A</v>
      </c>
      <c r="Y15" s="118" t="e">
        <f t="shared" si="7"/>
        <v>#N/A</v>
      </c>
      <c r="Z15" s="119" t="e">
        <f t="shared" si="8"/>
        <v>#N/A</v>
      </c>
      <c r="AA15" s="114"/>
      <c r="AB15" s="119" t="e">
        <f t="shared" si="9"/>
        <v>#N/A</v>
      </c>
      <c r="AC15" s="119" t="e">
        <f t="shared" si="10"/>
        <v>#N/A</v>
      </c>
      <c r="AD15" s="119" t="e">
        <f t="shared" si="11"/>
        <v>#N/A</v>
      </c>
    </row>
    <row r="16" spans="1:30" x14ac:dyDescent="0.2">
      <c r="A16" s="113"/>
      <c r="B16" s="109"/>
      <c r="C16" s="109"/>
      <c r="D16" s="273"/>
      <c r="E16" s="290"/>
      <c r="F16" s="236"/>
      <c r="G16" s="237"/>
      <c r="H16" s="238"/>
      <c r="I16" s="114"/>
      <c r="J16" s="237"/>
      <c r="K16" s="239"/>
      <c r="L16" s="238"/>
      <c r="M16" s="114"/>
      <c r="N16" s="100" t="e">
        <f>VLOOKUP(B16,Onderzoek[#All],4,FALSE)</f>
        <v>#N/A</v>
      </c>
      <c r="O16" s="106" t="e">
        <f>EXP(-0.693*E16/(VLOOKUP(A16,Nucliden[#All],3,FALSE)))*D16</f>
        <v>#N/A</v>
      </c>
      <c r="P16" s="115" t="str">
        <f>IF(I16="Nee",(VLOOKUP(A16,Nucliden[#All],35,FALSE)),(IF(I16="Ja",(VLOOKUP(A16,Nucliden[#All],34,FALSE)),(IF(I16="Deels","Bepaal h(0,07)","")))))</f>
        <v/>
      </c>
      <c r="Q16" s="115" t="str">
        <f>IF(M16="Nee",(VLOOKUP(A16,Nucliden[#All],19,FALSE)),(IF(M16="Ja",(VLOOKUP(A16,Nucliden[#All],18,FALSE)),(IF(M16="Deels","Bepaal h(10)","")))))</f>
        <v/>
      </c>
      <c r="R16" s="115" t="str">
        <f>IF(M16="Nee",(VLOOKUP(A16,Nucliden[#All],25,FALSE)),(IF(M16="Ja",(VLOOKUP(A16,Nucliden[#All],26,FALSE)),(IF(M16="Deels","Bepaal h(3)","")))))</f>
        <v/>
      </c>
      <c r="S16" s="115" t="e">
        <f>EXP(-0.693*H16/(VLOOKUP(A16,Nucliden[#All],6,FALSE)))</f>
        <v>#N/A</v>
      </c>
      <c r="T16" s="117" t="e">
        <f>EXP(-0.693*L16/(VLOOKUP(A16,Nucliden[#All],6,FALSE)))</f>
        <v>#N/A</v>
      </c>
      <c r="U16" s="118" t="e">
        <f t="shared" si="0"/>
        <v>#N/A</v>
      </c>
      <c r="V16" s="119" t="e">
        <f t="shared" ref="V16:V25" si="12">F16/60*U16/1000</f>
        <v>#N/A</v>
      </c>
      <c r="W16" s="118" t="e">
        <f t="shared" si="1"/>
        <v>#N/A</v>
      </c>
      <c r="X16" s="119" t="e">
        <f t="shared" ref="X16:X25" si="13">J16/60*W16/1000</f>
        <v>#N/A</v>
      </c>
      <c r="Y16" s="118" t="e">
        <f t="shared" si="2"/>
        <v>#N/A</v>
      </c>
      <c r="Z16" s="119" t="e">
        <f t="shared" ref="Z16:Z25" si="14">J16/60*Y16/1000</f>
        <v>#N/A</v>
      </c>
      <c r="AA16" s="114"/>
      <c r="AB16" s="119" t="e">
        <f t="shared" si="9"/>
        <v>#N/A</v>
      </c>
      <c r="AC16" s="119" t="e">
        <f t="shared" si="10"/>
        <v>#N/A</v>
      </c>
      <c r="AD16" s="119" t="e">
        <f t="shared" si="11"/>
        <v>#N/A</v>
      </c>
    </row>
    <row r="17" spans="1:30" x14ac:dyDescent="0.2">
      <c r="A17" s="113"/>
      <c r="B17" s="111"/>
      <c r="C17" s="109"/>
      <c r="D17" s="273"/>
      <c r="E17" s="290"/>
      <c r="F17" s="236"/>
      <c r="G17" s="237"/>
      <c r="H17" s="238"/>
      <c r="I17" s="114"/>
      <c r="J17" s="237"/>
      <c r="K17" s="239"/>
      <c r="L17" s="238"/>
      <c r="M17" s="114"/>
      <c r="N17" s="100" t="e">
        <f>VLOOKUP(B17,Onderzoek[#All],4,FALSE)</f>
        <v>#N/A</v>
      </c>
      <c r="O17" s="106" t="e">
        <f>EXP(-0.693*E17/(VLOOKUP(A17,Nucliden[#All],3,FALSE)))*D17</f>
        <v>#N/A</v>
      </c>
      <c r="P17" s="115" t="str">
        <f>IF(I17="Nee",(VLOOKUP(A17,Nucliden[#All],35,FALSE)),(IF(I17="Ja",(VLOOKUP(A17,Nucliden[#All],34,FALSE)),(IF(I17="Deels","Bepaal h(0,07)","")))))</f>
        <v/>
      </c>
      <c r="Q17" s="115" t="str">
        <f>IF(M17="Nee",(VLOOKUP(A17,Nucliden[#All],19,FALSE)),(IF(M17="Ja",(VLOOKUP(A17,Nucliden[#All],18,FALSE)),(IF(M17="Deels","Bepaal h(10)","")))))</f>
        <v/>
      </c>
      <c r="R17" s="115" t="str">
        <f>IF(M17="Nee",(VLOOKUP(A17,Nucliden[#All],25,FALSE)),(IF(M17="Ja",(VLOOKUP(A17,Nucliden[#All],26,FALSE)),(IF(M17="Deels","Bepaal h(3)","")))))</f>
        <v/>
      </c>
      <c r="S17" s="115" t="e">
        <f>EXP(-0.693*H17/(VLOOKUP(A17,Nucliden[#All],6,FALSE)))</f>
        <v>#N/A</v>
      </c>
      <c r="T17" s="117" t="e">
        <f>EXP(-0.693*L17/(VLOOKUP(A17,Nucliden[#All],6,FALSE)))</f>
        <v>#N/A</v>
      </c>
      <c r="U17" s="118" t="e">
        <f t="shared" si="0"/>
        <v>#N/A</v>
      </c>
      <c r="V17" s="119" t="e">
        <f t="shared" si="12"/>
        <v>#N/A</v>
      </c>
      <c r="W17" s="118" t="e">
        <f t="shared" si="1"/>
        <v>#N/A</v>
      </c>
      <c r="X17" s="119" t="e">
        <f t="shared" si="13"/>
        <v>#N/A</v>
      </c>
      <c r="Y17" s="118" t="e">
        <f t="shared" si="2"/>
        <v>#N/A</v>
      </c>
      <c r="Z17" s="119" t="e">
        <f t="shared" si="14"/>
        <v>#N/A</v>
      </c>
      <c r="AA17" s="114"/>
      <c r="AB17" s="119" t="e">
        <f t="shared" si="9"/>
        <v>#N/A</v>
      </c>
      <c r="AC17" s="119" t="e">
        <f t="shared" si="10"/>
        <v>#N/A</v>
      </c>
      <c r="AD17" s="119" t="e">
        <f t="shared" si="11"/>
        <v>#N/A</v>
      </c>
    </row>
    <row r="18" spans="1:30" x14ac:dyDescent="0.2">
      <c r="A18" s="113"/>
      <c r="B18" s="111"/>
      <c r="C18" s="109"/>
      <c r="D18" s="273"/>
      <c r="E18" s="290"/>
      <c r="F18" s="236"/>
      <c r="G18" s="237"/>
      <c r="H18" s="238"/>
      <c r="I18" s="114"/>
      <c r="J18" s="237"/>
      <c r="K18" s="239"/>
      <c r="L18" s="238"/>
      <c r="M18" s="114"/>
      <c r="N18" s="100" t="e">
        <f>VLOOKUP(B18,Onderzoek[#All],4,FALSE)</f>
        <v>#N/A</v>
      </c>
      <c r="O18" s="106" t="e">
        <f>EXP(-0.693*E18/(VLOOKUP(A18,Nucliden[#All],3,FALSE)))*D18</f>
        <v>#N/A</v>
      </c>
      <c r="P18" s="115" t="str">
        <f>IF(I18="Nee",(VLOOKUP(A18,Nucliden[#All],35,FALSE)),(IF(I18="Ja",(VLOOKUP(A18,Nucliden[#All],34,FALSE)),(IF(I18="Deels","Bepaal h(0,07)","")))))</f>
        <v/>
      </c>
      <c r="Q18" s="115" t="str">
        <f>IF(M18="Nee",(VLOOKUP(A18,Nucliden[#All],19,FALSE)),(IF(M18="Ja",(VLOOKUP(A18,Nucliden[#All],18,FALSE)),(IF(M18="Deels","Bepaal h(10)","")))))</f>
        <v/>
      </c>
      <c r="R18" s="115" t="str">
        <f>IF(M18="Nee",(VLOOKUP(A18,Nucliden[#All],25,FALSE)),(IF(M18="Ja",(VLOOKUP(A18,Nucliden[#All],26,FALSE)),(IF(M18="Deels","Bepaal h(3)","")))))</f>
        <v/>
      </c>
      <c r="S18" s="115" t="e">
        <f>EXP(-0.693*H18/(VLOOKUP(A18,Nucliden[#All],6,FALSE)))</f>
        <v>#N/A</v>
      </c>
      <c r="T18" s="117" t="e">
        <f>EXP(-0.693*L18/(VLOOKUP(A18,Nucliden[#All],6,FALSE)))</f>
        <v>#N/A</v>
      </c>
      <c r="U18" s="118" t="e">
        <f t="shared" si="0"/>
        <v>#N/A</v>
      </c>
      <c r="V18" s="119" t="e">
        <f t="shared" si="12"/>
        <v>#N/A</v>
      </c>
      <c r="W18" s="118" t="e">
        <f t="shared" si="1"/>
        <v>#N/A</v>
      </c>
      <c r="X18" s="119" t="e">
        <f t="shared" si="13"/>
        <v>#N/A</v>
      </c>
      <c r="Y18" s="118" t="e">
        <f t="shared" si="2"/>
        <v>#N/A</v>
      </c>
      <c r="Z18" s="119" t="e">
        <f t="shared" si="14"/>
        <v>#N/A</v>
      </c>
      <c r="AA18" s="114"/>
      <c r="AB18" s="119" t="e">
        <f t="shared" si="9"/>
        <v>#N/A</v>
      </c>
      <c r="AC18" s="119" t="e">
        <f t="shared" si="10"/>
        <v>#N/A</v>
      </c>
      <c r="AD18" s="119" t="e">
        <f t="shared" si="11"/>
        <v>#N/A</v>
      </c>
    </row>
    <row r="19" spans="1:30" x14ac:dyDescent="0.2">
      <c r="A19" s="113"/>
      <c r="B19" s="109"/>
      <c r="C19" s="109"/>
      <c r="D19" s="273"/>
      <c r="E19" s="290"/>
      <c r="F19" s="236"/>
      <c r="G19" s="237"/>
      <c r="H19" s="238"/>
      <c r="I19" s="114"/>
      <c r="J19" s="237"/>
      <c r="K19" s="239"/>
      <c r="L19" s="238"/>
      <c r="M19" s="114"/>
      <c r="N19" s="100" t="e">
        <f>VLOOKUP(B19,Onderzoek[#All],4,FALSE)</f>
        <v>#N/A</v>
      </c>
      <c r="O19" s="106" t="e">
        <f>EXP(-0.693*E19/(VLOOKUP(A19,Nucliden[#All],3,FALSE)))*D19</f>
        <v>#N/A</v>
      </c>
      <c r="P19" s="115" t="str">
        <f>IF(I19="Nee",(VLOOKUP(A19,Nucliden[#All],35,FALSE)),(IF(I19="Ja",(VLOOKUP(A19,Nucliden[#All],34,FALSE)),(IF(I19="Deels","Bepaal h(0,07)","")))))</f>
        <v/>
      </c>
      <c r="Q19" s="115" t="str">
        <f>IF(M19="Nee",(VLOOKUP(A19,Nucliden[#All],19,FALSE)),(IF(M19="Ja",(VLOOKUP(A19,Nucliden[#All],18,FALSE)),(IF(M19="Deels","Bepaal h(10)","")))))</f>
        <v/>
      </c>
      <c r="R19" s="115" t="str">
        <f>IF(M19="Nee",(VLOOKUP(A19,Nucliden[#All],25,FALSE)),(IF(M19="Ja",(VLOOKUP(A19,Nucliden[#All],26,FALSE)),(IF(M19="Deels","Bepaal h(3)","")))))</f>
        <v/>
      </c>
      <c r="S19" s="115" t="e">
        <f>EXP(-0.693*H19/(VLOOKUP(A19,Nucliden[#All],6,FALSE)))</f>
        <v>#N/A</v>
      </c>
      <c r="T19" s="117" t="e">
        <f>EXP(-0.693*L19/(VLOOKUP(A19,Nucliden[#All],6,FALSE)))</f>
        <v>#N/A</v>
      </c>
      <c r="U19" s="118" t="e">
        <f t="shared" si="0"/>
        <v>#N/A</v>
      </c>
      <c r="V19" s="119" t="e">
        <f t="shared" si="12"/>
        <v>#N/A</v>
      </c>
      <c r="W19" s="118" t="e">
        <f t="shared" si="1"/>
        <v>#N/A</v>
      </c>
      <c r="X19" s="119" t="e">
        <f t="shared" si="13"/>
        <v>#N/A</v>
      </c>
      <c r="Y19" s="118" t="e">
        <f t="shared" si="2"/>
        <v>#N/A</v>
      </c>
      <c r="Z19" s="119" t="e">
        <f t="shared" si="14"/>
        <v>#N/A</v>
      </c>
      <c r="AA19" s="114"/>
      <c r="AB19" s="119" t="e">
        <f t="shared" si="9"/>
        <v>#N/A</v>
      </c>
      <c r="AC19" s="119" t="e">
        <f t="shared" si="10"/>
        <v>#N/A</v>
      </c>
      <c r="AD19" s="119" t="e">
        <f t="shared" si="11"/>
        <v>#N/A</v>
      </c>
    </row>
    <row r="20" spans="1:30" x14ac:dyDescent="0.2">
      <c r="A20" s="113"/>
      <c r="B20" s="111"/>
      <c r="C20" s="109"/>
      <c r="D20" s="273"/>
      <c r="E20" s="290"/>
      <c r="F20" s="236"/>
      <c r="G20" s="237"/>
      <c r="H20" s="238"/>
      <c r="I20" s="114"/>
      <c r="J20" s="237"/>
      <c r="K20" s="239"/>
      <c r="L20" s="238"/>
      <c r="M20" s="114"/>
      <c r="N20" s="100" t="e">
        <f>VLOOKUP(B20,Onderzoek[#All],4,FALSE)</f>
        <v>#N/A</v>
      </c>
      <c r="O20" s="106" t="e">
        <f>EXP(-0.693*E20/(VLOOKUP(A20,Nucliden[#All],3,FALSE)))*D20</f>
        <v>#N/A</v>
      </c>
      <c r="P20" s="115" t="str">
        <f>IF(I20="Nee",(VLOOKUP(A20,Nucliden[#All],35,FALSE)),(IF(I20="Ja",(VLOOKUP(A20,Nucliden[#All],34,FALSE)),(IF(I20="Deels","Bepaal h(0,07)","")))))</f>
        <v/>
      </c>
      <c r="Q20" s="115" t="str">
        <f>IF(M20="Nee",(VLOOKUP(A20,Nucliden[#All],19,FALSE)),(IF(M20="Ja",(VLOOKUP(A20,Nucliden[#All],18,FALSE)),(IF(M20="Deels","Bepaal h(10)","")))))</f>
        <v/>
      </c>
      <c r="R20" s="115" t="str">
        <f>IF(M20="Nee",(VLOOKUP(A20,Nucliden[#All],25,FALSE)),(IF(M20="Ja",(VLOOKUP(A20,Nucliden[#All],26,FALSE)),(IF(M20="Deels","Bepaal h(3)","")))))</f>
        <v/>
      </c>
      <c r="S20" s="115" t="e">
        <f>EXP(-0.693*H20/(VLOOKUP(A20,Nucliden[#All],6,FALSE)))</f>
        <v>#N/A</v>
      </c>
      <c r="T20" s="117" t="e">
        <f>EXP(-0.693*L20/(VLOOKUP(A20,Nucliden[#All],6,FALSE)))</f>
        <v>#N/A</v>
      </c>
      <c r="U20" s="118" t="e">
        <f t="shared" si="0"/>
        <v>#N/A</v>
      </c>
      <c r="V20" s="119" t="e">
        <f t="shared" si="12"/>
        <v>#N/A</v>
      </c>
      <c r="W20" s="118" t="e">
        <f t="shared" si="1"/>
        <v>#N/A</v>
      </c>
      <c r="X20" s="119" t="e">
        <f t="shared" si="13"/>
        <v>#N/A</v>
      </c>
      <c r="Y20" s="118" t="e">
        <f t="shared" si="2"/>
        <v>#N/A</v>
      </c>
      <c r="Z20" s="119" t="e">
        <f t="shared" si="14"/>
        <v>#N/A</v>
      </c>
      <c r="AA20" s="114"/>
      <c r="AB20" s="119" t="e">
        <f t="shared" si="9"/>
        <v>#N/A</v>
      </c>
      <c r="AC20" s="119" t="e">
        <f t="shared" si="10"/>
        <v>#N/A</v>
      </c>
      <c r="AD20" s="119" t="e">
        <f t="shared" si="11"/>
        <v>#N/A</v>
      </c>
    </row>
    <row r="21" spans="1:30" x14ac:dyDescent="0.2">
      <c r="A21" s="113"/>
      <c r="B21" s="111"/>
      <c r="C21" s="109"/>
      <c r="D21" s="273"/>
      <c r="E21" s="290"/>
      <c r="F21" s="236"/>
      <c r="G21" s="237"/>
      <c r="H21" s="238"/>
      <c r="I21" s="114"/>
      <c r="J21" s="237"/>
      <c r="K21" s="239"/>
      <c r="L21" s="238"/>
      <c r="M21" s="114"/>
      <c r="N21" s="100" t="e">
        <f>VLOOKUP(B21,Onderzoek[#All],4,FALSE)</f>
        <v>#N/A</v>
      </c>
      <c r="O21" s="106" t="e">
        <f>EXP(-0.693*E21/(VLOOKUP(A21,Nucliden[#All],3,FALSE)))*D21</f>
        <v>#N/A</v>
      </c>
      <c r="P21" s="115" t="str">
        <f>IF(I21="Nee",(VLOOKUP(A21,Nucliden[#All],35,FALSE)),(IF(I21="Ja",(VLOOKUP(A21,Nucliden[#All],34,FALSE)),(IF(I21="Deels","Bepaal h(0,07)","")))))</f>
        <v/>
      </c>
      <c r="Q21" s="115" t="str">
        <f>IF(M21="Nee",(VLOOKUP(A21,Nucliden[#All],19,FALSE)),(IF(M21="Ja",(VLOOKUP(A21,Nucliden[#All],18,FALSE)),(IF(M21="Deels","Bepaal h(10)","")))))</f>
        <v/>
      </c>
      <c r="R21" s="115" t="str">
        <f>IF(M21="Nee",(VLOOKUP(A21,Nucliden[#All],25,FALSE)),(IF(M21="Ja",(VLOOKUP(A21,Nucliden[#All],26,FALSE)),(IF(M21="Deels","Bepaal h(3)","")))))</f>
        <v/>
      </c>
      <c r="S21" s="115" t="e">
        <f>EXP(-0.693*H21/(VLOOKUP(A21,Nucliden[#All],6,FALSE)))</f>
        <v>#N/A</v>
      </c>
      <c r="T21" s="117" t="e">
        <f>EXP(-0.693*L21/(VLOOKUP(A21,Nucliden[#All],6,FALSE)))</f>
        <v>#N/A</v>
      </c>
      <c r="U21" s="118" t="e">
        <f t="shared" si="0"/>
        <v>#N/A</v>
      </c>
      <c r="V21" s="119" t="e">
        <f t="shared" si="12"/>
        <v>#N/A</v>
      </c>
      <c r="W21" s="118" t="e">
        <f t="shared" si="1"/>
        <v>#N/A</v>
      </c>
      <c r="X21" s="119" t="e">
        <f t="shared" si="13"/>
        <v>#N/A</v>
      </c>
      <c r="Y21" s="118" t="e">
        <f t="shared" si="2"/>
        <v>#N/A</v>
      </c>
      <c r="Z21" s="119" t="e">
        <f t="shared" si="14"/>
        <v>#N/A</v>
      </c>
      <c r="AA21" s="114"/>
      <c r="AB21" s="119" t="e">
        <f t="shared" si="9"/>
        <v>#N/A</v>
      </c>
      <c r="AC21" s="119" t="e">
        <f t="shared" si="10"/>
        <v>#N/A</v>
      </c>
      <c r="AD21" s="119" t="e">
        <f t="shared" si="11"/>
        <v>#N/A</v>
      </c>
    </row>
    <row r="22" spans="1:30" x14ac:dyDescent="0.2">
      <c r="A22" s="113"/>
      <c r="B22" s="111"/>
      <c r="C22" s="109"/>
      <c r="D22" s="273"/>
      <c r="E22" s="290"/>
      <c r="F22" s="236"/>
      <c r="G22" s="237"/>
      <c r="H22" s="238"/>
      <c r="I22" s="114"/>
      <c r="J22" s="237"/>
      <c r="K22" s="239"/>
      <c r="L22" s="238"/>
      <c r="M22" s="114"/>
      <c r="N22" s="100" t="e">
        <f>VLOOKUP(B22,Onderzoek[#All],4,FALSE)</f>
        <v>#N/A</v>
      </c>
      <c r="O22" s="106" t="e">
        <f>EXP(-0.693*E22/(VLOOKUP(A22,Nucliden[#All],3,FALSE)))*D22</f>
        <v>#N/A</v>
      </c>
      <c r="P22" s="115" t="str">
        <f>IF(I22="Nee",(VLOOKUP(A22,Nucliden[#All],35,FALSE)),(IF(I22="Ja",(VLOOKUP(A22,Nucliden[#All],34,FALSE)),(IF(I22="Deels","Bepaal h(0,07)","")))))</f>
        <v/>
      </c>
      <c r="Q22" s="115" t="str">
        <f>IF(M22="Nee",(VLOOKUP(A22,Nucliden[#All],19,FALSE)),(IF(M22="Ja",(VLOOKUP(A22,Nucliden[#All],18,FALSE)),(IF(M22="Deels","Bepaal h(10)","")))))</f>
        <v/>
      </c>
      <c r="R22" s="115" t="str">
        <f>IF(M22="Nee",(VLOOKUP(A22,Nucliden[#All],25,FALSE)),(IF(M22="Ja",(VLOOKUP(A22,Nucliden[#All],26,FALSE)),(IF(M22="Deels","Bepaal h(3)","")))))</f>
        <v/>
      </c>
      <c r="S22" s="115" t="e">
        <f>EXP(-0.693*H22/(VLOOKUP(A22,Nucliden[#All],6,FALSE)))</f>
        <v>#N/A</v>
      </c>
      <c r="T22" s="117" t="e">
        <f>EXP(-0.693*L22/(VLOOKUP(A22,Nucliden[#All],6,FALSE)))</f>
        <v>#N/A</v>
      </c>
      <c r="U22" s="118" t="e">
        <f t="shared" si="0"/>
        <v>#N/A</v>
      </c>
      <c r="V22" s="119" t="e">
        <f t="shared" si="12"/>
        <v>#N/A</v>
      </c>
      <c r="W22" s="118" t="e">
        <f t="shared" si="1"/>
        <v>#N/A</v>
      </c>
      <c r="X22" s="119" t="e">
        <f t="shared" si="13"/>
        <v>#N/A</v>
      </c>
      <c r="Y22" s="118" t="e">
        <f t="shared" si="2"/>
        <v>#N/A</v>
      </c>
      <c r="Z22" s="119" t="e">
        <f t="shared" si="14"/>
        <v>#N/A</v>
      </c>
      <c r="AA22" s="114"/>
      <c r="AB22" s="119" t="e">
        <f t="shared" si="9"/>
        <v>#N/A</v>
      </c>
      <c r="AC22" s="119" t="e">
        <f t="shared" si="10"/>
        <v>#N/A</v>
      </c>
      <c r="AD22" s="119" t="e">
        <f t="shared" si="11"/>
        <v>#N/A</v>
      </c>
    </row>
    <row r="23" spans="1:30" x14ac:dyDescent="0.2">
      <c r="A23" s="113"/>
      <c r="B23" s="111"/>
      <c r="C23" s="109"/>
      <c r="D23" s="273"/>
      <c r="E23" s="290"/>
      <c r="F23" s="236"/>
      <c r="G23" s="237"/>
      <c r="H23" s="238"/>
      <c r="I23" s="114"/>
      <c r="J23" s="237"/>
      <c r="K23" s="239"/>
      <c r="L23" s="238"/>
      <c r="M23" s="114"/>
      <c r="N23" s="100" t="e">
        <f>VLOOKUP(B23,Onderzoek[#All],4,FALSE)</f>
        <v>#N/A</v>
      </c>
      <c r="O23" s="106" t="e">
        <f>EXP(-0.693*E23/(VLOOKUP(A23,Nucliden[#All],3,FALSE)))*D23</f>
        <v>#N/A</v>
      </c>
      <c r="P23" s="115" t="str">
        <f>IF(I23="Nee",(VLOOKUP(A23,Nucliden[#All],35,FALSE)),(IF(I23="Ja",(VLOOKUP(A23,Nucliden[#All],34,FALSE)),(IF(I23="Deels","Bepaal h(0,07)","")))))</f>
        <v/>
      </c>
      <c r="Q23" s="115" t="str">
        <f>IF(M23="Nee",(VLOOKUP(A23,Nucliden[#All],19,FALSE)),(IF(M23="Ja",(VLOOKUP(A23,Nucliden[#All],18,FALSE)),(IF(M23="Deels","Bepaal h(10)","")))))</f>
        <v/>
      </c>
      <c r="R23" s="115" t="str">
        <f>IF(M23="Nee",(VLOOKUP(A23,Nucliden[#All],25,FALSE)),(IF(M23="Ja",(VLOOKUP(A23,Nucliden[#All],26,FALSE)),(IF(M23="Deels","Bepaal h(3)","")))))</f>
        <v/>
      </c>
      <c r="S23" s="115" t="e">
        <f>EXP(-0.693*H23/(VLOOKUP(A23,Nucliden[#All],6,FALSE)))</f>
        <v>#N/A</v>
      </c>
      <c r="T23" s="117" t="e">
        <f>EXP(-0.693*L23/(VLOOKUP(A23,Nucliden[#All],6,FALSE)))</f>
        <v>#N/A</v>
      </c>
      <c r="U23" s="118" t="e">
        <f t="shared" si="0"/>
        <v>#N/A</v>
      </c>
      <c r="V23" s="119" t="e">
        <f t="shared" si="12"/>
        <v>#N/A</v>
      </c>
      <c r="W23" s="118" t="e">
        <f t="shared" si="1"/>
        <v>#N/A</v>
      </c>
      <c r="X23" s="119" t="e">
        <f t="shared" si="13"/>
        <v>#N/A</v>
      </c>
      <c r="Y23" s="118" t="e">
        <f t="shared" si="2"/>
        <v>#N/A</v>
      </c>
      <c r="Z23" s="119" t="e">
        <f t="shared" si="14"/>
        <v>#N/A</v>
      </c>
      <c r="AA23" s="114"/>
      <c r="AB23" s="119" t="e">
        <f t="shared" si="9"/>
        <v>#N/A</v>
      </c>
      <c r="AC23" s="119" t="e">
        <f t="shared" si="10"/>
        <v>#N/A</v>
      </c>
      <c r="AD23" s="119" t="e">
        <f t="shared" si="11"/>
        <v>#N/A</v>
      </c>
    </row>
    <row r="24" spans="1:30" x14ac:dyDescent="0.2">
      <c r="A24" s="113"/>
      <c r="B24" s="111"/>
      <c r="C24" s="109"/>
      <c r="D24" s="273"/>
      <c r="E24" s="290"/>
      <c r="F24" s="236"/>
      <c r="G24" s="237"/>
      <c r="H24" s="238"/>
      <c r="I24" s="114"/>
      <c r="J24" s="237"/>
      <c r="K24" s="239"/>
      <c r="L24" s="238"/>
      <c r="M24" s="114"/>
      <c r="N24" s="100" t="e">
        <f>VLOOKUP(B24,Onderzoek[#All],4,FALSE)</f>
        <v>#N/A</v>
      </c>
      <c r="O24" s="106" t="e">
        <f>EXP(-0.693*E24/(VLOOKUP(A24,Nucliden[#All],3,FALSE)))*D24</f>
        <v>#N/A</v>
      </c>
      <c r="P24" s="115" t="str">
        <f>IF(I24="Nee",(VLOOKUP(A24,Nucliden[#All],35,FALSE)),(IF(I24="Ja",(VLOOKUP(A24,Nucliden[#All],34,FALSE)),(IF(I24="Deels","Bepaal h(0,07)","")))))</f>
        <v/>
      </c>
      <c r="Q24" s="115" t="str">
        <f>IF(M24="Nee",(VLOOKUP(A24,Nucliden[#All],19,FALSE)),(IF(M24="Ja",(VLOOKUP(A24,Nucliden[#All],18,FALSE)),(IF(M24="Deels","Bepaal h(10)","")))))</f>
        <v/>
      </c>
      <c r="R24" s="115" t="str">
        <f>IF(M24="Nee",(VLOOKUP(A24,Nucliden[#All],25,FALSE)),(IF(M24="Ja",(VLOOKUP(A24,Nucliden[#All],26,FALSE)),(IF(M24="Deels","Bepaal h(3)","")))))</f>
        <v/>
      </c>
      <c r="S24" s="115" t="e">
        <f>EXP(-0.693*H24/(VLOOKUP(A24,Nucliden[#All],6,FALSE)))</f>
        <v>#N/A</v>
      </c>
      <c r="T24" s="117" t="e">
        <f>EXP(-0.693*L24/(VLOOKUP(A24,Nucliden[#All],6,FALSE)))</f>
        <v>#N/A</v>
      </c>
      <c r="U24" s="118" t="e">
        <f t="shared" si="0"/>
        <v>#N/A</v>
      </c>
      <c r="V24" s="119" t="e">
        <f t="shared" si="12"/>
        <v>#N/A</v>
      </c>
      <c r="W24" s="118" t="e">
        <f t="shared" si="1"/>
        <v>#N/A</v>
      </c>
      <c r="X24" s="119" t="e">
        <f t="shared" si="13"/>
        <v>#N/A</v>
      </c>
      <c r="Y24" s="118" t="e">
        <f t="shared" si="2"/>
        <v>#N/A</v>
      </c>
      <c r="Z24" s="119" t="e">
        <f t="shared" si="14"/>
        <v>#N/A</v>
      </c>
      <c r="AA24" s="114"/>
      <c r="AB24" s="119" t="e">
        <f t="shared" si="9"/>
        <v>#N/A</v>
      </c>
      <c r="AC24" s="119" t="e">
        <f t="shared" si="10"/>
        <v>#N/A</v>
      </c>
      <c r="AD24" s="119" t="e">
        <f t="shared" si="11"/>
        <v>#N/A</v>
      </c>
    </row>
    <row r="25" spans="1:30" x14ac:dyDescent="0.2">
      <c r="A25" s="113"/>
      <c r="B25" s="111"/>
      <c r="C25" s="109"/>
      <c r="D25" s="273"/>
      <c r="E25" s="290"/>
      <c r="F25" s="236"/>
      <c r="G25" s="237"/>
      <c r="H25" s="238"/>
      <c r="I25" s="114"/>
      <c r="J25" s="237"/>
      <c r="K25" s="239"/>
      <c r="L25" s="238"/>
      <c r="M25" s="114"/>
      <c r="N25" s="100" t="e">
        <f>VLOOKUP(B25,Onderzoek[#All],4,FALSE)</f>
        <v>#N/A</v>
      </c>
      <c r="O25" s="106" t="e">
        <f>EXP(-0.693*E25/(VLOOKUP(A25,Nucliden[#All],3,FALSE)))*D25</f>
        <v>#N/A</v>
      </c>
      <c r="P25" s="115" t="str">
        <f>IF(I25="Nee",(VLOOKUP(A25,Nucliden[#All],35,FALSE)),(IF(I25="Ja",(VLOOKUP(A25,Nucliden[#All],34,FALSE)),(IF(I25="Deels","Bepaal h(0,07)","")))))</f>
        <v/>
      </c>
      <c r="Q25" s="115" t="str">
        <f>IF(M25="Nee",(VLOOKUP(A25,Nucliden[#All],19,FALSE)),(IF(M25="Ja",(VLOOKUP(A25,Nucliden[#All],18,FALSE)),(IF(M25="Deels","Bepaal h(10)","")))))</f>
        <v/>
      </c>
      <c r="R25" s="115" t="str">
        <f>IF(M25="Nee",(VLOOKUP(A25,Nucliden[#All],25,FALSE)),(IF(M25="Ja",(VLOOKUP(A25,Nucliden[#All],26,FALSE)),(IF(M25="Deels","Bepaal h(3)","")))))</f>
        <v/>
      </c>
      <c r="S25" s="115" t="e">
        <f>EXP(-0.693*H25/(VLOOKUP(A25,Nucliden[#All],6,FALSE)))</f>
        <v>#N/A</v>
      </c>
      <c r="T25" s="117" t="e">
        <f>EXP(-0.693*L25/(VLOOKUP(A25,Nucliden[#All],6,FALSE)))</f>
        <v>#N/A</v>
      </c>
      <c r="U25" s="118" t="e">
        <f t="shared" si="0"/>
        <v>#N/A</v>
      </c>
      <c r="V25" s="119" t="e">
        <f t="shared" si="12"/>
        <v>#N/A</v>
      </c>
      <c r="W25" s="118" t="e">
        <f t="shared" si="1"/>
        <v>#N/A</v>
      </c>
      <c r="X25" s="119" t="e">
        <f t="shared" si="13"/>
        <v>#N/A</v>
      </c>
      <c r="Y25" s="118" t="e">
        <f t="shared" si="2"/>
        <v>#N/A</v>
      </c>
      <c r="Z25" s="119" t="e">
        <f t="shared" si="14"/>
        <v>#N/A</v>
      </c>
      <c r="AA25" s="114"/>
      <c r="AB25" s="119" t="e">
        <f t="shared" si="9"/>
        <v>#N/A</v>
      </c>
      <c r="AC25" s="119" t="e">
        <f t="shared" si="10"/>
        <v>#N/A</v>
      </c>
      <c r="AD25" s="119" t="e">
        <f t="shared" si="11"/>
        <v>#N/A</v>
      </c>
    </row>
    <row r="26" spans="1:30" x14ac:dyDescent="0.2">
      <c r="A26" s="4"/>
      <c r="B26" s="4"/>
      <c r="I26" s="7" t="s">
        <v>445</v>
      </c>
      <c r="M26" s="7" t="s">
        <v>445</v>
      </c>
      <c r="AA26" s="242" t="s">
        <v>449</v>
      </c>
      <c r="AB26" s="241" t="e">
        <f>SUM(AB4:AB25)</f>
        <v>#N/A</v>
      </c>
      <c r="AC26" s="241" t="e">
        <f>SUM(AC4:AC25)</f>
        <v>#N/A</v>
      </c>
      <c r="AD26" s="241" t="e">
        <f>SUM(AD4:AD25)</f>
        <v>#N/A</v>
      </c>
    </row>
    <row r="27" spans="1:30" x14ac:dyDescent="0.2">
      <c r="I27" s="233" t="s">
        <v>66</v>
      </c>
      <c r="M27" s="233" t="s">
        <v>66</v>
      </c>
    </row>
    <row r="28" spans="1:30" x14ac:dyDescent="0.2">
      <c r="I28" s="233" t="s">
        <v>446</v>
      </c>
      <c r="M28" s="233" t="s">
        <v>446</v>
      </c>
    </row>
    <row r="29" spans="1:30" x14ac:dyDescent="0.2">
      <c r="F29" s="4"/>
      <c r="G29" s="4"/>
      <c r="H29" s="4"/>
      <c r="I29" s="233" t="s">
        <v>447</v>
      </c>
      <c r="M29" s="233" t="s">
        <v>447</v>
      </c>
    </row>
    <row r="30" spans="1:30" x14ac:dyDescent="0.2">
      <c r="F30" s="4"/>
      <c r="G30" s="4"/>
      <c r="H30" s="4"/>
    </row>
    <row r="31" spans="1:30" x14ac:dyDescent="0.2">
      <c r="F31" s="4"/>
      <c r="G31" s="4"/>
      <c r="H31" s="4"/>
    </row>
  </sheetData>
  <dataValidations count="1">
    <dataValidation type="list" allowBlank="1" showInputMessage="1" showErrorMessage="1" sqref="I4:I25 M4:M25">
      <formula1>$M$27:$M$29</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32"/>
  <sheetViews>
    <sheetView zoomScaleNormal="100" workbookViewId="0">
      <pane xSplit="3" ySplit="3" topLeftCell="D4" activePane="bottomRight" state="frozen"/>
      <selection pane="topRight" activeCell="D1" sqref="D1"/>
      <selection pane="bottomLeft" activeCell="A4" sqref="A4"/>
      <selection pane="bottomRight" activeCell="A4" sqref="A4"/>
    </sheetView>
  </sheetViews>
  <sheetFormatPr defaultRowHeight="12.75" x14ac:dyDescent="0.2"/>
  <cols>
    <col min="1" max="1" width="13.140625" customWidth="1"/>
    <col min="2" max="2" width="25.7109375" customWidth="1"/>
    <col min="3" max="3" width="30.7109375" customWidth="1"/>
    <col min="4" max="4" width="16.28515625" customWidth="1"/>
    <col min="5" max="5" width="16.28515625" style="9" customWidth="1"/>
    <col min="6" max="6" width="14" customWidth="1"/>
    <col min="7" max="7" width="13" customWidth="1"/>
    <col min="8" max="8" width="12.5703125" customWidth="1"/>
    <col min="9" max="9" width="14.28515625" customWidth="1"/>
    <col min="10" max="10" width="11.85546875" customWidth="1"/>
    <col min="11" max="11" width="10.42578125" bestFit="1" customWidth="1"/>
    <col min="12" max="12" width="13.42578125" bestFit="1" customWidth="1"/>
    <col min="13" max="13" width="14.28515625" customWidth="1"/>
    <col min="14" max="15" width="12.28515625" customWidth="1"/>
    <col min="16" max="17" width="13.140625" bestFit="1" customWidth="1"/>
    <col min="18" max="18" width="13.140625" customWidth="1"/>
    <col min="19" max="19" width="11.85546875" customWidth="1"/>
    <col min="20" max="20" width="12.7109375" customWidth="1"/>
    <col min="21" max="26" width="13.28515625" customWidth="1"/>
    <col min="27" max="27" width="9.7109375" customWidth="1"/>
    <col min="28" max="30" width="13.28515625" customWidth="1"/>
  </cols>
  <sheetData>
    <row r="1" spans="1:30" ht="30" customHeight="1" x14ac:dyDescent="0.2">
      <c r="A1" s="131" t="s">
        <v>385</v>
      </c>
      <c r="B1" s="132" t="s">
        <v>386</v>
      </c>
      <c r="C1" s="126"/>
      <c r="D1" s="126"/>
      <c r="E1" s="133"/>
      <c r="F1" s="126"/>
      <c r="G1" s="126"/>
      <c r="H1" s="126"/>
      <c r="I1" s="126"/>
      <c r="J1" s="126"/>
      <c r="K1" s="126"/>
      <c r="L1" s="126"/>
      <c r="M1" s="126"/>
      <c r="O1" s="2"/>
      <c r="P1" s="13" t="s">
        <v>61</v>
      </c>
      <c r="Q1" s="13" t="s">
        <v>61</v>
      </c>
      <c r="R1" s="13" t="s">
        <v>349</v>
      </c>
      <c r="S1" s="13" t="s">
        <v>350</v>
      </c>
      <c r="U1" s="130" t="s">
        <v>369</v>
      </c>
      <c r="V1" s="24"/>
      <c r="W1" s="35"/>
      <c r="X1" s="24"/>
      <c r="Y1" s="35"/>
      <c r="Z1" s="24"/>
      <c r="AA1" s="125" t="s">
        <v>356</v>
      </c>
      <c r="AB1" s="126"/>
      <c r="AC1" s="126"/>
      <c r="AD1" s="126"/>
    </row>
    <row r="2" spans="1:30" ht="41.25" customHeight="1" x14ac:dyDescent="0.2">
      <c r="A2" s="101" t="s">
        <v>5</v>
      </c>
      <c r="B2" s="103" t="s">
        <v>13</v>
      </c>
      <c r="C2" s="103" t="s">
        <v>368</v>
      </c>
      <c r="D2" s="103" t="s">
        <v>480</v>
      </c>
      <c r="E2" s="103" t="s">
        <v>302</v>
      </c>
      <c r="F2" s="103" t="s">
        <v>290</v>
      </c>
      <c r="G2" s="103" t="s">
        <v>292</v>
      </c>
      <c r="H2" s="103" t="s">
        <v>295</v>
      </c>
      <c r="I2" s="103" t="s">
        <v>525</v>
      </c>
      <c r="J2" s="103" t="s">
        <v>294</v>
      </c>
      <c r="K2" s="103" t="s">
        <v>293</v>
      </c>
      <c r="L2" s="103" t="s">
        <v>297</v>
      </c>
      <c r="M2" s="103" t="s">
        <v>526</v>
      </c>
      <c r="N2" s="102" t="s">
        <v>357</v>
      </c>
      <c r="O2" s="102" t="s">
        <v>82</v>
      </c>
      <c r="P2" s="102" t="s">
        <v>299</v>
      </c>
      <c r="Q2" s="102" t="s">
        <v>300</v>
      </c>
      <c r="R2" s="102" t="s">
        <v>301</v>
      </c>
      <c r="S2" s="102" t="s">
        <v>83</v>
      </c>
      <c r="T2" s="102" t="s">
        <v>86</v>
      </c>
      <c r="U2" s="116" t="s">
        <v>303</v>
      </c>
      <c r="V2" s="116" t="s">
        <v>370</v>
      </c>
      <c r="W2" s="116" t="s">
        <v>307</v>
      </c>
      <c r="X2" s="116" t="s">
        <v>371</v>
      </c>
      <c r="Y2" s="116" t="s">
        <v>309</v>
      </c>
      <c r="Z2" s="116" t="s">
        <v>372</v>
      </c>
      <c r="AA2" s="103" t="s">
        <v>358</v>
      </c>
      <c r="AB2" s="116" t="s">
        <v>305</v>
      </c>
      <c r="AC2" s="116" t="s">
        <v>308</v>
      </c>
      <c r="AD2" s="116" t="s">
        <v>310</v>
      </c>
    </row>
    <row r="3" spans="1:30" ht="17.25" customHeight="1" x14ac:dyDescent="0.2">
      <c r="A3" s="104"/>
      <c r="B3" s="104"/>
      <c r="C3" s="104"/>
      <c r="D3" s="104"/>
      <c r="E3" s="103" t="s">
        <v>522</v>
      </c>
      <c r="F3" s="103" t="s">
        <v>291</v>
      </c>
      <c r="G3" s="103" t="s">
        <v>69</v>
      </c>
      <c r="H3" s="103" t="s">
        <v>296</v>
      </c>
      <c r="I3" s="103" t="s">
        <v>298</v>
      </c>
      <c r="J3" s="103" t="s">
        <v>291</v>
      </c>
      <c r="K3" s="103" t="s">
        <v>68</v>
      </c>
      <c r="L3" s="103" t="s">
        <v>296</v>
      </c>
      <c r="M3" s="103" t="s">
        <v>298</v>
      </c>
      <c r="N3" s="102" t="str">
        <f>'Handelingen Leveringsniveau'!C3</f>
        <v>[MBq]</v>
      </c>
      <c r="O3" s="102"/>
      <c r="P3" s="102" t="s">
        <v>255</v>
      </c>
      <c r="Q3" s="102" t="s">
        <v>255</v>
      </c>
      <c r="R3" s="102" t="s">
        <v>255</v>
      </c>
      <c r="S3" s="102"/>
      <c r="T3" s="102"/>
      <c r="U3" s="116" t="s">
        <v>304</v>
      </c>
      <c r="V3" s="116" t="s">
        <v>306</v>
      </c>
      <c r="W3" s="116" t="s">
        <v>304</v>
      </c>
      <c r="X3" s="116" t="s">
        <v>306</v>
      </c>
      <c r="Y3" s="116" t="s">
        <v>304</v>
      </c>
      <c r="Z3" s="116" t="s">
        <v>306</v>
      </c>
      <c r="AA3" s="103" t="s">
        <v>359</v>
      </c>
      <c r="AB3" s="116" t="s">
        <v>306</v>
      </c>
      <c r="AC3" s="116" t="s">
        <v>306</v>
      </c>
      <c r="AD3" s="116" t="s">
        <v>306</v>
      </c>
    </row>
    <row r="4" spans="1:30" x14ac:dyDescent="0.2">
      <c r="A4" s="108" t="s">
        <v>4</v>
      </c>
      <c r="B4" s="109" t="s">
        <v>518</v>
      </c>
      <c r="C4" s="111" t="s">
        <v>524</v>
      </c>
      <c r="D4" s="273">
        <v>0.1</v>
      </c>
      <c r="E4" s="290">
        <v>0</v>
      </c>
      <c r="F4" s="236">
        <v>1</v>
      </c>
      <c r="G4" s="237">
        <v>5</v>
      </c>
      <c r="H4" s="238">
        <v>0</v>
      </c>
      <c r="I4" s="114" t="s">
        <v>446</v>
      </c>
      <c r="J4" s="237">
        <v>1</v>
      </c>
      <c r="K4" s="239">
        <v>0.5</v>
      </c>
      <c r="L4" s="238">
        <v>0</v>
      </c>
      <c r="M4" s="114" t="s">
        <v>446</v>
      </c>
      <c r="N4" s="100">
        <f>VLOOKUP(B4,Onderzoek[#All],7,FALSE)</f>
        <v>350</v>
      </c>
      <c r="O4" s="106">
        <f>EXP(-0.693*E4*24/(VLOOKUP(A4,Nucliden[#All],3,FALSE)))*D4</f>
        <v>0.1</v>
      </c>
      <c r="P4" s="115">
        <f>IF(I4="Nee",(VLOOKUP(A4,Nucliden[#All],35,FALSE)),(IF(I4="Ja",(VLOOKUP(A4,Nucliden[#All],34,FALSE)),(IF(I4="Deels","Bepaal h(0,07)","")))))</f>
        <v>1676</v>
      </c>
      <c r="Q4" s="115">
        <f>IF(M4="Nee",(VLOOKUP(A4,Nucliden[#All],19,FALSE)),(IF(M4="Ja",(VLOOKUP(A4,Nucliden[#All],18,FALSE)),(IF(M4="Deels","Bepaal h(10)","")))))</f>
        <v>0.16</v>
      </c>
      <c r="R4" s="115">
        <f>IF(M4="Nee",(VLOOKUP(A4,Nucliden[#All],25,FALSE)),(IF(M4="Ja",(VLOOKUP(A4,Nucliden[#All],26,FALSE)),(IF(M4="Deels","Bepaal h(3)","")))))</f>
        <v>5.0000000000000001E-3</v>
      </c>
      <c r="S4" s="115">
        <f>EXP(-0.693*H4/(VLOOKUP(A4,Nucliden[#All],6,FALSE)))</f>
        <v>1</v>
      </c>
      <c r="T4" s="117">
        <f>EXP(-0.693*L4/(VLOOKUP(A4,Nucliden[#All],6,FALSE)))</f>
        <v>1</v>
      </c>
      <c r="U4" s="118">
        <f t="shared" ref="U4" si="0">N4*O4*(10/G4)^2*P4*S4</f>
        <v>234640</v>
      </c>
      <c r="V4" s="119">
        <f>F4/60*U4/1000</f>
        <v>3.9106666666666667</v>
      </c>
      <c r="W4" s="118">
        <f t="shared" ref="W4" si="1">N4*O4*(1/K4)^2*Q4*S4*T4</f>
        <v>22.400000000000002</v>
      </c>
      <c r="X4" s="119">
        <f>J4/60*W4/1000</f>
        <v>3.7333333333333337E-4</v>
      </c>
      <c r="Y4" s="118">
        <f t="shared" ref="Y4" si="2">N4*O4*(1/K4)^2*R4*S4*T4</f>
        <v>0.70000000000000007</v>
      </c>
      <c r="Z4" s="119">
        <f>J4/60*Y4/1000</f>
        <v>1.1666666666666668E-5</v>
      </c>
      <c r="AA4" s="114">
        <v>1</v>
      </c>
      <c r="AB4" s="119">
        <f>AA4*$V4</f>
        <v>3.9106666666666667</v>
      </c>
      <c r="AC4" s="119">
        <f>AA4*$X4</f>
        <v>3.7333333333333337E-4</v>
      </c>
      <c r="AD4" s="119">
        <f>AA4*$Z4</f>
        <v>1.1666666666666668E-5</v>
      </c>
    </row>
    <row r="5" spans="1:30" x14ac:dyDescent="0.2">
      <c r="A5" s="108" t="s">
        <v>0</v>
      </c>
      <c r="B5" s="111" t="s">
        <v>550</v>
      </c>
      <c r="C5" s="109" t="s">
        <v>524</v>
      </c>
      <c r="D5" s="273">
        <v>0.1</v>
      </c>
      <c r="E5" s="290">
        <v>0</v>
      </c>
      <c r="F5" s="236">
        <v>1</v>
      </c>
      <c r="G5" s="237">
        <v>5</v>
      </c>
      <c r="H5" s="238">
        <v>0</v>
      </c>
      <c r="I5" s="114" t="s">
        <v>446</v>
      </c>
      <c r="J5" s="237">
        <v>1</v>
      </c>
      <c r="K5" s="239">
        <v>0.5</v>
      </c>
      <c r="L5" s="238">
        <v>0</v>
      </c>
      <c r="M5" s="114" t="s">
        <v>446</v>
      </c>
      <c r="N5" s="100">
        <f>VLOOKUP(B5,Onderzoek[#All],7,FALSE)</f>
        <v>800</v>
      </c>
      <c r="O5" s="106">
        <f>EXP(-0.693*E5*24/(VLOOKUP(A5,Nucliden[#All],3,FALSE)))*D5</f>
        <v>0.1</v>
      </c>
      <c r="P5" s="115">
        <f>IF(I5="Nee",(VLOOKUP(A5,Nucliden[#All],35,FALSE)),(IF(I5="Ja",(VLOOKUP(A5,Nucliden[#All],34,FALSE)),(IF(I5="Deels","Bepaal h(0,07)","")))))</f>
        <v>261.20999999999998</v>
      </c>
      <c r="Q5" s="115">
        <f>IF(M5="Nee",(VLOOKUP(A5,Nucliden[#All],19,FALSE)),(IF(M5="Ja",(VLOOKUP(A5,Nucliden[#All],18,FALSE)),(IF(M5="Deels","Bepaal h(10)","")))))</f>
        <v>2.18E-2</v>
      </c>
      <c r="R5" s="115">
        <f>IF(M5="Nee",(VLOOKUP(A5,Nucliden[#All],25,FALSE)),(IF(M5="Ja",(VLOOKUP(A5,Nucliden[#All],26,FALSE)),(IF(M5="Deels","Bepaal h(3)","")))))</f>
        <v>2.5999999999999999E-2</v>
      </c>
      <c r="S5" s="115">
        <f>EXP(-0.693*H5/(VLOOKUP(A5,Nucliden[#All],6,FALSE)))</f>
        <v>1</v>
      </c>
      <c r="T5" s="117">
        <f>EXP(-0.693*L5/(VLOOKUP(A5,Nucliden[#All],6,FALSE)))</f>
        <v>1</v>
      </c>
      <c r="U5" s="118">
        <f t="shared" ref="U5:U25" si="3">N5*O5*(10/G5)^2*P5*S5</f>
        <v>83587.199999999997</v>
      </c>
      <c r="V5" s="119">
        <f t="shared" ref="V5:V25" si="4">F5/60*U5/1000</f>
        <v>1.3931199999999999</v>
      </c>
      <c r="W5" s="118">
        <f t="shared" ref="W5:W25" si="5">N5*O5*(1/K5)^2*Q5*S5*T5</f>
        <v>6.976</v>
      </c>
      <c r="X5" s="119">
        <f t="shared" ref="X5:X25" si="6">J5/60*W5/1000</f>
        <v>1.1626666666666667E-4</v>
      </c>
      <c r="Y5" s="118">
        <f t="shared" ref="Y5:Y25" si="7">N5*O5*(1/K5)^2*R5*S5*T5</f>
        <v>8.32</v>
      </c>
      <c r="Z5" s="119">
        <f t="shared" ref="Z5:Z25" si="8">J5/60*Y5/1000</f>
        <v>1.3866666666666666E-4</v>
      </c>
      <c r="AA5" s="114">
        <v>2</v>
      </c>
      <c r="AB5" s="119">
        <f t="shared" ref="AB5:AB25" si="9">AA5*$V5</f>
        <v>2.7862399999999998</v>
      </c>
      <c r="AC5" s="119">
        <f t="shared" ref="AC5:AC25" si="10">AA5*$X5</f>
        <v>2.3253333333333334E-4</v>
      </c>
      <c r="AD5" s="119">
        <f t="shared" ref="AD5:AD25" si="11">AA5*$Z5</f>
        <v>2.7733333333333332E-4</v>
      </c>
    </row>
    <row r="6" spans="1:30" x14ac:dyDescent="0.2">
      <c r="A6" s="108" t="s">
        <v>3</v>
      </c>
      <c r="B6" s="111" t="s">
        <v>542</v>
      </c>
      <c r="C6" s="109" t="s">
        <v>553</v>
      </c>
      <c r="D6" s="273">
        <v>0.1</v>
      </c>
      <c r="E6" s="290">
        <v>0</v>
      </c>
      <c r="F6" s="236">
        <v>1</v>
      </c>
      <c r="G6" s="237">
        <v>5</v>
      </c>
      <c r="H6" s="238">
        <v>0</v>
      </c>
      <c r="I6" s="114" t="s">
        <v>446</v>
      </c>
      <c r="J6" s="237">
        <v>1</v>
      </c>
      <c r="K6" s="239">
        <v>0.5</v>
      </c>
      <c r="L6" s="238">
        <v>0</v>
      </c>
      <c r="M6" s="114" t="s">
        <v>446</v>
      </c>
      <c r="N6" s="100">
        <f>VLOOKUP(B6,Onderzoek[#All],7,FALSE)</f>
        <v>5500</v>
      </c>
      <c r="O6" s="106">
        <f>EXP(-0.693*E6*24/(VLOOKUP(A6,Nucliden[#All],3,FALSE)))*D6</f>
        <v>0.1</v>
      </c>
      <c r="P6" s="115">
        <f>IF(I6="Nee",(VLOOKUP(A6,Nucliden[#All],35,FALSE)),(IF(I6="Ja",(VLOOKUP(A6,Nucliden[#All],34,FALSE)),(IF(I6="Deels","Bepaal h(0,07)","")))))</f>
        <v>1406.05</v>
      </c>
      <c r="Q6" s="115">
        <f>IF(M6="Nee",(VLOOKUP(A6,Nucliden[#All],19,FALSE)),(IF(M6="Ja",(VLOOKUP(A6,Nucliden[#All],18,FALSE)),(IF(M6="Deels","Bepaal h(10)","")))))</f>
        <v>6.2300000000000001E-2</v>
      </c>
      <c r="R6" s="115">
        <f>IF(M6="Nee",(VLOOKUP(A6,Nucliden[#All],25,FALSE)),(IF(M6="Ja",(VLOOKUP(A6,Nucliden[#All],26,FALSE)),(IF(M6="Deels","Bepaal h(3)","")))))</f>
        <v>6.8000000000000005E-2</v>
      </c>
      <c r="S6" s="115">
        <f>EXP(-0.693*H6/(VLOOKUP(A6,Nucliden[#All],6,FALSE)))</f>
        <v>1</v>
      </c>
      <c r="T6" s="117">
        <f>EXP(-0.693*L6/(VLOOKUP(A6,Nucliden[#All],6,FALSE)))</f>
        <v>1</v>
      </c>
      <c r="U6" s="118">
        <f t="shared" si="3"/>
        <v>3093310</v>
      </c>
      <c r="V6" s="119">
        <f t="shared" si="4"/>
        <v>51.555166666666665</v>
      </c>
      <c r="W6" s="118">
        <f t="shared" si="5"/>
        <v>137.06</v>
      </c>
      <c r="X6" s="119">
        <f t="shared" si="6"/>
        <v>2.2843333333333335E-3</v>
      </c>
      <c r="Y6" s="118">
        <f t="shared" si="7"/>
        <v>149.60000000000002</v>
      </c>
      <c r="Z6" s="119">
        <f t="shared" si="8"/>
        <v>2.4933333333333335E-3</v>
      </c>
      <c r="AA6" s="114">
        <v>3</v>
      </c>
      <c r="AB6" s="119">
        <f t="shared" si="9"/>
        <v>154.66550000000001</v>
      </c>
      <c r="AC6" s="119">
        <f t="shared" si="10"/>
        <v>6.8530000000000006E-3</v>
      </c>
      <c r="AD6" s="119">
        <f t="shared" si="11"/>
        <v>7.4800000000000005E-3</v>
      </c>
    </row>
    <row r="7" spans="1:30" x14ac:dyDescent="0.2">
      <c r="A7" s="108"/>
      <c r="B7" s="109"/>
      <c r="C7" s="109"/>
      <c r="D7" s="273"/>
      <c r="E7" s="290"/>
      <c r="F7" s="236"/>
      <c r="G7" s="237"/>
      <c r="H7" s="238"/>
      <c r="I7" s="114"/>
      <c r="J7" s="237"/>
      <c r="K7" s="239"/>
      <c r="L7" s="238"/>
      <c r="M7" s="114"/>
      <c r="N7" s="100" t="e">
        <f>VLOOKUP(B7,Onderzoek[#All],7,FALSE)</f>
        <v>#N/A</v>
      </c>
      <c r="O7" s="106" t="e">
        <f>EXP(-0.693*E7*24/(VLOOKUP(A7,Nucliden[#All],3,FALSE)))*D7</f>
        <v>#N/A</v>
      </c>
      <c r="P7" s="115" t="str">
        <f>IF(I7="Nee",(VLOOKUP(A7,Nucliden[#All],35,FALSE)),(IF(I7="Ja",(VLOOKUP(A7,Nucliden[#All],34,FALSE)),(IF(I7="Deels","Bepaal h(0,07)","")))))</f>
        <v/>
      </c>
      <c r="Q7" s="115" t="str">
        <f>IF(M7="Nee",(VLOOKUP(A7,Nucliden[#All],19,FALSE)),(IF(M7="Ja",(VLOOKUP(A7,Nucliden[#All],18,FALSE)),(IF(M7="Deels","Bepaal h(10)","")))))</f>
        <v/>
      </c>
      <c r="R7" s="115" t="str">
        <f>IF(M7="Nee",(VLOOKUP(A7,Nucliden[#All],25,FALSE)),(IF(M7="Ja",(VLOOKUP(A7,Nucliden[#All],26,FALSE)),(IF(M7="Deels","Bepaal h(3)","")))))</f>
        <v/>
      </c>
      <c r="S7" s="115" t="e">
        <f>EXP(-0.693*H7/(VLOOKUP(A7,Nucliden[#All],6,FALSE)))</f>
        <v>#N/A</v>
      </c>
      <c r="T7" s="117" t="e">
        <f>EXP(-0.693*L7/(VLOOKUP(A7,Nucliden[#All],6,FALSE)))</f>
        <v>#N/A</v>
      </c>
      <c r="U7" s="118" t="e">
        <f t="shared" si="3"/>
        <v>#N/A</v>
      </c>
      <c r="V7" s="119" t="e">
        <f t="shared" si="4"/>
        <v>#N/A</v>
      </c>
      <c r="W7" s="118" t="e">
        <f t="shared" si="5"/>
        <v>#N/A</v>
      </c>
      <c r="X7" s="119" t="e">
        <f t="shared" si="6"/>
        <v>#N/A</v>
      </c>
      <c r="Y7" s="118" t="e">
        <f t="shared" si="7"/>
        <v>#N/A</v>
      </c>
      <c r="Z7" s="119" t="e">
        <f t="shared" si="8"/>
        <v>#N/A</v>
      </c>
      <c r="AA7" s="114">
        <v>4</v>
      </c>
      <c r="AB7" s="119" t="e">
        <f t="shared" si="9"/>
        <v>#N/A</v>
      </c>
      <c r="AC7" s="119" t="e">
        <f t="shared" si="10"/>
        <v>#N/A</v>
      </c>
      <c r="AD7" s="119" t="e">
        <f t="shared" si="11"/>
        <v>#N/A</v>
      </c>
    </row>
    <row r="8" spans="1:30" x14ac:dyDescent="0.2">
      <c r="A8" s="108"/>
      <c r="B8" s="109"/>
      <c r="C8" s="109"/>
      <c r="D8" s="273"/>
      <c r="E8" s="290"/>
      <c r="F8" s="236"/>
      <c r="G8" s="237"/>
      <c r="H8" s="238"/>
      <c r="I8" s="114"/>
      <c r="J8" s="237"/>
      <c r="K8" s="239"/>
      <c r="L8" s="238"/>
      <c r="M8" s="114"/>
      <c r="N8" s="100" t="e">
        <f>VLOOKUP(B8,Onderzoek[#All],7,FALSE)</f>
        <v>#N/A</v>
      </c>
      <c r="O8" s="106" t="e">
        <f>EXP(-0.693*E8*24/(VLOOKUP(A8,Nucliden[#All],3,FALSE)))*D8</f>
        <v>#N/A</v>
      </c>
      <c r="P8" s="115" t="str">
        <f>IF(I8="Nee",(VLOOKUP(A8,Nucliden[#All],35,FALSE)),(IF(I8="Ja",(VLOOKUP(A8,Nucliden[#All],34,FALSE)),(IF(I8="Deels","Bepaal h(0,07)","")))))</f>
        <v/>
      </c>
      <c r="Q8" s="115" t="str">
        <f>IF(M8="Nee",(VLOOKUP(A8,Nucliden[#All],19,FALSE)),(IF(M8="Ja",(VLOOKUP(A8,Nucliden[#All],18,FALSE)),(IF(M8="Deels","Bepaal h(10)","")))))</f>
        <v/>
      </c>
      <c r="R8" s="115" t="str">
        <f>IF(M8="Nee",(VLOOKUP(A8,Nucliden[#All],25,FALSE)),(IF(M8="Ja",(VLOOKUP(A8,Nucliden[#All],26,FALSE)),(IF(M8="Deels","Bepaal h(3)","")))))</f>
        <v/>
      </c>
      <c r="S8" s="115" t="e">
        <f>EXP(-0.693*H8/(VLOOKUP(A8,Nucliden[#All],6,FALSE)))</f>
        <v>#N/A</v>
      </c>
      <c r="T8" s="117" t="e">
        <f>EXP(-0.693*L8/(VLOOKUP(A8,Nucliden[#All],6,FALSE)))</f>
        <v>#N/A</v>
      </c>
      <c r="U8" s="118" t="e">
        <f t="shared" si="3"/>
        <v>#N/A</v>
      </c>
      <c r="V8" s="119" t="e">
        <f t="shared" si="4"/>
        <v>#N/A</v>
      </c>
      <c r="W8" s="118" t="e">
        <f t="shared" si="5"/>
        <v>#N/A</v>
      </c>
      <c r="X8" s="119" t="e">
        <f t="shared" si="6"/>
        <v>#N/A</v>
      </c>
      <c r="Y8" s="118" t="e">
        <f t="shared" si="7"/>
        <v>#N/A</v>
      </c>
      <c r="Z8" s="119" t="e">
        <f t="shared" si="8"/>
        <v>#N/A</v>
      </c>
      <c r="AA8" s="114">
        <v>5</v>
      </c>
      <c r="AB8" s="119" t="e">
        <f t="shared" si="9"/>
        <v>#N/A</v>
      </c>
      <c r="AC8" s="119" t="e">
        <f t="shared" si="10"/>
        <v>#N/A</v>
      </c>
      <c r="AD8" s="119" t="e">
        <f t="shared" si="11"/>
        <v>#N/A</v>
      </c>
    </row>
    <row r="9" spans="1:30" x14ac:dyDescent="0.2">
      <c r="A9" s="108"/>
      <c r="B9" s="109"/>
      <c r="C9" s="111"/>
      <c r="D9" s="273"/>
      <c r="E9" s="290"/>
      <c r="F9" s="236"/>
      <c r="G9" s="237"/>
      <c r="H9" s="238"/>
      <c r="I9" s="107"/>
      <c r="J9" s="237"/>
      <c r="K9" s="239"/>
      <c r="L9" s="238"/>
      <c r="M9" s="107"/>
      <c r="N9" s="100" t="e">
        <f>VLOOKUP(B9,Onderzoek[#All],7,FALSE)</f>
        <v>#N/A</v>
      </c>
      <c r="O9" s="106" t="e">
        <f>EXP(-0.693*E9*24/(VLOOKUP(A9,Nucliden[#All],3,FALSE)))*D9</f>
        <v>#N/A</v>
      </c>
      <c r="P9" s="115" t="str">
        <f>IF(I9="Nee",(VLOOKUP(A9,Nucliden[#All],35,FALSE)),(IF(I9="Ja",(VLOOKUP(A9,Nucliden[#All],34,FALSE)),(IF(I9="Deels","Bepaal h(0,07)","")))))</f>
        <v/>
      </c>
      <c r="Q9" s="115" t="str">
        <f>IF(M9="Nee",(VLOOKUP(A9,Nucliden[#All],19,FALSE)),(IF(M9="Ja",(VLOOKUP(A9,Nucliden[#All],18,FALSE)),(IF(M9="Deels","Bepaal h(10)","")))))</f>
        <v/>
      </c>
      <c r="R9" s="115" t="str">
        <f>IF(M9="Nee",(VLOOKUP(A9,Nucliden[#All],25,FALSE)),(IF(M9="Ja",(VLOOKUP(A9,Nucliden[#All],26,FALSE)),(IF(M9="Deels","Bepaal h(3)","")))))</f>
        <v/>
      </c>
      <c r="S9" s="115" t="e">
        <f>EXP(-0.693*H9/(VLOOKUP(A9,Nucliden[#All],6,FALSE)))</f>
        <v>#N/A</v>
      </c>
      <c r="T9" s="117" t="e">
        <f>EXP(-0.693*L9/(VLOOKUP(A9,Nucliden[#All],6,FALSE)))</f>
        <v>#N/A</v>
      </c>
      <c r="U9" s="118" t="e">
        <f t="shared" si="3"/>
        <v>#N/A</v>
      </c>
      <c r="V9" s="119" t="e">
        <f t="shared" si="4"/>
        <v>#N/A</v>
      </c>
      <c r="W9" s="118" t="e">
        <f t="shared" si="5"/>
        <v>#N/A</v>
      </c>
      <c r="X9" s="119" t="e">
        <f t="shared" si="6"/>
        <v>#N/A</v>
      </c>
      <c r="Y9" s="118" t="e">
        <f t="shared" si="7"/>
        <v>#N/A</v>
      </c>
      <c r="Z9" s="119" t="e">
        <f t="shared" si="8"/>
        <v>#N/A</v>
      </c>
      <c r="AA9" s="114">
        <v>6</v>
      </c>
      <c r="AB9" s="119" t="e">
        <f t="shared" si="9"/>
        <v>#N/A</v>
      </c>
      <c r="AC9" s="119" t="e">
        <f t="shared" si="10"/>
        <v>#N/A</v>
      </c>
      <c r="AD9" s="119" t="e">
        <f t="shared" si="11"/>
        <v>#N/A</v>
      </c>
    </row>
    <row r="10" spans="1:30" x14ac:dyDescent="0.2">
      <c r="A10" s="108"/>
      <c r="B10" s="109"/>
      <c r="C10" s="111"/>
      <c r="D10" s="273"/>
      <c r="E10" s="290"/>
      <c r="F10" s="236"/>
      <c r="G10" s="237"/>
      <c r="H10" s="238"/>
      <c r="I10" s="107"/>
      <c r="J10" s="237"/>
      <c r="K10" s="239"/>
      <c r="L10" s="238"/>
      <c r="M10" s="107"/>
      <c r="N10" s="100" t="e">
        <f>VLOOKUP(B10,Onderzoek[#All],7,FALSE)</f>
        <v>#N/A</v>
      </c>
      <c r="O10" s="106" t="e">
        <f>EXP(-0.693*E10*24/(VLOOKUP(A10,Nucliden[#All],3,FALSE)))*D10</f>
        <v>#N/A</v>
      </c>
      <c r="P10" s="115" t="str">
        <f>IF(I10="Nee",(VLOOKUP(A10,Nucliden[#All],35,FALSE)),(IF(I10="Ja",(VLOOKUP(A10,Nucliden[#All],34,FALSE)),(IF(I10="Deels","Bepaal h(0,07)","")))))</f>
        <v/>
      </c>
      <c r="Q10" s="115" t="str">
        <f>IF(M10="Nee",(VLOOKUP(A10,Nucliden[#All],19,FALSE)),(IF(M10="Ja",(VLOOKUP(A10,Nucliden[#All],18,FALSE)),(IF(M10="Deels","Bepaal h(10)","")))))</f>
        <v/>
      </c>
      <c r="R10" s="115" t="str">
        <f>IF(M10="Nee",(VLOOKUP(A10,Nucliden[#All],25,FALSE)),(IF(M10="Ja",(VLOOKUP(A10,Nucliden[#All],26,FALSE)),(IF(M10="Deels","Bepaal h(3)","")))))</f>
        <v/>
      </c>
      <c r="S10" s="115" t="e">
        <f>EXP(-0.693*H10/(VLOOKUP(A10,Nucliden[#All],6,FALSE)))</f>
        <v>#N/A</v>
      </c>
      <c r="T10" s="117" t="e">
        <f>EXP(-0.693*L10/(VLOOKUP(A10,Nucliden[#All],6,FALSE)))</f>
        <v>#N/A</v>
      </c>
      <c r="U10" s="118" t="e">
        <f t="shared" si="3"/>
        <v>#N/A</v>
      </c>
      <c r="V10" s="119" t="e">
        <f t="shared" si="4"/>
        <v>#N/A</v>
      </c>
      <c r="W10" s="118" t="e">
        <f t="shared" si="5"/>
        <v>#N/A</v>
      </c>
      <c r="X10" s="119" t="e">
        <f t="shared" si="6"/>
        <v>#N/A</v>
      </c>
      <c r="Y10" s="118" t="e">
        <f t="shared" si="7"/>
        <v>#N/A</v>
      </c>
      <c r="Z10" s="119" t="e">
        <f t="shared" si="8"/>
        <v>#N/A</v>
      </c>
      <c r="AA10" s="114">
        <v>7</v>
      </c>
      <c r="AB10" s="119" t="e">
        <f t="shared" si="9"/>
        <v>#N/A</v>
      </c>
      <c r="AC10" s="119" t="e">
        <f t="shared" si="10"/>
        <v>#N/A</v>
      </c>
      <c r="AD10" s="119" t="e">
        <f t="shared" si="11"/>
        <v>#N/A</v>
      </c>
    </row>
    <row r="11" spans="1:30" x14ac:dyDescent="0.2">
      <c r="A11" s="133"/>
      <c r="B11" s="111"/>
      <c r="C11" s="111"/>
      <c r="D11" s="273"/>
      <c r="E11" s="290"/>
      <c r="F11" s="236"/>
      <c r="G11" s="237"/>
      <c r="H11" s="238"/>
      <c r="I11" s="107"/>
      <c r="J11" s="237"/>
      <c r="K11" s="239"/>
      <c r="L11" s="238"/>
      <c r="M11" s="107"/>
      <c r="N11" s="100" t="e">
        <f>VLOOKUP(B11,Onderzoek[#All],7,FALSE)</f>
        <v>#N/A</v>
      </c>
      <c r="O11" s="106" t="e">
        <f>EXP(-0.693*E11*24/(VLOOKUP(A11,Nucliden[#All],3,FALSE)))*D11</f>
        <v>#N/A</v>
      </c>
      <c r="P11" s="115" t="str">
        <f>IF(I11="Nee",(VLOOKUP(A11,Nucliden[#All],35,FALSE)),(IF(I11="Ja",(VLOOKUP(A11,Nucliden[#All],34,FALSE)),(IF(I11="Deels","Bepaal h(0,07)","")))))</f>
        <v/>
      </c>
      <c r="Q11" s="115" t="str">
        <f>IF(M11="Nee",(VLOOKUP(A11,Nucliden[#All],19,FALSE)),(IF(M11="Ja",(VLOOKUP(A11,Nucliden[#All],18,FALSE)),(IF(M11="Deels","Bepaal h(10)","")))))</f>
        <v/>
      </c>
      <c r="R11" s="115" t="str">
        <f>IF(M11="Nee",(VLOOKUP(A11,Nucliden[#All],25,FALSE)),(IF(M11="Ja",(VLOOKUP(A11,Nucliden[#All],26,FALSE)),(IF(M11="Deels","Bepaal h(3)","")))))</f>
        <v/>
      </c>
      <c r="S11" s="115" t="e">
        <f>EXP(-0.693*H11/(VLOOKUP(A11,Nucliden[#All],6,FALSE)))</f>
        <v>#N/A</v>
      </c>
      <c r="T11" s="117" t="e">
        <f>EXP(-0.693*L11/(VLOOKUP(A11,Nucliden[#All],6,FALSE)))</f>
        <v>#N/A</v>
      </c>
      <c r="U11" s="118" t="e">
        <f t="shared" si="3"/>
        <v>#N/A</v>
      </c>
      <c r="V11" s="119" t="e">
        <f t="shared" si="4"/>
        <v>#N/A</v>
      </c>
      <c r="W11" s="118" t="e">
        <f t="shared" si="5"/>
        <v>#N/A</v>
      </c>
      <c r="X11" s="119" t="e">
        <f t="shared" si="6"/>
        <v>#N/A</v>
      </c>
      <c r="Y11" s="118" t="e">
        <f t="shared" si="7"/>
        <v>#N/A</v>
      </c>
      <c r="Z11" s="119" t="e">
        <f t="shared" si="8"/>
        <v>#N/A</v>
      </c>
      <c r="AA11" s="114">
        <v>8</v>
      </c>
      <c r="AB11" s="119" t="e">
        <f t="shared" si="9"/>
        <v>#N/A</v>
      </c>
      <c r="AC11" s="119" t="e">
        <f t="shared" si="10"/>
        <v>#N/A</v>
      </c>
      <c r="AD11" s="119" t="e">
        <f t="shared" si="11"/>
        <v>#N/A</v>
      </c>
    </row>
    <row r="12" spans="1:30" x14ac:dyDescent="0.2">
      <c r="A12" s="108"/>
      <c r="B12" s="111"/>
      <c r="C12" s="111"/>
      <c r="D12" s="273"/>
      <c r="E12" s="290"/>
      <c r="F12" s="236"/>
      <c r="G12" s="237"/>
      <c r="H12" s="238"/>
      <c r="I12" s="107"/>
      <c r="J12" s="237"/>
      <c r="K12" s="239"/>
      <c r="L12" s="238"/>
      <c r="M12" s="107"/>
      <c r="N12" s="100" t="e">
        <f>VLOOKUP(B12,Onderzoek[#All],7,FALSE)</f>
        <v>#N/A</v>
      </c>
      <c r="O12" s="106" t="e">
        <f>EXP(-0.693*E12*24/(VLOOKUP(A12,Nucliden[#All],3,FALSE)))*D12</f>
        <v>#N/A</v>
      </c>
      <c r="P12" s="115" t="str">
        <f>IF(I12="Nee",(VLOOKUP(A12,Nucliden[#All],35,FALSE)),(IF(I12="Ja",(VLOOKUP(A12,Nucliden[#All],34,FALSE)),(IF(I12="Deels","Bepaal h(0,07)","")))))</f>
        <v/>
      </c>
      <c r="Q12" s="115" t="str">
        <f>IF(M12="Nee",(VLOOKUP(A12,Nucliden[#All],19,FALSE)),(IF(M12="Ja",(VLOOKUP(A12,Nucliden[#All],18,FALSE)),(IF(M12="Deels","Bepaal h(10)","")))))</f>
        <v/>
      </c>
      <c r="R12" s="115" t="str">
        <f>IF(M12="Nee",(VLOOKUP(A12,Nucliden[#All],25,FALSE)),(IF(M12="Ja",(VLOOKUP(A12,Nucliden[#All],26,FALSE)),(IF(M12="Deels","Bepaal h(3)","")))))</f>
        <v/>
      </c>
      <c r="S12" s="115" t="e">
        <f>EXP(-0.693*H12/(VLOOKUP(A12,Nucliden[#All],6,FALSE)))</f>
        <v>#N/A</v>
      </c>
      <c r="T12" s="117" t="e">
        <f>EXP(-0.693*L12/(VLOOKUP(A12,Nucliden[#All],6,FALSE)))</f>
        <v>#N/A</v>
      </c>
      <c r="U12" s="118" t="e">
        <f t="shared" si="3"/>
        <v>#N/A</v>
      </c>
      <c r="V12" s="119" t="e">
        <f t="shared" si="4"/>
        <v>#N/A</v>
      </c>
      <c r="W12" s="118" t="e">
        <f t="shared" si="5"/>
        <v>#N/A</v>
      </c>
      <c r="X12" s="119" t="e">
        <f t="shared" si="6"/>
        <v>#N/A</v>
      </c>
      <c r="Y12" s="118" t="e">
        <f t="shared" si="7"/>
        <v>#N/A</v>
      </c>
      <c r="Z12" s="119" t="e">
        <f t="shared" si="8"/>
        <v>#N/A</v>
      </c>
      <c r="AA12" s="114">
        <v>9</v>
      </c>
      <c r="AB12" s="119" t="e">
        <f t="shared" si="9"/>
        <v>#N/A</v>
      </c>
      <c r="AC12" s="119" t="e">
        <f t="shared" si="10"/>
        <v>#N/A</v>
      </c>
      <c r="AD12" s="119" t="e">
        <f t="shared" si="11"/>
        <v>#N/A</v>
      </c>
    </row>
    <row r="13" spans="1:30" x14ac:dyDescent="0.2">
      <c r="A13" s="113"/>
      <c r="B13" s="111"/>
      <c r="C13" s="111"/>
      <c r="D13" s="273"/>
      <c r="E13" s="290"/>
      <c r="F13" s="236"/>
      <c r="G13" s="237"/>
      <c r="H13" s="238"/>
      <c r="I13" s="107"/>
      <c r="J13" s="237"/>
      <c r="K13" s="239"/>
      <c r="L13" s="238"/>
      <c r="M13" s="107"/>
      <c r="N13" s="100" t="e">
        <f>VLOOKUP(B13,Onderzoek[#All],7,FALSE)</f>
        <v>#N/A</v>
      </c>
      <c r="O13" s="106" t="e">
        <f>EXP(-0.693*E13*24/(VLOOKUP(A13,Nucliden[#All],3,FALSE)))*D13</f>
        <v>#N/A</v>
      </c>
      <c r="P13" s="115" t="str">
        <f>IF(I13="Nee",(VLOOKUP(A13,Nucliden[#All],35,FALSE)),(IF(I13="Ja",(VLOOKUP(A13,Nucliden[#All],34,FALSE)),(IF(I13="Deels","Bepaal h(0,07)","")))))</f>
        <v/>
      </c>
      <c r="Q13" s="115" t="str">
        <f>IF(M13="Nee",(VLOOKUP(A13,Nucliden[#All],19,FALSE)),(IF(M13="Ja",(VLOOKUP(A13,Nucliden[#All],18,FALSE)),(IF(M13="Deels","Bepaal h(10)","")))))</f>
        <v/>
      </c>
      <c r="R13" s="115" t="str">
        <f>IF(M13="Nee",(VLOOKUP(A13,Nucliden[#All],25,FALSE)),(IF(M13="Ja",(VLOOKUP(A13,Nucliden[#All],26,FALSE)),(IF(M13="Deels","Bepaal h(3)","")))))</f>
        <v/>
      </c>
      <c r="S13" s="115" t="e">
        <f>EXP(-0.693*H13/(VLOOKUP(A13,Nucliden[#All],6,FALSE)))</f>
        <v>#N/A</v>
      </c>
      <c r="T13" s="117" t="e">
        <f>EXP(-0.693*L13/(VLOOKUP(A13,Nucliden[#All],6,FALSE)))</f>
        <v>#N/A</v>
      </c>
      <c r="U13" s="118" t="e">
        <f t="shared" si="3"/>
        <v>#N/A</v>
      </c>
      <c r="V13" s="119" t="e">
        <f t="shared" si="4"/>
        <v>#N/A</v>
      </c>
      <c r="W13" s="118" t="e">
        <f t="shared" si="5"/>
        <v>#N/A</v>
      </c>
      <c r="X13" s="119" t="e">
        <f t="shared" si="6"/>
        <v>#N/A</v>
      </c>
      <c r="Y13" s="118" t="e">
        <f t="shared" si="7"/>
        <v>#N/A</v>
      </c>
      <c r="Z13" s="119" t="e">
        <f t="shared" si="8"/>
        <v>#N/A</v>
      </c>
      <c r="AA13" s="114">
        <v>10</v>
      </c>
      <c r="AB13" s="119" t="e">
        <f t="shared" si="9"/>
        <v>#N/A</v>
      </c>
      <c r="AC13" s="119" t="e">
        <f t="shared" si="10"/>
        <v>#N/A</v>
      </c>
      <c r="AD13" s="119" t="e">
        <f t="shared" si="11"/>
        <v>#N/A</v>
      </c>
    </row>
    <row r="14" spans="1:30" x14ac:dyDescent="0.2">
      <c r="A14" s="113"/>
      <c r="B14" s="109"/>
      <c r="C14" s="109"/>
      <c r="D14" s="273"/>
      <c r="E14" s="290"/>
      <c r="F14" s="236"/>
      <c r="G14" s="237"/>
      <c r="H14" s="238"/>
      <c r="I14" s="107"/>
      <c r="J14" s="237"/>
      <c r="K14" s="239"/>
      <c r="L14" s="238"/>
      <c r="M14" s="107"/>
      <c r="N14" s="100" t="e">
        <f>VLOOKUP(B14,Onderzoek[#All],7,FALSE)</f>
        <v>#N/A</v>
      </c>
      <c r="O14" s="106" t="e">
        <f>EXP(-0.693*E14*24/(VLOOKUP(A14,Nucliden[#All],3,FALSE)))*D14</f>
        <v>#N/A</v>
      </c>
      <c r="P14" s="115" t="str">
        <f>IF(I14="Nee",(VLOOKUP(A14,Nucliden[#All],35,FALSE)),(IF(I14="Ja",(VLOOKUP(A14,Nucliden[#All],34,FALSE)),(IF(I14="Deels","Bepaal h(0,07)","")))))</f>
        <v/>
      </c>
      <c r="Q14" s="115" t="str">
        <f>IF(M14="Nee",(VLOOKUP(A14,Nucliden[#All],19,FALSE)),(IF(M14="Ja",(VLOOKUP(A14,Nucliden[#All],18,FALSE)),(IF(M14="Deels","Bepaal h(10)","")))))</f>
        <v/>
      </c>
      <c r="R14" s="115" t="str">
        <f>IF(M14="Nee",(VLOOKUP(A14,Nucliden[#All],25,FALSE)),(IF(M14="Ja",(VLOOKUP(A14,Nucliden[#All],26,FALSE)),(IF(M14="Deels","Bepaal h(3)","")))))</f>
        <v/>
      </c>
      <c r="S14" s="115" t="e">
        <f>EXP(-0.693*H14/(VLOOKUP(A14,Nucliden[#All],6,FALSE)))</f>
        <v>#N/A</v>
      </c>
      <c r="T14" s="117" t="e">
        <f>EXP(-0.693*L14/(VLOOKUP(A14,Nucliden[#All],6,FALSE)))</f>
        <v>#N/A</v>
      </c>
      <c r="U14" s="118" t="e">
        <f t="shared" si="3"/>
        <v>#N/A</v>
      </c>
      <c r="V14" s="119" t="e">
        <f t="shared" si="4"/>
        <v>#N/A</v>
      </c>
      <c r="W14" s="118" t="e">
        <f t="shared" si="5"/>
        <v>#N/A</v>
      </c>
      <c r="X14" s="119" t="e">
        <f t="shared" si="6"/>
        <v>#N/A</v>
      </c>
      <c r="Y14" s="118" t="e">
        <f t="shared" si="7"/>
        <v>#N/A</v>
      </c>
      <c r="Z14" s="119" t="e">
        <f t="shared" si="8"/>
        <v>#N/A</v>
      </c>
      <c r="AA14" s="114">
        <v>11</v>
      </c>
      <c r="AB14" s="119" t="e">
        <f t="shared" si="9"/>
        <v>#N/A</v>
      </c>
      <c r="AC14" s="119" t="e">
        <f t="shared" si="10"/>
        <v>#N/A</v>
      </c>
      <c r="AD14" s="119" t="e">
        <f t="shared" si="11"/>
        <v>#N/A</v>
      </c>
    </row>
    <row r="15" spans="1:30" x14ac:dyDescent="0.2">
      <c r="A15" s="113"/>
      <c r="B15" s="109"/>
      <c r="C15" s="109"/>
      <c r="D15" s="273"/>
      <c r="E15" s="290"/>
      <c r="F15" s="236"/>
      <c r="G15" s="237"/>
      <c r="H15" s="238"/>
      <c r="I15" s="107"/>
      <c r="J15" s="237"/>
      <c r="K15" s="239"/>
      <c r="L15" s="238"/>
      <c r="M15" s="107"/>
      <c r="N15" s="100" t="e">
        <f>VLOOKUP(B15,Onderzoek[#All],7,FALSE)</f>
        <v>#N/A</v>
      </c>
      <c r="O15" s="106" t="e">
        <f>EXP(-0.693*E15*24/(VLOOKUP(A15,Nucliden[#All],3,FALSE)))*D15</f>
        <v>#N/A</v>
      </c>
      <c r="P15" s="115" t="str">
        <f>IF(I15="Nee",(VLOOKUP(A15,Nucliden[#All],35,FALSE)),(IF(I15="Ja",(VLOOKUP(A15,Nucliden[#All],34,FALSE)),(IF(I15="Deels","Bepaal h(0,07)","")))))</f>
        <v/>
      </c>
      <c r="Q15" s="115" t="str">
        <f>IF(M15="Nee",(VLOOKUP(A15,Nucliden[#All],19,FALSE)),(IF(M15="Ja",(VLOOKUP(A15,Nucliden[#All],18,FALSE)),(IF(M15="Deels","Bepaal h(10)","")))))</f>
        <v/>
      </c>
      <c r="R15" s="115" t="str">
        <f>IF(M15="Nee",(VLOOKUP(A15,Nucliden[#All],25,FALSE)),(IF(M15="Ja",(VLOOKUP(A15,Nucliden[#All],26,FALSE)),(IF(M15="Deels","Bepaal h(3)","")))))</f>
        <v/>
      </c>
      <c r="S15" s="115" t="e">
        <f>EXP(-0.693*H15/(VLOOKUP(A15,Nucliden[#All],6,FALSE)))</f>
        <v>#N/A</v>
      </c>
      <c r="T15" s="117" t="e">
        <f>EXP(-0.693*L15/(VLOOKUP(A15,Nucliden[#All],6,FALSE)))</f>
        <v>#N/A</v>
      </c>
      <c r="U15" s="118" t="e">
        <f t="shared" si="3"/>
        <v>#N/A</v>
      </c>
      <c r="V15" s="119" t="e">
        <f t="shared" si="4"/>
        <v>#N/A</v>
      </c>
      <c r="W15" s="118" t="e">
        <f t="shared" si="5"/>
        <v>#N/A</v>
      </c>
      <c r="X15" s="119" t="e">
        <f t="shared" si="6"/>
        <v>#N/A</v>
      </c>
      <c r="Y15" s="118" t="e">
        <f t="shared" si="7"/>
        <v>#N/A</v>
      </c>
      <c r="Z15" s="119" t="e">
        <f t="shared" si="8"/>
        <v>#N/A</v>
      </c>
      <c r="AA15" s="114">
        <v>12</v>
      </c>
      <c r="AB15" s="119" t="e">
        <f t="shared" si="9"/>
        <v>#N/A</v>
      </c>
      <c r="AC15" s="119" t="e">
        <f t="shared" si="10"/>
        <v>#N/A</v>
      </c>
      <c r="AD15" s="119" t="e">
        <f t="shared" si="11"/>
        <v>#N/A</v>
      </c>
    </row>
    <row r="16" spans="1:30" x14ac:dyDescent="0.2">
      <c r="A16" s="108"/>
      <c r="B16" s="109"/>
      <c r="C16" s="111"/>
      <c r="D16" s="273"/>
      <c r="E16" s="290"/>
      <c r="F16" s="236"/>
      <c r="G16" s="237"/>
      <c r="H16" s="238"/>
      <c r="I16" s="107"/>
      <c r="J16" s="237"/>
      <c r="K16" s="239"/>
      <c r="L16" s="238"/>
      <c r="M16" s="107"/>
      <c r="N16" s="100" t="e">
        <f>VLOOKUP(B16,Onderzoek[#All],7,FALSE)</f>
        <v>#N/A</v>
      </c>
      <c r="O16" s="106" t="e">
        <f>EXP(-0.693*E16*24/(VLOOKUP(A16,Nucliden[#All],3,FALSE)))*D16</f>
        <v>#N/A</v>
      </c>
      <c r="P16" s="115" t="str">
        <f>IF(I16="Nee",(VLOOKUP(A16,Nucliden[#All],35,FALSE)),(IF(I16="Ja",(VLOOKUP(A16,Nucliden[#All],34,FALSE)),(IF(I16="Deels","Bepaal h(0,07)","")))))</f>
        <v/>
      </c>
      <c r="Q16" s="115" t="str">
        <f>IF(M16="Nee",(VLOOKUP(A16,Nucliden[#All],19,FALSE)),(IF(M16="Ja",(VLOOKUP(A16,Nucliden[#All],18,FALSE)),(IF(M16="Deels","Bepaal h(10)","")))))</f>
        <v/>
      </c>
      <c r="R16" s="115" t="str">
        <f>IF(M16="Nee",(VLOOKUP(A16,Nucliden[#All],25,FALSE)),(IF(M16="Ja",(VLOOKUP(A16,Nucliden[#All],26,FALSE)),(IF(M16="Deels","Bepaal h(3)","")))))</f>
        <v/>
      </c>
      <c r="S16" s="115" t="e">
        <f>EXP(-0.693*H16/(VLOOKUP(A16,Nucliden[#All],6,FALSE)))</f>
        <v>#N/A</v>
      </c>
      <c r="T16" s="117" t="e">
        <f>EXP(-0.693*L16/(VLOOKUP(A16,Nucliden[#All],6,FALSE)))</f>
        <v>#N/A</v>
      </c>
      <c r="U16" s="118" t="e">
        <f t="shared" si="3"/>
        <v>#N/A</v>
      </c>
      <c r="V16" s="119" t="e">
        <f t="shared" si="4"/>
        <v>#N/A</v>
      </c>
      <c r="W16" s="118" t="e">
        <f t="shared" si="5"/>
        <v>#N/A</v>
      </c>
      <c r="X16" s="119" t="e">
        <f t="shared" si="6"/>
        <v>#N/A</v>
      </c>
      <c r="Y16" s="118" t="e">
        <f t="shared" si="7"/>
        <v>#N/A</v>
      </c>
      <c r="Z16" s="119" t="e">
        <f t="shared" si="8"/>
        <v>#N/A</v>
      </c>
      <c r="AA16" s="114">
        <v>13</v>
      </c>
      <c r="AB16" s="119" t="e">
        <f t="shared" si="9"/>
        <v>#N/A</v>
      </c>
      <c r="AC16" s="119" t="e">
        <f t="shared" si="10"/>
        <v>#N/A</v>
      </c>
      <c r="AD16" s="119" t="e">
        <f t="shared" si="11"/>
        <v>#N/A</v>
      </c>
    </row>
    <row r="17" spans="1:30" x14ac:dyDescent="0.2">
      <c r="A17" s="108"/>
      <c r="B17" s="109"/>
      <c r="C17" s="111"/>
      <c r="D17" s="273"/>
      <c r="E17" s="290"/>
      <c r="F17" s="236"/>
      <c r="G17" s="237"/>
      <c r="H17" s="238"/>
      <c r="I17" s="107"/>
      <c r="J17" s="237"/>
      <c r="K17" s="239"/>
      <c r="L17" s="238"/>
      <c r="M17" s="107"/>
      <c r="N17" s="100" t="e">
        <f>VLOOKUP(B17,Onderzoek[#All],7,FALSE)</f>
        <v>#N/A</v>
      </c>
      <c r="O17" s="106" t="e">
        <f>EXP(-0.693*E17*24/(VLOOKUP(A17,Nucliden[#All],3,FALSE)))*D17</f>
        <v>#N/A</v>
      </c>
      <c r="P17" s="115" t="str">
        <f>IF(I17="Nee",(VLOOKUP(A17,Nucliden[#All],35,FALSE)),(IF(I17="Ja",(VLOOKUP(A17,Nucliden[#All],34,FALSE)),(IF(I17="Deels","Bepaal h(0,07)","")))))</f>
        <v/>
      </c>
      <c r="Q17" s="115" t="str">
        <f>IF(M17="Nee",(VLOOKUP(A17,Nucliden[#All],19,FALSE)),(IF(M17="Ja",(VLOOKUP(A17,Nucliden[#All],18,FALSE)),(IF(M17="Deels","Bepaal h(10)","")))))</f>
        <v/>
      </c>
      <c r="R17" s="115" t="str">
        <f>IF(M17="Nee",(VLOOKUP(A17,Nucliden[#All],25,FALSE)),(IF(M17="Ja",(VLOOKUP(A17,Nucliden[#All],26,FALSE)),(IF(M17="Deels","Bepaal h(3)","")))))</f>
        <v/>
      </c>
      <c r="S17" s="115" t="e">
        <f>EXP(-0.693*H17/(VLOOKUP(A17,Nucliden[#All],6,FALSE)))</f>
        <v>#N/A</v>
      </c>
      <c r="T17" s="117" t="e">
        <f>EXP(-0.693*L17/(VLOOKUP(A17,Nucliden[#All],6,FALSE)))</f>
        <v>#N/A</v>
      </c>
      <c r="U17" s="118" t="e">
        <f t="shared" si="3"/>
        <v>#N/A</v>
      </c>
      <c r="V17" s="119" t="e">
        <f t="shared" si="4"/>
        <v>#N/A</v>
      </c>
      <c r="W17" s="118" t="e">
        <f t="shared" si="5"/>
        <v>#N/A</v>
      </c>
      <c r="X17" s="119" t="e">
        <f t="shared" si="6"/>
        <v>#N/A</v>
      </c>
      <c r="Y17" s="118" t="e">
        <f t="shared" si="7"/>
        <v>#N/A</v>
      </c>
      <c r="Z17" s="119" t="e">
        <f t="shared" si="8"/>
        <v>#N/A</v>
      </c>
      <c r="AA17" s="114">
        <v>14</v>
      </c>
      <c r="AB17" s="119" t="e">
        <f t="shared" si="9"/>
        <v>#N/A</v>
      </c>
      <c r="AC17" s="119" t="e">
        <f t="shared" si="10"/>
        <v>#N/A</v>
      </c>
      <c r="AD17" s="119" t="e">
        <f t="shared" si="11"/>
        <v>#N/A</v>
      </c>
    </row>
    <row r="18" spans="1:30" x14ac:dyDescent="0.2">
      <c r="A18" s="133"/>
      <c r="B18" s="111"/>
      <c r="C18" s="111"/>
      <c r="D18" s="273"/>
      <c r="E18" s="290"/>
      <c r="F18" s="236"/>
      <c r="G18" s="237"/>
      <c r="H18" s="238"/>
      <c r="I18" s="107"/>
      <c r="J18" s="237"/>
      <c r="K18" s="239"/>
      <c r="L18" s="238"/>
      <c r="M18" s="107"/>
      <c r="N18" s="100" t="e">
        <f>VLOOKUP(B18,Onderzoek[#All],7,FALSE)</f>
        <v>#N/A</v>
      </c>
      <c r="O18" s="106" t="e">
        <f>EXP(-0.693*E18*24/(VLOOKUP(A18,Nucliden[#All],3,FALSE)))*D18</f>
        <v>#N/A</v>
      </c>
      <c r="P18" s="115" t="str">
        <f>IF(I18="Nee",(VLOOKUP(A18,Nucliden[#All],35,FALSE)),(IF(I18="Ja",(VLOOKUP(A18,Nucliden[#All],34,FALSE)),(IF(I18="Deels","Bepaal h(0,07)","")))))</f>
        <v/>
      </c>
      <c r="Q18" s="115" t="str">
        <f>IF(M18="Nee",(VLOOKUP(A18,Nucliden[#All],19,FALSE)),(IF(M18="Ja",(VLOOKUP(A18,Nucliden[#All],18,FALSE)),(IF(M18="Deels","Bepaal h(10)","")))))</f>
        <v/>
      </c>
      <c r="R18" s="115" t="str">
        <f>IF(M18="Nee",(VLOOKUP(A18,Nucliden[#All],25,FALSE)),(IF(M18="Ja",(VLOOKUP(A18,Nucliden[#All],26,FALSE)),(IF(M18="Deels","Bepaal h(3)","")))))</f>
        <v/>
      </c>
      <c r="S18" s="115" t="e">
        <f>EXP(-0.693*H18/(VLOOKUP(A18,Nucliden[#All],6,FALSE)))</f>
        <v>#N/A</v>
      </c>
      <c r="T18" s="117" t="e">
        <f>EXP(-0.693*L18/(VLOOKUP(A18,Nucliden[#All],6,FALSE)))</f>
        <v>#N/A</v>
      </c>
      <c r="U18" s="118" t="e">
        <f t="shared" si="3"/>
        <v>#N/A</v>
      </c>
      <c r="V18" s="119" t="e">
        <f t="shared" si="4"/>
        <v>#N/A</v>
      </c>
      <c r="W18" s="118" t="e">
        <f t="shared" si="5"/>
        <v>#N/A</v>
      </c>
      <c r="X18" s="119" t="e">
        <f t="shared" si="6"/>
        <v>#N/A</v>
      </c>
      <c r="Y18" s="118" t="e">
        <f t="shared" si="7"/>
        <v>#N/A</v>
      </c>
      <c r="Z18" s="119" t="e">
        <f t="shared" si="8"/>
        <v>#N/A</v>
      </c>
      <c r="AA18" s="114">
        <v>15</v>
      </c>
      <c r="AB18" s="119" t="e">
        <f t="shared" si="9"/>
        <v>#N/A</v>
      </c>
      <c r="AC18" s="119" t="e">
        <f t="shared" si="10"/>
        <v>#N/A</v>
      </c>
      <c r="AD18" s="119" t="e">
        <f t="shared" si="11"/>
        <v>#N/A</v>
      </c>
    </row>
    <row r="19" spans="1:30" x14ac:dyDescent="0.2">
      <c r="A19" s="108"/>
      <c r="B19" s="111"/>
      <c r="C19" s="111"/>
      <c r="D19" s="273"/>
      <c r="E19" s="290"/>
      <c r="F19" s="236"/>
      <c r="G19" s="237"/>
      <c r="H19" s="238"/>
      <c r="I19" s="107"/>
      <c r="J19" s="237"/>
      <c r="K19" s="239"/>
      <c r="L19" s="238"/>
      <c r="M19" s="107"/>
      <c r="N19" s="100" t="e">
        <f>VLOOKUP(B19,Onderzoek[#All],7,FALSE)</f>
        <v>#N/A</v>
      </c>
      <c r="O19" s="106" t="e">
        <f>EXP(-0.693*E19*24/(VLOOKUP(A19,Nucliden[#All],3,FALSE)))*D19</f>
        <v>#N/A</v>
      </c>
      <c r="P19" s="115" t="str">
        <f>IF(I19="Nee",(VLOOKUP(A19,Nucliden[#All],35,FALSE)),(IF(I19="Ja",(VLOOKUP(A19,Nucliden[#All],34,FALSE)),(IF(I19="Deels","Bepaal h(0,07)","")))))</f>
        <v/>
      </c>
      <c r="Q19" s="115" t="str">
        <f>IF(M19="Nee",(VLOOKUP(A19,Nucliden[#All],19,FALSE)),(IF(M19="Ja",(VLOOKUP(A19,Nucliden[#All],18,FALSE)),(IF(M19="Deels","Bepaal h(10)","")))))</f>
        <v/>
      </c>
      <c r="R19" s="115" t="str">
        <f>IF(M19="Nee",(VLOOKUP(A19,Nucliden[#All],25,FALSE)),(IF(M19="Ja",(VLOOKUP(A19,Nucliden[#All],26,FALSE)),(IF(M19="Deels","Bepaal h(3)","")))))</f>
        <v/>
      </c>
      <c r="S19" s="115" t="e">
        <f>EXP(-0.693*H19/(VLOOKUP(A19,Nucliden[#All],6,FALSE)))</f>
        <v>#N/A</v>
      </c>
      <c r="T19" s="117" t="e">
        <f>EXP(-0.693*L19/(VLOOKUP(A19,Nucliden[#All],6,FALSE)))</f>
        <v>#N/A</v>
      </c>
      <c r="U19" s="118" t="e">
        <f t="shared" si="3"/>
        <v>#N/A</v>
      </c>
      <c r="V19" s="119" t="e">
        <f t="shared" si="4"/>
        <v>#N/A</v>
      </c>
      <c r="W19" s="118" t="e">
        <f t="shared" si="5"/>
        <v>#N/A</v>
      </c>
      <c r="X19" s="119" t="e">
        <f t="shared" si="6"/>
        <v>#N/A</v>
      </c>
      <c r="Y19" s="118" t="e">
        <f t="shared" si="7"/>
        <v>#N/A</v>
      </c>
      <c r="Z19" s="119" t="e">
        <f t="shared" si="8"/>
        <v>#N/A</v>
      </c>
      <c r="AA19" s="114">
        <v>16</v>
      </c>
      <c r="AB19" s="119" t="e">
        <f t="shared" si="9"/>
        <v>#N/A</v>
      </c>
      <c r="AC19" s="119" t="e">
        <f t="shared" si="10"/>
        <v>#N/A</v>
      </c>
      <c r="AD19" s="119" t="e">
        <f t="shared" si="11"/>
        <v>#N/A</v>
      </c>
    </row>
    <row r="20" spans="1:30" x14ac:dyDescent="0.2">
      <c r="A20" s="113"/>
      <c r="B20" s="111"/>
      <c r="C20" s="111"/>
      <c r="D20" s="273"/>
      <c r="E20" s="290"/>
      <c r="F20" s="236"/>
      <c r="G20" s="237"/>
      <c r="H20" s="238"/>
      <c r="I20" s="107"/>
      <c r="J20" s="237"/>
      <c r="K20" s="239"/>
      <c r="L20" s="238"/>
      <c r="M20" s="107"/>
      <c r="N20" s="100" t="e">
        <f>VLOOKUP(B20,Onderzoek[#All],7,FALSE)</f>
        <v>#N/A</v>
      </c>
      <c r="O20" s="106" t="e">
        <f>EXP(-0.693*E20*24/(VLOOKUP(A20,Nucliden[#All],3,FALSE)))*D20</f>
        <v>#N/A</v>
      </c>
      <c r="P20" s="115" t="str">
        <f>IF(I20="Nee",(VLOOKUP(A20,Nucliden[#All],35,FALSE)),(IF(I20="Ja",(VLOOKUP(A20,Nucliden[#All],34,FALSE)),(IF(I20="Deels","Bepaal h(0,07)","")))))</f>
        <v/>
      </c>
      <c r="Q20" s="115" t="str">
        <f>IF(M20="Nee",(VLOOKUP(A20,Nucliden[#All],19,FALSE)),(IF(M20="Ja",(VLOOKUP(A20,Nucliden[#All],18,FALSE)),(IF(M20="Deels","Bepaal h(10)","")))))</f>
        <v/>
      </c>
      <c r="R20" s="115" t="str">
        <f>IF(M20="Nee",(VLOOKUP(A20,Nucliden[#All],25,FALSE)),(IF(M20="Ja",(VLOOKUP(A20,Nucliden[#All],26,FALSE)),(IF(M20="Deels","Bepaal h(3)","")))))</f>
        <v/>
      </c>
      <c r="S20" s="115" t="e">
        <f>EXP(-0.693*H20/(VLOOKUP(A20,Nucliden[#All],6,FALSE)))</f>
        <v>#N/A</v>
      </c>
      <c r="T20" s="117" t="e">
        <f>EXP(-0.693*L20/(VLOOKUP(A20,Nucliden[#All],6,FALSE)))</f>
        <v>#N/A</v>
      </c>
      <c r="U20" s="118" t="e">
        <f t="shared" si="3"/>
        <v>#N/A</v>
      </c>
      <c r="V20" s="119" t="e">
        <f t="shared" si="4"/>
        <v>#N/A</v>
      </c>
      <c r="W20" s="118" t="e">
        <f t="shared" si="5"/>
        <v>#N/A</v>
      </c>
      <c r="X20" s="119" t="e">
        <f t="shared" si="6"/>
        <v>#N/A</v>
      </c>
      <c r="Y20" s="118" t="e">
        <f t="shared" si="7"/>
        <v>#N/A</v>
      </c>
      <c r="Z20" s="119" t="e">
        <f t="shared" si="8"/>
        <v>#N/A</v>
      </c>
      <c r="AA20" s="114">
        <v>17</v>
      </c>
      <c r="AB20" s="119" t="e">
        <f t="shared" si="9"/>
        <v>#N/A</v>
      </c>
      <c r="AC20" s="119" t="e">
        <f t="shared" si="10"/>
        <v>#N/A</v>
      </c>
      <c r="AD20" s="119" t="e">
        <f t="shared" si="11"/>
        <v>#N/A</v>
      </c>
    </row>
    <row r="21" spans="1:30" x14ac:dyDescent="0.2">
      <c r="A21" s="113"/>
      <c r="B21" s="111"/>
      <c r="C21" s="109"/>
      <c r="D21" s="273"/>
      <c r="E21" s="290"/>
      <c r="F21" s="236"/>
      <c r="G21" s="237"/>
      <c r="H21" s="238"/>
      <c r="I21" s="107"/>
      <c r="J21" s="237"/>
      <c r="K21" s="239"/>
      <c r="L21" s="238"/>
      <c r="M21" s="107"/>
      <c r="N21" s="100" t="e">
        <f>VLOOKUP(B21,Onderzoek[#All],7,FALSE)</f>
        <v>#N/A</v>
      </c>
      <c r="O21" s="106" t="e">
        <f>EXP(-0.693*E21*24/(VLOOKUP(A21,Nucliden[#All],3,FALSE)))*D21</f>
        <v>#N/A</v>
      </c>
      <c r="P21" s="115" t="str">
        <f>IF(I21="Nee",(VLOOKUP(A21,Nucliden[#All],35,FALSE)),(IF(I21="Ja",(VLOOKUP(A21,Nucliden[#All],34,FALSE)),(IF(I21="Deels","Bepaal h(0,07)","")))))</f>
        <v/>
      </c>
      <c r="Q21" s="115" t="str">
        <f>IF(M21="Nee",(VLOOKUP(A21,Nucliden[#All],19,FALSE)),(IF(M21="Ja",(VLOOKUP(A21,Nucliden[#All],18,FALSE)),(IF(M21="Deels","Bepaal h(10)","")))))</f>
        <v/>
      </c>
      <c r="R21" s="115" t="str">
        <f>IF(M21="Nee",(VLOOKUP(A21,Nucliden[#All],25,FALSE)),(IF(M21="Ja",(VLOOKUP(A21,Nucliden[#All],26,FALSE)),(IF(M21="Deels","Bepaal h(3)","")))))</f>
        <v/>
      </c>
      <c r="S21" s="115" t="e">
        <f>EXP(-0.693*H21/(VLOOKUP(A21,Nucliden[#All],6,FALSE)))</f>
        <v>#N/A</v>
      </c>
      <c r="T21" s="117" t="e">
        <f>EXP(-0.693*L21/(VLOOKUP(A21,Nucliden[#All],6,FALSE)))</f>
        <v>#N/A</v>
      </c>
      <c r="U21" s="118" t="e">
        <f t="shared" si="3"/>
        <v>#N/A</v>
      </c>
      <c r="V21" s="119" t="e">
        <f t="shared" si="4"/>
        <v>#N/A</v>
      </c>
      <c r="W21" s="118" t="e">
        <f t="shared" si="5"/>
        <v>#N/A</v>
      </c>
      <c r="X21" s="119" t="e">
        <f t="shared" si="6"/>
        <v>#N/A</v>
      </c>
      <c r="Y21" s="118" t="e">
        <f t="shared" si="7"/>
        <v>#N/A</v>
      </c>
      <c r="Z21" s="119" t="e">
        <f t="shared" si="8"/>
        <v>#N/A</v>
      </c>
      <c r="AA21" s="114">
        <v>18</v>
      </c>
      <c r="AB21" s="119" t="e">
        <f t="shared" si="9"/>
        <v>#N/A</v>
      </c>
      <c r="AC21" s="119" t="e">
        <f t="shared" si="10"/>
        <v>#N/A</v>
      </c>
      <c r="AD21" s="119" t="e">
        <f t="shared" si="11"/>
        <v>#N/A</v>
      </c>
    </row>
    <row r="22" spans="1:30" x14ac:dyDescent="0.2">
      <c r="A22" s="113"/>
      <c r="B22" s="111"/>
      <c r="C22" s="109"/>
      <c r="D22" s="273"/>
      <c r="E22" s="290"/>
      <c r="F22" s="236"/>
      <c r="G22" s="237"/>
      <c r="H22" s="238"/>
      <c r="I22" s="107"/>
      <c r="J22" s="237"/>
      <c r="K22" s="239"/>
      <c r="L22" s="238"/>
      <c r="M22" s="107"/>
      <c r="N22" s="100" t="e">
        <f>VLOOKUP(B22,Onderzoek[#All],7,FALSE)</f>
        <v>#N/A</v>
      </c>
      <c r="O22" s="106" t="e">
        <f>EXP(-0.693*E22*24/(VLOOKUP(A22,Nucliden[#All],3,FALSE)))*D22</f>
        <v>#N/A</v>
      </c>
      <c r="P22" s="115" t="str">
        <f>IF(I22="Nee",(VLOOKUP(A22,Nucliden[#All],35,FALSE)),(IF(I22="Ja",(VLOOKUP(A22,Nucliden[#All],34,FALSE)),(IF(I22="Deels","Bepaal h(0,07)","")))))</f>
        <v/>
      </c>
      <c r="Q22" s="115" t="str">
        <f>IF(M22="Nee",(VLOOKUP(A22,Nucliden[#All],19,FALSE)),(IF(M22="Ja",(VLOOKUP(A22,Nucliden[#All],18,FALSE)),(IF(M22="Deels","Bepaal h(10)","")))))</f>
        <v/>
      </c>
      <c r="R22" s="115" t="str">
        <f>IF(M22="Nee",(VLOOKUP(A22,Nucliden[#All],25,FALSE)),(IF(M22="Ja",(VLOOKUP(A22,Nucliden[#All],26,FALSE)),(IF(M22="Deels","Bepaal h(3)","")))))</f>
        <v/>
      </c>
      <c r="S22" s="115" t="e">
        <f>EXP(-0.693*H22/(VLOOKUP(A22,Nucliden[#All],6,FALSE)))</f>
        <v>#N/A</v>
      </c>
      <c r="T22" s="117" t="e">
        <f>EXP(-0.693*L22/(VLOOKUP(A22,Nucliden[#All],6,FALSE)))</f>
        <v>#N/A</v>
      </c>
      <c r="U22" s="118" t="e">
        <f t="shared" si="3"/>
        <v>#N/A</v>
      </c>
      <c r="V22" s="119" t="e">
        <f t="shared" si="4"/>
        <v>#N/A</v>
      </c>
      <c r="W22" s="118" t="e">
        <f t="shared" si="5"/>
        <v>#N/A</v>
      </c>
      <c r="X22" s="119" t="e">
        <f t="shared" si="6"/>
        <v>#N/A</v>
      </c>
      <c r="Y22" s="118" t="e">
        <f t="shared" si="7"/>
        <v>#N/A</v>
      </c>
      <c r="Z22" s="119" t="e">
        <f t="shared" si="8"/>
        <v>#N/A</v>
      </c>
      <c r="AA22" s="114">
        <v>19</v>
      </c>
      <c r="AB22" s="119" t="e">
        <f t="shared" si="9"/>
        <v>#N/A</v>
      </c>
      <c r="AC22" s="119" t="e">
        <f t="shared" si="10"/>
        <v>#N/A</v>
      </c>
      <c r="AD22" s="119" t="e">
        <f t="shared" si="11"/>
        <v>#N/A</v>
      </c>
    </row>
    <row r="23" spans="1:30" x14ac:dyDescent="0.2">
      <c r="A23" s="113"/>
      <c r="B23" s="111"/>
      <c r="C23" s="109"/>
      <c r="D23" s="273"/>
      <c r="E23" s="290"/>
      <c r="F23" s="236"/>
      <c r="G23" s="237"/>
      <c r="H23" s="238"/>
      <c r="I23" s="107"/>
      <c r="J23" s="237"/>
      <c r="K23" s="239"/>
      <c r="L23" s="238"/>
      <c r="M23" s="107"/>
      <c r="N23" s="100" t="e">
        <f>VLOOKUP(B23,Onderzoek[#All],7,FALSE)</f>
        <v>#N/A</v>
      </c>
      <c r="O23" s="106" t="e">
        <f>EXP(-0.693*E23*24/(VLOOKUP(A23,Nucliden[#All],3,FALSE)))*D23</f>
        <v>#N/A</v>
      </c>
      <c r="P23" s="115" t="str">
        <f>IF(I23="Nee",(VLOOKUP(A23,Nucliden[#All],35,FALSE)),(IF(I23="Ja",(VLOOKUP(A23,Nucliden[#All],34,FALSE)),(IF(I23="Deels","Bepaal h(0,07)","")))))</f>
        <v/>
      </c>
      <c r="Q23" s="115" t="str">
        <f>IF(M23="Nee",(VLOOKUP(A23,Nucliden[#All],19,FALSE)),(IF(M23="Ja",(VLOOKUP(A23,Nucliden[#All],18,FALSE)),(IF(M23="Deels","Bepaal h(10)","")))))</f>
        <v/>
      </c>
      <c r="R23" s="115" t="str">
        <f>IF(M23="Nee",(VLOOKUP(A23,Nucliden[#All],25,FALSE)),(IF(M23="Ja",(VLOOKUP(A23,Nucliden[#All],26,FALSE)),(IF(M23="Deels","Bepaal h(3)","")))))</f>
        <v/>
      </c>
      <c r="S23" s="115" t="e">
        <f>EXP(-0.693*H23/(VLOOKUP(A23,Nucliden[#All],6,FALSE)))</f>
        <v>#N/A</v>
      </c>
      <c r="T23" s="117" t="e">
        <f>EXP(-0.693*L23/(VLOOKUP(A23,Nucliden[#All],6,FALSE)))</f>
        <v>#N/A</v>
      </c>
      <c r="U23" s="118" t="e">
        <f t="shared" si="3"/>
        <v>#N/A</v>
      </c>
      <c r="V23" s="119" t="e">
        <f t="shared" si="4"/>
        <v>#N/A</v>
      </c>
      <c r="W23" s="118" t="e">
        <f t="shared" si="5"/>
        <v>#N/A</v>
      </c>
      <c r="X23" s="119" t="e">
        <f t="shared" si="6"/>
        <v>#N/A</v>
      </c>
      <c r="Y23" s="118" t="e">
        <f t="shared" si="7"/>
        <v>#N/A</v>
      </c>
      <c r="Z23" s="119" t="e">
        <f t="shared" si="8"/>
        <v>#N/A</v>
      </c>
      <c r="AA23" s="114">
        <v>20</v>
      </c>
      <c r="AB23" s="119" t="e">
        <f t="shared" si="9"/>
        <v>#N/A</v>
      </c>
      <c r="AC23" s="119" t="e">
        <f t="shared" si="10"/>
        <v>#N/A</v>
      </c>
      <c r="AD23" s="119" t="e">
        <f t="shared" si="11"/>
        <v>#N/A</v>
      </c>
    </row>
    <row r="24" spans="1:30" x14ac:dyDescent="0.2">
      <c r="A24" s="113"/>
      <c r="B24" s="111"/>
      <c r="C24" s="109"/>
      <c r="D24" s="273"/>
      <c r="E24" s="290"/>
      <c r="F24" s="236"/>
      <c r="G24" s="237"/>
      <c r="H24" s="238"/>
      <c r="I24" s="107"/>
      <c r="J24" s="237"/>
      <c r="K24" s="239"/>
      <c r="L24" s="238"/>
      <c r="M24" s="107"/>
      <c r="N24" s="100" t="e">
        <f>VLOOKUP(B24,Onderzoek[#All],7,FALSE)</f>
        <v>#N/A</v>
      </c>
      <c r="O24" s="106" t="e">
        <f>EXP(-0.693*E24*24/(VLOOKUP(A24,Nucliden[#All],3,FALSE)))*D24</f>
        <v>#N/A</v>
      </c>
      <c r="P24" s="115" t="str">
        <f>IF(I24="Nee",(VLOOKUP(A24,Nucliden[#All],35,FALSE)),(IF(I24="Ja",(VLOOKUP(A24,Nucliden[#All],34,FALSE)),(IF(I24="Deels","Bepaal h(0,07)","")))))</f>
        <v/>
      </c>
      <c r="Q24" s="115" t="str">
        <f>IF(M24="Nee",(VLOOKUP(A24,Nucliden[#All],19,FALSE)),(IF(M24="Ja",(VLOOKUP(A24,Nucliden[#All],18,FALSE)),(IF(M24="Deels","Bepaal h(10)","")))))</f>
        <v/>
      </c>
      <c r="R24" s="115" t="str">
        <f>IF(M24="Nee",(VLOOKUP(A24,Nucliden[#All],25,FALSE)),(IF(M24="Ja",(VLOOKUP(A24,Nucliden[#All],26,FALSE)),(IF(M24="Deels","Bepaal h(3)","")))))</f>
        <v/>
      </c>
      <c r="S24" s="115" t="e">
        <f>EXP(-0.693*H24/(VLOOKUP(A24,Nucliden[#All],6,FALSE)))</f>
        <v>#N/A</v>
      </c>
      <c r="T24" s="117" t="e">
        <f>EXP(-0.693*L24/(VLOOKUP(A24,Nucliden[#All],6,FALSE)))</f>
        <v>#N/A</v>
      </c>
      <c r="U24" s="118" t="e">
        <f t="shared" si="3"/>
        <v>#N/A</v>
      </c>
      <c r="V24" s="119" t="e">
        <f t="shared" si="4"/>
        <v>#N/A</v>
      </c>
      <c r="W24" s="118" t="e">
        <f t="shared" si="5"/>
        <v>#N/A</v>
      </c>
      <c r="X24" s="119" t="e">
        <f t="shared" si="6"/>
        <v>#N/A</v>
      </c>
      <c r="Y24" s="118" t="e">
        <f t="shared" si="7"/>
        <v>#N/A</v>
      </c>
      <c r="Z24" s="119" t="e">
        <f t="shared" si="8"/>
        <v>#N/A</v>
      </c>
      <c r="AA24" s="114">
        <v>21</v>
      </c>
      <c r="AB24" s="119" t="e">
        <f t="shared" si="9"/>
        <v>#N/A</v>
      </c>
      <c r="AC24" s="119" t="e">
        <f t="shared" si="10"/>
        <v>#N/A</v>
      </c>
      <c r="AD24" s="119" t="e">
        <f t="shared" si="11"/>
        <v>#N/A</v>
      </c>
    </row>
    <row r="25" spans="1:30" x14ac:dyDescent="0.2">
      <c r="A25" s="113"/>
      <c r="B25" s="111"/>
      <c r="C25" s="109"/>
      <c r="D25" s="273"/>
      <c r="E25" s="290"/>
      <c r="F25" s="236"/>
      <c r="G25" s="237"/>
      <c r="H25" s="238"/>
      <c r="I25" s="107"/>
      <c r="J25" s="237"/>
      <c r="K25" s="239"/>
      <c r="L25" s="238"/>
      <c r="M25" s="107"/>
      <c r="N25" s="100" t="e">
        <f>VLOOKUP(B25,Onderzoek[#All],7,FALSE)</f>
        <v>#N/A</v>
      </c>
      <c r="O25" s="106" t="e">
        <f>EXP(-0.693*E25*24/(VLOOKUP(A25,Nucliden[#All],3,FALSE)))*D25</f>
        <v>#N/A</v>
      </c>
      <c r="P25" s="115" t="str">
        <f>IF(I25="Nee",(VLOOKUP(A25,Nucliden[#All],35,FALSE)),(IF(I25="Ja",(VLOOKUP(A25,Nucliden[#All],34,FALSE)),(IF(I25="Deels","Bepaal h(0,07)","")))))</f>
        <v/>
      </c>
      <c r="Q25" s="115" t="str">
        <f>IF(M25="Nee",(VLOOKUP(A25,Nucliden[#All],19,FALSE)),(IF(M25="Ja",(VLOOKUP(A25,Nucliden[#All],18,FALSE)),(IF(M25="Deels","Bepaal h(10)","")))))</f>
        <v/>
      </c>
      <c r="R25" s="115" t="str">
        <f>IF(M25="Nee",(VLOOKUP(A25,Nucliden[#All],25,FALSE)),(IF(M25="Ja",(VLOOKUP(A25,Nucliden[#All],26,FALSE)),(IF(M25="Deels","Bepaal h(3)","")))))</f>
        <v/>
      </c>
      <c r="S25" s="115" t="e">
        <f>EXP(-0.693*H25/(VLOOKUP(A25,Nucliden[#All],6,FALSE)))</f>
        <v>#N/A</v>
      </c>
      <c r="T25" s="117" t="e">
        <f>EXP(-0.693*L25/(VLOOKUP(A25,Nucliden[#All],6,FALSE)))</f>
        <v>#N/A</v>
      </c>
      <c r="U25" s="118" t="e">
        <f t="shared" si="3"/>
        <v>#N/A</v>
      </c>
      <c r="V25" s="119" t="e">
        <f t="shared" si="4"/>
        <v>#N/A</v>
      </c>
      <c r="W25" s="118" t="e">
        <f t="shared" si="5"/>
        <v>#N/A</v>
      </c>
      <c r="X25" s="119" t="e">
        <f t="shared" si="6"/>
        <v>#N/A</v>
      </c>
      <c r="Y25" s="118" t="e">
        <f t="shared" si="7"/>
        <v>#N/A</v>
      </c>
      <c r="Z25" s="119" t="e">
        <f t="shared" si="8"/>
        <v>#N/A</v>
      </c>
      <c r="AA25" s="114">
        <v>22</v>
      </c>
      <c r="AB25" s="119" t="e">
        <f t="shared" si="9"/>
        <v>#N/A</v>
      </c>
      <c r="AC25" s="119" t="e">
        <f t="shared" si="10"/>
        <v>#N/A</v>
      </c>
      <c r="AD25" s="119" t="e">
        <f t="shared" si="11"/>
        <v>#N/A</v>
      </c>
    </row>
    <row r="26" spans="1:30" x14ac:dyDescent="0.2">
      <c r="A26" s="4"/>
      <c r="B26" s="4"/>
      <c r="I26" s="7" t="s">
        <v>445</v>
      </c>
      <c r="M26" s="7" t="s">
        <v>445</v>
      </c>
      <c r="AA26" s="242" t="s">
        <v>449</v>
      </c>
      <c r="AB26" s="241" t="e">
        <f>SUM(AB4:AB25)</f>
        <v>#N/A</v>
      </c>
      <c r="AC26" s="241" t="e">
        <f>SUM(AC4:AC25)</f>
        <v>#N/A</v>
      </c>
      <c r="AD26" s="241" t="e">
        <f>SUM(AD4:AD25)</f>
        <v>#N/A</v>
      </c>
    </row>
    <row r="27" spans="1:30" x14ac:dyDescent="0.2">
      <c r="A27" s="4"/>
      <c r="B27" s="4"/>
      <c r="I27" s="233" t="s">
        <v>66</v>
      </c>
      <c r="M27" s="233" t="s">
        <v>66</v>
      </c>
    </row>
    <row r="28" spans="1:30" x14ac:dyDescent="0.2">
      <c r="A28" s="4"/>
      <c r="B28" s="4"/>
      <c r="E28" s="4"/>
      <c r="F28" s="4"/>
      <c r="G28" s="4"/>
      <c r="H28" s="4"/>
      <c r="I28" s="233" t="s">
        <v>446</v>
      </c>
      <c r="M28" s="233" t="s">
        <v>446</v>
      </c>
    </row>
    <row r="29" spans="1:30" x14ac:dyDescent="0.2">
      <c r="A29" s="4"/>
      <c r="B29" s="4"/>
      <c r="E29" s="60"/>
      <c r="F29" s="4"/>
      <c r="G29" s="4"/>
      <c r="H29" s="4"/>
      <c r="I29" s="233" t="s">
        <v>447</v>
      </c>
      <c r="M29" s="233" t="s">
        <v>447</v>
      </c>
    </row>
    <row r="30" spans="1:30" x14ac:dyDescent="0.2">
      <c r="A30" s="1"/>
      <c r="B30" s="1"/>
      <c r="E30" s="60"/>
      <c r="F30" s="4"/>
      <c r="G30" s="4"/>
      <c r="H30" s="4"/>
    </row>
    <row r="31" spans="1:30" x14ac:dyDescent="0.2">
      <c r="A31" s="1"/>
      <c r="B31" s="1"/>
      <c r="E31" s="60"/>
      <c r="F31" s="4"/>
      <c r="G31" s="4"/>
      <c r="H31" s="4"/>
    </row>
    <row r="32" spans="1:30" x14ac:dyDescent="0.2">
      <c r="A32" s="5"/>
      <c r="B32" s="5"/>
    </row>
  </sheetData>
  <dataValidations count="1">
    <dataValidation type="list" allowBlank="1" showInputMessage="1" showErrorMessage="1" sqref="M4:M25 I4:I25">
      <formula1>$M$27:$M$29</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31"/>
  <sheetViews>
    <sheetView zoomScaleNormal="100" workbookViewId="0">
      <pane xSplit="3" ySplit="3" topLeftCell="D4" activePane="bottomRight" state="frozen"/>
      <selection pane="topRight" activeCell="D1" sqref="D1"/>
      <selection pane="bottomLeft" activeCell="A4" sqref="A4"/>
      <selection pane="bottomRight" activeCell="A4" sqref="A4"/>
    </sheetView>
  </sheetViews>
  <sheetFormatPr defaultRowHeight="12.75" x14ac:dyDescent="0.2"/>
  <cols>
    <col min="1" max="1" width="13.7109375" customWidth="1"/>
    <col min="2" max="2" width="30.140625" customWidth="1"/>
    <col min="3" max="3" width="35.42578125" customWidth="1"/>
    <col min="4" max="4" width="12.28515625" customWidth="1"/>
    <col min="5" max="5" width="12.85546875" customWidth="1"/>
    <col min="6" max="6" width="9.7109375" customWidth="1"/>
    <col min="7" max="7" width="13.140625" bestFit="1" customWidth="1"/>
    <col min="8" max="8" width="13.28515625" customWidth="1"/>
    <col min="9" max="9" width="12.85546875" customWidth="1"/>
    <col min="10" max="10" width="9.7109375" customWidth="1"/>
    <col min="11" max="11" width="13.140625" bestFit="1" customWidth="1"/>
    <col min="12" max="12" width="13.28515625" customWidth="1"/>
    <col min="13" max="13" width="12.85546875" customWidth="1"/>
    <col min="14" max="14" width="9.7109375" customWidth="1"/>
    <col min="15" max="15" width="13.140625" bestFit="1" customWidth="1"/>
    <col min="16" max="16" width="13.28515625" customWidth="1"/>
    <col min="17" max="17" width="12.85546875" customWidth="1"/>
    <col min="18" max="18" width="9.7109375" customWidth="1"/>
    <col min="19" max="20" width="13.140625" bestFit="1" customWidth="1"/>
    <col min="21" max="21" width="13.28515625" customWidth="1"/>
    <col min="22" max="22" width="10.42578125" bestFit="1" customWidth="1"/>
  </cols>
  <sheetData>
    <row r="1" spans="1:22" ht="30" customHeight="1" x14ac:dyDescent="0.2">
      <c r="A1" s="131" t="s">
        <v>391</v>
      </c>
      <c r="B1" s="132" t="s">
        <v>392</v>
      </c>
      <c r="C1" s="126"/>
      <c r="E1" s="141" t="s">
        <v>397</v>
      </c>
      <c r="F1" s="86"/>
      <c r="G1" s="31"/>
      <c r="H1" s="3"/>
      <c r="I1" s="142" t="s">
        <v>398</v>
      </c>
      <c r="J1" s="140"/>
      <c r="K1" s="139"/>
      <c r="L1" s="138"/>
      <c r="M1" s="141" t="s">
        <v>399</v>
      </c>
      <c r="N1" s="86"/>
      <c r="O1" s="31"/>
      <c r="P1" s="3"/>
      <c r="Q1" s="142" t="s">
        <v>67</v>
      </c>
      <c r="R1" s="140"/>
      <c r="S1" s="139"/>
      <c r="T1" s="139"/>
      <c r="U1" s="138"/>
    </row>
    <row r="2" spans="1:22" ht="41.25" customHeight="1" x14ac:dyDescent="0.2">
      <c r="A2" s="101" t="s">
        <v>5</v>
      </c>
      <c r="B2" s="103" t="s">
        <v>6</v>
      </c>
      <c r="C2" s="103" t="s">
        <v>368</v>
      </c>
      <c r="D2" s="102" t="s">
        <v>357</v>
      </c>
      <c r="E2" s="103" t="s">
        <v>393</v>
      </c>
      <c r="F2" s="103" t="s">
        <v>358</v>
      </c>
      <c r="G2" s="124" t="s">
        <v>361</v>
      </c>
      <c r="H2" s="116" t="s">
        <v>394</v>
      </c>
      <c r="I2" s="103" t="s">
        <v>395</v>
      </c>
      <c r="J2" s="103" t="s">
        <v>358</v>
      </c>
      <c r="K2" s="124" t="s">
        <v>88</v>
      </c>
      <c r="L2" s="116" t="s">
        <v>396</v>
      </c>
      <c r="M2" s="103" t="s">
        <v>400</v>
      </c>
      <c r="N2" s="103" t="s">
        <v>358</v>
      </c>
      <c r="O2" s="124" t="s">
        <v>401</v>
      </c>
      <c r="P2" s="116" t="s">
        <v>402</v>
      </c>
      <c r="Q2" s="103" t="s">
        <v>407</v>
      </c>
      <c r="R2" s="103" t="s">
        <v>358</v>
      </c>
      <c r="S2" s="124" t="s">
        <v>404</v>
      </c>
      <c r="T2" s="124" t="s">
        <v>408</v>
      </c>
      <c r="U2" s="116" t="s">
        <v>403</v>
      </c>
    </row>
    <row r="3" spans="1:22" ht="17.25" customHeight="1" x14ac:dyDescent="0.2">
      <c r="A3" s="104"/>
      <c r="B3" s="104"/>
      <c r="C3" s="104"/>
      <c r="D3" s="102" t="str">
        <f>'Handelingen Leveringsniveau'!C3</f>
        <v>[MBq]</v>
      </c>
      <c r="E3" s="135"/>
      <c r="F3" s="103" t="s">
        <v>359</v>
      </c>
      <c r="G3" s="84" t="s">
        <v>275</v>
      </c>
      <c r="H3" s="116" t="s">
        <v>306</v>
      </c>
      <c r="I3" s="135"/>
      <c r="J3" s="103" t="s">
        <v>359</v>
      </c>
      <c r="K3" s="84" t="s">
        <v>275</v>
      </c>
      <c r="L3" s="116" t="s">
        <v>306</v>
      </c>
      <c r="M3" s="135"/>
      <c r="N3" s="103" t="s">
        <v>359</v>
      </c>
      <c r="O3" s="84" t="s">
        <v>267</v>
      </c>
      <c r="P3" s="116" t="s">
        <v>306</v>
      </c>
      <c r="Q3" s="135"/>
      <c r="R3" s="103" t="s">
        <v>359</v>
      </c>
      <c r="S3" s="84" t="s">
        <v>405</v>
      </c>
      <c r="T3" s="84" t="s">
        <v>409</v>
      </c>
      <c r="U3" s="116" t="s">
        <v>406</v>
      </c>
    </row>
    <row r="4" spans="1:22" x14ac:dyDescent="0.2">
      <c r="A4" s="108" t="s">
        <v>4</v>
      </c>
      <c r="B4" s="109" t="s">
        <v>84</v>
      </c>
      <c r="C4" s="111" t="s">
        <v>552</v>
      </c>
      <c r="D4" s="105">
        <f>VLOOKUP($B4,Levering[#All],4,FALSE)</f>
        <v>4400</v>
      </c>
      <c r="E4" s="136">
        <v>9.7999999999999998E-11</v>
      </c>
      <c r="F4" s="114">
        <v>1</v>
      </c>
      <c r="G4" s="115">
        <f>VLOOKUP($B4,Farmaca[#All],4,FALSE)</f>
        <v>5.4000000000000001E-11</v>
      </c>
      <c r="H4" s="119">
        <f t="shared" ref="H4:H25" si="0">D4*1000000*E4*F4*G4*1000</f>
        <v>2.3284799999999999E-8</v>
      </c>
      <c r="I4" s="136">
        <v>9.9999999999999995E-7</v>
      </c>
      <c r="J4" s="114">
        <v>0</v>
      </c>
      <c r="K4" s="115">
        <f>VLOOKUP($B4,Farmaca[#All],6,FALSE)</f>
        <v>4.8999999999999999E-11</v>
      </c>
      <c r="L4" s="119">
        <f t="shared" ref="L4:L25" si="1">D4*1000000*I4*J4*K4*1000</f>
        <v>0</v>
      </c>
      <c r="M4" s="136">
        <v>1E-3</v>
      </c>
      <c r="N4" s="114">
        <v>0</v>
      </c>
      <c r="O4" s="115">
        <f>VLOOKUP($B4,Farmaca[#All],7,FALSE)</f>
        <v>1.9E-2</v>
      </c>
      <c r="P4" s="119">
        <f t="shared" ref="P4:P25" si="2">D4*M4*N4*O4</f>
        <v>0</v>
      </c>
      <c r="Q4" s="136">
        <v>1E-4</v>
      </c>
      <c r="R4" s="114">
        <v>0</v>
      </c>
      <c r="S4" s="115">
        <f>VLOOKUP(A4,Nucliden[#All],36,FALSE)</f>
        <v>5.0000000000000003E-10</v>
      </c>
      <c r="T4" s="115">
        <f>LN(2)/(VLOOKUP(A4,Nucliden[#All],3,FALSE)/24)+(LN(2)/5)</f>
        <v>9.2315686727551629</v>
      </c>
      <c r="U4" s="119">
        <f t="shared" ref="U4:U25" si="3">D4*1000000*Q4*R4*S4*1000*3600*24/T4</f>
        <v>0</v>
      </c>
      <c r="V4" s="143"/>
    </row>
    <row r="5" spans="1:22" x14ac:dyDescent="0.2">
      <c r="A5" s="108" t="s">
        <v>0</v>
      </c>
      <c r="B5" s="109" t="s">
        <v>94</v>
      </c>
      <c r="C5" s="111" t="s">
        <v>552</v>
      </c>
      <c r="D5" s="105">
        <f>VLOOKUP($B5,Levering[#All],4,FALSE)</f>
        <v>70000</v>
      </c>
      <c r="E5" s="136">
        <v>9.7999999999999998E-11</v>
      </c>
      <c r="F5" s="114">
        <v>1</v>
      </c>
      <c r="G5" s="115">
        <f>VLOOKUP($B5,Farmaca[#All],4,FALSE)</f>
        <v>2.9E-11</v>
      </c>
      <c r="H5" s="119">
        <f t="shared" si="0"/>
        <v>1.9893999999999998E-7</v>
      </c>
      <c r="I5" s="136">
        <v>9.9999999999999995E-7</v>
      </c>
      <c r="J5" s="114">
        <v>0</v>
      </c>
      <c r="K5" s="115">
        <f>VLOOKUP($B5,Farmaca[#All],6,FALSE)</f>
        <v>2.2000000000000002E-11</v>
      </c>
      <c r="L5" s="119">
        <f t="shared" si="1"/>
        <v>0</v>
      </c>
      <c r="M5" s="136">
        <v>1E-3</v>
      </c>
      <c r="N5" s="114">
        <v>0</v>
      </c>
      <c r="O5" s="115">
        <f>VLOOKUP($B5,Farmaca[#All],7,FALSE)</f>
        <v>1.2999999999999999E-2</v>
      </c>
      <c r="P5" s="119">
        <f t="shared" si="2"/>
        <v>0</v>
      </c>
      <c r="Q5" s="136">
        <v>1E-4</v>
      </c>
      <c r="R5" s="114">
        <v>0</v>
      </c>
      <c r="S5" s="115">
        <f>VLOOKUP(A5,Nucliden[#All],36,FALSE)</f>
        <v>5.0000000000000002E-11</v>
      </c>
      <c r="T5" s="115">
        <f>LN(2)/(VLOOKUP(A5,Nucliden[#All],3,FALSE)/24)+(LN(2)/5)</f>
        <v>2.9020069001383493</v>
      </c>
      <c r="U5" s="119">
        <f t="shared" si="3"/>
        <v>0</v>
      </c>
    </row>
    <row r="6" spans="1:22" x14ac:dyDescent="0.2">
      <c r="A6" s="108" t="s">
        <v>0</v>
      </c>
      <c r="B6" s="109" t="s">
        <v>171</v>
      </c>
      <c r="C6" s="111" t="s">
        <v>552</v>
      </c>
      <c r="D6" s="105">
        <f>VLOOKUP($B6,Levering[#All],4,FALSE)</f>
        <v>14000</v>
      </c>
      <c r="E6" s="136">
        <v>9.7999999999999998E-11</v>
      </c>
      <c r="F6" s="114">
        <v>1</v>
      </c>
      <c r="G6" s="115">
        <f>VLOOKUP($B6,Farmaca[#All],4,FALSE)</f>
        <v>1.9999999999999999E-11</v>
      </c>
      <c r="H6" s="119">
        <f t="shared" si="0"/>
        <v>2.7439999999999993E-8</v>
      </c>
      <c r="I6" s="136">
        <v>9.9999999999999995E-7</v>
      </c>
      <c r="J6" s="114">
        <v>0</v>
      </c>
      <c r="K6" s="115">
        <f>VLOOKUP($B6,Farmaca[#All],6,FALSE)</f>
        <v>2.2000000000000002E-11</v>
      </c>
      <c r="L6" s="119">
        <f t="shared" si="1"/>
        <v>0</v>
      </c>
      <c r="M6" s="136">
        <v>1E-3</v>
      </c>
      <c r="N6" s="114">
        <v>0</v>
      </c>
      <c r="O6" s="115">
        <f>VLOOKUP($B6,Farmaca[#All],7,FALSE)</f>
        <v>8.0000000000000002E-3</v>
      </c>
      <c r="P6" s="119">
        <f t="shared" si="2"/>
        <v>0</v>
      </c>
      <c r="Q6" s="136">
        <v>1E-4</v>
      </c>
      <c r="R6" s="114">
        <v>0</v>
      </c>
      <c r="S6" s="115">
        <f>VLOOKUP(A6,Nucliden[#All],36,FALSE)</f>
        <v>5.0000000000000002E-11</v>
      </c>
      <c r="T6" s="115">
        <f>LN(2)/(VLOOKUP(A6,Nucliden[#All],3,FALSE)/24)+(LN(2)/5)</f>
        <v>2.9020069001383493</v>
      </c>
      <c r="U6" s="119">
        <f t="shared" si="3"/>
        <v>0</v>
      </c>
    </row>
    <row r="7" spans="1:22" x14ac:dyDescent="0.2">
      <c r="A7" s="108"/>
      <c r="B7" s="109"/>
      <c r="C7" s="109"/>
      <c r="D7" s="105" t="e">
        <f>VLOOKUP($B7,Levering[#All],4,FALSE)</f>
        <v>#N/A</v>
      </c>
      <c r="E7" s="136"/>
      <c r="F7" s="114"/>
      <c r="G7" s="115" t="e">
        <f>VLOOKUP($B7,Farmaca[#All],4,FALSE)</f>
        <v>#N/A</v>
      </c>
      <c r="H7" s="119" t="e">
        <f t="shared" si="0"/>
        <v>#N/A</v>
      </c>
      <c r="I7" s="136"/>
      <c r="J7" s="114"/>
      <c r="K7" s="115" t="e">
        <f>VLOOKUP($B7,Farmaca[#All],6,FALSE)</f>
        <v>#N/A</v>
      </c>
      <c r="L7" s="119" t="e">
        <f t="shared" si="1"/>
        <v>#N/A</v>
      </c>
      <c r="M7" s="136"/>
      <c r="N7" s="114"/>
      <c r="O7" s="115" t="e">
        <f>VLOOKUP($B7,Farmaca[#All],7,FALSE)</f>
        <v>#N/A</v>
      </c>
      <c r="P7" s="119" t="e">
        <f t="shared" si="2"/>
        <v>#N/A</v>
      </c>
      <c r="Q7" s="136"/>
      <c r="R7" s="114"/>
      <c r="S7" s="115" t="e">
        <f>VLOOKUP(A7,Nucliden[#All],36,FALSE)</f>
        <v>#N/A</v>
      </c>
      <c r="T7" s="115" t="e">
        <f>LN(2)/(VLOOKUP(A7,Nucliden[#All],3,FALSE)/24)+(LN(2)/5)</f>
        <v>#N/A</v>
      </c>
      <c r="U7" s="119" t="e">
        <f t="shared" si="3"/>
        <v>#N/A</v>
      </c>
    </row>
    <row r="8" spans="1:22" x14ac:dyDescent="0.2">
      <c r="A8" s="108"/>
      <c r="B8" s="109"/>
      <c r="C8" s="109"/>
      <c r="D8" s="105" t="e">
        <f>VLOOKUP($B8,Levering[#All],4,FALSE)</f>
        <v>#N/A</v>
      </c>
      <c r="E8" s="136"/>
      <c r="F8" s="114"/>
      <c r="G8" s="115" t="e">
        <f>VLOOKUP($B8,Farmaca[#All],4,FALSE)</f>
        <v>#N/A</v>
      </c>
      <c r="H8" s="119" t="e">
        <f t="shared" si="0"/>
        <v>#N/A</v>
      </c>
      <c r="I8" s="136"/>
      <c r="J8" s="114"/>
      <c r="K8" s="115" t="e">
        <f>VLOOKUP($B8,Farmaca[#All],6,FALSE)</f>
        <v>#N/A</v>
      </c>
      <c r="L8" s="119" t="e">
        <f t="shared" si="1"/>
        <v>#N/A</v>
      </c>
      <c r="M8" s="136"/>
      <c r="N8" s="114"/>
      <c r="O8" s="115" t="e">
        <f>VLOOKUP($B8,Farmaca[#All],7,FALSE)</f>
        <v>#N/A</v>
      </c>
      <c r="P8" s="119" t="e">
        <f t="shared" si="2"/>
        <v>#N/A</v>
      </c>
      <c r="Q8" s="136"/>
      <c r="R8" s="114"/>
      <c r="S8" s="115" t="e">
        <f>VLOOKUP(A8,Nucliden[#All],36,FALSE)</f>
        <v>#N/A</v>
      </c>
      <c r="T8" s="115" t="e">
        <f>LN(2)/(VLOOKUP(A8,Nucliden[#All],3,FALSE)/24)+(LN(2)/5)</f>
        <v>#N/A</v>
      </c>
      <c r="U8" s="119" t="e">
        <f t="shared" si="3"/>
        <v>#N/A</v>
      </c>
    </row>
    <row r="9" spans="1:22" x14ac:dyDescent="0.2">
      <c r="A9" s="108"/>
      <c r="B9" s="109"/>
      <c r="C9" s="109"/>
      <c r="D9" s="105" t="e">
        <f>VLOOKUP($B9,Levering[#All],4,FALSE)</f>
        <v>#N/A</v>
      </c>
      <c r="E9" s="136"/>
      <c r="F9" s="114"/>
      <c r="G9" s="115" t="e">
        <f>VLOOKUP($B9,Farmaca[#All],4,FALSE)</f>
        <v>#N/A</v>
      </c>
      <c r="H9" s="119" t="e">
        <f t="shared" si="0"/>
        <v>#N/A</v>
      </c>
      <c r="I9" s="136"/>
      <c r="J9" s="114"/>
      <c r="K9" s="115" t="e">
        <f>VLOOKUP($B9,Farmaca[#All],6,FALSE)</f>
        <v>#N/A</v>
      </c>
      <c r="L9" s="119" t="e">
        <f t="shared" si="1"/>
        <v>#N/A</v>
      </c>
      <c r="M9" s="136"/>
      <c r="N9" s="114"/>
      <c r="O9" s="115" t="e">
        <f>VLOOKUP($B9,Farmaca[#All],7,FALSE)</f>
        <v>#N/A</v>
      </c>
      <c r="P9" s="119" t="e">
        <f t="shared" si="2"/>
        <v>#N/A</v>
      </c>
      <c r="Q9" s="136"/>
      <c r="R9" s="114"/>
      <c r="S9" s="115" t="e">
        <f>VLOOKUP(A9,Nucliden[#All],36,FALSE)</f>
        <v>#N/A</v>
      </c>
      <c r="T9" s="115" t="e">
        <f>LN(2)/(VLOOKUP(A9,Nucliden[#All],3,FALSE)/24)+(LN(2)/5)</f>
        <v>#N/A</v>
      </c>
      <c r="U9" s="119" t="e">
        <f t="shared" si="3"/>
        <v>#N/A</v>
      </c>
    </row>
    <row r="10" spans="1:22" x14ac:dyDescent="0.2">
      <c r="A10" s="108"/>
      <c r="B10" s="109"/>
      <c r="C10" s="109"/>
      <c r="D10" s="105" t="e">
        <f>VLOOKUP($B10,Levering[#All],4,FALSE)</f>
        <v>#N/A</v>
      </c>
      <c r="E10" s="136"/>
      <c r="F10" s="114"/>
      <c r="G10" s="115" t="e">
        <f>VLOOKUP($B10,Farmaca[#All],4,FALSE)</f>
        <v>#N/A</v>
      </c>
      <c r="H10" s="119" t="e">
        <f t="shared" si="0"/>
        <v>#N/A</v>
      </c>
      <c r="I10" s="136"/>
      <c r="J10" s="114"/>
      <c r="K10" s="115" t="e">
        <f>VLOOKUP($B10,Farmaca[#All],6,FALSE)</f>
        <v>#N/A</v>
      </c>
      <c r="L10" s="119" t="e">
        <f t="shared" si="1"/>
        <v>#N/A</v>
      </c>
      <c r="M10" s="136"/>
      <c r="N10" s="114"/>
      <c r="O10" s="115" t="e">
        <f>VLOOKUP($B10,Farmaca[#All],7,FALSE)</f>
        <v>#N/A</v>
      </c>
      <c r="P10" s="119" t="e">
        <f t="shared" si="2"/>
        <v>#N/A</v>
      </c>
      <c r="Q10" s="136"/>
      <c r="R10" s="114"/>
      <c r="S10" s="115" t="e">
        <f>VLOOKUP(A10,Nucliden[#All],36,FALSE)</f>
        <v>#N/A</v>
      </c>
      <c r="T10" s="115" t="e">
        <f>LN(2)/(VLOOKUP(A10,Nucliden[#All],3,FALSE)/24)+(LN(2)/5)</f>
        <v>#N/A</v>
      </c>
      <c r="U10" s="119" t="e">
        <f t="shared" si="3"/>
        <v>#N/A</v>
      </c>
    </row>
    <row r="11" spans="1:22" x14ac:dyDescent="0.2">
      <c r="A11" s="108"/>
      <c r="B11" s="109"/>
      <c r="C11" s="109"/>
      <c r="D11" s="105" t="e">
        <f>VLOOKUP($B11,Levering[#All],4,FALSE)</f>
        <v>#N/A</v>
      </c>
      <c r="E11" s="136"/>
      <c r="F11" s="114"/>
      <c r="G11" s="115" t="e">
        <f>VLOOKUP($B11,Farmaca[#All],4,FALSE)</f>
        <v>#N/A</v>
      </c>
      <c r="H11" s="119" t="e">
        <f t="shared" si="0"/>
        <v>#N/A</v>
      </c>
      <c r="I11" s="136"/>
      <c r="J11" s="114"/>
      <c r="K11" s="115" t="e">
        <f>VLOOKUP($B11,Farmaca[#All],6,FALSE)</f>
        <v>#N/A</v>
      </c>
      <c r="L11" s="119" t="e">
        <f t="shared" si="1"/>
        <v>#N/A</v>
      </c>
      <c r="M11" s="136"/>
      <c r="N11" s="114"/>
      <c r="O11" s="115" t="e">
        <f>VLOOKUP($B11,Farmaca[#All],7,FALSE)</f>
        <v>#N/A</v>
      </c>
      <c r="P11" s="119" t="e">
        <f t="shared" si="2"/>
        <v>#N/A</v>
      </c>
      <c r="Q11" s="136"/>
      <c r="R11" s="114"/>
      <c r="S11" s="115" t="e">
        <f>VLOOKUP(A11,Nucliden[#All],36,FALSE)</f>
        <v>#N/A</v>
      </c>
      <c r="T11" s="115" t="e">
        <f>LN(2)/(VLOOKUP(A11,Nucliden[#All],3,FALSE)/24)+(LN(2)/5)</f>
        <v>#N/A</v>
      </c>
      <c r="U11" s="119" t="e">
        <f t="shared" si="3"/>
        <v>#N/A</v>
      </c>
    </row>
    <row r="12" spans="1:22" x14ac:dyDescent="0.2">
      <c r="A12" s="108"/>
      <c r="B12" s="109"/>
      <c r="C12" s="109"/>
      <c r="D12" s="105" t="e">
        <f>VLOOKUP($B12,Levering[#All],4,FALSE)</f>
        <v>#N/A</v>
      </c>
      <c r="E12" s="136"/>
      <c r="F12" s="114"/>
      <c r="G12" s="115" t="e">
        <f>VLOOKUP($B12,Farmaca[#All],4,FALSE)</f>
        <v>#N/A</v>
      </c>
      <c r="H12" s="119" t="e">
        <f t="shared" si="0"/>
        <v>#N/A</v>
      </c>
      <c r="I12" s="136"/>
      <c r="J12" s="114"/>
      <c r="K12" s="115" t="e">
        <f>VLOOKUP($B12,Farmaca[#All],6,FALSE)</f>
        <v>#N/A</v>
      </c>
      <c r="L12" s="119" t="e">
        <f t="shared" si="1"/>
        <v>#N/A</v>
      </c>
      <c r="M12" s="136"/>
      <c r="N12" s="114"/>
      <c r="O12" s="115" t="e">
        <f>VLOOKUP($B12,Farmaca[#All],7,FALSE)</f>
        <v>#N/A</v>
      </c>
      <c r="P12" s="119" t="e">
        <f t="shared" si="2"/>
        <v>#N/A</v>
      </c>
      <c r="Q12" s="136"/>
      <c r="R12" s="114"/>
      <c r="S12" s="115" t="e">
        <f>VLOOKUP(A12,Nucliden[#All],36,FALSE)</f>
        <v>#N/A</v>
      </c>
      <c r="T12" s="115" t="e">
        <f>LN(2)/(VLOOKUP(A12,Nucliden[#All],3,FALSE)/24)+(LN(2)/5)</f>
        <v>#N/A</v>
      </c>
      <c r="U12" s="119" t="e">
        <f t="shared" si="3"/>
        <v>#N/A</v>
      </c>
    </row>
    <row r="13" spans="1:22" x14ac:dyDescent="0.2">
      <c r="A13" s="108"/>
      <c r="B13" s="109"/>
      <c r="C13" s="109"/>
      <c r="D13" s="105" t="e">
        <f>VLOOKUP($B13,Levering[#All],4,FALSE)</f>
        <v>#N/A</v>
      </c>
      <c r="E13" s="136"/>
      <c r="F13" s="114"/>
      <c r="G13" s="115" t="e">
        <f>VLOOKUP($B13,Farmaca[#All],4,FALSE)</f>
        <v>#N/A</v>
      </c>
      <c r="H13" s="119" t="e">
        <f t="shared" si="0"/>
        <v>#N/A</v>
      </c>
      <c r="I13" s="136"/>
      <c r="J13" s="114"/>
      <c r="K13" s="115" t="e">
        <f>VLOOKUP($B13,Farmaca[#All],6,FALSE)</f>
        <v>#N/A</v>
      </c>
      <c r="L13" s="119" t="e">
        <f t="shared" si="1"/>
        <v>#N/A</v>
      </c>
      <c r="M13" s="136"/>
      <c r="N13" s="114"/>
      <c r="O13" s="115" t="e">
        <f>VLOOKUP($B13,Farmaca[#All],7,FALSE)</f>
        <v>#N/A</v>
      </c>
      <c r="P13" s="119" t="e">
        <f t="shared" si="2"/>
        <v>#N/A</v>
      </c>
      <c r="Q13" s="136"/>
      <c r="R13" s="114"/>
      <c r="S13" s="115" t="e">
        <f>VLOOKUP(A13,Nucliden[#All],36,FALSE)</f>
        <v>#N/A</v>
      </c>
      <c r="T13" s="115" t="e">
        <f>LN(2)/(VLOOKUP(A13,Nucliden[#All],3,FALSE)/24)+(LN(2)/5)</f>
        <v>#N/A</v>
      </c>
      <c r="U13" s="119" t="e">
        <f t="shared" si="3"/>
        <v>#N/A</v>
      </c>
    </row>
    <row r="14" spans="1:22" x14ac:dyDescent="0.2">
      <c r="A14" s="108"/>
      <c r="B14" s="109"/>
      <c r="C14" s="109"/>
      <c r="D14" s="105" t="e">
        <f>VLOOKUP($B14,Levering[#All],4,FALSE)</f>
        <v>#N/A</v>
      </c>
      <c r="E14" s="136"/>
      <c r="F14" s="114"/>
      <c r="G14" s="115" t="e">
        <f>VLOOKUP($B14,Farmaca[#All],4,FALSE)</f>
        <v>#N/A</v>
      </c>
      <c r="H14" s="119" t="e">
        <f t="shared" si="0"/>
        <v>#N/A</v>
      </c>
      <c r="I14" s="136"/>
      <c r="J14" s="114"/>
      <c r="K14" s="115" t="e">
        <f>VLOOKUP($B14,Farmaca[#All],6,FALSE)</f>
        <v>#N/A</v>
      </c>
      <c r="L14" s="119" t="e">
        <f t="shared" si="1"/>
        <v>#N/A</v>
      </c>
      <c r="M14" s="136"/>
      <c r="N14" s="114"/>
      <c r="O14" s="115" t="e">
        <f>VLOOKUP($B14,Farmaca[#All],7,FALSE)</f>
        <v>#N/A</v>
      </c>
      <c r="P14" s="119" t="e">
        <f t="shared" si="2"/>
        <v>#N/A</v>
      </c>
      <c r="Q14" s="136"/>
      <c r="R14" s="114"/>
      <c r="S14" s="115" t="e">
        <f>VLOOKUP(A14,Nucliden[#All],36,FALSE)</f>
        <v>#N/A</v>
      </c>
      <c r="T14" s="115" t="e">
        <f>LN(2)/(VLOOKUP(A14,Nucliden[#All],3,FALSE)/24)+(LN(2)/5)</f>
        <v>#N/A</v>
      </c>
      <c r="U14" s="119" t="e">
        <f t="shared" si="3"/>
        <v>#N/A</v>
      </c>
    </row>
    <row r="15" spans="1:22" x14ac:dyDescent="0.2">
      <c r="A15" s="108"/>
      <c r="B15" s="109"/>
      <c r="C15" s="109"/>
      <c r="D15" s="105" t="e">
        <f>VLOOKUP($B15,Levering[#All],4,FALSE)</f>
        <v>#N/A</v>
      </c>
      <c r="E15" s="136"/>
      <c r="F15" s="114"/>
      <c r="G15" s="115" t="e">
        <f>VLOOKUP($B15,Farmaca[#All],4,FALSE)</f>
        <v>#N/A</v>
      </c>
      <c r="H15" s="119" t="e">
        <f t="shared" si="0"/>
        <v>#N/A</v>
      </c>
      <c r="I15" s="136"/>
      <c r="J15" s="114"/>
      <c r="K15" s="115" t="e">
        <f>VLOOKUP($B15,Farmaca[#All],6,FALSE)</f>
        <v>#N/A</v>
      </c>
      <c r="L15" s="119" t="e">
        <f t="shared" si="1"/>
        <v>#N/A</v>
      </c>
      <c r="M15" s="136"/>
      <c r="N15" s="114"/>
      <c r="O15" s="115" t="e">
        <f>VLOOKUP($B15,Farmaca[#All],7,FALSE)</f>
        <v>#N/A</v>
      </c>
      <c r="P15" s="119" t="e">
        <f t="shared" si="2"/>
        <v>#N/A</v>
      </c>
      <c r="Q15" s="136"/>
      <c r="R15" s="114"/>
      <c r="S15" s="115" t="e">
        <f>VLOOKUP(A15,Nucliden[#All],36,FALSE)</f>
        <v>#N/A</v>
      </c>
      <c r="T15" s="115" t="e">
        <f>LN(2)/(VLOOKUP(A15,Nucliden[#All],3,FALSE)/24)+(LN(2)/5)</f>
        <v>#N/A</v>
      </c>
      <c r="U15" s="119" t="e">
        <f t="shared" si="3"/>
        <v>#N/A</v>
      </c>
    </row>
    <row r="16" spans="1:22" x14ac:dyDescent="0.2">
      <c r="A16" s="108"/>
      <c r="B16" s="109"/>
      <c r="C16" s="109"/>
      <c r="D16" s="105" t="e">
        <f>VLOOKUP($B16,Levering[#All],4,FALSE)</f>
        <v>#N/A</v>
      </c>
      <c r="E16" s="136"/>
      <c r="F16" s="114"/>
      <c r="G16" s="115" t="e">
        <f>VLOOKUP($B16,Farmaca[#All],4,FALSE)</f>
        <v>#N/A</v>
      </c>
      <c r="H16" s="119" t="e">
        <f t="shared" si="0"/>
        <v>#N/A</v>
      </c>
      <c r="I16" s="136"/>
      <c r="J16" s="114"/>
      <c r="K16" s="115" t="e">
        <f>VLOOKUP($B16,Farmaca[#All],6,FALSE)</f>
        <v>#N/A</v>
      </c>
      <c r="L16" s="119" t="e">
        <f t="shared" si="1"/>
        <v>#N/A</v>
      </c>
      <c r="M16" s="136"/>
      <c r="N16" s="114"/>
      <c r="O16" s="115" t="e">
        <f>VLOOKUP($B16,Farmaca[#All],7,FALSE)</f>
        <v>#N/A</v>
      </c>
      <c r="P16" s="119" t="e">
        <f t="shared" si="2"/>
        <v>#N/A</v>
      </c>
      <c r="Q16" s="136"/>
      <c r="R16" s="114"/>
      <c r="S16" s="115" t="e">
        <f>VLOOKUP(A16,Nucliden[#All],36,FALSE)</f>
        <v>#N/A</v>
      </c>
      <c r="T16" s="115" t="e">
        <f>LN(2)/(VLOOKUP(A16,Nucliden[#All],3,FALSE)/24)+(LN(2)/5)</f>
        <v>#N/A</v>
      </c>
      <c r="U16" s="119" t="e">
        <f t="shared" si="3"/>
        <v>#N/A</v>
      </c>
    </row>
    <row r="17" spans="1:22" x14ac:dyDescent="0.2">
      <c r="A17" s="108"/>
      <c r="B17" s="109"/>
      <c r="C17" s="109"/>
      <c r="D17" s="105" t="e">
        <f>VLOOKUP($B17,Levering[#All],4,FALSE)</f>
        <v>#N/A</v>
      </c>
      <c r="E17" s="136"/>
      <c r="F17" s="114"/>
      <c r="G17" s="115" t="e">
        <f>VLOOKUP($B17,Farmaca[#All],4,FALSE)</f>
        <v>#N/A</v>
      </c>
      <c r="H17" s="119" t="e">
        <f t="shared" si="0"/>
        <v>#N/A</v>
      </c>
      <c r="I17" s="136"/>
      <c r="J17" s="114"/>
      <c r="K17" s="115" t="e">
        <f>VLOOKUP($B17,Farmaca[#All],6,FALSE)</f>
        <v>#N/A</v>
      </c>
      <c r="L17" s="119" t="e">
        <f t="shared" si="1"/>
        <v>#N/A</v>
      </c>
      <c r="M17" s="136"/>
      <c r="N17" s="114"/>
      <c r="O17" s="115" t="e">
        <f>VLOOKUP($B17,Farmaca[#All],7,FALSE)</f>
        <v>#N/A</v>
      </c>
      <c r="P17" s="119" t="e">
        <f t="shared" si="2"/>
        <v>#N/A</v>
      </c>
      <c r="Q17" s="136"/>
      <c r="R17" s="114"/>
      <c r="S17" s="115" t="e">
        <f>VLOOKUP(A17,Nucliden[#All],36,FALSE)</f>
        <v>#N/A</v>
      </c>
      <c r="T17" s="115" t="e">
        <f>LN(2)/(VLOOKUP(A17,Nucliden[#All],3,FALSE)/24)+(LN(2)/5)</f>
        <v>#N/A</v>
      </c>
      <c r="U17" s="119" t="e">
        <f t="shared" si="3"/>
        <v>#N/A</v>
      </c>
    </row>
    <row r="18" spans="1:22" x14ac:dyDescent="0.2">
      <c r="A18" s="108"/>
      <c r="B18" s="109"/>
      <c r="C18" s="109"/>
      <c r="D18" s="105" t="e">
        <f>VLOOKUP($B18,Levering[#All],4,FALSE)</f>
        <v>#N/A</v>
      </c>
      <c r="E18" s="136"/>
      <c r="F18" s="114"/>
      <c r="G18" s="115" t="e">
        <f>VLOOKUP($B18,Farmaca[#All],4,FALSE)</f>
        <v>#N/A</v>
      </c>
      <c r="H18" s="119" t="e">
        <f t="shared" si="0"/>
        <v>#N/A</v>
      </c>
      <c r="I18" s="136"/>
      <c r="J18" s="114"/>
      <c r="K18" s="115" t="e">
        <f>VLOOKUP($B18,Farmaca[#All],6,FALSE)</f>
        <v>#N/A</v>
      </c>
      <c r="L18" s="119" t="e">
        <f t="shared" si="1"/>
        <v>#N/A</v>
      </c>
      <c r="M18" s="136"/>
      <c r="N18" s="114"/>
      <c r="O18" s="115" t="e">
        <f>VLOOKUP($B18,Farmaca[#All],7,FALSE)</f>
        <v>#N/A</v>
      </c>
      <c r="P18" s="119" t="e">
        <f t="shared" si="2"/>
        <v>#N/A</v>
      </c>
      <c r="Q18" s="136"/>
      <c r="R18" s="114"/>
      <c r="S18" s="115" t="e">
        <f>VLOOKUP(A18,Nucliden[#All],36,FALSE)</f>
        <v>#N/A</v>
      </c>
      <c r="T18" s="115" t="e">
        <f>LN(2)/(VLOOKUP(A18,Nucliden[#All],3,FALSE)/24)+(LN(2)/5)</f>
        <v>#N/A</v>
      </c>
      <c r="U18" s="119" t="e">
        <f t="shared" si="3"/>
        <v>#N/A</v>
      </c>
    </row>
    <row r="19" spans="1:22" x14ac:dyDescent="0.2">
      <c r="A19" s="108"/>
      <c r="B19" s="109"/>
      <c r="C19" s="109"/>
      <c r="D19" s="105" t="e">
        <f>VLOOKUP($B19,Levering[#All],4,FALSE)</f>
        <v>#N/A</v>
      </c>
      <c r="E19" s="136"/>
      <c r="F19" s="114"/>
      <c r="G19" s="115" t="e">
        <f>VLOOKUP($B19,Farmaca[#All],4,FALSE)</f>
        <v>#N/A</v>
      </c>
      <c r="H19" s="119" t="e">
        <f t="shared" si="0"/>
        <v>#N/A</v>
      </c>
      <c r="I19" s="136"/>
      <c r="J19" s="114"/>
      <c r="K19" s="115" t="e">
        <f>VLOOKUP($B19,Farmaca[#All],6,FALSE)</f>
        <v>#N/A</v>
      </c>
      <c r="L19" s="119" t="e">
        <f t="shared" si="1"/>
        <v>#N/A</v>
      </c>
      <c r="M19" s="136"/>
      <c r="N19" s="114"/>
      <c r="O19" s="115" t="e">
        <f>VLOOKUP($B19,Farmaca[#All],7,FALSE)</f>
        <v>#N/A</v>
      </c>
      <c r="P19" s="119" t="e">
        <f t="shared" si="2"/>
        <v>#N/A</v>
      </c>
      <c r="Q19" s="136"/>
      <c r="R19" s="114"/>
      <c r="S19" s="115" t="e">
        <f>VLOOKUP(A19,Nucliden[#All],36,FALSE)</f>
        <v>#N/A</v>
      </c>
      <c r="T19" s="115" t="e">
        <f>LN(2)/(VLOOKUP(A19,Nucliden[#All],3,FALSE)/24)+(LN(2)/5)</f>
        <v>#N/A</v>
      </c>
      <c r="U19" s="119" t="e">
        <f t="shared" si="3"/>
        <v>#N/A</v>
      </c>
    </row>
    <row r="20" spans="1:22" x14ac:dyDescent="0.2">
      <c r="A20" s="108"/>
      <c r="B20" s="109"/>
      <c r="C20" s="109"/>
      <c r="D20" s="105" t="e">
        <f>VLOOKUP($B20,Levering[#All],4,FALSE)</f>
        <v>#N/A</v>
      </c>
      <c r="E20" s="136"/>
      <c r="F20" s="114"/>
      <c r="G20" s="115" t="e">
        <f>VLOOKUP($B20,Farmaca[#All],4,FALSE)</f>
        <v>#N/A</v>
      </c>
      <c r="H20" s="119" t="e">
        <f t="shared" si="0"/>
        <v>#N/A</v>
      </c>
      <c r="I20" s="136"/>
      <c r="J20" s="114"/>
      <c r="K20" s="115" t="e">
        <f>VLOOKUP($B20,Farmaca[#All],6,FALSE)</f>
        <v>#N/A</v>
      </c>
      <c r="L20" s="119" t="e">
        <f t="shared" si="1"/>
        <v>#N/A</v>
      </c>
      <c r="M20" s="136"/>
      <c r="N20" s="114"/>
      <c r="O20" s="115" t="e">
        <f>VLOOKUP($B20,Farmaca[#All],7,FALSE)</f>
        <v>#N/A</v>
      </c>
      <c r="P20" s="119" t="e">
        <f t="shared" si="2"/>
        <v>#N/A</v>
      </c>
      <c r="Q20" s="136"/>
      <c r="R20" s="114"/>
      <c r="S20" s="115" t="e">
        <f>VLOOKUP(A20,Nucliden[#All],36,FALSE)</f>
        <v>#N/A</v>
      </c>
      <c r="T20" s="115" t="e">
        <f>LN(2)/(VLOOKUP(A20,Nucliden[#All],3,FALSE)/24)+(LN(2)/5)</f>
        <v>#N/A</v>
      </c>
      <c r="U20" s="119" t="e">
        <f t="shared" si="3"/>
        <v>#N/A</v>
      </c>
    </row>
    <row r="21" spans="1:22" x14ac:dyDescent="0.2">
      <c r="A21" s="108"/>
      <c r="B21" s="112"/>
      <c r="C21" s="109"/>
      <c r="D21" s="105" t="e">
        <f>VLOOKUP($B21,Levering[#All],4,FALSE)</f>
        <v>#N/A</v>
      </c>
      <c r="E21" s="136"/>
      <c r="F21" s="114"/>
      <c r="G21" s="115" t="e">
        <f>VLOOKUP($B21,Farmaca[#All],4,FALSE)</f>
        <v>#N/A</v>
      </c>
      <c r="H21" s="119" t="e">
        <f t="shared" si="0"/>
        <v>#N/A</v>
      </c>
      <c r="I21" s="136"/>
      <c r="J21" s="114"/>
      <c r="K21" s="115" t="e">
        <f>VLOOKUP($B21,Farmaca[#All],6,FALSE)</f>
        <v>#N/A</v>
      </c>
      <c r="L21" s="119" t="e">
        <f t="shared" si="1"/>
        <v>#N/A</v>
      </c>
      <c r="M21" s="136"/>
      <c r="N21" s="114"/>
      <c r="O21" s="115" t="e">
        <f>VLOOKUP($B21,Farmaca[#All],7,FALSE)</f>
        <v>#N/A</v>
      </c>
      <c r="P21" s="119" t="e">
        <f t="shared" si="2"/>
        <v>#N/A</v>
      </c>
      <c r="Q21" s="136"/>
      <c r="R21" s="114"/>
      <c r="S21" s="115" t="e">
        <f>VLOOKUP(A21,Nucliden[#All],36,FALSE)</f>
        <v>#N/A</v>
      </c>
      <c r="T21" s="115" t="e">
        <f>LN(2)/(VLOOKUP(A21,Nucliden[#All],3,FALSE)/24)+(LN(2)/5)</f>
        <v>#N/A</v>
      </c>
      <c r="U21" s="119" t="e">
        <f t="shared" si="3"/>
        <v>#N/A</v>
      </c>
    </row>
    <row r="22" spans="1:22" x14ac:dyDescent="0.2">
      <c r="A22" s="108"/>
      <c r="B22" s="109"/>
      <c r="C22" s="109"/>
      <c r="D22" s="105" t="e">
        <f>VLOOKUP($B22,Levering[#All],4,FALSE)</f>
        <v>#N/A</v>
      </c>
      <c r="E22" s="136"/>
      <c r="F22" s="114"/>
      <c r="G22" s="115" t="e">
        <f>VLOOKUP($B22,Farmaca[#All],4,FALSE)</f>
        <v>#N/A</v>
      </c>
      <c r="H22" s="119" t="e">
        <f t="shared" si="0"/>
        <v>#N/A</v>
      </c>
      <c r="I22" s="136"/>
      <c r="J22" s="114"/>
      <c r="K22" s="115" t="e">
        <f>VLOOKUP($B22,Farmaca[#All],6,FALSE)</f>
        <v>#N/A</v>
      </c>
      <c r="L22" s="119" t="e">
        <f t="shared" si="1"/>
        <v>#N/A</v>
      </c>
      <c r="M22" s="136"/>
      <c r="N22" s="114"/>
      <c r="O22" s="115" t="e">
        <f>VLOOKUP($B22,Farmaca[#All],7,FALSE)</f>
        <v>#N/A</v>
      </c>
      <c r="P22" s="119" t="e">
        <f t="shared" si="2"/>
        <v>#N/A</v>
      </c>
      <c r="Q22" s="136"/>
      <c r="R22" s="114"/>
      <c r="S22" s="115" t="e">
        <f>VLOOKUP(A22,Nucliden[#All],36,FALSE)</f>
        <v>#N/A</v>
      </c>
      <c r="T22" s="115" t="e">
        <f>LN(2)/(VLOOKUP(A22,Nucliden[#All],3,FALSE)/24)+(LN(2)/5)</f>
        <v>#N/A</v>
      </c>
      <c r="U22" s="119" t="e">
        <f t="shared" si="3"/>
        <v>#N/A</v>
      </c>
    </row>
    <row r="23" spans="1:22" x14ac:dyDescent="0.2">
      <c r="A23" s="108"/>
      <c r="B23" s="109"/>
      <c r="C23" s="109"/>
      <c r="D23" s="105" t="e">
        <f>VLOOKUP($B23,Levering[#All],4,FALSE)</f>
        <v>#N/A</v>
      </c>
      <c r="E23" s="136"/>
      <c r="F23" s="114"/>
      <c r="G23" s="115" t="e">
        <f>VLOOKUP($B23,Farmaca[#All],4,FALSE)</f>
        <v>#N/A</v>
      </c>
      <c r="H23" s="119" t="e">
        <f t="shared" si="0"/>
        <v>#N/A</v>
      </c>
      <c r="I23" s="136"/>
      <c r="J23" s="114"/>
      <c r="K23" s="115" t="e">
        <f>VLOOKUP($B23,Farmaca[#All],6,FALSE)</f>
        <v>#N/A</v>
      </c>
      <c r="L23" s="119" t="e">
        <f t="shared" si="1"/>
        <v>#N/A</v>
      </c>
      <c r="M23" s="136"/>
      <c r="N23" s="114"/>
      <c r="O23" s="115" t="e">
        <f>VLOOKUP($B23,Farmaca[#All],7,FALSE)</f>
        <v>#N/A</v>
      </c>
      <c r="P23" s="119" t="e">
        <f t="shared" si="2"/>
        <v>#N/A</v>
      </c>
      <c r="Q23" s="136"/>
      <c r="R23" s="114"/>
      <c r="S23" s="115" t="e">
        <f>VLOOKUP(A23,Nucliden[#All],36,FALSE)</f>
        <v>#N/A</v>
      </c>
      <c r="T23" s="115" t="e">
        <f>LN(2)/(VLOOKUP(A23,Nucliden[#All],3,FALSE)/24)+(LN(2)/5)</f>
        <v>#N/A</v>
      </c>
      <c r="U23" s="119" t="e">
        <f t="shared" si="3"/>
        <v>#N/A</v>
      </c>
    </row>
    <row r="24" spans="1:22" x14ac:dyDescent="0.2">
      <c r="A24" s="108"/>
      <c r="B24" s="111"/>
      <c r="C24" s="109"/>
      <c r="D24" s="105" t="e">
        <f>VLOOKUP($B24,Levering[#All],4,FALSE)</f>
        <v>#N/A</v>
      </c>
      <c r="E24" s="136"/>
      <c r="F24" s="114"/>
      <c r="G24" s="115" t="e">
        <f>VLOOKUP($B24,Farmaca[#All],4,FALSE)</f>
        <v>#N/A</v>
      </c>
      <c r="H24" s="119" t="e">
        <f t="shared" si="0"/>
        <v>#N/A</v>
      </c>
      <c r="I24" s="136"/>
      <c r="J24" s="114"/>
      <c r="K24" s="115" t="e">
        <f>VLOOKUP($B24,Farmaca[#All],6,FALSE)</f>
        <v>#N/A</v>
      </c>
      <c r="L24" s="119" t="e">
        <f t="shared" si="1"/>
        <v>#N/A</v>
      </c>
      <c r="M24" s="136"/>
      <c r="N24" s="114"/>
      <c r="O24" s="115" t="e">
        <f>VLOOKUP($B24,Farmaca[#All],7,FALSE)</f>
        <v>#N/A</v>
      </c>
      <c r="P24" s="119" t="e">
        <f t="shared" si="2"/>
        <v>#N/A</v>
      </c>
      <c r="Q24" s="136"/>
      <c r="R24" s="114"/>
      <c r="S24" s="115" t="e">
        <f>VLOOKUP(A24,Nucliden[#All],36,FALSE)</f>
        <v>#N/A</v>
      </c>
      <c r="T24" s="115" t="e">
        <f>LN(2)/(VLOOKUP(A24,Nucliden[#All],3,FALSE)/24)+(LN(2)/5)</f>
        <v>#N/A</v>
      </c>
      <c r="U24" s="119" t="e">
        <f t="shared" si="3"/>
        <v>#N/A</v>
      </c>
    </row>
    <row r="25" spans="1:22" x14ac:dyDescent="0.2">
      <c r="A25" s="108"/>
      <c r="B25" s="111"/>
      <c r="C25" s="109"/>
      <c r="D25" s="105" t="e">
        <f>VLOOKUP($B25,Levering[#All],4,FALSE)</f>
        <v>#N/A</v>
      </c>
      <c r="E25" s="136"/>
      <c r="F25" s="114"/>
      <c r="G25" s="115" t="e">
        <f>VLOOKUP($B25,Farmaca[#All],4,FALSE)</f>
        <v>#N/A</v>
      </c>
      <c r="H25" s="119" t="e">
        <f t="shared" si="0"/>
        <v>#N/A</v>
      </c>
      <c r="I25" s="136"/>
      <c r="J25" s="114"/>
      <c r="K25" s="115" t="e">
        <f>VLOOKUP($B25,Farmaca[#All],6,FALSE)</f>
        <v>#N/A</v>
      </c>
      <c r="L25" s="119" t="e">
        <f t="shared" si="1"/>
        <v>#N/A</v>
      </c>
      <c r="M25" s="136"/>
      <c r="N25" s="114"/>
      <c r="O25" s="115" t="e">
        <f>VLOOKUP($B25,Farmaca[#All],7,FALSE)</f>
        <v>#N/A</v>
      </c>
      <c r="P25" s="119" t="e">
        <f t="shared" si="2"/>
        <v>#N/A</v>
      </c>
      <c r="Q25" s="136"/>
      <c r="R25" s="114"/>
      <c r="S25" s="115" t="e">
        <f>VLOOKUP(A25,Nucliden[#All],36,FALSE)</f>
        <v>#N/A</v>
      </c>
      <c r="T25" s="115" t="e">
        <f>LN(2)/(VLOOKUP(A25,Nucliden[#All],3,FALSE)/24)+(LN(2)/5)</f>
        <v>#N/A</v>
      </c>
      <c r="U25" s="119" t="e">
        <f t="shared" si="3"/>
        <v>#N/A</v>
      </c>
    </row>
    <row r="26" spans="1:22" x14ac:dyDescent="0.2">
      <c r="A26" s="161" t="s">
        <v>11</v>
      </c>
      <c r="B26" s="161"/>
      <c r="C26" s="161"/>
      <c r="G26" s="242" t="s">
        <v>449</v>
      </c>
      <c r="H26" s="241" t="e">
        <f>SUM(H4:H25)</f>
        <v>#N/A</v>
      </c>
      <c r="K26" s="242" t="s">
        <v>449</v>
      </c>
      <c r="L26" s="241" t="e">
        <f>SUM(L4:L25)</f>
        <v>#N/A</v>
      </c>
      <c r="O26" s="242" t="s">
        <v>449</v>
      </c>
      <c r="P26" s="241" t="e">
        <f>SUM(P4:P25)</f>
        <v>#N/A</v>
      </c>
      <c r="T26" s="242" t="s">
        <v>449</v>
      </c>
      <c r="U26" s="241" t="e">
        <f>SUM(U4:U25)</f>
        <v>#N/A</v>
      </c>
      <c r="V26" s="143"/>
    </row>
    <row r="27" spans="1:22" x14ac:dyDescent="0.2">
      <c r="A27" s="334" t="s">
        <v>554</v>
      </c>
      <c r="B27" s="334"/>
      <c r="C27" s="334"/>
      <c r="D27" s="137"/>
      <c r="E27" s="137"/>
      <c r="F27" s="137"/>
      <c r="G27" s="137"/>
      <c r="H27" s="137"/>
      <c r="I27" s="137"/>
      <c r="J27" s="137"/>
    </row>
    <row r="28" spans="1:22" x14ac:dyDescent="0.2">
      <c r="A28" s="334"/>
      <c r="B28" s="334"/>
      <c r="C28" s="334"/>
    </row>
    <row r="29" spans="1:22" x14ac:dyDescent="0.2">
      <c r="A29" s="334" t="s">
        <v>555</v>
      </c>
      <c r="B29" s="334"/>
      <c r="C29" s="334"/>
      <c r="S29" s="174"/>
    </row>
    <row r="30" spans="1:22" ht="12.75" customHeight="1" x14ac:dyDescent="0.2">
      <c r="A30" s="334"/>
      <c r="B30" s="334"/>
      <c r="C30" s="334"/>
    </row>
    <row r="31" spans="1:22" x14ac:dyDescent="0.2">
      <c r="A31" s="287"/>
    </row>
  </sheetData>
  <mergeCells count="2">
    <mergeCell ref="A27:C28"/>
    <mergeCell ref="A29:C3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29"/>
  <sheetViews>
    <sheetView zoomScaleNormal="100" workbookViewId="0">
      <pane xSplit="4" ySplit="3" topLeftCell="E4" activePane="bottomRight" state="frozen"/>
      <selection pane="topRight" activeCell="E1" sqref="E1"/>
      <selection pane="bottomLeft" activeCell="A4" sqref="A4"/>
      <selection pane="bottomRight" activeCell="A4" sqref="A4"/>
    </sheetView>
  </sheetViews>
  <sheetFormatPr defaultRowHeight="12.75" x14ac:dyDescent="0.2"/>
  <cols>
    <col min="1" max="1" width="13.7109375" customWidth="1"/>
    <col min="2" max="2" width="30.140625" customWidth="1"/>
    <col min="3" max="3" width="36.7109375" customWidth="1"/>
    <col min="4" max="4" width="30.7109375" customWidth="1"/>
    <col min="5" max="5" width="12.28515625" customWidth="1"/>
    <col min="6" max="6" width="12.85546875" customWidth="1"/>
    <col min="7" max="7" width="9.7109375" customWidth="1"/>
    <col min="8" max="8" width="13.140625" bestFit="1" customWidth="1"/>
    <col min="9" max="9" width="13.28515625" customWidth="1"/>
    <col min="10" max="10" width="12.85546875" customWidth="1"/>
    <col min="11" max="11" width="9.7109375" customWidth="1"/>
    <col min="12" max="12" width="13.140625" bestFit="1" customWidth="1"/>
    <col min="13" max="13" width="13.28515625" customWidth="1"/>
    <col min="14" max="14" width="12.85546875" customWidth="1"/>
    <col min="15" max="15" width="9.7109375" customWidth="1"/>
    <col min="16" max="16" width="13.140625" bestFit="1" customWidth="1"/>
    <col min="17" max="17" width="13.28515625" customWidth="1"/>
    <col min="18" max="18" width="12.85546875" customWidth="1"/>
    <col min="19" max="19" width="9.7109375" customWidth="1"/>
    <col min="20" max="21" width="13.140625" bestFit="1" customWidth="1"/>
    <col min="22" max="22" width="13.28515625" customWidth="1"/>
    <col min="23" max="23" width="10.42578125" bestFit="1" customWidth="1"/>
  </cols>
  <sheetData>
    <row r="1" spans="1:23" ht="30" customHeight="1" x14ac:dyDescent="0.2">
      <c r="A1" s="131" t="s">
        <v>412</v>
      </c>
      <c r="B1" s="132" t="s">
        <v>410</v>
      </c>
      <c r="C1" s="126"/>
      <c r="D1" s="126"/>
      <c r="F1" s="141" t="s">
        <v>397</v>
      </c>
      <c r="G1" s="86"/>
      <c r="H1" s="31"/>
      <c r="I1" s="3"/>
      <c r="J1" s="142" t="s">
        <v>398</v>
      </c>
      <c r="K1" s="140"/>
      <c r="L1" s="139"/>
      <c r="M1" s="138"/>
      <c r="N1" s="141" t="s">
        <v>399</v>
      </c>
      <c r="O1" s="86"/>
      <c r="P1" s="31"/>
      <c r="Q1" s="3"/>
      <c r="R1" s="142" t="s">
        <v>67</v>
      </c>
      <c r="S1" s="140"/>
      <c r="T1" s="139"/>
      <c r="U1" s="139"/>
      <c r="V1" s="138"/>
    </row>
    <row r="2" spans="1:23" ht="41.25" customHeight="1" x14ac:dyDescent="0.2">
      <c r="A2" s="101" t="s">
        <v>5</v>
      </c>
      <c r="B2" s="103" t="s">
        <v>6</v>
      </c>
      <c r="C2" s="101" t="s">
        <v>13</v>
      </c>
      <c r="D2" s="103" t="s">
        <v>368</v>
      </c>
      <c r="E2" s="102" t="s">
        <v>357</v>
      </c>
      <c r="F2" s="103" t="s">
        <v>393</v>
      </c>
      <c r="G2" s="103" t="s">
        <v>358</v>
      </c>
      <c r="H2" s="124" t="s">
        <v>361</v>
      </c>
      <c r="I2" s="116" t="s">
        <v>394</v>
      </c>
      <c r="J2" s="103" t="s">
        <v>395</v>
      </c>
      <c r="K2" s="103" t="s">
        <v>358</v>
      </c>
      <c r="L2" s="124" t="s">
        <v>88</v>
      </c>
      <c r="M2" s="116" t="s">
        <v>396</v>
      </c>
      <c r="N2" s="103" t="s">
        <v>400</v>
      </c>
      <c r="O2" s="103" t="s">
        <v>358</v>
      </c>
      <c r="P2" s="124" t="s">
        <v>401</v>
      </c>
      <c r="Q2" s="116" t="s">
        <v>402</v>
      </c>
      <c r="R2" s="103" t="s">
        <v>407</v>
      </c>
      <c r="S2" s="103" t="s">
        <v>358</v>
      </c>
      <c r="T2" s="124" t="s">
        <v>404</v>
      </c>
      <c r="U2" s="124" t="s">
        <v>408</v>
      </c>
      <c r="V2" s="116" t="s">
        <v>403</v>
      </c>
    </row>
    <row r="3" spans="1:23" ht="17.25" customHeight="1" x14ac:dyDescent="0.2">
      <c r="A3" s="104"/>
      <c r="B3" s="104"/>
      <c r="C3" s="104"/>
      <c r="D3" s="104"/>
      <c r="E3" s="102" t="str">
        <f>'Handelingen Leveringsniveau'!C3</f>
        <v>[MBq]</v>
      </c>
      <c r="F3" s="135"/>
      <c r="G3" s="103" t="s">
        <v>359</v>
      </c>
      <c r="H3" s="84" t="s">
        <v>275</v>
      </c>
      <c r="I3" s="116" t="s">
        <v>306</v>
      </c>
      <c r="J3" s="135"/>
      <c r="K3" s="103" t="s">
        <v>359</v>
      </c>
      <c r="L3" s="84" t="s">
        <v>275</v>
      </c>
      <c r="M3" s="116" t="s">
        <v>306</v>
      </c>
      <c r="N3" s="135"/>
      <c r="O3" s="103" t="s">
        <v>359</v>
      </c>
      <c r="P3" s="84" t="s">
        <v>267</v>
      </c>
      <c r="Q3" s="116" t="s">
        <v>306</v>
      </c>
      <c r="R3" s="135"/>
      <c r="S3" s="103" t="s">
        <v>359</v>
      </c>
      <c r="T3" s="84" t="s">
        <v>405</v>
      </c>
      <c r="U3" s="84" t="s">
        <v>409</v>
      </c>
      <c r="V3" s="116" t="s">
        <v>406</v>
      </c>
    </row>
    <row r="4" spans="1:23" x14ac:dyDescent="0.2">
      <c r="A4" s="108" t="s">
        <v>4</v>
      </c>
      <c r="B4" s="109" t="s">
        <v>84</v>
      </c>
      <c r="C4" s="111" t="s">
        <v>518</v>
      </c>
      <c r="D4" s="111" t="s">
        <v>523</v>
      </c>
      <c r="E4" s="105" t="e">
        <f>VLOOKUP($D4,Onderzoek[#All],4,FALSE)</f>
        <v>#N/A</v>
      </c>
      <c r="F4" s="136">
        <v>9.8000000000000001E-9</v>
      </c>
      <c r="G4" s="114">
        <v>1</v>
      </c>
      <c r="H4" s="115" t="e">
        <f>VLOOKUP($C4,Farmaca[#All],4,FALSE)</f>
        <v>#N/A</v>
      </c>
      <c r="I4" s="119" t="e">
        <f t="shared" ref="I4:I25" si="0">E4*1000000*F4*G4*H4*1000</f>
        <v>#N/A</v>
      </c>
      <c r="J4" s="136">
        <v>9.9999999999999995E-7</v>
      </c>
      <c r="K4" s="114">
        <v>0</v>
      </c>
      <c r="L4" s="115" t="e">
        <f>VLOOKUP($C4,Farmaca[#All],6,FALSE)</f>
        <v>#N/A</v>
      </c>
      <c r="M4" s="119" t="e">
        <f t="shared" ref="M4:M25" si="1">E4*1000000*J4*K4*L4*1000</f>
        <v>#N/A</v>
      </c>
      <c r="N4" s="136">
        <v>1E-3</v>
      </c>
      <c r="O4" s="114">
        <v>0</v>
      </c>
      <c r="P4" s="115" t="e">
        <f>VLOOKUP($C4,Farmaca[#All],7,FALSE)</f>
        <v>#N/A</v>
      </c>
      <c r="Q4" s="119" t="e">
        <f t="shared" ref="Q4:Q25" si="2">E4*N4*O4*P4</f>
        <v>#N/A</v>
      </c>
      <c r="R4" s="136">
        <v>9.9999999999999995E-7</v>
      </c>
      <c r="S4" s="114">
        <v>0</v>
      </c>
      <c r="T4" s="115">
        <f>VLOOKUP(A4,Nucliden[#All],36,FALSE)</f>
        <v>5.0000000000000003E-10</v>
      </c>
      <c r="U4" s="115">
        <f>LN(2)/(VLOOKUP(A4,Nucliden[#All],3,FALSE)/24)+(LN(2)/5)</f>
        <v>9.2315686727551629</v>
      </c>
      <c r="V4" s="119" t="e">
        <f t="shared" ref="V4:V25" si="3">E4*1000000*R4*S4*T4*1000*3600*24/U4</f>
        <v>#N/A</v>
      </c>
      <c r="W4" s="143"/>
    </row>
    <row r="5" spans="1:23" x14ac:dyDescent="0.2">
      <c r="A5" s="108" t="s">
        <v>0</v>
      </c>
      <c r="B5" s="109" t="s">
        <v>171</v>
      </c>
      <c r="C5" s="111" t="s">
        <v>550</v>
      </c>
      <c r="D5" s="111" t="s">
        <v>523</v>
      </c>
      <c r="E5" s="105" t="e">
        <f>VLOOKUP($D5,Onderzoek[#All],4,FALSE)</f>
        <v>#N/A</v>
      </c>
      <c r="F5" s="136">
        <v>9.8000000000000001E-9</v>
      </c>
      <c r="G5" s="114">
        <v>1</v>
      </c>
      <c r="H5" s="115" t="e">
        <f>VLOOKUP($C5,Farmaca[#All],4,FALSE)</f>
        <v>#N/A</v>
      </c>
      <c r="I5" s="119" t="e">
        <f t="shared" si="0"/>
        <v>#N/A</v>
      </c>
      <c r="J5" s="136">
        <v>9.9999999999999995E-7</v>
      </c>
      <c r="K5" s="114">
        <v>0</v>
      </c>
      <c r="L5" s="115" t="e">
        <f>VLOOKUP($C5,Farmaca[#All],6,FALSE)</f>
        <v>#N/A</v>
      </c>
      <c r="M5" s="119" t="e">
        <f t="shared" si="1"/>
        <v>#N/A</v>
      </c>
      <c r="N5" s="136">
        <v>1E-3</v>
      </c>
      <c r="O5" s="114">
        <v>0</v>
      </c>
      <c r="P5" s="115" t="e">
        <f>VLOOKUP($C5,Farmaca[#All],7,FALSE)</f>
        <v>#N/A</v>
      </c>
      <c r="Q5" s="119" t="e">
        <f t="shared" si="2"/>
        <v>#N/A</v>
      </c>
      <c r="R5" s="136">
        <v>9.9999999999999995E-7</v>
      </c>
      <c r="S5" s="114">
        <v>0</v>
      </c>
      <c r="T5" s="115">
        <f>VLOOKUP(A5,Nucliden[#All],36,FALSE)</f>
        <v>5.0000000000000002E-11</v>
      </c>
      <c r="U5" s="115">
        <f>LN(2)/(VLOOKUP(A5,Nucliden[#All],3,FALSE)/24)+(LN(2)/5)</f>
        <v>2.9020069001383493</v>
      </c>
      <c r="V5" s="119" t="e">
        <f t="shared" si="3"/>
        <v>#N/A</v>
      </c>
    </row>
    <row r="6" spans="1:23" x14ac:dyDescent="0.2">
      <c r="A6" s="108" t="s">
        <v>3</v>
      </c>
      <c r="B6" s="109" t="s">
        <v>106</v>
      </c>
      <c r="C6" s="111" t="s">
        <v>542</v>
      </c>
      <c r="D6" s="111" t="s">
        <v>553</v>
      </c>
      <c r="E6" s="105" t="e">
        <f>VLOOKUP($D6,Onderzoek[#All],4,FALSE)</f>
        <v>#N/A</v>
      </c>
      <c r="F6" s="136">
        <v>1.1999999999999999E-3</v>
      </c>
      <c r="G6" s="114">
        <v>1</v>
      </c>
      <c r="H6" s="115" t="e">
        <f>VLOOKUP($C6,Farmaca[#All],4,FALSE)</f>
        <v>#N/A</v>
      </c>
      <c r="I6" s="119" t="e">
        <f t="shared" si="0"/>
        <v>#N/A</v>
      </c>
      <c r="J6" s="136">
        <v>9.9999999999999995E-7</v>
      </c>
      <c r="K6" s="114">
        <v>0</v>
      </c>
      <c r="L6" s="115" t="e">
        <f>VLOOKUP($C6,Farmaca[#All],6,FALSE)</f>
        <v>#N/A</v>
      </c>
      <c r="M6" s="119" t="e">
        <f t="shared" si="1"/>
        <v>#N/A</v>
      </c>
      <c r="N6" s="136">
        <v>1E-3</v>
      </c>
      <c r="O6" s="114">
        <v>0</v>
      </c>
      <c r="P6" s="115" t="e">
        <f>VLOOKUP($C6,Farmaca[#All],7,FALSE)</f>
        <v>#N/A</v>
      </c>
      <c r="Q6" s="119" t="e">
        <f t="shared" si="2"/>
        <v>#N/A</v>
      </c>
      <c r="R6" s="136">
        <v>9.9999999999999995E-7</v>
      </c>
      <c r="S6" s="114">
        <v>0</v>
      </c>
      <c r="T6" s="115">
        <f>VLOOKUP(A6,Nucliden[#All],36,FALSE)</f>
        <v>4.0000000000000001E-10</v>
      </c>
      <c r="U6" s="115">
        <f>LN(2)/(VLOOKUP(A6,Nucliden[#All],3,FALSE)/24)+(LN(2)/5)</f>
        <v>0.22484177200252953</v>
      </c>
      <c r="V6" s="119" t="e">
        <f t="shared" si="3"/>
        <v>#N/A</v>
      </c>
    </row>
    <row r="7" spans="1:23" x14ac:dyDescent="0.2">
      <c r="A7" s="108"/>
      <c r="B7" s="111"/>
      <c r="C7" s="111"/>
      <c r="D7" s="109"/>
      <c r="E7" s="105" t="e">
        <f>VLOOKUP($C7,Onderzoek[#All],4,FALSE)</f>
        <v>#N/A</v>
      </c>
      <c r="F7" s="136"/>
      <c r="G7" s="114"/>
      <c r="H7" s="115" t="e">
        <f>VLOOKUP($B7,Farmaca[#All],4,FALSE)</f>
        <v>#N/A</v>
      </c>
      <c r="I7" s="119" t="e">
        <f t="shared" si="0"/>
        <v>#N/A</v>
      </c>
      <c r="J7" s="136"/>
      <c r="K7" s="114"/>
      <c r="L7" s="115" t="e">
        <f>VLOOKUP($B7,Farmaca[#All],6,FALSE)</f>
        <v>#N/A</v>
      </c>
      <c r="M7" s="119" t="e">
        <f t="shared" si="1"/>
        <v>#N/A</v>
      </c>
      <c r="N7" s="136"/>
      <c r="O7" s="114"/>
      <c r="P7" s="115" t="e">
        <f>VLOOKUP($B7,Farmaca[#All],7,FALSE)</f>
        <v>#N/A</v>
      </c>
      <c r="Q7" s="119" t="e">
        <f t="shared" si="2"/>
        <v>#N/A</v>
      </c>
      <c r="R7" s="136"/>
      <c r="S7" s="114"/>
      <c r="T7" s="115" t="e">
        <f>VLOOKUP(A7,Nucliden[#All],36,FALSE)</f>
        <v>#N/A</v>
      </c>
      <c r="U7" s="115" t="e">
        <f>LN(2)/(VLOOKUP(A7,Nucliden[#All],3,FALSE)/24)+(LN(2)/5)</f>
        <v>#N/A</v>
      </c>
      <c r="V7" s="119" t="e">
        <f t="shared" si="3"/>
        <v>#N/A</v>
      </c>
    </row>
    <row r="8" spans="1:23" x14ac:dyDescent="0.2">
      <c r="A8" s="108"/>
      <c r="B8" s="111"/>
      <c r="C8" s="111"/>
      <c r="D8" s="109"/>
      <c r="E8" s="105" t="e">
        <f>VLOOKUP($C8,Onderzoek[#All],4,FALSE)</f>
        <v>#N/A</v>
      </c>
      <c r="F8" s="136"/>
      <c r="G8" s="114"/>
      <c r="H8" s="115" t="e">
        <f>VLOOKUP($B8,Farmaca[#All],4,FALSE)</f>
        <v>#N/A</v>
      </c>
      <c r="I8" s="119" t="e">
        <f t="shared" si="0"/>
        <v>#N/A</v>
      </c>
      <c r="J8" s="136"/>
      <c r="K8" s="114"/>
      <c r="L8" s="115" t="e">
        <f>VLOOKUP($B8,Farmaca[#All],6,FALSE)</f>
        <v>#N/A</v>
      </c>
      <c r="M8" s="119" t="e">
        <f t="shared" si="1"/>
        <v>#N/A</v>
      </c>
      <c r="N8" s="136"/>
      <c r="O8" s="114"/>
      <c r="P8" s="115" t="e">
        <f>VLOOKUP($B8,Farmaca[#All],7,FALSE)</f>
        <v>#N/A</v>
      </c>
      <c r="Q8" s="119" t="e">
        <f t="shared" si="2"/>
        <v>#N/A</v>
      </c>
      <c r="R8" s="136"/>
      <c r="S8" s="114"/>
      <c r="T8" s="115" t="e">
        <f>VLOOKUP(A8,Nucliden[#All],36,FALSE)</f>
        <v>#N/A</v>
      </c>
      <c r="U8" s="115" t="e">
        <f>LN(2)/(VLOOKUP(A8,Nucliden[#All],3,FALSE)/24)+(LN(2)/5)</f>
        <v>#N/A</v>
      </c>
      <c r="V8" s="119" t="e">
        <f t="shared" si="3"/>
        <v>#N/A</v>
      </c>
    </row>
    <row r="9" spans="1:23" x14ac:dyDescent="0.2">
      <c r="A9" s="108"/>
      <c r="B9" s="111"/>
      <c r="C9" s="111"/>
      <c r="D9" s="109"/>
      <c r="E9" s="105" t="e">
        <f>VLOOKUP($C9,Onderzoek[#All],4,FALSE)</f>
        <v>#N/A</v>
      </c>
      <c r="F9" s="136"/>
      <c r="G9" s="114"/>
      <c r="H9" s="115" t="e">
        <f>VLOOKUP($B9,Farmaca[#All],4,FALSE)</f>
        <v>#N/A</v>
      </c>
      <c r="I9" s="119" t="e">
        <f t="shared" si="0"/>
        <v>#N/A</v>
      </c>
      <c r="J9" s="136"/>
      <c r="K9" s="114"/>
      <c r="L9" s="115" t="e">
        <f>VLOOKUP($B9,Farmaca[#All],6,FALSE)</f>
        <v>#N/A</v>
      </c>
      <c r="M9" s="119" t="e">
        <f t="shared" si="1"/>
        <v>#N/A</v>
      </c>
      <c r="N9" s="136"/>
      <c r="O9" s="114"/>
      <c r="P9" s="115" t="e">
        <f>VLOOKUP($B9,Farmaca[#All],7,FALSE)</f>
        <v>#N/A</v>
      </c>
      <c r="Q9" s="119" t="e">
        <f t="shared" si="2"/>
        <v>#N/A</v>
      </c>
      <c r="R9" s="136"/>
      <c r="S9" s="114"/>
      <c r="T9" s="115" t="e">
        <f>VLOOKUP(A9,Nucliden[#All],36,FALSE)</f>
        <v>#N/A</v>
      </c>
      <c r="U9" s="115" t="e">
        <f>LN(2)/(VLOOKUP(A9,Nucliden[#All],3,FALSE)/24)+(LN(2)/5)</f>
        <v>#N/A</v>
      </c>
      <c r="V9" s="119" t="e">
        <f t="shared" si="3"/>
        <v>#N/A</v>
      </c>
    </row>
    <row r="10" spans="1:23" x14ac:dyDescent="0.2">
      <c r="A10" s="108"/>
      <c r="B10" s="111"/>
      <c r="C10" s="111"/>
      <c r="D10" s="109"/>
      <c r="E10" s="105" t="e">
        <f>VLOOKUP($C10,Onderzoek[#All],4,FALSE)</f>
        <v>#N/A</v>
      </c>
      <c r="F10" s="136"/>
      <c r="G10" s="114"/>
      <c r="H10" s="115" t="e">
        <f>VLOOKUP($B10,Farmaca[#All],4,FALSE)</f>
        <v>#N/A</v>
      </c>
      <c r="I10" s="119" t="e">
        <f t="shared" si="0"/>
        <v>#N/A</v>
      </c>
      <c r="J10" s="136"/>
      <c r="K10" s="114"/>
      <c r="L10" s="115" t="e">
        <f>VLOOKUP($B10,Farmaca[#All],6,FALSE)</f>
        <v>#N/A</v>
      </c>
      <c r="M10" s="119" t="e">
        <f t="shared" si="1"/>
        <v>#N/A</v>
      </c>
      <c r="N10" s="136"/>
      <c r="O10" s="114"/>
      <c r="P10" s="115" t="e">
        <f>VLOOKUP($B10,Farmaca[#All],7,FALSE)</f>
        <v>#N/A</v>
      </c>
      <c r="Q10" s="119" t="e">
        <f t="shared" si="2"/>
        <v>#N/A</v>
      </c>
      <c r="R10" s="136"/>
      <c r="S10" s="114"/>
      <c r="T10" s="115" t="e">
        <f>VLOOKUP(A10,Nucliden[#All],36,FALSE)</f>
        <v>#N/A</v>
      </c>
      <c r="U10" s="115" t="e">
        <f>LN(2)/(VLOOKUP(A10,Nucliden[#All],3,FALSE)/24)+(LN(2)/5)</f>
        <v>#N/A</v>
      </c>
      <c r="V10" s="119" t="e">
        <f t="shared" si="3"/>
        <v>#N/A</v>
      </c>
    </row>
    <row r="11" spans="1:23" x14ac:dyDescent="0.2">
      <c r="A11" s="108"/>
      <c r="B11" s="111"/>
      <c r="C11" s="111"/>
      <c r="D11" s="109"/>
      <c r="E11" s="105" t="e">
        <f>VLOOKUP($C11,Onderzoek[#All],4,FALSE)</f>
        <v>#N/A</v>
      </c>
      <c r="F11" s="136"/>
      <c r="G11" s="114"/>
      <c r="H11" s="115" t="e">
        <f>VLOOKUP($B11,Farmaca[#All],4,FALSE)</f>
        <v>#N/A</v>
      </c>
      <c r="I11" s="119" t="e">
        <f t="shared" si="0"/>
        <v>#N/A</v>
      </c>
      <c r="J11" s="136"/>
      <c r="K11" s="114"/>
      <c r="L11" s="115" t="e">
        <f>VLOOKUP($B11,Farmaca[#All],6,FALSE)</f>
        <v>#N/A</v>
      </c>
      <c r="M11" s="119" t="e">
        <f t="shared" si="1"/>
        <v>#N/A</v>
      </c>
      <c r="N11" s="136"/>
      <c r="O11" s="114"/>
      <c r="P11" s="115" t="e">
        <f>VLOOKUP($B11,Farmaca[#All],7,FALSE)</f>
        <v>#N/A</v>
      </c>
      <c r="Q11" s="119" t="e">
        <f t="shared" si="2"/>
        <v>#N/A</v>
      </c>
      <c r="R11" s="136"/>
      <c r="S11" s="114"/>
      <c r="T11" s="115" t="e">
        <f>VLOOKUP(A11,Nucliden[#All],36,FALSE)</f>
        <v>#N/A</v>
      </c>
      <c r="U11" s="115" t="e">
        <f>LN(2)/(VLOOKUP(A11,Nucliden[#All],3,FALSE)/24)+(LN(2)/5)</f>
        <v>#N/A</v>
      </c>
      <c r="V11" s="119" t="e">
        <f t="shared" si="3"/>
        <v>#N/A</v>
      </c>
    </row>
    <row r="12" spans="1:23" x14ac:dyDescent="0.2">
      <c r="A12" s="108"/>
      <c r="B12" s="111"/>
      <c r="C12" s="111"/>
      <c r="D12" s="109"/>
      <c r="E12" s="105" t="e">
        <f>VLOOKUP($C12,Onderzoek[#All],4,FALSE)</f>
        <v>#N/A</v>
      </c>
      <c r="F12" s="136"/>
      <c r="G12" s="114"/>
      <c r="H12" s="115" t="e">
        <f>VLOOKUP($B12,Farmaca[#All],4,FALSE)</f>
        <v>#N/A</v>
      </c>
      <c r="I12" s="119" t="e">
        <f t="shared" si="0"/>
        <v>#N/A</v>
      </c>
      <c r="J12" s="136"/>
      <c r="K12" s="114"/>
      <c r="L12" s="115" t="e">
        <f>VLOOKUP($B12,Farmaca[#All],6,FALSE)</f>
        <v>#N/A</v>
      </c>
      <c r="M12" s="119" t="e">
        <f t="shared" si="1"/>
        <v>#N/A</v>
      </c>
      <c r="N12" s="136"/>
      <c r="O12" s="114"/>
      <c r="P12" s="115" t="e">
        <f>VLOOKUP($B12,Farmaca[#All],7,FALSE)</f>
        <v>#N/A</v>
      </c>
      <c r="Q12" s="119" t="e">
        <f t="shared" si="2"/>
        <v>#N/A</v>
      </c>
      <c r="R12" s="136"/>
      <c r="S12" s="114"/>
      <c r="T12" s="115" t="e">
        <f>VLOOKUP(A12,Nucliden[#All],36,FALSE)</f>
        <v>#N/A</v>
      </c>
      <c r="U12" s="115" t="e">
        <f>LN(2)/(VLOOKUP(A12,Nucliden[#All],3,FALSE)/24)+(LN(2)/5)</f>
        <v>#N/A</v>
      </c>
      <c r="V12" s="119" t="e">
        <f t="shared" si="3"/>
        <v>#N/A</v>
      </c>
    </row>
    <row r="13" spans="1:23" x14ac:dyDescent="0.2">
      <c r="A13" s="108"/>
      <c r="B13" s="109"/>
      <c r="C13" s="111"/>
      <c r="D13" s="109"/>
      <c r="E13" s="105" t="e">
        <f>VLOOKUP($C13,Onderzoek[#All],4,FALSE)</f>
        <v>#N/A</v>
      </c>
      <c r="F13" s="136"/>
      <c r="G13" s="114"/>
      <c r="H13" s="115" t="e">
        <f>VLOOKUP($B13,Farmaca[#All],4,FALSE)</f>
        <v>#N/A</v>
      </c>
      <c r="I13" s="119" t="e">
        <f t="shared" si="0"/>
        <v>#N/A</v>
      </c>
      <c r="J13" s="136"/>
      <c r="K13" s="114"/>
      <c r="L13" s="115" t="e">
        <f>VLOOKUP($B13,Farmaca[#All],6,FALSE)</f>
        <v>#N/A</v>
      </c>
      <c r="M13" s="119" t="e">
        <f t="shared" si="1"/>
        <v>#N/A</v>
      </c>
      <c r="N13" s="136"/>
      <c r="O13" s="114"/>
      <c r="P13" s="115" t="e">
        <f>VLOOKUP($B13,Farmaca[#All],7,FALSE)</f>
        <v>#N/A</v>
      </c>
      <c r="Q13" s="119" t="e">
        <f t="shared" si="2"/>
        <v>#N/A</v>
      </c>
      <c r="R13" s="136"/>
      <c r="S13" s="114"/>
      <c r="T13" s="115" t="e">
        <f>VLOOKUP(A13,Nucliden[#All],36,FALSE)</f>
        <v>#N/A</v>
      </c>
      <c r="U13" s="115" t="e">
        <f>LN(2)/(VLOOKUP(A13,Nucliden[#All],3,FALSE)/24)+(LN(2)/5)</f>
        <v>#N/A</v>
      </c>
      <c r="V13" s="119" t="e">
        <f t="shared" si="3"/>
        <v>#N/A</v>
      </c>
    </row>
    <row r="14" spans="1:23" x14ac:dyDescent="0.2">
      <c r="A14" s="108"/>
      <c r="B14" s="109"/>
      <c r="C14" s="111"/>
      <c r="D14" s="109"/>
      <c r="E14" s="105" t="e">
        <f>VLOOKUP($C14,Onderzoek[#All],4,FALSE)</f>
        <v>#N/A</v>
      </c>
      <c r="F14" s="136"/>
      <c r="G14" s="114"/>
      <c r="H14" s="115" t="e">
        <f>VLOOKUP($B14,Farmaca[#All],4,FALSE)</f>
        <v>#N/A</v>
      </c>
      <c r="I14" s="119" t="e">
        <f t="shared" si="0"/>
        <v>#N/A</v>
      </c>
      <c r="J14" s="136"/>
      <c r="K14" s="114"/>
      <c r="L14" s="115" t="e">
        <f>VLOOKUP($B14,Farmaca[#All],6,FALSE)</f>
        <v>#N/A</v>
      </c>
      <c r="M14" s="119" t="e">
        <f t="shared" si="1"/>
        <v>#N/A</v>
      </c>
      <c r="N14" s="136"/>
      <c r="O14" s="114"/>
      <c r="P14" s="115" t="e">
        <f>VLOOKUP($B14,Farmaca[#All],7,FALSE)</f>
        <v>#N/A</v>
      </c>
      <c r="Q14" s="119" t="e">
        <f t="shared" si="2"/>
        <v>#N/A</v>
      </c>
      <c r="R14" s="136"/>
      <c r="S14" s="114"/>
      <c r="T14" s="115" t="e">
        <f>VLOOKUP(A14,Nucliden[#All],36,FALSE)</f>
        <v>#N/A</v>
      </c>
      <c r="U14" s="115" t="e">
        <f>LN(2)/(VLOOKUP(A14,Nucliden[#All],3,FALSE)/24)+(LN(2)/5)</f>
        <v>#N/A</v>
      </c>
      <c r="V14" s="119" t="e">
        <f t="shared" si="3"/>
        <v>#N/A</v>
      </c>
    </row>
    <row r="15" spans="1:23" x14ac:dyDescent="0.2">
      <c r="A15" s="108"/>
      <c r="B15" s="109"/>
      <c r="C15" s="111"/>
      <c r="D15" s="109"/>
      <c r="E15" s="105" t="e">
        <f>VLOOKUP($C15,Onderzoek[#All],4,FALSE)</f>
        <v>#N/A</v>
      </c>
      <c r="F15" s="136"/>
      <c r="G15" s="114"/>
      <c r="H15" s="115" t="e">
        <f>VLOOKUP($B15,Farmaca[#All],4,FALSE)</f>
        <v>#N/A</v>
      </c>
      <c r="I15" s="119" t="e">
        <f t="shared" si="0"/>
        <v>#N/A</v>
      </c>
      <c r="J15" s="136"/>
      <c r="K15" s="114"/>
      <c r="L15" s="115" t="e">
        <f>VLOOKUP($B15,Farmaca[#All],6,FALSE)</f>
        <v>#N/A</v>
      </c>
      <c r="M15" s="119" t="e">
        <f t="shared" si="1"/>
        <v>#N/A</v>
      </c>
      <c r="N15" s="136"/>
      <c r="O15" s="114"/>
      <c r="P15" s="115" t="e">
        <f>VLOOKUP($B15,Farmaca[#All],7,FALSE)</f>
        <v>#N/A</v>
      </c>
      <c r="Q15" s="119" t="e">
        <f t="shared" si="2"/>
        <v>#N/A</v>
      </c>
      <c r="R15" s="136"/>
      <c r="S15" s="114"/>
      <c r="T15" s="115" t="e">
        <f>VLOOKUP(A15,Nucliden[#All],36,FALSE)</f>
        <v>#N/A</v>
      </c>
      <c r="U15" s="115" t="e">
        <f>LN(2)/(VLOOKUP(A15,Nucliden[#All],3,FALSE)/24)+(LN(2)/5)</f>
        <v>#N/A</v>
      </c>
      <c r="V15" s="119" t="e">
        <f t="shared" si="3"/>
        <v>#N/A</v>
      </c>
    </row>
    <row r="16" spans="1:23" x14ac:dyDescent="0.2">
      <c r="A16" s="108"/>
      <c r="B16" s="109"/>
      <c r="C16" s="111"/>
      <c r="D16" s="109"/>
      <c r="E16" s="105" t="e">
        <f>VLOOKUP($C16,Onderzoek[#All],4,FALSE)</f>
        <v>#N/A</v>
      </c>
      <c r="F16" s="136"/>
      <c r="G16" s="114"/>
      <c r="H16" s="115" t="e">
        <f>VLOOKUP($B16,Farmaca[#All],4,FALSE)</f>
        <v>#N/A</v>
      </c>
      <c r="I16" s="119" t="e">
        <f t="shared" si="0"/>
        <v>#N/A</v>
      </c>
      <c r="J16" s="136"/>
      <c r="K16" s="114"/>
      <c r="L16" s="115" t="e">
        <f>VLOOKUP($B16,Farmaca[#All],6,FALSE)</f>
        <v>#N/A</v>
      </c>
      <c r="M16" s="119" t="e">
        <f t="shared" si="1"/>
        <v>#N/A</v>
      </c>
      <c r="N16" s="136"/>
      <c r="O16" s="114"/>
      <c r="P16" s="115" t="e">
        <f>VLOOKUP($B16,Farmaca[#All],7,FALSE)</f>
        <v>#N/A</v>
      </c>
      <c r="Q16" s="119" t="e">
        <f t="shared" si="2"/>
        <v>#N/A</v>
      </c>
      <c r="R16" s="136"/>
      <c r="S16" s="114"/>
      <c r="T16" s="115" t="e">
        <f>VLOOKUP(A16,Nucliden[#All],36,FALSE)</f>
        <v>#N/A</v>
      </c>
      <c r="U16" s="115" t="e">
        <f>LN(2)/(VLOOKUP(A16,Nucliden[#All],3,FALSE)/24)+(LN(2)/5)</f>
        <v>#N/A</v>
      </c>
      <c r="V16" s="119" t="e">
        <f t="shared" si="3"/>
        <v>#N/A</v>
      </c>
    </row>
    <row r="17" spans="1:22" x14ac:dyDescent="0.2">
      <c r="A17" s="108"/>
      <c r="B17" s="109"/>
      <c r="C17" s="111"/>
      <c r="D17" s="109"/>
      <c r="E17" s="105" t="e">
        <f>VLOOKUP($C17,Onderzoek[#All],4,FALSE)</f>
        <v>#N/A</v>
      </c>
      <c r="F17" s="136"/>
      <c r="G17" s="114"/>
      <c r="H17" s="115" t="e">
        <f>VLOOKUP($B17,Farmaca[#All],4,FALSE)</f>
        <v>#N/A</v>
      </c>
      <c r="I17" s="119" t="e">
        <f t="shared" si="0"/>
        <v>#N/A</v>
      </c>
      <c r="J17" s="136"/>
      <c r="K17" s="114"/>
      <c r="L17" s="115" t="e">
        <f>VLOOKUP($B17,Farmaca[#All],6,FALSE)</f>
        <v>#N/A</v>
      </c>
      <c r="M17" s="119" t="e">
        <f t="shared" si="1"/>
        <v>#N/A</v>
      </c>
      <c r="N17" s="136"/>
      <c r="O17" s="114"/>
      <c r="P17" s="115" t="e">
        <f>VLOOKUP($B17,Farmaca[#All],7,FALSE)</f>
        <v>#N/A</v>
      </c>
      <c r="Q17" s="119" t="e">
        <f t="shared" si="2"/>
        <v>#N/A</v>
      </c>
      <c r="R17" s="136"/>
      <c r="S17" s="114"/>
      <c r="T17" s="115" t="e">
        <f>VLOOKUP(A17,Nucliden[#All],36,FALSE)</f>
        <v>#N/A</v>
      </c>
      <c r="U17" s="115" t="e">
        <f>LN(2)/(VLOOKUP(A17,Nucliden[#All],3,FALSE)/24)+(LN(2)/5)</f>
        <v>#N/A</v>
      </c>
      <c r="V17" s="119" t="e">
        <f t="shared" si="3"/>
        <v>#N/A</v>
      </c>
    </row>
    <row r="18" spans="1:22" x14ac:dyDescent="0.2">
      <c r="A18" s="108"/>
      <c r="B18" s="109"/>
      <c r="C18" s="111"/>
      <c r="D18" s="109"/>
      <c r="E18" s="105" t="e">
        <f>VLOOKUP($C18,Onderzoek[#All],4,FALSE)</f>
        <v>#N/A</v>
      </c>
      <c r="F18" s="136"/>
      <c r="G18" s="114"/>
      <c r="H18" s="115" t="e">
        <f>VLOOKUP($B18,Farmaca[#All],4,FALSE)</f>
        <v>#N/A</v>
      </c>
      <c r="I18" s="119" t="e">
        <f t="shared" si="0"/>
        <v>#N/A</v>
      </c>
      <c r="J18" s="136"/>
      <c r="K18" s="114"/>
      <c r="L18" s="115" t="e">
        <f>VLOOKUP($B18,Farmaca[#All],6,FALSE)</f>
        <v>#N/A</v>
      </c>
      <c r="M18" s="119" t="e">
        <f t="shared" si="1"/>
        <v>#N/A</v>
      </c>
      <c r="N18" s="136"/>
      <c r="O18" s="114"/>
      <c r="P18" s="115" t="e">
        <f>VLOOKUP($B18,Farmaca[#All],7,FALSE)</f>
        <v>#N/A</v>
      </c>
      <c r="Q18" s="119" t="e">
        <f t="shared" si="2"/>
        <v>#N/A</v>
      </c>
      <c r="R18" s="136"/>
      <c r="S18" s="114"/>
      <c r="T18" s="115" t="e">
        <f>VLOOKUP(A18,Nucliden[#All],36,FALSE)</f>
        <v>#N/A</v>
      </c>
      <c r="U18" s="115" t="e">
        <f>LN(2)/(VLOOKUP(A18,Nucliden[#All],3,FALSE)/24)+(LN(2)/5)</f>
        <v>#N/A</v>
      </c>
      <c r="V18" s="119" t="e">
        <f t="shared" si="3"/>
        <v>#N/A</v>
      </c>
    </row>
    <row r="19" spans="1:22" x14ac:dyDescent="0.2">
      <c r="A19" s="108"/>
      <c r="B19" s="112"/>
      <c r="C19" s="111"/>
      <c r="D19" s="109"/>
      <c r="E19" s="105" t="e">
        <f>VLOOKUP($C19,Onderzoek[#All],4,FALSE)</f>
        <v>#N/A</v>
      </c>
      <c r="F19" s="136"/>
      <c r="G19" s="114"/>
      <c r="H19" s="115" t="e">
        <f>VLOOKUP($B19,Farmaca[#All],4,FALSE)</f>
        <v>#N/A</v>
      </c>
      <c r="I19" s="119" t="e">
        <f t="shared" si="0"/>
        <v>#N/A</v>
      </c>
      <c r="J19" s="136"/>
      <c r="K19" s="114"/>
      <c r="L19" s="115" t="e">
        <f>VLOOKUP($B19,Farmaca[#All],6,FALSE)</f>
        <v>#N/A</v>
      </c>
      <c r="M19" s="119" t="e">
        <f t="shared" si="1"/>
        <v>#N/A</v>
      </c>
      <c r="N19" s="136"/>
      <c r="O19" s="114"/>
      <c r="P19" s="115" t="e">
        <f>VLOOKUP($B19,Farmaca[#All],7,FALSE)</f>
        <v>#N/A</v>
      </c>
      <c r="Q19" s="119" t="e">
        <f t="shared" si="2"/>
        <v>#N/A</v>
      </c>
      <c r="R19" s="136"/>
      <c r="S19" s="114"/>
      <c r="T19" s="115" t="e">
        <f>VLOOKUP(A19,Nucliden[#All],36,FALSE)</f>
        <v>#N/A</v>
      </c>
      <c r="U19" s="115" t="e">
        <f>LN(2)/(VLOOKUP(A19,Nucliden[#All],3,FALSE)/24)+(LN(2)/5)</f>
        <v>#N/A</v>
      </c>
      <c r="V19" s="119" t="e">
        <f t="shared" si="3"/>
        <v>#N/A</v>
      </c>
    </row>
    <row r="20" spans="1:22" x14ac:dyDescent="0.2">
      <c r="A20" s="108"/>
      <c r="B20" s="109"/>
      <c r="C20" s="111"/>
      <c r="D20" s="109"/>
      <c r="E20" s="105" t="e">
        <f>VLOOKUP($C20,Onderzoek[#All],4,FALSE)</f>
        <v>#N/A</v>
      </c>
      <c r="F20" s="136"/>
      <c r="G20" s="114"/>
      <c r="H20" s="115" t="e">
        <f>VLOOKUP($B20,Farmaca[#All],4,FALSE)</f>
        <v>#N/A</v>
      </c>
      <c r="I20" s="119" t="e">
        <f t="shared" si="0"/>
        <v>#N/A</v>
      </c>
      <c r="J20" s="136"/>
      <c r="K20" s="114"/>
      <c r="L20" s="115" t="e">
        <f>VLOOKUP($B20,Farmaca[#All],6,FALSE)</f>
        <v>#N/A</v>
      </c>
      <c r="M20" s="119" t="e">
        <f t="shared" si="1"/>
        <v>#N/A</v>
      </c>
      <c r="N20" s="136"/>
      <c r="O20" s="114"/>
      <c r="P20" s="115" t="e">
        <f>VLOOKUP($B20,Farmaca[#All],7,FALSE)</f>
        <v>#N/A</v>
      </c>
      <c r="Q20" s="119" t="e">
        <f t="shared" si="2"/>
        <v>#N/A</v>
      </c>
      <c r="R20" s="136"/>
      <c r="S20" s="114"/>
      <c r="T20" s="115" t="e">
        <f>VLOOKUP(A20,Nucliden[#All],36,FALSE)</f>
        <v>#N/A</v>
      </c>
      <c r="U20" s="115" t="e">
        <f>LN(2)/(VLOOKUP(A20,Nucliden[#All],3,FALSE)/24)+(LN(2)/5)</f>
        <v>#N/A</v>
      </c>
      <c r="V20" s="119" t="e">
        <f t="shared" si="3"/>
        <v>#N/A</v>
      </c>
    </row>
    <row r="21" spans="1:22" x14ac:dyDescent="0.2">
      <c r="A21" s="108"/>
      <c r="B21" s="109"/>
      <c r="C21" s="111"/>
      <c r="D21" s="109"/>
      <c r="E21" s="105" t="e">
        <f>VLOOKUP($C21,Onderzoek[#All],4,FALSE)</f>
        <v>#N/A</v>
      </c>
      <c r="F21" s="136"/>
      <c r="G21" s="114"/>
      <c r="H21" s="115" t="e">
        <f>VLOOKUP($B21,Farmaca[#All],4,FALSE)</f>
        <v>#N/A</v>
      </c>
      <c r="I21" s="119" t="e">
        <f t="shared" si="0"/>
        <v>#N/A</v>
      </c>
      <c r="J21" s="136"/>
      <c r="K21" s="114"/>
      <c r="L21" s="115" t="e">
        <f>VLOOKUP($B21,Farmaca[#All],6,FALSE)</f>
        <v>#N/A</v>
      </c>
      <c r="M21" s="119" t="e">
        <f t="shared" si="1"/>
        <v>#N/A</v>
      </c>
      <c r="N21" s="136"/>
      <c r="O21" s="114"/>
      <c r="P21" s="115" t="e">
        <f>VLOOKUP($B21,Farmaca[#All],7,FALSE)</f>
        <v>#N/A</v>
      </c>
      <c r="Q21" s="119" t="e">
        <f t="shared" si="2"/>
        <v>#N/A</v>
      </c>
      <c r="R21" s="136"/>
      <c r="S21" s="114"/>
      <c r="T21" s="115" t="e">
        <f>VLOOKUP(A21,Nucliden[#All],36,FALSE)</f>
        <v>#N/A</v>
      </c>
      <c r="U21" s="115" t="e">
        <f>LN(2)/(VLOOKUP(A21,Nucliden[#All],3,FALSE)/24)+(LN(2)/5)</f>
        <v>#N/A</v>
      </c>
      <c r="V21" s="119" t="e">
        <f t="shared" si="3"/>
        <v>#N/A</v>
      </c>
    </row>
    <row r="22" spans="1:22" x14ac:dyDescent="0.2">
      <c r="A22" s="108"/>
      <c r="B22" s="109"/>
      <c r="C22" s="111"/>
      <c r="D22" s="109"/>
      <c r="E22" s="105" t="e">
        <f>VLOOKUP($C22,Onderzoek[#All],4,FALSE)</f>
        <v>#N/A</v>
      </c>
      <c r="F22" s="136"/>
      <c r="G22" s="114"/>
      <c r="H22" s="115" t="e">
        <f>VLOOKUP($B22,Farmaca[#All],4,FALSE)</f>
        <v>#N/A</v>
      </c>
      <c r="I22" s="119" t="e">
        <f t="shared" si="0"/>
        <v>#N/A</v>
      </c>
      <c r="J22" s="136"/>
      <c r="K22" s="114"/>
      <c r="L22" s="115" t="e">
        <f>VLOOKUP($B22,Farmaca[#All],6,FALSE)</f>
        <v>#N/A</v>
      </c>
      <c r="M22" s="119" t="e">
        <f t="shared" si="1"/>
        <v>#N/A</v>
      </c>
      <c r="N22" s="136"/>
      <c r="O22" s="114"/>
      <c r="P22" s="115" t="e">
        <f>VLOOKUP($B22,Farmaca[#All],7,FALSE)</f>
        <v>#N/A</v>
      </c>
      <c r="Q22" s="119" t="e">
        <f t="shared" si="2"/>
        <v>#N/A</v>
      </c>
      <c r="R22" s="136"/>
      <c r="S22" s="114"/>
      <c r="T22" s="115" t="e">
        <f>VLOOKUP(A22,Nucliden[#All],36,FALSE)</f>
        <v>#N/A</v>
      </c>
      <c r="U22" s="115" t="e">
        <f>LN(2)/(VLOOKUP(A22,Nucliden[#All],3,FALSE)/24)+(LN(2)/5)</f>
        <v>#N/A</v>
      </c>
      <c r="V22" s="119" t="e">
        <f t="shared" si="3"/>
        <v>#N/A</v>
      </c>
    </row>
    <row r="23" spans="1:22" x14ac:dyDescent="0.2">
      <c r="A23" s="108"/>
      <c r="B23" s="111"/>
      <c r="C23" s="111"/>
      <c r="D23" s="109"/>
      <c r="E23" s="105" t="e">
        <f>VLOOKUP($C23,Onderzoek[#All],4,FALSE)</f>
        <v>#N/A</v>
      </c>
      <c r="F23" s="136"/>
      <c r="G23" s="114"/>
      <c r="H23" s="115" t="e">
        <f>VLOOKUP($B23,Farmaca[#All],4,FALSE)</f>
        <v>#N/A</v>
      </c>
      <c r="I23" s="119" t="e">
        <f t="shared" si="0"/>
        <v>#N/A</v>
      </c>
      <c r="J23" s="136"/>
      <c r="K23" s="114"/>
      <c r="L23" s="115" t="e">
        <f>VLOOKUP($B23,Farmaca[#All],6,FALSE)</f>
        <v>#N/A</v>
      </c>
      <c r="M23" s="119" t="e">
        <f t="shared" si="1"/>
        <v>#N/A</v>
      </c>
      <c r="N23" s="136"/>
      <c r="O23" s="114"/>
      <c r="P23" s="115" t="e">
        <f>VLOOKUP($B23,Farmaca[#All],7,FALSE)</f>
        <v>#N/A</v>
      </c>
      <c r="Q23" s="119" t="e">
        <f t="shared" si="2"/>
        <v>#N/A</v>
      </c>
      <c r="R23" s="136"/>
      <c r="S23" s="114"/>
      <c r="T23" s="115" t="e">
        <f>VLOOKUP(A23,Nucliden[#All],36,FALSE)</f>
        <v>#N/A</v>
      </c>
      <c r="U23" s="115" t="e">
        <f>LN(2)/(VLOOKUP(A23,Nucliden[#All],3,FALSE)/24)+(LN(2)/5)</f>
        <v>#N/A</v>
      </c>
      <c r="V23" s="119" t="e">
        <f t="shared" si="3"/>
        <v>#N/A</v>
      </c>
    </row>
    <row r="24" spans="1:22" x14ac:dyDescent="0.2">
      <c r="A24" s="108"/>
      <c r="B24" s="111"/>
      <c r="C24" s="111"/>
      <c r="D24" s="109"/>
      <c r="E24" s="105" t="e">
        <f>VLOOKUP($C24,Onderzoek[#All],4,FALSE)</f>
        <v>#N/A</v>
      </c>
      <c r="F24" s="136"/>
      <c r="G24" s="114"/>
      <c r="H24" s="115" t="e">
        <f>VLOOKUP($B24,Farmaca[#All],4,FALSE)</f>
        <v>#N/A</v>
      </c>
      <c r="I24" s="119" t="e">
        <f t="shared" si="0"/>
        <v>#N/A</v>
      </c>
      <c r="J24" s="136"/>
      <c r="K24" s="114"/>
      <c r="L24" s="115" t="e">
        <f>VLOOKUP($B24,Farmaca[#All],6,FALSE)</f>
        <v>#N/A</v>
      </c>
      <c r="M24" s="119" t="e">
        <f t="shared" si="1"/>
        <v>#N/A</v>
      </c>
      <c r="N24" s="136"/>
      <c r="O24" s="114"/>
      <c r="P24" s="115" t="e">
        <f>VLOOKUP($B24,Farmaca[#All],7,FALSE)</f>
        <v>#N/A</v>
      </c>
      <c r="Q24" s="119" t="e">
        <f t="shared" si="2"/>
        <v>#N/A</v>
      </c>
      <c r="R24" s="136"/>
      <c r="S24" s="114"/>
      <c r="T24" s="115" t="e">
        <f>VLOOKUP(A24,Nucliden[#All],36,FALSE)</f>
        <v>#N/A</v>
      </c>
      <c r="U24" s="115" t="e">
        <f>LN(2)/(VLOOKUP(A24,Nucliden[#All],3,FALSE)/24)+(LN(2)/5)</f>
        <v>#N/A</v>
      </c>
      <c r="V24" s="119" t="e">
        <f t="shared" si="3"/>
        <v>#N/A</v>
      </c>
    </row>
    <row r="25" spans="1:22" x14ac:dyDescent="0.2">
      <c r="A25" s="108"/>
      <c r="B25" s="109"/>
      <c r="C25" s="111"/>
      <c r="D25" s="109"/>
      <c r="E25" s="105" t="e">
        <f>VLOOKUP($C25,Onderzoek[#All],4,FALSE)</f>
        <v>#N/A</v>
      </c>
      <c r="F25" s="136"/>
      <c r="G25" s="114"/>
      <c r="H25" s="115" t="e">
        <f>VLOOKUP($B25,Farmaca[#All],4,FALSE)</f>
        <v>#N/A</v>
      </c>
      <c r="I25" s="119" t="e">
        <f t="shared" si="0"/>
        <v>#N/A</v>
      </c>
      <c r="J25" s="136"/>
      <c r="K25" s="114"/>
      <c r="L25" s="115" t="e">
        <f>VLOOKUP($B25,Farmaca[#All],6,FALSE)</f>
        <v>#N/A</v>
      </c>
      <c r="M25" s="119" t="e">
        <f t="shared" si="1"/>
        <v>#N/A</v>
      </c>
      <c r="N25" s="136"/>
      <c r="O25" s="114"/>
      <c r="P25" s="115" t="e">
        <f>VLOOKUP($B25,Farmaca[#All],7,FALSE)</f>
        <v>#N/A</v>
      </c>
      <c r="Q25" s="119" t="e">
        <f t="shared" si="2"/>
        <v>#N/A</v>
      </c>
      <c r="R25" s="136"/>
      <c r="S25" s="114"/>
      <c r="T25" s="115" t="e">
        <f>VLOOKUP(A25,Nucliden[#All],36,FALSE)</f>
        <v>#N/A</v>
      </c>
      <c r="U25" s="115" t="e">
        <f>LN(2)/(VLOOKUP(A25,Nucliden[#All],3,FALSE)/24)+(LN(2)/5)</f>
        <v>#N/A</v>
      </c>
      <c r="V25" s="119" t="e">
        <f t="shared" si="3"/>
        <v>#N/A</v>
      </c>
    </row>
    <row r="26" spans="1:22" x14ac:dyDescent="0.2">
      <c r="A26" s="4"/>
      <c r="B26" s="4"/>
      <c r="D26" s="4"/>
      <c r="H26" s="242" t="s">
        <v>449</v>
      </c>
      <c r="I26" s="241" t="e">
        <f>SUM(I4:I25)</f>
        <v>#N/A</v>
      </c>
      <c r="L26" s="242" t="s">
        <v>449</v>
      </c>
      <c r="M26" s="241" t="e">
        <f>SUM(M4:M25)</f>
        <v>#N/A</v>
      </c>
      <c r="P26" s="242" t="s">
        <v>449</v>
      </c>
      <c r="Q26" s="241" t="e">
        <f>SUM(Q4:Q25)</f>
        <v>#N/A</v>
      </c>
      <c r="U26" s="242" t="s">
        <v>449</v>
      </c>
      <c r="V26" s="241" t="e">
        <f>SUM(V4:V25)</f>
        <v>#N/A</v>
      </c>
    </row>
    <row r="28" spans="1:22" x14ac:dyDescent="0.2">
      <c r="A28" s="1"/>
      <c r="B28" s="1"/>
      <c r="D28" s="1"/>
    </row>
    <row r="29" spans="1:22" x14ac:dyDescent="0.2">
      <c r="A29" s="2"/>
      <c r="B29" s="2"/>
      <c r="D29" s="2"/>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28"/>
  <sheetViews>
    <sheetView zoomScaleNormal="100" workbookViewId="0">
      <pane xSplit="4" ySplit="3" topLeftCell="E4" activePane="bottomRight" state="frozen"/>
      <selection pane="topRight" activeCell="E1" sqref="E1"/>
      <selection pane="bottomLeft" activeCell="A4" sqref="A4"/>
      <selection pane="bottomRight" activeCell="A4" sqref="A4"/>
    </sheetView>
  </sheetViews>
  <sheetFormatPr defaultRowHeight="12.75" x14ac:dyDescent="0.2"/>
  <cols>
    <col min="1" max="1" width="13.7109375" customWidth="1"/>
    <col min="2" max="2" width="30.140625" customWidth="1"/>
    <col min="3" max="3" width="36.7109375" customWidth="1"/>
    <col min="4" max="4" width="30.7109375" customWidth="1"/>
    <col min="5" max="5" width="12.28515625" customWidth="1"/>
    <col min="6" max="6" width="12.85546875" customWidth="1"/>
    <col min="7" max="7" width="9.7109375" customWidth="1"/>
    <col min="8" max="8" width="13.140625" bestFit="1" customWidth="1"/>
    <col min="9" max="9" width="13.28515625" customWidth="1"/>
    <col min="10" max="10" width="12.85546875" customWidth="1"/>
    <col min="11" max="11" width="9.7109375" customWidth="1"/>
    <col min="12" max="12" width="13.140625" bestFit="1" customWidth="1"/>
    <col min="13" max="13" width="13.28515625" customWidth="1"/>
    <col min="14" max="14" width="12.85546875" customWidth="1"/>
    <col min="15" max="15" width="9.7109375" customWidth="1"/>
    <col min="16" max="16" width="13.140625" bestFit="1" customWidth="1"/>
    <col min="17" max="17" width="13.28515625" customWidth="1"/>
    <col min="18" max="18" width="12.85546875" customWidth="1"/>
    <col min="19" max="19" width="9.7109375" customWidth="1"/>
    <col min="20" max="21" width="13.140625" bestFit="1" customWidth="1"/>
    <col min="22" max="22" width="13.28515625" customWidth="1"/>
    <col min="23" max="23" width="10.42578125" bestFit="1" customWidth="1"/>
  </cols>
  <sheetData>
    <row r="1" spans="1:23" ht="30" customHeight="1" x14ac:dyDescent="0.2">
      <c r="A1" s="131" t="s">
        <v>413</v>
      </c>
      <c r="B1" s="132" t="s">
        <v>411</v>
      </c>
      <c r="C1" s="126"/>
      <c r="D1" s="126"/>
      <c r="F1" s="141" t="s">
        <v>397</v>
      </c>
      <c r="G1" s="86"/>
      <c r="H1" s="31"/>
      <c r="I1" s="3"/>
      <c r="J1" s="142" t="s">
        <v>398</v>
      </c>
      <c r="K1" s="140"/>
      <c r="L1" s="139"/>
      <c r="M1" s="138"/>
      <c r="N1" s="141" t="s">
        <v>399</v>
      </c>
      <c r="O1" s="86"/>
      <c r="P1" s="31"/>
      <c r="Q1" s="3"/>
      <c r="R1" s="142" t="s">
        <v>67</v>
      </c>
      <c r="S1" s="140"/>
      <c r="T1" s="139"/>
      <c r="U1" s="139"/>
      <c r="V1" s="138"/>
    </row>
    <row r="2" spans="1:23" ht="41.25" customHeight="1" x14ac:dyDescent="0.2">
      <c r="A2" s="101" t="s">
        <v>5</v>
      </c>
      <c r="B2" s="103" t="s">
        <v>6</v>
      </c>
      <c r="C2" s="101" t="s">
        <v>13</v>
      </c>
      <c r="D2" s="103" t="s">
        <v>368</v>
      </c>
      <c r="E2" s="102" t="s">
        <v>357</v>
      </c>
      <c r="F2" s="103" t="s">
        <v>393</v>
      </c>
      <c r="G2" s="103" t="s">
        <v>358</v>
      </c>
      <c r="H2" s="124" t="s">
        <v>361</v>
      </c>
      <c r="I2" s="116" t="s">
        <v>394</v>
      </c>
      <c r="J2" s="103" t="s">
        <v>395</v>
      </c>
      <c r="K2" s="103" t="s">
        <v>358</v>
      </c>
      <c r="L2" s="124" t="s">
        <v>88</v>
      </c>
      <c r="M2" s="116" t="s">
        <v>396</v>
      </c>
      <c r="N2" s="103" t="s">
        <v>400</v>
      </c>
      <c r="O2" s="103" t="s">
        <v>358</v>
      </c>
      <c r="P2" s="124" t="s">
        <v>401</v>
      </c>
      <c r="Q2" s="116" t="s">
        <v>402</v>
      </c>
      <c r="R2" s="103" t="s">
        <v>407</v>
      </c>
      <c r="S2" s="103" t="s">
        <v>358</v>
      </c>
      <c r="T2" s="124" t="s">
        <v>404</v>
      </c>
      <c r="U2" s="124" t="s">
        <v>408</v>
      </c>
      <c r="V2" s="116" t="s">
        <v>403</v>
      </c>
    </row>
    <row r="3" spans="1:23" ht="17.25" customHeight="1" x14ac:dyDescent="0.2">
      <c r="A3" s="104"/>
      <c r="B3" s="104"/>
      <c r="C3" s="104"/>
      <c r="D3" s="104"/>
      <c r="E3" s="102" t="str">
        <f>'Handelingen Leveringsniveau'!C3</f>
        <v>[MBq]</v>
      </c>
      <c r="F3" s="135"/>
      <c r="G3" s="103" t="s">
        <v>359</v>
      </c>
      <c r="H3" s="84" t="s">
        <v>275</v>
      </c>
      <c r="I3" s="116" t="s">
        <v>306</v>
      </c>
      <c r="J3" s="135"/>
      <c r="K3" s="103" t="s">
        <v>359</v>
      </c>
      <c r="L3" s="84" t="s">
        <v>275</v>
      </c>
      <c r="M3" s="116" t="s">
        <v>306</v>
      </c>
      <c r="N3" s="135"/>
      <c r="O3" s="103" t="s">
        <v>359</v>
      </c>
      <c r="P3" s="84" t="s">
        <v>267</v>
      </c>
      <c r="Q3" s="116" t="s">
        <v>306</v>
      </c>
      <c r="R3" s="135"/>
      <c r="S3" s="103" t="s">
        <v>359</v>
      </c>
      <c r="T3" s="84" t="s">
        <v>405</v>
      </c>
      <c r="U3" s="84" t="s">
        <v>409</v>
      </c>
      <c r="V3" s="116" t="s">
        <v>406</v>
      </c>
    </row>
    <row r="4" spans="1:23" x14ac:dyDescent="0.2">
      <c r="A4" s="108" t="s">
        <v>4</v>
      </c>
      <c r="B4" s="109" t="s">
        <v>84</v>
      </c>
      <c r="C4" s="111" t="s">
        <v>518</v>
      </c>
      <c r="D4" s="111" t="s">
        <v>524</v>
      </c>
      <c r="E4" s="105">
        <f>VLOOKUP($C4,Onderzoek[#All],7,FALSE)</f>
        <v>350</v>
      </c>
      <c r="F4" s="136">
        <v>9.7999999999999993E-7</v>
      </c>
      <c r="G4" s="114">
        <v>1</v>
      </c>
      <c r="H4" s="115">
        <f>VLOOKUP($B4,Farmaca[#All],4,FALSE)</f>
        <v>5.4000000000000001E-11</v>
      </c>
      <c r="I4" s="119">
        <f>E4*1000000*F4*G4*H4*1000</f>
        <v>1.8522E-5</v>
      </c>
      <c r="J4" s="136">
        <v>9.9999999999999995E-7</v>
      </c>
      <c r="K4" s="114">
        <v>1</v>
      </c>
      <c r="L4" s="115">
        <f>VLOOKUP($B4,Farmaca[#All],6,FALSE)</f>
        <v>4.8999999999999999E-11</v>
      </c>
      <c r="M4" s="119">
        <f>E4*1000000*J4*K4*L4*1000</f>
        <v>1.7149999999999997E-5</v>
      </c>
      <c r="N4" s="136">
        <v>1E-3</v>
      </c>
      <c r="O4" s="114">
        <v>0</v>
      </c>
      <c r="P4" s="115">
        <f>VLOOKUP($B4,Farmaca[#All],7,FALSE)</f>
        <v>1.9E-2</v>
      </c>
      <c r="Q4" s="119">
        <f>E4*N4*O4*P4</f>
        <v>0</v>
      </c>
      <c r="R4" s="136">
        <v>9.9999999999999995E-7</v>
      </c>
      <c r="S4" s="114">
        <v>1</v>
      </c>
      <c r="T4" s="115">
        <f>VLOOKUP(A4,Nucliden[#All],36,FALSE)</f>
        <v>5.0000000000000003E-10</v>
      </c>
      <c r="U4" s="115">
        <f>LN(2)/(VLOOKUP(A4,Nucliden[#All],3,FALSE)/24)+(LN(2)/5)</f>
        <v>9.2315686727551629</v>
      </c>
      <c r="V4" s="119">
        <f>E4*1000000*R4*S4*T4*1000*3600*24/U4</f>
        <v>1.6378581513045753</v>
      </c>
      <c r="W4" s="143"/>
    </row>
    <row r="5" spans="1:23" x14ac:dyDescent="0.2">
      <c r="A5" s="108" t="s">
        <v>0</v>
      </c>
      <c r="B5" s="109" t="s">
        <v>171</v>
      </c>
      <c r="C5" s="111" t="s">
        <v>550</v>
      </c>
      <c r="D5" s="109" t="s">
        <v>524</v>
      </c>
      <c r="E5" s="105">
        <f>VLOOKUP($C5,Onderzoek[#All],7,FALSE)</f>
        <v>800</v>
      </c>
      <c r="F5" s="136">
        <v>9.7999999999999993E-7</v>
      </c>
      <c r="G5" s="114">
        <v>1</v>
      </c>
      <c r="H5" s="115">
        <f>VLOOKUP($B5,Farmaca[#All],4,FALSE)</f>
        <v>1.9999999999999999E-11</v>
      </c>
      <c r="I5" s="119">
        <f t="shared" ref="I5:I25" si="0">E5*1000000*F5*G5*H5*1000</f>
        <v>1.5679999999999999E-5</v>
      </c>
      <c r="J5" s="136">
        <v>9.9999999999999995E-7</v>
      </c>
      <c r="K5" s="114">
        <v>1</v>
      </c>
      <c r="L5" s="115">
        <f>VLOOKUP($B5,Farmaca[#All],6,FALSE)</f>
        <v>2.2000000000000002E-11</v>
      </c>
      <c r="M5" s="119">
        <f t="shared" ref="M5:M25" si="1">E5*1000000*J5*K5*L5*1000</f>
        <v>1.7600000000000001E-5</v>
      </c>
      <c r="N5" s="136">
        <v>1E-3</v>
      </c>
      <c r="O5" s="114">
        <v>0</v>
      </c>
      <c r="P5" s="115">
        <f>VLOOKUP($B5,Farmaca[#All],7,FALSE)</f>
        <v>8.0000000000000002E-3</v>
      </c>
      <c r="Q5" s="119">
        <f t="shared" ref="Q5:Q25" si="2">E5*N5*O5*P5</f>
        <v>0</v>
      </c>
      <c r="R5" s="136">
        <v>9.9999999999999995E-7</v>
      </c>
      <c r="S5" s="114">
        <v>1</v>
      </c>
      <c r="T5" s="115">
        <f>VLOOKUP(A5,Nucliden[#All],36,FALSE)</f>
        <v>5.0000000000000002E-11</v>
      </c>
      <c r="U5" s="115">
        <f>LN(2)/(VLOOKUP(A5,Nucliden[#All],3,FALSE)/24)+(LN(2)/5)</f>
        <v>2.9020069001383493</v>
      </c>
      <c r="V5" s="119">
        <f t="shared" ref="V5:V25" si="3">E5*1000000*R5*S5*T5*1000*3600*24/U5</f>
        <v>1.1908999940128469</v>
      </c>
    </row>
    <row r="6" spans="1:23" x14ac:dyDescent="0.2">
      <c r="A6" s="108" t="s">
        <v>3</v>
      </c>
      <c r="B6" s="109" t="s">
        <v>106</v>
      </c>
      <c r="C6" s="111" t="s">
        <v>542</v>
      </c>
      <c r="D6" s="109" t="s">
        <v>553</v>
      </c>
      <c r="E6" s="105">
        <f>VLOOKUP($C6,Onderzoek[#All],7,FALSE)</f>
        <v>5500</v>
      </c>
      <c r="F6" s="136">
        <v>1.1999999999999999E-3</v>
      </c>
      <c r="G6" s="114">
        <v>1</v>
      </c>
      <c r="H6" s="115">
        <f>VLOOKUP($B6,Farmaca[#All],4,FALSE)</f>
        <v>1.0999999999999999E-8</v>
      </c>
      <c r="I6" s="119">
        <f t="shared" si="0"/>
        <v>72.59999999999998</v>
      </c>
      <c r="J6" s="136">
        <v>9.9999999999999995E-7</v>
      </c>
      <c r="K6" s="114">
        <v>1</v>
      </c>
      <c r="L6" s="115">
        <f>VLOOKUP($B6,Farmaca[#All],6,FALSE)</f>
        <v>2.1999999999999998E-8</v>
      </c>
      <c r="M6" s="119">
        <f t="shared" si="1"/>
        <v>0.12099999999999998</v>
      </c>
      <c r="N6" s="136">
        <v>1E-3</v>
      </c>
      <c r="O6" s="114">
        <v>0</v>
      </c>
      <c r="P6" s="115">
        <f>VLOOKUP($B6,Farmaca[#All],7,FALSE)</f>
        <v>24</v>
      </c>
      <c r="Q6" s="119">
        <f t="shared" si="2"/>
        <v>0</v>
      </c>
      <c r="R6" s="136">
        <v>9.9999999999999995E-7</v>
      </c>
      <c r="S6" s="114">
        <v>1</v>
      </c>
      <c r="T6" s="115">
        <f>VLOOKUP(A6,Nucliden[#All],36,FALSE)</f>
        <v>4.0000000000000001E-10</v>
      </c>
      <c r="U6" s="115">
        <f>LN(2)/(VLOOKUP(A6,Nucliden[#All],3,FALSE)/24)+(LN(2)/5)</f>
        <v>0.22484177200252953</v>
      </c>
      <c r="V6" s="119">
        <f t="shared" si="3"/>
        <v>845.3945114694327</v>
      </c>
    </row>
    <row r="7" spans="1:23" x14ac:dyDescent="0.2">
      <c r="A7" s="108"/>
      <c r="B7" s="109"/>
      <c r="C7" s="109"/>
      <c r="D7" s="109"/>
      <c r="E7" s="105" t="e">
        <f>VLOOKUP($C7,Onderzoek[#All],7,FALSE)</f>
        <v>#N/A</v>
      </c>
      <c r="F7" s="136"/>
      <c r="G7" s="114"/>
      <c r="H7" s="115" t="e">
        <f>VLOOKUP($B7,Farmaca[#All],4,FALSE)</f>
        <v>#N/A</v>
      </c>
      <c r="I7" s="119" t="e">
        <f t="shared" si="0"/>
        <v>#N/A</v>
      </c>
      <c r="J7" s="136"/>
      <c r="K7" s="114"/>
      <c r="L7" s="115" t="e">
        <f>VLOOKUP($B7,Farmaca[#All],6,FALSE)</f>
        <v>#N/A</v>
      </c>
      <c r="M7" s="119" t="e">
        <f t="shared" si="1"/>
        <v>#N/A</v>
      </c>
      <c r="N7" s="136"/>
      <c r="O7" s="114"/>
      <c r="P7" s="115" t="e">
        <f>VLOOKUP($B7,Farmaca[#All],7,FALSE)</f>
        <v>#N/A</v>
      </c>
      <c r="Q7" s="119" t="e">
        <f t="shared" si="2"/>
        <v>#N/A</v>
      </c>
      <c r="R7" s="136"/>
      <c r="S7" s="114"/>
      <c r="T7" s="115" t="e">
        <f>VLOOKUP(A7,Nucliden[#All],36,FALSE)</f>
        <v>#N/A</v>
      </c>
      <c r="U7" s="115" t="e">
        <f>LN(2)/(VLOOKUP(A7,Nucliden[#All],3,FALSE)/24)+(LN(2)/5)</f>
        <v>#N/A</v>
      </c>
      <c r="V7" s="119" t="e">
        <f t="shared" si="3"/>
        <v>#N/A</v>
      </c>
    </row>
    <row r="8" spans="1:23" x14ac:dyDescent="0.2">
      <c r="A8" s="108"/>
      <c r="B8" s="109"/>
      <c r="C8" s="109"/>
      <c r="D8" s="109"/>
      <c r="E8" s="105" t="e">
        <f>VLOOKUP($C8,Onderzoek[#All],7,FALSE)</f>
        <v>#N/A</v>
      </c>
      <c r="F8" s="136"/>
      <c r="G8" s="114"/>
      <c r="H8" s="115" t="e">
        <f>VLOOKUP($B8,Farmaca[#All],4,FALSE)</f>
        <v>#N/A</v>
      </c>
      <c r="I8" s="119" t="e">
        <f t="shared" si="0"/>
        <v>#N/A</v>
      </c>
      <c r="J8" s="136"/>
      <c r="K8" s="114"/>
      <c r="L8" s="115" t="e">
        <f>VLOOKUP($B8,Farmaca[#All],6,FALSE)</f>
        <v>#N/A</v>
      </c>
      <c r="M8" s="119" t="e">
        <f t="shared" si="1"/>
        <v>#N/A</v>
      </c>
      <c r="N8" s="136"/>
      <c r="O8" s="114"/>
      <c r="P8" s="115" t="e">
        <f>VLOOKUP($B8,Farmaca[#All],7,FALSE)</f>
        <v>#N/A</v>
      </c>
      <c r="Q8" s="119" t="e">
        <f t="shared" si="2"/>
        <v>#N/A</v>
      </c>
      <c r="R8" s="136"/>
      <c r="S8" s="114"/>
      <c r="T8" s="115" t="e">
        <f>VLOOKUP(A8,Nucliden[#All],36,FALSE)</f>
        <v>#N/A</v>
      </c>
      <c r="U8" s="115" t="e">
        <f>LN(2)/(VLOOKUP(A8,Nucliden[#All],3,FALSE)/24)+(LN(2)/5)</f>
        <v>#N/A</v>
      </c>
      <c r="V8" s="119" t="e">
        <f t="shared" si="3"/>
        <v>#N/A</v>
      </c>
    </row>
    <row r="9" spans="1:23" x14ac:dyDescent="0.2">
      <c r="A9" s="108"/>
      <c r="B9" s="110"/>
      <c r="C9" s="109"/>
      <c r="D9" s="109"/>
      <c r="E9" s="105" t="e">
        <f>VLOOKUP($C9,Onderzoek[#All],7,FALSE)</f>
        <v>#N/A</v>
      </c>
      <c r="F9" s="136"/>
      <c r="G9" s="114"/>
      <c r="H9" s="115" t="e">
        <f>VLOOKUP($B9,Farmaca[#All],4,FALSE)</f>
        <v>#N/A</v>
      </c>
      <c r="I9" s="119" t="e">
        <f t="shared" si="0"/>
        <v>#N/A</v>
      </c>
      <c r="J9" s="136"/>
      <c r="K9" s="114"/>
      <c r="L9" s="115" t="e">
        <f>VLOOKUP($B9,Farmaca[#All],6,FALSE)</f>
        <v>#N/A</v>
      </c>
      <c r="M9" s="119" t="e">
        <f t="shared" si="1"/>
        <v>#N/A</v>
      </c>
      <c r="N9" s="136"/>
      <c r="O9" s="114"/>
      <c r="P9" s="115" t="e">
        <f>VLOOKUP($B9,Farmaca[#All],7,FALSE)</f>
        <v>#N/A</v>
      </c>
      <c r="Q9" s="119" t="e">
        <f t="shared" si="2"/>
        <v>#N/A</v>
      </c>
      <c r="R9" s="136"/>
      <c r="S9" s="114"/>
      <c r="T9" s="115" t="e">
        <f>VLOOKUP(A9,Nucliden[#All],36,FALSE)</f>
        <v>#N/A</v>
      </c>
      <c r="U9" s="115" t="e">
        <f>LN(2)/(VLOOKUP(A9,Nucliden[#All],3,FALSE)/24)+(LN(2)/5)</f>
        <v>#N/A</v>
      </c>
      <c r="V9" s="119" t="e">
        <f t="shared" si="3"/>
        <v>#N/A</v>
      </c>
    </row>
    <row r="10" spans="1:23" x14ac:dyDescent="0.2">
      <c r="A10" s="108"/>
      <c r="B10" s="109"/>
      <c r="C10" s="235"/>
      <c r="D10" s="109"/>
      <c r="E10" s="105" t="e">
        <f>VLOOKUP($C10,Onderzoek[#All],7,FALSE)</f>
        <v>#N/A</v>
      </c>
      <c r="F10" s="136"/>
      <c r="G10" s="114"/>
      <c r="H10" s="115" t="e">
        <f>VLOOKUP($B10,Farmaca[#All],4,FALSE)</f>
        <v>#N/A</v>
      </c>
      <c r="I10" s="119" t="e">
        <f t="shared" si="0"/>
        <v>#N/A</v>
      </c>
      <c r="J10" s="136"/>
      <c r="K10" s="114"/>
      <c r="L10" s="115" t="e">
        <f>VLOOKUP($B10,Farmaca[#All],6,FALSE)</f>
        <v>#N/A</v>
      </c>
      <c r="M10" s="119" t="e">
        <f t="shared" si="1"/>
        <v>#N/A</v>
      </c>
      <c r="N10" s="136"/>
      <c r="O10" s="114"/>
      <c r="P10" s="115" t="e">
        <f>VLOOKUP($B10,Farmaca[#All],7,FALSE)</f>
        <v>#N/A</v>
      </c>
      <c r="Q10" s="119" t="e">
        <f t="shared" si="2"/>
        <v>#N/A</v>
      </c>
      <c r="R10" s="136"/>
      <c r="S10" s="114"/>
      <c r="T10" s="115" t="e">
        <f>VLOOKUP(A10,Nucliden[#All],36,FALSE)</f>
        <v>#N/A</v>
      </c>
      <c r="U10" s="115" t="e">
        <f>LN(2)/(VLOOKUP(A10,Nucliden[#All],3,FALSE)/24)+(LN(2)/5)</f>
        <v>#N/A</v>
      </c>
      <c r="V10" s="119" t="e">
        <f t="shared" si="3"/>
        <v>#N/A</v>
      </c>
    </row>
    <row r="11" spans="1:23" x14ac:dyDescent="0.2">
      <c r="A11" s="108"/>
      <c r="B11" s="109"/>
      <c r="C11" s="235"/>
      <c r="D11" s="109"/>
      <c r="E11" s="105" t="e">
        <f>VLOOKUP($C11,Onderzoek[#All],7,FALSE)</f>
        <v>#N/A</v>
      </c>
      <c r="F11" s="136"/>
      <c r="G11" s="114"/>
      <c r="H11" s="115" t="e">
        <f>VLOOKUP($B11,Farmaca[#All],4,FALSE)</f>
        <v>#N/A</v>
      </c>
      <c r="I11" s="119" t="e">
        <f t="shared" si="0"/>
        <v>#N/A</v>
      </c>
      <c r="J11" s="136"/>
      <c r="K11" s="114"/>
      <c r="L11" s="115" t="e">
        <f>VLOOKUP($B11,Farmaca[#All],6,FALSE)</f>
        <v>#N/A</v>
      </c>
      <c r="M11" s="119" t="e">
        <f t="shared" si="1"/>
        <v>#N/A</v>
      </c>
      <c r="N11" s="136"/>
      <c r="O11" s="114"/>
      <c r="P11" s="115" t="e">
        <f>VLOOKUP($B11,Farmaca[#All],7,FALSE)</f>
        <v>#N/A</v>
      </c>
      <c r="Q11" s="119" t="e">
        <f t="shared" si="2"/>
        <v>#N/A</v>
      </c>
      <c r="R11" s="136"/>
      <c r="S11" s="114"/>
      <c r="T11" s="115" t="e">
        <f>VLOOKUP(A11,Nucliden[#All],36,FALSE)</f>
        <v>#N/A</v>
      </c>
      <c r="U11" s="115" t="e">
        <f>LN(2)/(VLOOKUP(A11,Nucliden[#All],3,FALSE)/24)+(LN(2)/5)</f>
        <v>#N/A</v>
      </c>
      <c r="V11" s="119" t="e">
        <f t="shared" si="3"/>
        <v>#N/A</v>
      </c>
    </row>
    <row r="12" spans="1:23" x14ac:dyDescent="0.2">
      <c r="A12" s="133"/>
      <c r="B12" s="111"/>
      <c r="C12" s="235"/>
      <c r="D12" s="109"/>
      <c r="E12" s="105" t="e">
        <f>VLOOKUP($C12,Onderzoek[#All],7,FALSE)</f>
        <v>#N/A</v>
      </c>
      <c r="F12" s="136"/>
      <c r="G12" s="114"/>
      <c r="H12" s="115" t="e">
        <f>VLOOKUP($B12,Farmaca[#All],4,FALSE)</f>
        <v>#N/A</v>
      </c>
      <c r="I12" s="119" t="e">
        <f t="shared" si="0"/>
        <v>#N/A</v>
      </c>
      <c r="J12" s="136"/>
      <c r="K12" s="114"/>
      <c r="L12" s="115" t="e">
        <f>VLOOKUP($B12,Farmaca[#All],6,FALSE)</f>
        <v>#N/A</v>
      </c>
      <c r="M12" s="119" t="e">
        <f t="shared" si="1"/>
        <v>#N/A</v>
      </c>
      <c r="N12" s="136"/>
      <c r="O12" s="114"/>
      <c r="P12" s="115" t="e">
        <f>VLOOKUP($B12,Farmaca[#All],7,FALSE)</f>
        <v>#N/A</v>
      </c>
      <c r="Q12" s="119" t="e">
        <f t="shared" si="2"/>
        <v>#N/A</v>
      </c>
      <c r="R12" s="136"/>
      <c r="S12" s="114"/>
      <c r="T12" s="115" t="e">
        <f>VLOOKUP(A12,Nucliden[#All],36,FALSE)</f>
        <v>#N/A</v>
      </c>
      <c r="U12" s="115" t="e">
        <f>LN(2)/(VLOOKUP(A12,Nucliden[#All],3,FALSE)/24)+(LN(2)/5)</f>
        <v>#N/A</v>
      </c>
      <c r="V12" s="119" t="e">
        <f t="shared" si="3"/>
        <v>#N/A</v>
      </c>
    </row>
    <row r="13" spans="1:23" x14ac:dyDescent="0.2">
      <c r="A13" s="108"/>
      <c r="B13" s="111"/>
      <c r="C13" s="235"/>
      <c r="D13" s="109"/>
      <c r="E13" s="105" t="e">
        <f>VLOOKUP($C13,Onderzoek[#All],7,FALSE)</f>
        <v>#N/A</v>
      </c>
      <c r="F13" s="136"/>
      <c r="G13" s="114"/>
      <c r="H13" s="115" t="e">
        <f>VLOOKUP($B13,Farmaca[#All],4,FALSE)</f>
        <v>#N/A</v>
      </c>
      <c r="I13" s="119" t="e">
        <f t="shared" si="0"/>
        <v>#N/A</v>
      </c>
      <c r="J13" s="136"/>
      <c r="K13" s="114"/>
      <c r="L13" s="115" t="e">
        <f>VLOOKUP($B13,Farmaca[#All],6,FALSE)</f>
        <v>#N/A</v>
      </c>
      <c r="M13" s="119" t="e">
        <f t="shared" si="1"/>
        <v>#N/A</v>
      </c>
      <c r="N13" s="136"/>
      <c r="O13" s="114"/>
      <c r="P13" s="115" t="e">
        <f>VLOOKUP($B13,Farmaca[#All],7,FALSE)</f>
        <v>#N/A</v>
      </c>
      <c r="Q13" s="119" t="e">
        <f t="shared" si="2"/>
        <v>#N/A</v>
      </c>
      <c r="R13" s="136"/>
      <c r="S13" s="114"/>
      <c r="T13" s="115" t="e">
        <f>VLOOKUP(A13,Nucliden[#All],36,FALSE)</f>
        <v>#N/A</v>
      </c>
      <c r="U13" s="115" t="e">
        <f>LN(2)/(VLOOKUP(A13,Nucliden[#All],3,FALSE)/24)+(LN(2)/5)</f>
        <v>#N/A</v>
      </c>
      <c r="V13" s="119" t="e">
        <f t="shared" si="3"/>
        <v>#N/A</v>
      </c>
    </row>
    <row r="14" spans="1:23" x14ac:dyDescent="0.2">
      <c r="A14" s="113"/>
      <c r="B14" s="111"/>
      <c r="C14" s="235"/>
      <c r="D14" s="109"/>
      <c r="E14" s="105" t="e">
        <f>VLOOKUP($C14,Onderzoek[#All],7,FALSE)</f>
        <v>#N/A</v>
      </c>
      <c r="F14" s="136"/>
      <c r="G14" s="114"/>
      <c r="H14" s="115" t="e">
        <f>VLOOKUP($B14,Farmaca[#All],4,FALSE)</f>
        <v>#N/A</v>
      </c>
      <c r="I14" s="119" t="e">
        <f t="shared" si="0"/>
        <v>#N/A</v>
      </c>
      <c r="J14" s="136"/>
      <c r="K14" s="114"/>
      <c r="L14" s="115" t="e">
        <f>VLOOKUP($B14,Farmaca[#All],6,FALSE)</f>
        <v>#N/A</v>
      </c>
      <c r="M14" s="119" t="e">
        <f t="shared" si="1"/>
        <v>#N/A</v>
      </c>
      <c r="N14" s="136"/>
      <c r="O14" s="114"/>
      <c r="P14" s="115" t="e">
        <f>VLOOKUP($B14,Farmaca[#All],7,FALSE)</f>
        <v>#N/A</v>
      </c>
      <c r="Q14" s="119" t="e">
        <f t="shared" si="2"/>
        <v>#N/A</v>
      </c>
      <c r="R14" s="136"/>
      <c r="S14" s="114"/>
      <c r="T14" s="115" t="e">
        <f>VLOOKUP(A14,Nucliden[#All],36,FALSE)</f>
        <v>#N/A</v>
      </c>
      <c r="U14" s="115" t="e">
        <f>LN(2)/(VLOOKUP(A14,Nucliden[#All],3,FALSE)/24)+(LN(2)/5)</f>
        <v>#N/A</v>
      </c>
      <c r="V14" s="119" t="e">
        <f t="shared" si="3"/>
        <v>#N/A</v>
      </c>
    </row>
    <row r="15" spans="1:23" x14ac:dyDescent="0.2">
      <c r="A15" s="108"/>
      <c r="B15" s="109"/>
      <c r="C15" s="111"/>
      <c r="D15" s="109"/>
      <c r="E15" s="105" t="e">
        <f>VLOOKUP($C15,Onderzoek[#All],7,FALSE)</f>
        <v>#N/A</v>
      </c>
      <c r="F15" s="136"/>
      <c r="G15" s="114"/>
      <c r="H15" s="115" t="e">
        <f>VLOOKUP($B15,Farmaca[#All],4,FALSE)</f>
        <v>#N/A</v>
      </c>
      <c r="I15" s="119" t="e">
        <f t="shared" si="0"/>
        <v>#N/A</v>
      </c>
      <c r="J15" s="136"/>
      <c r="K15" s="114"/>
      <c r="L15" s="115" t="e">
        <f>VLOOKUP($B15,Farmaca[#All],6,FALSE)</f>
        <v>#N/A</v>
      </c>
      <c r="M15" s="119" t="e">
        <f t="shared" si="1"/>
        <v>#N/A</v>
      </c>
      <c r="N15" s="136"/>
      <c r="O15" s="114"/>
      <c r="P15" s="115" t="e">
        <f>VLOOKUP($B15,Farmaca[#All],7,FALSE)</f>
        <v>#N/A</v>
      </c>
      <c r="Q15" s="119" t="e">
        <f t="shared" si="2"/>
        <v>#N/A</v>
      </c>
      <c r="R15" s="136"/>
      <c r="S15" s="114"/>
      <c r="T15" s="115" t="e">
        <f>VLOOKUP(A15,Nucliden[#All],36,FALSE)</f>
        <v>#N/A</v>
      </c>
      <c r="U15" s="115" t="e">
        <f>LN(2)/(VLOOKUP(A15,Nucliden[#All],3,FALSE)/24)+(LN(2)/5)</f>
        <v>#N/A</v>
      </c>
      <c r="V15" s="119" t="e">
        <f t="shared" si="3"/>
        <v>#N/A</v>
      </c>
    </row>
    <row r="16" spans="1:23" x14ac:dyDescent="0.2">
      <c r="A16" s="108"/>
      <c r="B16" s="109"/>
      <c r="C16" s="111"/>
      <c r="D16" s="109"/>
      <c r="E16" s="105" t="e">
        <f>VLOOKUP($C16,Onderzoek[#All],7,FALSE)</f>
        <v>#N/A</v>
      </c>
      <c r="F16" s="136"/>
      <c r="G16" s="114"/>
      <c r="H16" s="115" t="e">
        <f>VLOOKUP($B16,Farmaca[#All],4,FALSE)</f>
        <v>#N/A</v>
      </c>
      <c r="I16" s="119" t="e">
        <f t="shared" si="0"/>
        <v>#N/A</v>
      </c>
      <c r="J16" s="136"/>
      <c r="K16" s="114"/>
      <c r="L16" s="115" t="e">
        <f>VLOOKUP($B16,Farmaca[#All],6,FALSE)</f>
        <v>#N/A</v>
      </c>
      <c r="M16" s="119" t="e">
        <f t="shared" si="1"/>
        <v>#N/A</v>
      </c>
      <c r="N16" s="136"/>
      <c r="O16" s="114"/>
      <c r="P16" s="115" t="e">
        <f>VLOOKUP($B16,Farmaca[#All],7,FALSE)</f>
        <v>#N/A</v>
      </c>
      <c r="Q16" s="119" t="e">
        <f t="shared" si="2"/>
        <v>#N/A</v>
      </c>
      <c r="R16" s="136"/>
      <c r="S16" s="114"/>
      <c r="T16" s="115" t="e">
        <f>VLOOKUP(A16,Nucliden[#All],36,FALSE)</f>
        <v>#N/A</v>
      </c>
      <c r="U16" s="115" t="e">
        <f>LN(2)/(VLOOKUP(A16,Nucliden[#All],3,FALSE)/24)+(LN(2)/5)</f>
        <v>#N/A</v>
      </c>
      <c r="V16" s="119" t="e">
        <f t="shared" si="3"/>
        <v>#N/A</v>
      </c>
    </row>
    <row r="17" spans="1:22" x14ac:dyDescent="0.2">
      <c r="A17" s="108"/>
      <c r="B17" s="109"/>
      <c r="C17" s="111"/>
      <c r="D17" s="109"/>
      <c r="E17" s="105" t="e">
        <f>VLOOKUP($C17,Onderzoek[#All],7,FALSE)</f>
        <v>#N/A</v>
      </c>
      <c r="F17" s="136"/>
      <c r="G17" s="114"/>
      <c r="H17" s="115" t="e">
        <f>VLOOKUP($B17,Farmaca[#All],4,FALSE)</f>
        <v>#N/A</v>
      </c>
      <c r="I17" s="119" t="e">
        <f t="shared" si="0"/>
        <v>#N/A</v>
      </c>
      <c r="J17" s="136"/>
      <c r="K17" s="114"/>
      <c r="L17" s="115" t="e">
        <f>VLOOKUP($B17,Farmaca[#All],6,FALSE)</f>
        <v>#N/A</v>
      </c>
      <c r="M17" s="119" t="e">
        <f t="shared" si="1"/>
        <v>#N/A</v>
      </c>
      <c r="N17" s="136"/>
      <c r="O17" s="114"/>
      <c r="P17" s="115" t="e">
        <f>VLOOKUP($B17,Farmaca[#All],7,FALSE)</f>
        <v>#N/A</v>
      </c>
      <c r="Q17" s="119" t="e">
        <f t="shared" si="2"/>
        <v>#N/A</v>
      </c>
      <c r="R17" s="136"/>
      <c r="S17" s="114"/>
      <c r="T17" s="115" t="e">
        <f>VLOOKUP(A17,Nucliden[#All],36,FALSE)</f>
        <v>#N/A</v>
      </c>
      <c r="U17" s="115" t="e">
        <f>LN(2)/(VLOOKUP(A17,Nucliden[#All],3,FALSE)/24)+(LN(2)/5)</f>
        <v>#N/A</v>
      </c>
      <c r="V17" s="119" t="e">
        <f t="shared" si="3"/>
        <v>#N/A</v>
      </c>
    </row>
    <row r="18" spans="1:22" x14ac:dyDescent="0.2">
      <c r="A18" s="108"/>
      <c r="B18" s="109"/>
      <c r="C18" s="111"/>
      <c r="D18" s="109"/>
      <c r="E18" s="105" t="e">
        <f>VLOOKUP($C18,Onderzoek[#All],7,FALSE)</f>
        <v>#N/A</v>
      </c>
      <c r="F18" s="136"/>
      <c r="G18" s="114"/>
      <c r="H18" s="115" t="e">
        <f>VLOOKUP($B18,Farmaca[#All],4,FALSE)</f>
        <v>#N/A</v>
      </c>
      <c r="I18" s="119" t="e">
        <f t="shared" si="0"/>
        <v>#N/A</v>
      </c>
      <c r="J18" s="136"/>
      <c r="K18" s="114"/>
      <c r="L18" s="115" t="e">
        <f>VLOOKUP($B18,Farmaca[#All],6,FALSE)</f>
        <v>#N/A</v>
      </c>
      <c r="M18" s="119" t="e">
        <f t="shared" si="1"/>
        <v>#N/A</v>
      </c>
      <c r="N18" s="136"/>
      <c r="O18" s="114"/>
      <c r="P18" s="115" t="e">
        <f>VLOOKUP($B18,Farmaca[#All],7,FALSE)</f>
        <v>#N/A</v>
      </c>
      <c r="Q18" s="119" t="e">
        <f t="shared" si="2"/>
        <v>#N/A</v>
      </c>
      <c r="R18" s="136"/>
      <c r="S18" s="114"/>
      <c r="T18" s="115" t="e">
        <f>VLOOKUP(A18,Nucliden[#All],36,FALSE)</f>
        <v>#N/A</v>
      </c>
      <c r="U18" s="115" t="e">
        <f>LN(2)/(VLOOKUP(A18,Nucliden[#All],3,FALSE)/24)+(LN(2)/5)</f>
        <v>#N/A</v>
      </c>
      <c r="V18" s="119" t="e">
        <f t="shared" si="3"/>
        <v>#N/A</v>
      </c>
    </row>
    <row r="19" spans="1:22" x14ac:dyDescent="0.2">
      <c r="A19" s="108"/>
      <c r="B19" s="112"/>
      <c r="C19" s="111"/>
      <c r="D19" s="109"/>
      <c r="E19" s="105" t="e">
        <f>VLOOKUP($C19,Onderzoek[#All],7,FALSE)</f>
        <v>#N/A</v>
      </c>
      <c r="F19" s="136"/>
      <c r="G19" s="114"/>
      <c r="H19" s="115" t="e">
        <f>VLOOKUP($B19,Farmaca[#All],4,FALSE)</f>
        <v>#N/A</v>
      </c>
      <c r="I19" s="119" t="e">
        <f t="shared" si="0"/>
        <v>#N/A</v>
      </c>
      <c r="J19" s="136"/>
      <c r="K19" s="114"/>
      <c r="L19" s="115" t="e">
        <f>VLOOKUP($B19,Farmaca[#All],6,FALSE)</f>
        <v>#N/A</v>
      </c>
      <c r="M19" s="119" t="e">
        <f t="shared" si="1"/>
        <v>#N/A</v>
      </c>
      <c r="N19" s="136"/>
      <c r="O19" s="114"/>
      <c r="P19" s="115" t="e">
        <f>VLOOKUP($B19,Farmaca[#All],7,FALSE)</f>
        <v>#N/A</v>
      </c>
      <c r="Q19" s="119" t="e">
        <f t="shared" si="2"/>
        <v>#N/A</v>
      </c>
      <c r="R19" s="136"/>
      <c r="S19" s="114"/>
      <c r="T19" s="115" t="e">
        <f>VLOOKUP(A19,Nucliden[#All],36,FALSE)</f>
        <v>#N/A</v>
      </c>
      <c r="U19" s="115" t="e">
        <f>LN(2)/(VLOOKUP(A19,Nucliden[#All],3,FALSE)/24)+(LN(2)/5)</f>
        <v>#N/A</v>
      </c>
      <c r="V19" s="119" t="e">
        <f t="shared" si="3"/>
        <v>#N/A</v>
      </c>
    </row>
    <row r="20" spans="1:22" x14ac:dyDescent="0.2">
      <c r="A20" s="108"/>
      <c r="B20" s="109"/>
      <c r="C20" s="111"/>
      <c r="D20" s="109"/>
      <c r="E20" s="105" t="e">
        <f>VLOOKUP($C20,Onderzoek[#All],7,FALSE)</f>
        <v>#N/A</v>
      </c>
      <c r="F20" s="136"/>
      <c r="G20" s="114"/>
      <c r="H20" s="115" t="e">
        <f>VLOOKUP($B20,Farmaca[#All],4,FALSE)</f>
        <v>#N/A</v>
      </c>
      <c r="I20" s="119" t="e">
        <f t="shared" si="0"/>
        <v>#N/A</v>
      </c>
      <c r="J20" s="136"/>
      <c r="K20" s="114"/>
      <c r="L20" s="115" t="e">
        <f>VLOOKUP($B20,Farmaca[#All],6,FALSE)</f>
        <v>#N/A</v>
      </c>
      <c r="M20" s="119" t="e">
        <f t="shared" si="1"/>
        <v>#N/A</v>
      </c>
      <c r="N20" s="136"/>
      <c r="O20" s="114"/>
      <c r="P20" s="115" t="e">
        <f>VLOOKUP($B20,Farmaca[#All],7,FALSE)</f>
        <v>#N/A</v>
      </c>
      <c r="Q20" s="119" t="e">
        <f t="shared" si="2"/>
        <v>#N/A</v>
      </c>
      <c r="R20" s="136"/>
      <c r="S20" s="114"/>
      <c r="T20" s="115" t="e">
        <f>VLOOKUP(A20,Nucliden[#All],36,FALSE)</f>
        <v>#N/A</v>
      </c>
      <c r="U20" s="115" t="e">
        <f>LN(2)/(VLOOKUP(A20,Nucliden[#All],3,FALSE)/24)+(LN(2)/5)</f>
        <v>#N/A</v>
      </c>
      <c r="V20" s="119" t="e">
        <f t="shared" si="3"/>
        <v>#N/A</v>
      </c>
    </row>
    <row r="21" spans="1:22" x14ac:dyDescent="0.2">
      <c r="A21" s="108"/>
      <c r="B21" s="109"/>
      <c r="C21" s="111"/>
      <c r="D21" s="109"/>
      <c r="E21" s="105" t="e">
        <f>VLOOKUP($C21,Onderzoek[#All],7,FALSE)</f>
        <v>#N/A</v>
      </c>
      <c r="F21" s="136"/>
      <c r="G21" s="114"/>
      <c r="H21" s="115" t="e">
        <f>VLOOKUP($B21,Farmaca[#All],4,FALSE)</f>
        <v>#N/A</v>
      </c>
      <c r="I21" s="119" t="e">
        <f t="shared" si="0"/>
        <v>#N/A</v>
      </c>
      <c r="J21" s="136"/>
      <c r="K21" s="114"/>
      <c r="L21" s="115" t="e">
        <f>VLOOKUP($B21,Farmaca[#All],6,FALSE)</f>
        <v>#N/A</v>
      </c>
      <c r="M21" s="119" t="e">
        <f t="shared" si="1"/>
        <v>#N/A</v>
      </c>
      <c r="N21" s="136"/>
      <c r="O21" s="114"/>
      <c r="P21" s="115" t="e">
        <f>VLOOKUP($B21,Farmaca[#All],7,FALSE)</f>
        <v>#N/A</v>
      </c>
      <c r="Q21" s="119" t="e">
        <f t="shared" si="2"/>
        <v>#N/A</v>
      </c>
      <c r="R21" s="136"/>
      <c r="S21" s="114"/>
      <c r="T21" s="115" t="e">
        <f>VLOOKUP(A21,Nucliden[#All],36,FALSE)</f>
        <v>#N/A</v>
      </c>
      <c r="U21" s="115" t="e">
        <f>LN(2)/(VLOOKUP(A21,Nucliden[#All],3,FALSE)/24)+(LN(2)/5)</f>
        <v>#N/A</v>
      </c>
      <c r="V21" s="119" t="e">
        <f t="shared" si="3"/>
        <v>#N/A</v>
      </c>
    </row>
    <row r="22" spans="1:22" x14ac:dyDescent="0.2">
      <c r="A22" s="108"/>
      <c r="B22" s="109"/>
      <c r="C22" s="111"/>
      <c r="D22" s="109"/>
      <c r="E22" s="105" t="e">
        <f>VLOOKUP($C22,Onderzoek[#All],7,FALSE)</f>
        <v>#N/A</v>
      </c>
      <c r="F22" s="136"/>
      <c r="G22" s="114"/>
      <c r="H22" s="115" t="e">
        <f>VLOOKUP($B22,Farmaca[#All],4,FALSE)</f>
        <v>#N/A</v>
      </c>
      <c r="I22" s="119" t="e">
        <f t="shared" si="0"/>
        <v>#N/A</v>
      </c>
      <c r="J22" s="136"/>
      <c r="K22" s="114"/>
      <c r="L22" s="115" t="e">
        <f>VLOOKUP($B22,Farmaca[#All],6,FALSE)</f>
        <v>#N/A</v>
      </c>
      <c r="M22" s="119" t="e">
        <f t="shared" si="1"/>
        <v>#N/A</v>
      </c>
      <c r="N22" s="136"/>
      <c r="O22" s="114"/>
      <c r="P22" s="115" t="e">
        <f>VLOOKUP($B22,Farmaca[#All],7,FALSE)</f>
        <v>#N/A</v>
      </c>
      <c r="Q22" s="119" t="e">
        <f t="shared" si="2"/>
        <v>#N/A</v>
      </c>
      <c r="R22" s="136"/>
      <c r="S22" s="114"/>
      <c r="T22" s="115" t="e">
        <f>VLOOKUP(A22,Nucliden[#All],36,FALSE)</f>
        <v>#N/A</v>
      </c>
      <c r="U22" s="115" t="e">
        <f>LN(2)/(VLOOKUP(A22,Nucliden[#All],3,FALSE)/24)+(LN(2)/5)</f>
        <v>#N/A</v>
      </c>
      <c r="V22" s="119" t="e">
        <f t="shared" si="3"/>
        <v>#N/A</v>
      </c>
    </row>
    <row r="23" spans="1:22" x14ac:dyDescent="0.2">
      <c r="A23" s="108"/>
      <c r="B23" s="111"/>
      <c r="C23" s="111"/>
      <c r="D23" s="109"/>
      <c r="E23" s="105" t="e">
        <f>VLOOKUP($C23,Onderzoek[#All],7,FALSE)</f>
        <v>#N/A</v>
      </c>
      <c r="F23" s="136"/>
      <c r="G23" s="114"/>
      <c r="H23" s="115" t="e">
        <f>VLOOKUP($B23,Farmaca[#All],4,FALSE)</f>
        <v>#N/A</v>
      </c>
      <c r="I23" s="119" t="e">
        <f t="shared" si="0"/>
        <v>#N/A</v>
      </c>
      <c r="J23" s="136"/>
      <c r="K23" s="114"/>
      <c r="L23" s="115" t="e">
        <f>VLOOKUP($B23,Farmaca[#All],6,FALSE)</f>
        <v>#N/A</v>
      </c>
      <c r="M23" s="119" t="e">
        <f t="shared" si="1"/>
        <v>#N/A</v>
      </c>
      <c r="N23" s="136"/>
      <c r="O23" s="114"/>
      <c r="P23" s="115" t="e">
        <f>VLOOKUP($B23,Farmaca[#All],7,FALSE)</f>
        <v>#N/A</v>
      </c>
      <c r="Q23" s="119" t="e">
        <f t="shared" si="2"/>
        <v>#N/A</v>
      </c>
      <c r="R23" s="136"/>
      <c r="S23" s="114"/>
      <c r="T23" s="115" t="e">
        <f>VLOOKUP(A23,Nucliden[#All],36,FALSE)</f>
        <v>#N/A</v>
      </c>
      <c r="U23" s="115" t="e">
        <f>LN(2)/(VLOOKUP(A23,Nucliden[#All],3,FALSE)/24)+(LN(2)/5)</f>
        <v>#N/A</v>
      </c>
      <c r="V23" s="119" t="e">
        <f t="shared" si="3"/>
        <v>#N/A</v>
      </c>
    </row>
    <row r="24" spans="1:22" x14ac:dyDescent="0.2">
      <c r="A24" s="108"/>
      <c r="B24" s="111"/>
      <c r="C24" s="111"/>
      <c r="D24" s="109"/>
      <c r="E24" s="105" t="e">
        <f>VLOOKUP($C24,Onderzoek[#All],7,FALSE)</f>
        <v>#N/A</v>
      </c>
      <c r="F24" s="136"/>
      <c r="G24" s="114"/>
      <c r="H24" s="115" t="e">
        <f>VLOOKUP($B24,Farmaca[#All],4,FALSE)</f>
        <v>#N/A</v>
      </c>
      <c r="I24" s="119" t="e">
        <f t="shared" si="0"/>
        <v>#N/A</v>
      </c>
      <c r="J24" s="136"/>
      <c r="K24" s="114"/>
      <c r="L24" s="115" t="e">
        <f>VLOOKUP($B24,Farmaca[#All],6,FALSE)</f>
        <v>#N/A</v>
      </c>
      <c r="M24" s="119" t="e">
        <f t="shared" si="1"/>
        <v>#N/A</v>
      </c>
      <c r="N24" s="136"/>
      <c r="O24" s="114"/>
      <c r="P24" s="115" t="e">
        <f>VLOOKUP($B24,Farmaca[#All],7,FALSE)</f>
        <v>#N/A</v>
      </c>
      <c r="Q24" s="119" t="e">
        <f t="shared" si="2"/>
        <v>#N/A</v>
      </c>
      <c r="R24" s="136"/>
      <c r="S24" s="114"/>
      <c r="T24" s="115" t="e">
        <f>VLOOKUP(A24,Nucliden[#All],36,FALSE)</f>
        <v>#N/A</v>
      </c>
      <c r="U24" s="115" t="e">
        <f>LN(2)/(VLOOKUP(A24,Nucliden[#All],3,FALSE)/24)+(LN(2)/5)</f>
        <v>#N/A</v>
      </c>
      <c r="V24" s="119" t="e">
        <f t="shared" si="3"/>
        <v>#N/A</v>
      </c>
    </row>
    <row r="25" spans="1:22" x14ac:dyDescent="0.2">
      <c r="A25" s="108"/>
      <c r="B25" s="109"/>
      <c r="C25" s="111"/>
      <c r="D25" s="109"/>
      <c r="E25" s="105" t="e">
        <f>VLOOKUP($C25,Onderzoek[#All],7,FALSE)</f>
        <v>#N/A</v>
      </c>
      <c r="F25" s="136"/>
      <c r="G25" s="114"/>
      <c r="H25" s="115" t="e">
        <f>VLOOKUP($B25,Farmaca[#All],4,FALSE)</f>
        <v>#N/A</v>
      </c>
      <c r="I25" s="119" t="e">
        <f t="shared" si="0"/>
        <v>#N/A</v>
      </c>
      <c r="J25" s="136"/>
      <c r="K25" s="114"/>
      <c r="L25" s="115" t="e">
        <f>VLOOKUP($B25,Farmaca[#All],6,FALSE)</f>
        <v>#N/A</v>
      </c>
      <c r="M25" s="119" t="e">
        <f t="shared" si="1"/>
        <v>#N/A</v>
      </c>
      <c r="N25" s="136"/>
      <c r="O25" s="114"/>
      <c r="P25" s="115" t="e">
        <f>VLOOKUP($B25,Farmaca[#All],7,FALSE)</f>
        <v>#N/A</v>
      </c>
      <c r="Q25" s="119" t="e">
        <f t="shared" si="2"/>
        <v>#N/A</v>
      </c>
      <c r="R25" s="136"/>
      <c r="S25" s="114"/>
      <c r="T25" s="115" t="e">
        <f>VLOOKUP(A25,Nucliden[#All],36,FALSE)</f>
        <v>#N/A</v>
      </c>
      <c r="U25" s="115" t="e">
        <f>LN(2)/(VLOOKUP(A25,Nucliden[#All],3,FALSE)/24)+(LN(2)/5)</f>
        <v>#N/A</v>
      </c>
      <c r="V25" s="119" t="e">
        <f t="shared" si="3"/>
        <v>#N/A</v>
      </c>
    </row>
    <row r="26" spans="1:22" x14ac:dyDescent="0.2">
      <c r="A26" s="4"/>
      <c r="B26" s="4"/>
      <c r="D26" s="4"/>
      <c r="H26" s="242" t="s">
        <v>449</v>
      </c>
      <c r="I26" s="241" t="e">
        <f>SUM(I4:I25)</f>
        <v>#N/A</v>
      </c>
      <c r="L26" s="242" t="s">
        <v>449</v>
      </c>
      <c r="M26" s="241" t="e">
        <f>SUM(M4:M25)</f>
        <v>#N/A</v>
      </c>
      <c r="P26" s="242" t="s">
        <v>449</v>
      </c>
      <c r="Q26" s="241" t="e">
        <f>SUM(Q4:Q25)</f>
        <v>#N/A</v>
      </c>
      <c r="U26" s="242" t="s">
        <v>449</v>
      </c>
      <c r="V26" s="241" t="e">
        <f>SUM(V4:V25)</f>
        <v>#N/A</v>
      </c>
    </row>
    <row r="27" spans="1:22" x14ac:dyDescent="0.2">
      <c r="D27" s="5"/>
    </row>
    <row r="28" spans="1:22" x14ac:dyDescent="0.2">
      <c r="A28" s="2"/>
      <c r="B28" s="2"/>
      <c r="D28" s="2"/>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44"/>
  <sheetViews>
    <sheetView workbookViewId="0"/>
  </sheetViews>
  <sheetFormatPr defaultRowHeight="12.75" x14ac:dyDescent="0.2"/>
  <cols>
    <col min="1" max="1" width="33.140625" bestFit="1" customWidth="1"/>
    <col min="2" max="6" width="13.7109375" customWidth="1"/>
  </cols>
  <sheetData>
    <row r="1" spans="1:7" x14ac:dyDescent="0.2">
      <c r="A1" s="127" t="s">
        <v>482</v>
      </c>
      <c r="B1" s="5"/>
      <c r="C1" s="5"/>
      <c r="D1" s="4"/>
      <c r="E1" s="4"/>
      <c r="F1" s="4"/>
      <c r="G1" s="5"/>
    </row>
    <row r="2" spans="1:7" ht="30.75" customHeight="1" x14ac:dyDescent="0.2">
      <c r="A2" s="173" t="s">
        <v>417</v>
      </c>
      <c r="B2" s="116" t="s">
        <v>305</v>
      </c>
      <c r="C2" s="116" t="s">
        <v>308</v>
      </c>
      <c r="D2" s="116" t="s">
        <v>310</v>
      </c>
      <c r="E2" s="116" t="s">
        <v>448</v>
      </c>
      <c r="F2" s="116" t="s">
        <v>421</v>
      </c>
    </row>
    <row r="3" spans="1:7" x14ac:dyDescent="0.2">
      <c r="A3" s="171"/>
      <c r="B3" s="116" t="s">
        <v>306</v>
      </c>
      <c r="C3" s="116" t="s">
        <v>306</v>
      </c>
      <c r="D3" s="116" t="s">
        <v>306</v>
      </c>
      <c r="E3" s="116" t="s">
        <v>306</v>
      </c>
      <c r="F3" s="116" t="s">
        <v>306</v>
      </c>
    </row>
    <row r="4" spans="1:7" x14ac:dyDescent="0.2">
      <c r="A4" s="172" t="s">
        <v>418</v>
      </c>
      <c r="B4" s="310"/>
      <c r="C4" s="310"/>
      <c r="D4" s="310"/>
      <c r="E4" s="310"/>
      <c r="F4" s="310"/>
    </row>
    <row r="5" spans="1:7" x14ac:dyDescent="0.2">
      <c r="A5" s="2" t="s">
        <v>284</v>
      </c>
      <c r="B5" s="311" t="e">
        <f>SUM('Levering - Uitwendig - Regulier'!AC4:AC25)</f>
        <v>#N/A</v>
      </c>
      <c r="C5" s="311" t="e">
        <f>SUM('Levering - Uitwendig - Regulier'!AD4:AD25)</f>
        <v>#N/A</v>
      </c>
      <c r="D5" s="311" t="e">
        <f>SUM('Levering - Uitwendig - Regulier'!AE4:AE25)</f>
        <v>#N/A</v>
      </c>
      <c r="E5" s="311" t="e">
        <f>SUM('Levering - Inhalatie - Regulier'!M4:M25)</f>
        <v>#N/A</v>
      </c>
      <c r="F5" s="311"/>
    </row>
    <row r="6" spans="1:7" x14ac:dyDescent="0.2">
      <c r="A6" s="2" t="s">
        <v>419</v>
      </c>
      <c r="B6" s="311" t="e">
        <f>SUM('VTGM - Uitwendig - Regulier'!AC4:AC25)</f>
        <v>#N/A</v>
      </c>
      <c r="C6" s="311" t="e">
        <f>SUM('VTGM - Uitwendig - Regulier'!AD4:AD25)</f>
        <v>#N/A</v>
      </c>
      <c r="D6" s="311" t="e">
        <f>SUM('VTGM - Uitwendig - Regulier'!AE4:AE25)</f>
        <v>#N/A</v>
      </c>
      <c r="E6" s="311" t="e">
        <f>SUM('VTGM - Inhalatie - Regulier'!N4:N25)</f>
        <v>#N/A</v>
      </c>
      <c r="F6" s="311"/>
    </row>
    <row r="7" spans="1:7" x14ac:dyDescent="0.2">
      <c r="A7" s="2" t="s">
        <v>420</v>
      </c>
      <c r="B7" s="311" t="e">
        <f>SUM('Toediening-Uitwendig-Regulier'!AC4:AC25)</f>
        <v>#N/A</v>
      </c>
      <c r="C7" s="311" t="e">
        <f>SUM('Toediening-Uitwendig-Regulier'!AD4:AD25)</f>
        <v>#N/A</v>
      </c>
      <c r="D7" s="311" t="e">
        <f>SUM('Toediening-Uitwendig-Regulier'!AE4:AE25)</f>
        <v>#N/A</v>
      </c>
      <c r="E7" s="311" t="e">
        <f>SUM('Toediening-Inhalatie-Regulier'!N4:N25)</f>
        <v>#N/A</v>
      </c>
      <c r="F7" s="311"/>
    </row>
    <row r="8" spans="1:7" x14ac:dyDescent="0.2">
      <c r="A8" s="172" t="s">
        <v>415</v>
      </c>
      <c r="B8" s="312" t="e">
        <f>SUM(B5:B7)</f>
        <v>#N/A</v>
      </c>
      <c r="C8" s="312" t="e">
        <f t="shared" ref="C8:E8" si="0">SUM(C5:C7)</f>
        <v>#N/A</v>
      </c>
      <c r="D8" s="312" t="e">
        <f t="shared" si="0"/>
        <v>#N/A</v>
      </c>
      <c r="E8" s="312" t="e">
        <f t="shared" si="0"/>
        <v>#N/A</v>
      </c>
      <c r="F8" s="312"/>
    </row>
    <row r="9" spans="1:7" x14ac:dyDescent="0.2">
      <c r="B9" s="25"/>
      <c r="C9" s="25"/>
      <c r="D9" s="25"/>
      <c r="E9" s="25"/>
      <c r="F9" s="25"/>
    </row>
    <row r="10" spans="1:7" x14ac:dyDescent="0.2">
      <c r="A10" s="172" t="s">
        <v>416</v>
      </c>
      <c r="B10" s="313"/>
      <c r="C10" s="313"/>
      <c r="D10" s="313"/>
      <c r="E10" s="313"/>
      <c r="F10" s="313"/>
    </row>
    <row r="11" spans="1:7" x14ac:dyDescent="0.2">
      <c r="A11" s="2" t="s">
        <v>284</v>
      </c>
      <c r="B11" s="311" t="e">
        <f>SUM('Levering - Uitwendig - VOG'!AB4:AB25)</f>
        <v>#N/A</v>
      </c>
      <c r="C11" s="311" t="e">
        <f>SUM('Levering - Uitwendig - VOG'!AC4:AC25)</f>
        <v>#N/A</v>
      </c>
      <c r="D11" s="311" t="e">
        <f>SUM('Levering - Uitwendig - VOG'!AD4:AD25)</f>
        <v>#N/A</v>
      </c>
      <c r="E11" s="311" t="e">
        <f>SUM('Levering - Inwendig - VOG'!H4:H25)+SUM('Levering - Inwendig - VOG'!L4:L25)+SUM('Levering - Inwendig - VOG'!P4:P25)</f>
        <v>#N/A</v>
      </c>
      <c r="F11" s="311" t="e">
        <f>SUM('Levering - Inwendig - VOG'!U4:U25)</f>
        <v>#N/A</v>
      </c>
    </row>
    <row r="12" spans="1:7" x14ac:dyDescent="0.2">
      <c r="A12" s="2" t="s">
        <v>419</v>
      </c>
      <c r="B12" s="311" t="e">
        <f>SUM('VTGM - Uitwendig - VOG'!AB4:AB25)</f>
        <v>#N/A</v>
      </c>
      <c r="C12" s="311" t="e">
        <f>SUM('VTGM - Uitwendig - VOG'!AC4:AC25)</f>
        <v>#N/A</v>
      </c>
      <c r="D12" s="311" t="e">
        <f>SUM('VTGM - Uitwendig - VOG'!AD4:AD25)</f>
        <v>#N/A</v>
      </c>
      <c r="E12" s="314" t="e">
        <f>SUM('VTGM - Inwendig - VOG'!I4:I25)+SUM('VTGM - Inwendig - VOG'!M4:M25)+SUM('VTGM - Inwendig - VOG'!Q4:Q25)</f>
        <v>#N/A</v>
      </c>
      <c r="F12" s="311" t="e">
        <f>SUM('VTGM - Inwendig - VOG'!V4:V25)</f>
        <v>#N/A</v>
      </c>
    </row>
    <row r="13" spans="1:7" x14ac:dyDescent="0.2">
      <c r="A13" s="2" t="s">
        <v>420</v>
      </c>
      <c r="B13" s="311" t="e">
        <f>SUM('Toediening - Uitwendig - VOG'!AB4:AB25)</f>
        <v>#N/A</v>
      </c>
      <c r="C13" s="311" t="e">
        <f>SUM('Toediening - Uitwendig - VOG'!AC4:AC25)</f>
        <v>#N/A</v>
      </c>
      <c r="D13" s="311" t="e">
        <f>SUM('Toediening - Uitwendig - VOG'!AD4:AD25)</f>
        <v>#N/A</v>
      </c>
      <c r="E13" s="314" t="e">
        <f>SUM('Toediening - Inwendig - VOG'!I4:I25)+SUM('Toediening - Inwendig - VOG'!M4:M25)+SUM('Toediening - Inwendig - VOG'!Q4:Q25)</f>
        <v>#N/A</v>
      </c>
      <c r="F13" s="311" t="e">
        <f>SUM('Toediening - Inwendig - VOG'!V4:V25)</f>
        <v>#N/A</v>
      </c>
    </row>
    <row r="14" spans="1:7" x14ac:dyDescent="0.2">
      <c r="A14" s="172" t="s">
        <v>415</v>
      </c>
      <c r="B14" s="312" t="e">
        <f>SUM(B11:B13)</f>
        <v>#N/A</v>
      </c>
      <c r="C14" s="312" t="e">
        <f t="shared" ref="C14:F14" si="1">SUM(C11:C13)</f>
        <v>#N/A</v>
      </c>
      <c r="D14" s="312" t="e">
        <f t="shared" si="1"/>
        <v>#N/A</v>
      </c>
      <c r="E14" s="312" t="e">
        <f t="shared" si="1"/>
        <v>#N/A</v>
      </c>
      <c r="F14" s="312" t="e">
        <f t="shared" si="1"/>
        <v>#N/A</v>
      </c>
    </row>
    <row r="15" spans="1:7" x14ac:dyDescent="0.2">
      <c r="B15" s="65"/>
      <c r="C15" s="65"/>
      <c r="D15" s="65"/>
      <c r="E15" s="65"/>
      <c r="F15" s="65"/>
    </row>
    <row r="16" spans="1:7" x14ac:dyDescent="0.2">
      <c r="A16" s="127" t="s">
        <v>483</v>
      </c>
      <c r="B16" s="29"/>
      <c r="C16" s="29"/>
      <c r="D16" s="25"/>
      <c r="E16" s="25"/>
      <c r="F16" s="25"/>
    </row>
    <row r="17" spans="1:6" ht="38.25" x14ac:dyDescent="0.2">
      <c r="A17" s="173" t="s">
        <v>417</v>
      </c>
      <c r="B17" s="116" t="s">
        <v>305</v>
      </c>
      <c r="C17" s="116" t="s">
        <v>308</v>
      </c>
      <c r="D17" s="116" t="s">
        <v>310</v>
      </c>
      <c r="E17" s="116" t="s">
        <v>448</v>
      </c>
      <c r="F17" s="116" t="s">
        <v>421</v>
      </c>
    </row>
    <row r="18" spans="1:6" x14ac:dyDescent="0.2">
      <c r="A18" s="171"/>
      <c r="B18" s="116" t="s">
        <v>306</v>
      </c>
      <c r="C18" s="116" t="s">
        <v>306</v>
      </c>
      <c r="D18" s="116" t="s">
        <v>306</v>
      </c>
      <c r="E18" s="116" t="s">
        <v>306</v>
      </c>
      <c r="F18" s="116" t="s">
        <v>306</v>
      </c>
    </row>
    <row r="19" spans="1:6" x14ac:dyDescent="0.2">
      <c r="A19" s="172" t="s">
        <v>418</v>
      </c>
      <c r="B19" s="310"/>
      <c r="C19" s="310"/>
      <c r="D19" s="310"/>
      <c r="E19" s="310"/>
      <c r="F19" s="310"/>
    </row>
    <row r="20" spans="1:6" x14ac:dyDescent="0.2">
      <c r="A20" s="2" t="s">
        <v>284</v>
      </c>
      <c r="B20" s="311"/>
      <c r="C20" s="311"/>
      <c r="D20" s="311"/>
      <c r="E20" s="311"/>
      <c r="F20" s="311"/>
    </row>
    <row r="21" spans="1:6" x14ac:dyDescent="0.2">
      <c r="A21" s="2" t="s">
        <v>419</v>
      </c>
      <c r="B21" s="311"/>
      <c r="C21" s="311"/>
      <c r="D21" s="311"/>
      <c r="E21" s="311"/>
      <c r="F21" s="311"/>
    </row>
    <row r="22" spans="1:6" x14ac:dyDescent="0.2">
      <c r="A22" s="2" t="s">
        <v>420</v>
      </c>
      <c r="B22" s="311"/>
      <c r="C22" s="311"/>
      <c r="D22" s="311"/>
      <c r="E22" s="311"/>
      <c r="F22" s="311"/>
    </row>
    <row r="23" spans="1:6" x14ac:dyDescent="0.2">
      <c r="A23" s="172" t="s">
        <v>415</v>
      </c>
      <c r="B23" s="312">
        <f>SUM(B20:B22)</f>
        <v>0</v>
      </c>
      <c r="C23" s="312">
        <f t="shared" ref="C23" si="2">SUM(C20:C22)</f>
        <v>0</v>
      </c>
      <c r="D23" s="312">
        <f t="shared" ref="D23" si="3">SUM(D20:D22)</f>
        <v>0</v>
      </c>
      <c r="E23" s="312">
        <f t="shared" ref="E23" si="4">SUM(E20:E22)</f>
        <v>0</v>
      </c>
      <c r="F23" s="312"/>
    </row>
    <row r="24" spans="1:6" x14ac:dyDescent="0.2">
      <c r="B24" s="25"/>
      <c r="C24" s="25"/>
      <c r="D24" s="25"/>
      <c r="E24" s="25"/>
      <c r="F24" s="25"/>
    </row>
    <row r="25" spans="1:6" x14ac:dyDescent="0.2">
      <c r="A25" s="172" t="s">
        <v>416</v>
      </c>
      <c r="B25" s="313"/>
      <c r="C25" s="313"/>
      <c r="D25" s="313"/>
      <c r="E25" s="313"/>
      <c r="F25" s="313"/>
    </row>
    <row r="26" spans="1:6" x14ac:dyDescent="0.2">
      <c r="A26" s="2" t="s">
        <v>284</v>
      </c>
      <c r="B26" s="311"/>
      <c r="C26" s="311"/>
      <c r="D26" s="311"/>
      <c r="E26" s="311"/>
      <c r="F26" s="311"/>
    </row>
    <row r="27" spans="1:6" x14ac:dyDescent="0.2">
      <c r="A27" s="2" t="s">
        <v>419</v>
      </c>
      <c r="B27" s="311"/>
      <c r="C27" s="311"/>
      <c r="D27" s="311"/>
      <c r="E27" s="311"/>
      <c r="F27" s="311"/>
    </row>
    <row r="28" spans="1:6" x14ac:dyDescent="0.2">
      <c r="A28" s="2" t="s">
        <v>420</v>
      </c>
      <c r="B28" s="311"/>
      <c r="C28" s="311"/>
      <c r="D28" s="311"/>
      <c r="E28" s="311"/>
      <c r="F28" s="311"/>
    </row>
    <row r="29" spans="1:6" x14ac:dyDescent="0.2">
      <c r="A29" s="172" t="s">
        <v>415</v>
      </c>
      <c r="B29" s="312">
        <f>SUM(B26:B28)</f>
        <v>0</v>
      </c>
      <c r="C29" s="312">
        <f t="shared" ref="C29" si="5">SUM(C26:C28)</f>
        <v>0</v>
      </c>
      <c r="D29" s="312">
        <f t="shared" ref="D29" si="6">SUM(D26:D28)</f>
        <v>0</v>
      </c>
      <c r="E29" s="312">
        <f t="shared" ref="E29" si="7">SUM(E26:E28)</f>
        <v>0</v>
      </c>
      <c r="F29" s="312">
        <f t="shared" ref="F29" si="8">SUM(F26:F28)</f>
        <v>0</v>
      </c>
    </row>
    <row r="30" spans="1:6" x14ac:dyDescent="0.2">
      <c r="B30" s="65"/>
      <c r="C30" s="65"/>
      <c r="D30" s="65"/>
      <c r="E30" s="65"/>
      <c r="F30" s="65"/>
    </row>
    <row r="31" spans="1:6" x14ac:dyDescent="0.2">
      <c r="A31" s="278" t="s">
        <v>548</v>
      </c>
      <c r="B31" s="29"/>
      <c r="C31" s="29"/>
      <c r="D31" s="25"/>
      <c r="E31" s="25"/>
      <c r="F31" s="25"/>
    </row>
    <row r="32" spans="1:6" ht="38.25" x14ac:dyDescent="0.2">
      <c r="A32" s="173" t="s">
        <v>417</v>
      </c>
      <c r="B32" s="116" t="s">
        <v>305</v>
      </c>
      <c r="C32" s="116" t="s">
        <v>308</v>
      </c>
      <c r="D32" s="116" t="s">
        <v>310</v>
      </c>
      <c r="E32" s="116" t="s">
        <v>448</v>
      </c>
      <c r="F32" s="116" t="s">
        <v>421</v>
      </c>
    </row>
    <row r="33" spans="1:6" x14ac:dyDescent="0.2">
      <c r="A33" s="171"/>
      <c r="B33" s="116" t="s">
        <v>306</v>
      </c>
      <c r="C33" s="116" t="s">
        <v>306</v>
      </c>
      <c r="D33" s="116" t="s">
        <v>306</v>
      </c>
      <c r="E33" s="116" t="s">
        <v>306</v>
      </c>
      <c r="F33" s="116" t="s">
        <v>306</v>
      </c>
    </row>
    <row r="34" spans="1:6" x14ac:dyDescent="0.2">
      <c r="A34" s="172" t="s">
        <v>418</v>
      </c>
      <c r="B34" s="310"/>
      <c r="C34" s="310"/>
      <c r="D34" s="310"/>
      <c r="E34" s="310"/>
      <c r="F34" s="310"/>
    </row>
    <row r="35" spans="1:6" x14ac:dyDescent="0.2">
      <c r="A35" s="2" t="s">
        <v>284</v>
      </c>
      <c r="B35" s="311"/>
      <c r="C35" s="311"/>
      <c r="D35" s="311"/>
      <c r="E35" s="311"/>
      <c r="F35" s="311"/>
    </row>
    <row r="36" spans="1:6" x14ac:dyDescent="0.2">
      <c r="A36" s="2" t="s">
        <v>419</v>
      </c>
      <c r="B36" s="311"/>
      <c r="C36" s="311"/>
      <c r="D36" s="311"/>
      <c r="E36" s="311"/>
      <c r="F36" s="311"/>
    </row>
    <row r="37" spans="1:6" x14ac:dyDescent="0.2">
      <c r="A37" s="2" t="s">
        <v>420</v>
      </c>
      <c r="B37" s="311"/>
      <c r="C37" s="311"/>
      <c r="D37" s="311"/>
      <c r="E37" s="311"/>
      <c r="F37" s="311"/>
    </row>
    <row r="38" spans="1:6" x14ac:dyDescent="0.2">
      <c r="A38" s="172" t="s">
        <v>415</v>
      </c>
      <c r="B38" s="312">
        <f>SUM(B35:B37)</f>
        <v>0</v>
      </c>
      <c r="C38" s="312">
        <f t="shared" ref="C38" si="9">SUM(C35:C37)</f>
        <v>0</v>
      </c>
      <c r="D38" s="312">
        <f t="shared" ref="D38" si="10">SUM(D35:D37)</f>
        <v>0</v>
      </c>
      <c r="E38" s="312">
        <f t="shared" ref="E38" si="11">SUM(E35:E37)</f>
        <v>0</v>
      </c>
      <c r="F38" s="312"/>
    </row>
    <row r="39" spans="1:6" x14ac:dyDescent="0.2">
      <c r="B39" s="25"/>
      <c r="C39" s="25"/>
      <c r="D39" s="25"/>
      <c r="E39" s="25"/>
      <c r="F39" s="25"/>
    </row>
    <row r="40" spans="1:6" x14ac:dyDescent="0.2">
      <c r="A40" s="172" t="s">
        <v>416</v>
      </c>
      <c r="B40" s="313"/>
      <c r="C40" s="313"/>
      <c r="D40" s="313"/>
      <c r="E40" s="313"/>
      <c r="F40" s="313"/>
    </row>
    <row r="41" spans="1:6" x14ac:dyDescent="0.2">
      <c r="A41" s="2" t="s">
        <v>284</v>
      </c>
      <c r="B41" s="311"/>
      <c r="C41" s="311"/>
      <c r="D41" s="311"/>
      <c r="E41" s="311"/>
      <c r="F41" s="311"/>
    </row>
    <row r="42" spans="1:6" x14ac:dyDescent="0.2">
      <c r="A42" s="2" t="s">
        <v>419</v>
      </c>
      <c r="B42" s="311"/>
      <c r="C42" s="311"/>
      <c r="D42" s="311"/>
      <c r="E42" s="311"/>
      <c r="F42" s="311"/>
    </row>
    <row r="43" spans="1:6" x14ac:dyDescent="0.2">
      <c r="A43" s="2" t="s">
        <v>420</v>
      </c>
      <c r="B43" s="311"/>
      <c r="C43" s="311"/>
      <c r="D43" s="311"/>
      <c r="E43" s="311"/>
      <c r="F43" s="311"/>
    </row>
    <row r="44" spans="1:6" x14ac:dyDescent="0.2">
      <c r="A44" s="172" t="s">
        <v>415</v>
      </c>
      <c r="B44" s="312">
        <f>SUM(B41:B43)</f>
        <v>0</v>
      </c>
      <c r="C44" s="312">
        <f t="shared" ref="C44" si="12">SUM(C41:C43)</f>
        <v>0</v>
      </c>
      <c r="D44" s="312">
        <f t="shared" ref="D44" si="13">SUM(D41:D43)</f>
        <v>0</v>
      </c>
      <c r="E44" s="312">
        <f t="shared" ref="E44" si="14">SUM(E41:E43)</f>
        <v>0</v>
      </c>
      <c r="F44" s="312">
        <f t="shared" ref="F44" si="15">SUM(F41:F43)</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DZ55"/>
  <sheetViews>
    <sheetView zoomScaleNormal="100" workbookViewId="0">
      <pane ySplit="4" topLeftCell="A5" activePane="bottomLeft" state="frozen"/>
      <selection pane="bottomLeft"/>
    </sheetView>
  </sheetViews>
  <sheetFormatPr defaultRowHeight="12.75" x14ac:dyDescent="0.2"/>
  <cols>
    <col min="1" max="1" width="29" bestFit="1" customWidth="1"/>
    <col min="2" max="2" width="12.7109375" customWidth="1" collapsed="1"/>
    <col min="3" max="3" width="15.85546875" customWidth="1"/>
    <col min="4" max="4" width="15.28515625" customWidth="1"/>
    <col min="5" max="5" width="17.140625" customWidth="1"/>
    <col min="6" max="6" width="14.28515625" customWidth="1"/>
    <col min="7" max="7" width="14.7109375" bestFit="1" customWidth="1"/>
  </cols>
  <sheetData>
    <row r="1" spans="1:130" x14ac:dyDescent="0.2">
      <c r="B1" s="10" t="s">
        <v>62</v>
      </c>
      <c r="C1" s="2" t="s">
        <v>271</v>
      </c>
      <c r="D1" s="2" t="s">
        <v>272</v>
      </c>
      <c r="E1" s="2" t="s">
        <v>273</v>
      </c>
      <c r="F1" s="2" t="s">
        <v>272</v>
      </c>
      <c r="G1" t="s">
        <v>29</v>
      </c>
    </row>
    <row r="2" spans="1:130" ht="17.100000000000001" customHeight="1" x14ac:dyDescent="0.2">
      <c r="A2" s="316" t="s">
        <v>6</v>
      </c>
      <c r="B2" s="37" t="s">
        <v>257</v>
      </c>
      <c r="C2" s="66" t="s">
        <v>87</v>
      </c>
      <c r="D2" s="318" t="s">
        <v>269</v>
      </c>
      <c r="E2" s="84" t="s">
        <v>276</v>
      </c>
      <c r="F2" s="318" t="s">
        <v>88</v>
      </c>
      <c r="G2" s="84" t="s">
        <v>268</v>
      </c>
    </row>
    <row r="3" spans="1:130" ht="17.100000000000001" customHeight="1" x14ac:dyDescent="0.2">
      <c r="A3" s="317"/>
      <c r="B3" s="37" t="s">
        <v>255</v>
      </c>
      <c r="C3" s="66" t="s">
        <v>277</v>
      </c>
      <c r="D3" s="318" t="s">
        <v>275</v>
      </c>
      <c r="E3" s="84"/>
      <c r="F3" s="318" t="s">
        <v>275</v>
      </c>
      <c r="G3" s="84" t="s">
        <v>267</v>
      </c>
    </row>
    <row r="4" spans="1:130" hidden="1" x14ac:dyDescent="0.2">
      <c r="A4" s="188" t="s">
        <v>311</v>
      </c>
      <c r="B4" s="189" t="s">
        <v>313</v>
      </c>
      <c r="C4" s="190" t="s">
        <v>312</v>
      </c>
      <c r="D4" s="189" t="s">
        <v>314</v>
      </c>
      <c r="E4" s="190" t="s">
        <v>315</v>
      </c>
      <c r="F4" s="189" t="s">
        <v>316</v>
      </c>
      <c r="G4" s="191" t="s">
        <v>317</v>
      </c>
    </row>
    <row r="5" spans="1:130" x14ac:dyDescent="0.2">
      <c r="A5" s="319" t="s">
        <v>84</v>
      </c>
      <c r="B5" s="320">
        <v>9.1999999999999998E-2</v>
      </c>
      <c r="C5" s="321" t="s">
        <v>8</v>
      </c>
      <c r="D5" s="320">
        <v>5.4000000000000001E-11</v>
      </c>
      <c r="E5" s="322">
        <v>1</v>
      </c>
      <c r="F5" s="320">
        <v>4.8999999999999999E-11</v>
      </c>
      <c r="G5" s="320">
        <v>1.9E-2</v>
      </c>
    </row>
    <row r="6" spans="1:130" x14ac:dyDescent="0.2">
      <c r="A6" s="319" t="s">
        <v>166</v>
      </c>
      <c r="B6" s="320"/>
      <c r="C6" s="321"/>
      <c r="D6" s="320"/>
      <c r="E6" s="322">
        <v>1</v>
      </c>
      <c r="F6" s="320">
        <v>4.8999999999999999E-11</v>
      </c>
      <c r="G6" s="320"/>
    </row>
    <row r="7" spans="1:130" x14ac:dyDescent="0.2">
      <c r="A7" s="319" t="s">
        <v>89</v>
      </c>
      <c r="B7" s="320"/>
      <c r="C7" s="321"/>
      <c r="D7" s="320"/>
      <c r="E7" s="322">
        <v>1</v>
      </c>
      <c r="F7" s="320">
        <v>4.8999999999999999E-11</v>
      </c>
      <c r="G7" s="320">
        <v>0.02</v>
      </c>
    </row>
    <row r="8" spans="1:130" x14ac:dyDescent="0.2">
      <c r="A8" s="319" t="s">
        <v>90</v>
      </c>
      <c r="B8" s="320"/>
      <c r="C8" s="321"/>
      <c r="D8" s="320"/>
      <c r="E8" s="322">
        <v>1</v>
      </c>
      <c r="F8" s="320">
        <v>4.8999999999999999E-11</v>
      </c>
      <c r="G8" s="320"/>
    </row>
    <row r="9" spans="1:130" x14ac:dyDescent="0.2">
      <c r="A9" s="319" t="s">
        <v>274</v>
      </c>
      <c r="B9" s="320"/>
      <c r="C9" s="321" t="s">
        <v>7</v>
      </c>
      <c r="D9" s="320">
        <v>2.8999999999999999E-9</v>
      </c>
      <c r="E9" s="322">
        <v>0.8</v>
      </c>
      <c r="F9" s="320">
        <v>2.4E-9</v>
      </c>
      <c r="G9" s="320">
        <v>2.4</v>
      </c>
    </row>
    <row r="10" spans="1:130" s="8" customFormat="1" x14ac:dyDescent="0.2">
      <c r="A10" s="319" t="s">
        <v>91</v>
      </c>
      <c r="B10" s="320"/>
      <c r="C10" s="321"/>
      <c r="D10" s="320"/>
      <c r="E10" s="322">
        <v>1E-3</v>
      </c>
      <c r="F10" s="320">
        <v>1E-10</v>
      </c>
      <c r="G10" s="320"/>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row>
    <row r="11" spans="1:130" s="8" customFormat="1" x14ac:dyDescent="0.2">
      <c r="A11" s="319" t="s">
        <v>75</v>
      </c>
      <c r="B11" s="320"/>
      <c r="C11" s="321" t="s">
        <v>8</v>
      </c>
      <c r="D11" s="320">
        <v>4.8999999999999999E-11</v>
      </c>
      <c r="E11" s="322">
        <v>1E-3</v>
      </c>
      <c r="F11" s="320">
        <v>1E-10</v>
      </c>
      <c r="G11" s="320">
        <v>0.02</v>
      </c>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row>
    <row r="12" spans="1:130" x14ac:dyDescent="0.2">
      <c r="A12" s="319" t="s">
        <v>80</v>
      </c>
      <c r="B12" s="320"/>
      <c r="C12" s="321"/>
      <c r="D12" s="320"/>
      <c r="E12" s="322">
        <v>1E-3</v>
      </c>
      <c r="F12" s="320">
        <v>1E-10</v>
      </c>
      <c r="G12" s="320"/>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row>
    <row r="13" spans="1:130" ht="12.75" customHeight="1" x14ac:dyDescent="0.2">
      <c r="A13" s="319" t="s">
        <v>92</v>
      </c>
      <c r="B13" s="320"/>
      <c r="C13" s="321" t="s">
        <v>65</v>
      </c>
      <c r="D13" s="320">
        <f>0.000027/1000/1000000</f>
        <v>2.7000000000000002E-14</v>
      </c>
      <c r="E13" s="322" t="s">
        <v>64</v>
      </c>
      <c r="F13" s="320" t="s">
        <v>64</v>
      </c>
      <c r="G13" s="320" t="s">
        <v>64</v>
      </c>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row>
    <row r="14" spans="1:130" x14ac:dyDescent="0.2">
      <c r="A14" s="319" t="s">
        <v>95</v>
      </c>
      <c r="B14" s="320"/>
      <c r="C14" s="321" t="s">
        <v>8</v>
      </c>
      <c r="D14" s="320">
        <v>1.3999999999999999E-9</v>
      </c>
      <c r="E14" s="322">
        <v>0.3</v>
      </c>
      <c r="F14" s="320">
        <v>2.6000000000000001E-9</v>
      </c>
      <c r="G14" s="320">
        <v>3.1</v>
      </c>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row>
    <row r="15" spans="1:130" x14ac:dyDescent="0.2">
      <c r="A15" s="319" t="s">
        <v>93</v>
      </c>
      <c r="B15" s="320"/>
      <c r="C15" s="321" t="s">
        <v>7</v>
      </c>
      <c r="D15" s="320">
        <v>1.6000000000000001E-9</v>
      </c>
      <c r="E15" s="322">
        <v>1E-4</v>
      </c>
      <c r="F15" s="320">
        <v>2.7000000000000002E-9</v>
      </c>
      <c r="G15" s="320">
        <v>1.05</v>
      </c>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row>
    <row r="16" spans="1:130" s="4" customFormat="1" x14ac:dyDescent="0.2">
      <c r="A16" s="319" t="s">
        <v>94</v>
      </c>
      <c r="B16" s="320"/>
      <c r="C16" s="321" t="s">
        <v>7</v>
      </c>
      <c r="D16" s="320">
        <v>2.9E-11</v>
      </c>
      <c r="E16" s="322">
        <v>0.8</v>
      </c>
      <c r="F16" s="320">
        <v>2.2000000000000002E-11</v>
      </c>
      <c r="G16" s="320">
        <v>1.2999999999999999E-2</v>
      </c>
    </row>
    <row r="17" spans="1:130" x14ac:dyDescent="0.2">
      <c r="A17" s="319" t="s">
        <v>96</v>
      </c>
      <c r="B17" s="320"/>
      <c r="C17" s="321" t="s">
        <v>8</v>
      </c>
      <c r="D17" s="320">
        <v>1.9999999999999999E-11</v>
      </c>
      <c r="E17" s="322">
        <v>0.8</v>
      </c>
      <c r="F17" s="320">
        <v>2.2000000000000002E-11</v>
      </c>
      <c r="G17" s="320">
        <v>1.0999999999999999E-2</v>
      </c>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row>
    <row r="18" spans="1:130" x14ac:dyDescent="0.2">
      <c r="A18" s="319" t="s">
        <v>97</v>
      </c>
      <c r="B18" s="320"/>
      <c r="C18" s="321" t="s">
        <v>8</v>
      </c>
      <c r="D18" s="320">
        <v>1.9999999999999999E-11</v>
      </c>
      <c r="E18" s="322">
        <v>0.8</v>
      </c>
      <c r="F18" s="320">
        <v>2.2000000000000002E-11</v>
      </c>
      <c r="G18" s="320">
        <v>7.0000000000000001E-3</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row>
    <row r="19" spans="1:130" ht="12.75" customHeight="1" x14ac:dyDescent="0.2">
      <c r="A19" s="319" t="s">
        <v>98</v>
      </c>
      <c r="B19" s="320"/>
      <c r="C19" s="321" t="s">
        <v>8</v>
      </c>
      <c r="D19" s="320">
        <v>1.9999999999999999E-11</v>
      </c>
      <c r="E19" s="322">
        <v>0.8</v>
      </c>
      <c r="F19" s="320">
        <v>2.2000000000000002E-11</v>
      </c>
      <c r="G19" s="320">
        <v>1.1999999999999999E-3</v>
      </c>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row>
    <row r="20" spans="1:130" ht="12.75" customHeight="1" x14ac:dyDescent="0.2">
      <c r="A20" s="319" t="s">
        <v>168</v>
      </c>
      <c r="B20" s="320"/>
      <c r="C20" s="321" t="s">
        <v>8</v>
      </c>
      <c r="D20" s="320">
        <v>1.9999999999999999E-11</v>
      </c>
      <c r="E20" s="322">
        <v>0.8</v>
      </c>
      <c r="F20" s="320">
        <v>2.2000000000000002E-11</v>
      </c>
      <c r="G20" s="320">
        <v>8.9999999999999993E-3</v>
      </c>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row>
    <row r="21" spans="1:130" ht="12.75" customHeight="1" x14ac:dyDescent="0.2">
      <c r="A21" s="319" t="s">
        <v>169</v>
      </c>
      <c r="B21" s="320"/>
      <c r="C21" s="321" t="s">
        <v>8</v>
      </c>
      <c r="D21" s="320">
        <v>1.9999999999999999E-11</v>
      </c>
      <c r="E21" s="322">
        <v>0.8</v>
      </c>
      <c r="F21" s="320">
        <v>2.2000000000000002E-11</v>
      </c>
      <c r="G21" s="320">
        <v>8.9999999999999993E-3</v>
      </c>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row>
    <row r="22" spans="1:130" ht="12.75" customHeight="1" x14ac:dyDescent="0.2">
      <c r="A22" s="319" t="s">
        <v>170</v>
      </c>
      <c r="B22" s="320"/>
      <c r="C22" s="321" t="s">
        <v>8</v>
      </c>
      <c r="D22" s="320">
        <v>1.9999999999999999E-11</v>
      </c>
      <c r="E22" s="322">
        <v>0.8</v>
      </c>
      <c r="F22" s="320">
        <v>2.2000000000000002E-11</v>
      </c>
      <c r="G22" s="320">
        <v>8.9999999999999993E-3</v>
      </c>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row>
    <row r="23" spans="1:130" x14ac:dyDescent="0.2">
      <c r="A23" s="319" t="s">
        <v>171</v>
      </c>
      <c r="B23" s="320"/>
      <c r="C23" s="321" t="s">
        <v>8</v>
      </c>
      <c r="D23" s="320">
        <v>1.9999999999999999E-11</v>
      </c>
      <c r="E23" s="322">
        <v>0.8</v>
      </c>
      <c r="F23" s="320">
        <v>2.2000000000000002E-11</v>
      </c>
      <c r="G23" s="320">
        <v>8.0000000000000002E-3</v>
      </c>
    </row>
    <row r="24" spans="1:130" x14ac:dyDescent="0.2">
      <c r="A24" s="319" t="s">
        <v>172</v>
      </c>
      <c r="B24" s="320"/>
      <c r="C24" s="321" t="s">
        <v>8</v>
      </c>
      <c r="D24" s="320">
        <v>1.9999999999999999E-11</v>
      </c>
      <c r="E24" s="322">
        <v>0.8</v>
      </c>
      <c r="F24" s="320">
        <v>2.2000000000000002E-11</v>
      </c>
      <c r="G24" s="320">
        <v>4.8999999999999998E-3</v>
      </c>
    </row>
    <row r="25" spans="1:130" x14ac:dyDescent="0.2">
      <c r="A25" s="319" t="s">
        <v>173</v>
      </c>
      <c r="B25" s="320"/>
      <c r="C25" s="321" t="s">
        <v>8</v>
      </c>
      <c r="D25" s="320">
        <v>1.9999999999999999E-11</v>
      </c>
      <c r="E25" s="322">
        <v>0.8</v>
      </c>
      <c r="F25" s="320">
        <v>2.2000000000000002E-11</v>
      </c>
      <c r="G25" s="320">
        <v>4.8999999999999998E-3</v>
      </c>
    </row>
    <row r="26" spans="1:130" x14ac:dyDescent="0.2">
      <c r="A26" s="319" t="s">
        <v>282</v>
      </c>
      <c r="B26" s="320"/>
      <c r="C26" s="321" t="s">
        <v>8</v>
      </c>
      <c r="D26" s="320">
        <v>1.9999999999999999E-11</v>
      </c>
      <c r="E26" s="322">
        <v>0.8</v>
      </c>
      <c r="F26" s="320">
        <v>2.2000000000000002E-11</v>
      </c>
      <c r="G26" s="320">
        <v>4.8999999999999998E-3</v>
      </c>
    </row>
    <row r="27" spans="1:130" x14ac:dyDescent="0.2">
      <c r="A27" s="319" t="s">
        <v>174</v>
      </c>
      <c r="B27" s="320"/>
      <c r="C27" s="321" t="s">
        <v>8</v>
      </c>
      <c r="D27" s="320">
        <v>1.9999999999999999E-11</v>
      </c>
      <c r="E27" s="322">
        <v>0.8</v>
      </c>
      <c r="F27" s="320">
        <v>2.2000000000000002E-11</v>
      </c>
      <c r="G27" s="320">
        <v>4.8999999999999998E-3</v>
      </c>
    </row>
    <row r="28" spans="1:130" x14ac:dyDescent="0.2">
      <c r="A28" s="323" t="s">
        <v>99</v>
      </c>
      <c r="B28" s="320"/>
      <c r="C28" s="321" t="s">
        <v>8</v>
      </c>
      <c r="D28" s="320">
        <v>1.9999999999999999E-11</v>
      </c>
      <c r="E28" s="322">
        <v>0.8</v>
      </c>
      <c r="F28" s="320">
        <v>2.2000000000000002E-11</v>
      </c>
      <c r="G28" s="320">
        <v>8.8000000000000005E-3</v>
      </c>
    </row>
    <row r="29" spans="1:130" x14ac:dyDescent="0.2">
      <c r="A29" s="324" t="s">
        <v>100</v>
      </c>
      <c r="B29" s="320"/>
      <c r="C29" s="321" t="s">
        <v>8</v>
      </c>
      <c r="D29" s="320">
        <v>1.9999999999999999E-11</v>
      </c>
      <c r="E29" s="322">
        <v>0.8</v>
      </c>
      <c r="F29" s="320">
        <v>2.2000000000000002E-11</v>
      </c>
      <c r="G29" s="320">
        <v>4.8999999999999998E-3</v>
      </c>
    </row>
    <row r="30" spans="1:130" x14ac:dyDescent="0.2">
      <c r="A30" s="319" t="s">
        <v>175</v>
      </c>
      <c r="B30" s="320"/>
      <c r="C30" s="321" t="s">
        <v>8</v>
      </c>
      <c r="D30" s="320">
        <v>1.9999999999999999E-11</v>
      </c>
      <c r="E30" s="322">
        <v>0.8</v>
      </c>
      <c r="F30" s="320">
        <v>2.2000000000000002E-11</v>
      </c>
      <c r="G30" s="320">
        <v>6.1000000000000004E-3</v>
      </c>
    </row>
    <row r="31" spans="1:130" x14ac:dyDescent="0.2">
      <c r="A31" s="319" t="s">
        <v>176</v>
      </c>
      <c r="B31" s="320"/>
      <c r="C31" s="321" t="s">
        <v>8</v>
      </c>
      <c r="D31" s="320">
        <v>1.9999999999999999E-11</v>
      </c>
      <c r="E31" s="322">
        <v>0.8</v>
      </c>
      <c r="F31" s="320">
        <v>2.2000000000000002E-11</v>
      </c>
      <c r="G31" s="320">
        <v>6.1000000000000004E-3</v>
      </c>
    </row>
    <row r="32" spans="1:130" s="4" customFormat="1" x14ac:dyDescent="0.2">
      <c r="A32" s="319" t="s">
        <v>177</v>
      </c>
      <c r="B32" s="320"/>
      <c r="C32" s="321" t="s">
        <v>8</v>
      </c>
      <c r="D32" s="320">
        <v>1.9999999999999999E-11</v>
      </c>
      <c r="E32" s="322">
        <v>0.8</v>
      </c>
      <c r="F32" s="320">
        <v>2.2000000000000002E-11</v>
      </c>
      <c r="G32" s="320">
        <v>6.1000000000000004E-3</v>
      </c>
    </row>
    <row r="33" spans="1:7" x14ac:dyDescent="0.2">
      <c r="A33" s="319" t="s">
        <v>101</v>
      </c>
      <c r="B33" s="325"/>
      <c r="C33" s="321" t="s">
        <v>8</v>
      </c>
      <c r="D33" s="320">
        <v>1.9999999999999999E-11</v>
      </c>
      <c r="E33" s="322">
        <v>0.8</v>
      </c>
      <c r="F33" s="320">
        <v>2.2000000000000002E-11</v>
      </c>
      <c r="G33" s="320">
        <v>9.2999999999999992E-3</v>
      </c>
    </row>
    <row r="34" spans="1:7" x14ac:dyDescent="0.2">
      <c r="A34" s="319" t="s">
        <v>178</v>
      </c>
      <c r="B34" s="325"/>
      <c r="C34" s="321" t="s">
        <v>8</v>
      </c>
      <c r="D34" s="320">
        <v>2.1999999999999999E-10</v>
      </c>
      <c r="E34" s="322">
        <v>0.02</v>
      </c>
      <c r="F34" s="320">
        <v>2.8999999999999998E-10</v>
      </c>
      <c r="G34" s="320">
        <v>5.3999999999999999E-2</v>
      </c>
    </row>
    <row r="35" spans="1:7" x14ac:dyDescent="0.2">
      <c r="A35" s="319" t="s">
        <v>179</v>
      </c>
      <c r="B35" s="325"/>
      <c r="C35" s="321" t="s">
        <v>8</v>
      </c>
      <c r="D35" s="320">
        <v>2.1999999999999999E-10</v>
      </c>
      <c r="E35" s="322">
        <v>0.02</v>
      </c>
      <c r="F35" s="320">
        <v>2.8999999999999998E-10</v>
      </c>
      <c r="G35" s="326">
        <v>5.3999999999999999E-2</v>
      </c>
    </row>
    <row r="36" spans="1:7" x14ac:dyDescent="0.2">
      <c r="A36" s="327" t="s">
        <v>180</v>
      </c>
      <c r="B36" s="325"/>
      <c r="C36" s="321" t="s">
        <v>8</v>
      </c>
      <c r="D36" s="320">
        <v>1.0999999999999999E-10</v>
      </c>
      <c r="E36" s="322">
        <v>1</v>
      </c>
      <c r="F36" s="320">
        <v>2.1E-10</v>
      </c>
      <c r="G36" s="320">
        <v>2.35E-2</v>
      </c>
    </row>
    <row r="37" spans="1:7" x14ac:dyDescent="0.2">
      <c r="A37" s="327" t="s">
        <v>181</v>
      </c>
      <c r="B37" s="328"/>
      <c r="C37" s="321" t="s">
        <v>8</v>
      </c>
      <c r="D37" s="320">
        <v>1.0999999999999999E-10</v>
      </c>
      <c r="E37" s="322">
        <v>1</v>
      </c>
      <c r="F37" s="320">
        <v>2.1E-10</v>
      </c>
      <c r="G37" s="320">
        <v>2.35E-2</v>
      </c>
    </row>
    <row r="38" spans="1:7" x14ac:dyDescent="0.2">
      <c r="A38" s="327" t="s">
        <v>102</v>
      </c>
      <c r="B38" s="328"/>
      <c r="C38" s="321" t="str">
        <f>C36</f>
        <v>F</v>
      </c>
      <c r="D38" s="320">
        <v>1.0999999999999999E-10</v>
      </c>
      <c r="E38" s="322">
        <v>1</v>
      </c>
      <c r="F38" s="320">
        <v>2.1E-10</v>
      </c>
      <c r="G38" s="320">
        <v>0.05</v>
      </c>
    </row>
    <row r="39" spans="1:7" x14ac:dyDescent="0.2">
      <c r="A39" s="327" t="s">
        <v>103</v>
      </c>
      <c r="B39" s="328"/>
      <c r="C39" s="321" t="str">
        <f>C38</f>
        <v>F</v>
      </c>
      <c r="D39" s="320">
        <v>1.0999999999999999E-10</v>
      </c>
      <c r="E39" s="322">
        <v>1</v>
      </c>
      <c r="F39" s="320">
        <v>2.1E-10</v>
      </c>
      <c r="G39" s="320">
        <v>0.22</v>
      </c>
    </row>
    <row r="40" spans="1:7" x14ac:dyDescent="0.2">
      <c r="A40" s="329" t="s">
        <v>105</v>
      </c>
      <c r="B40" s="328"/>
      <c r="C40" s="321" t="str">
        <f>C39</f>
        <v>F</v>
      </c>
      <c r="D40" s="320">
        <v>1.0999999999999999E-10</v>
      </c>
      <c r="E40" s="322">
        <v>1</v>
      </c>
      <c r="F40" s="320">
        <v>2.1E-10</v>
      </c>
      <c r="G40" s="320">
        <v>0.22</v>
      </c>
    </row>
    <row r="41" spans="1:7" s="4" customFormat="1" x14ac:dyDescent="0.2">
      <c r="A41" s="327" t="s">
        <v>104</v>
      </c>
      <c r="B41" s="330"/>
      <c r="C41" s="321" t="s">
        <v>8</v>
      </c>
      <c r="D41" s="320">
        <v>1.0999999999999999E-10</v>
      </c>
      <c r="E41" s="322">
        <v>1</v>
      </c>
      <c r="F41" s="320">
        <v>2.1E-10</v>
      </c>
      <c r="G41" s="320">
        <v>1.2999999999999999E-2</v>
      </c>
    </row>
    <row r="42" spans="1:7" x14ac:dyDescent="0.2">
      <c r="A42" s="331" t="s">
        <v>167</v>
      </c>
      <c r="B42" s="330"/>
      <c r="C42" s="321" t="s">
        <v>8</v>
      </c>
      <c r="D42" s="320">
        <v>6.3000000000000002E-9</v>
      </c>
      <c r="E42" s="322">
        <v>1</v>
      </c>
      <c r="F42" s="320">
        <v>1.3000000000000001E-8</v>
      </c>
      <c r="G42" s="320">
        <v>15</v>
      </c>
    </row>
    <row r="43" spans="1:7" x14ac:dyDescent="0.2">
      <c r="A43" s="331" t="s">
        <v>106</v>
      </c>
      <c r="B43" s="330"/>
      <c r="C43" s="321" t="s">
        <v>8</v>
      </c>
      <c r="D43" s="320">
        <v>1.0999999999999999E-8</v>
      </c>
      <c r="E43" s="322">
        <v>1</v>
      </c>
      <c r="F43" s="320">
        <v>2.1999999999999998E-8</v>
      </c>
      <c r="G43" s="320">
        <v>24</v>
      </c>
    </row>
    <row r="44" spans="1:7" s="4" customFormat="1" x14ac:dyDescent="0.2">
      <c r="A44" s="327" t="s">
        <v>107</v>
      </c>
      <c r="B44" s="330"/>
      <c r="C44" s="321" t="s">
        <v>7</v>
      </c>
      <c r="D44" s="320">
        <v>6.8000000000000003E-10</v>
      </c>
      <c r="E44" s="322">
        <v>5.0000000000000001E-4</v>
      </c>
      <c r="F44" s="320">
        <v>7.4000000000000003E-10</v>
      </c>
      <c r="G44" s="320">
        <v>0.307</v>
      </c>
    </row>
    <row r="45" spans="1:7" x14ac:dyDescent="0.2">
      <c r="A45" s="327" t="s">
        <v>182</v>
      </c>
      <c r="B45" s="328"/>
      <c r="C45" s="322" t="s">
        <v>7</v>
      </c>
      <c r="D45" s="320">
        <v>5.6999999999999996E-6</v>
      </c>
      <c r="E45" s="322">
        <v>0.2</v>
      </c>
      <c r="F45" s="320">
        <v>9.9999999999999995E-8</v>
      </c>
      <c r="G45" s="320">
        <v>23.11</v>
      </c>
    </row>
    <row r="46" spans="1:7" x14ac:dyDescent="0.2">
      <c r="A46" s="285"/>
      <c r="B46" s="4"/>
      <c r="C46" s="10"/>
      <c r="D46" s="12"/>
      <c r="E46" s="10"/>
      <c r="F46" s="12"/>
      <c r="G46" s="12"/>
    </row>
    <row r="47" spans="1:7" ht="19.5" customHeight="1" x14ac:dyDescent="0.2">
      <c r="A47" s="315" t="s">
        <v>11</v>
      </c>
      <c r="B47" s="77"/>
      <c r="C47" s="77"/>
      <c r="D47" s="77"/>
      <c r="E47" s="77"/>
      <c r="F47" s="77"/>
      <c r="G47" s="77"/>
    </row>
    <row r="48" spans="1:7" ht="15.75" x14ac:dyDescent="0.3">
      <c r="A48" s="48" t="s">
        <v>28</v>
      </c>
      <c r="B48" s="169" t="s">
        <v>63</v>
      </c>
      <c r="C48" s="48" t="s">
        <v>24</v>
      </c>
      <c r="D48" s="48" t="s">
        <v>23</v>
      </c>
      <c r="E48" s="48" t="s">
        <v>22</v>
      </c>
      <c r="F48" s="48" t="s">
        <v>27</v>
      </c>
      <c r="G48" s="48" t="s">
        <v>25</v>
      </c>
    </row>
    <row r="49" spans="1:36" ht="289.5" customHeight="1" x14ac:dyDescent="0.2">
      <c r="A49" s="74" t="s">
        <v>461</v>
      </c>
      <c r="B49" s="74" t="s">
        <v>270</v>
      </c>
      <c r="C49" s="74" t="s">
        <v>456</v>
      </c>
      <c r="D49" s="74" t="s">
        <v>457</v>
      </c>
      <c r="E49" s="74" t="s">
        <v>458</v>
      </c>
      <c r="F49" s="74" t="s">
        <v>459</v>
      </c>
      <c r="G49" s="83" t="s">
        <v>460</v>
      </c>
    </row>
    <row r="50" spans="1:36" x14ac:dyDescent="0.2">
      <c r="A50" s="74"/>
      <c r="B50" s="74"/>
      <c r="C50" s="74"/>
      <c r="D50" s="74"/>
      <c r="E50" s="74"/>
      <c r="F50" s="74"/>
      <c r="G50" s="83"/>
    </row>
    <row r="51" spans="1:36" s="4" customFormat="1" x14ac:dyDescent="0.2">
      <c r="A51" s="315" t="s">
        <v>76</v>
      </c>
      <c r="B51" s="77"/>
      <c r="C51" s="77"/>
      <c r="D51" s="77"/>
      <c r="E51" s="77"/>
      <c r="F51" s="77"/>
      <c r="G51" s="77"/>
      <c r="H51" s="77"/>
      <c r="I51" s="77"/>
      <c r="J51" s="77"/>
      <c r="N51" s="71"/>
      <c r="O51" s="71"/>
      <c r="T51" s="71"/>
      <c r="U51" s="71"/>
      <c r="X51" s="71"/>
      <c r="Y51" s="71"/>
      <c r="Z51" s="71"/>
      <c r="AD51" s="71"/>
      <c r="AE51" s="71"/>
      <c r="AF51" s="71"/>
      <c r="AJ51" s="11"/>
    </row>
    <row r="52" spans="1:36" x14ac:dyDescent="0.2">
      <c r="A52" s="5" t="s">
        <v>20</v>
      </c>
      <c r="B52" s="2" t="s">
        <v>197</v>
      </c>
      <c r="N52" s="70"/>
      <c r="O52" s="70"/>
      <c r="T52" s="70"/>
      <c r="U52" s="70"/>
      <c r="X52" s="70"/>
      <c r="Y52" s="70"/>
      <c r="Z52" s="70"/>
      <c r="AD52" s="70"/>
      <c r="AE52" s="71"/>
      <c r="AF52" s="70"/>
      <c r="AH52" s="4"/>
      <c r="AI52" s="4"/>
      <c r="AJ52" s="9"/>
    </row>
    <row r="53" spans="1:36" x14ac:dyDescent="0.2">
      <c r="A53" s="5" t="s">
        <v>507</v>
      </c>
      <c r="B53" s="2" t="s">
        <v>508</v>
      </c>
      <c r="N53" s="70"/>
      <c r="O53" s="70"/>
      <c r="T53" s="70"/>
      <c r="U53" s="70"/>
      <c r="X53" s="70"/>
      <c r="Y53" s="70"/>
      <c r="Z53" s="70"/>
      <c r="AD53" s="70"/>
      <c r="AE53" s="71"/>
      <c r="AF53" s="70"/>
      <c r="AH53" s="4"/>
      <c r="AI53" s="4"/>
      <c r="AJ53" s="9"/>
    </row>
    <row r="54" spans="1:36" x14ac:dyDescent="0.2">
      <c r="A54" s="5" t="s">
        <v>510</v>
      </c>
      <c r="B54" s="2" t="s">
        <v>509</v>
      </c>
    </row>
    <row r="55" spans="1:36" x14ac:dyDescent="0.2">
      <c r="A55" s="5" t="s">
        <v>511</v>
      </c>
      <c r="B55" s="2" t="s">
        <v>512</v>
      </c>
    </row>
  </sheetData>
  <pageMargins left="0.7" right="0.7" top="0.75" bottom="0.75" header="0.3" footer="0.3"/>
  <pageSetup paperSize="9" orientation="portrait" r:id="rId1"/>
  <legacy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election activeCell="A17" sqref="A17"/>
    </sheetView>
  </sheetViews>
  <sheetFormatPr defaultRowHeight="12.75" x14ac:dyDescent="0.2"/>
  <cols>
    <col min="1" max="1" width="19" bestFit="1" customWidth="1"/>
    <col min="2" max="6" width="11" customWidth="1"/>
  </cols>
  <sheetData>
    <row r="1" spans="1:7" x14ac:dyDescent="0.2">
      <c r="A1" s="49" t="s">
        <v>119</v>
      </c>
    </row>
    <row r="2" spans="1:7" x14ac:dyDescent="0.2">
      <c r="A2" s="2"/>
    </row>
    <row r="3" spans="1:7" x14ac:dyDescent="0.2">
      <c r="A3" s="49" t="s">
        <v>85</v>
      </c>
      <c r="B3" s="49">
        <v>1</v>
      </c>
      <c r="C3" s="49">
        <v>0.5</v>
      </c>
      <c r="D3" s="49">
        <v>0.25</v>
      </c>
      <c r="E3" s="49">
        <v>0.1</v>
      </c>
      <c r="F3" s="49">
        <v>0.01</v>
      </c>
      <c r="G3" s="49">
        <v>1E-3</v>
      </c>
    </row>
    <row r="4" spans="1:7" x14ac:dyDescent="0.2">
      <c r="A4" s="60" t="s">
        <v>12</v>
      </c>
      <c r="B4">
        <v>0</v>
      </c>
      <c r="C4">
        <v>12</v>
      </c>
      <c r="E4">
        <v>35</v>
      </c>
    </row>
    <row r="5" spans="1:7" x14ac:dyDescent="0.2">
      <c r="A5" s="60" t="s">
        <v>15</v>
      </c>
      <c r="B5">
        <v>0</v>
      </c>
      <c r="C5">
        <v>7.2</v>
      </c>
      <c r="D5">
        <v>15.9</v>
      </c>
      <c r="E5">
        <v>30.5</v>
      </c>
      <c r="F5">
        <v>76.5</v>
      </c>
      <c r="G5">
        <v>124</v>
      </c>
    </row>
    <row r="6" spans="1:7" x14ac:dyDescent="0.2">
      <c r="A6" s="60" t="s">
        <v>110</v>
      </c>
      <c r="B6">
        <v>0</v>
      </c>
      <c r="C6">
        <v>5.83</v>
      </c>
      <c r="D6">
        <v>13.7</v>
      </c>
      <c r="E6">
        <v>23.4</v>
      </c>
      <c r="F6">
        <v>46.8</v>
      </c>
      <c r="G6">
        <v>69.5</v>
      </c>
    </row>
    <row r="7" spans="1:7" x14ac:dyDescent="0.2">
      <c r="A7" s="60" t="s">
        <v>17</v>
      </c>
      <c r="B7">
        <v>0</v>
      </c>
      <c r="C7">
        <v>5.12</v>
      </c>
      <c r="D7">
        <v>9.84</v>
      </c>
      <c r="E7">
        <v>16</v>
      </c>
      <c r="F7">
        <v>33.799999999999997</v>
      </c>
      <c r="G7">
        <v>61.7</v>
      </c>
    </row>
    <row r="8" spans="1:7" x14ac:dyDescent="0.2">
      <c r="A8" s="60" t="s">
        <v>109</v>
      </c>
      <c r="B8">
        <v>0</v>
      </c>
      <c r="C8">
        <v>4.96</v>
      </c>
      <c r="D8">
        <v>9.69</v>
      </c>
      <c r="E8">
        <v>16.2</v>
      </c>
      <c r="F8">
        <v>37.9</v>
      </c>
      <c r="G8">
        <v>71.599999999999994</v>
      </c>
    </row>
    <row r="9" spans="1:7" x14ac:dyDescent="0.2">
      <c r="A9" s="2" t="s">
        <v>4</v>
      </c>
      <c r="B9">
        <v>0</v>
      </c>
      <c r="C9">
        <v>4.95</v>
      </c>
      <c r="D9">
        <v>9.4600000000000009</v>
      </c>
      <c r="E9">
        <v>15.1</v>
      </c>
      <c r="F9">
        <v>28.9</v>
      </c>
      <c r="G9">
        <v>42.5</v>
      </c>
    </row>
    <row r="10" spans="1:7" x14ac:dyDescent="0.2">
      <c r="A10" s="60" t="s">
        <v>3</v>
      </c>
      <c r="B10">
        <v>0</v>
      </c>
      <c r="C10">
        <v>2.74</v>
      </c>
      <c r="D10">
        <v>5.59</v>
      </c>
      <c r="E10">
        <v>9.93</v>
      </c>
      <c r="F10">
        <v>25.9</v>
      </c>
      <c r="G10">
        <v>45.3</v>
      </c>
    </row>
    <row r="11" spans="1:7" x14ac:dyDescent="0.2">
      <c r="A11" s="60" t="s">
        <v>16</v>
      </c>
      <c r="B11">
        <v>0</v>
      </c>
      <c r="C11">
        <v>0.69</v>
      </c>
      <c r="D11">
        <v>1.92</v>
      </c>
      <c r="E11">
        <v>4.22</v>
      </c>
      <c r="F11">
        <v>12.2</v>
      </c>
      <c r="G11">
        <v>23.8</v>
      </c>
    </row>
    <row r="12" spans="1:7" x14ac:dyDescent="0.2">
      <c r="A12" s="60" t="s">
        <v>14</v>
      </c>
      <c r="B12">
        <v>0</v>
      </c>
      <c r="C12">
        <v>0.67500000000000004</v>
      </c>
      <c r="D12">
        <v>1.22</v>
      </c>
      <c r="E12">
        <v>1.93</v>
      </c>
      <c r="F12">
        <v>3.68</v>
      </c>
      <c r="G12">
        <v>5.43</v>
      </c>
    </row>
    <row r="13" spans="1:7" x14ac:dyDescent="0.2">
      <c r="A13" s="60" t="s">
        <v>1</v>
      </c>
      <c r="B13">
        <v>0</v>
      </c>
      <c r="C13">
        <v>0.25700000000000001</v>
      </c>
      <c r="D13">
        <v>0.95</v>
      </c>
      <c r="E13">
        <v>1.96</v>
      </c>
      <c r="F13">
        <v>4.82</v>
      </c>
      <c r="G13">
        <v>7.77</v>
      </c>
    </row>
    <row r="14" spans="1:7" x14ac:dyDescent="0.2">
      <c r="A14" s="2" t="s">
        <v>0</v>
      </c>
      <c r="B14">
        <v>0</v>
      </c>
      <c r="C14">
        <v>0.23400000000000001</v>
      </c>
      <c r="D14">
        <v>0.53500000000000003</v>
      </c>
      <c r="E14">
        <v>0.90500000000000003</v>
      </c>
      <c r="F14">
        <v>1.8</v>
      </c>
      <c r="G14">
        <v>2.7</v>
      </c>
    </row>
    <row r="15" spans="1:7" x14ac:dyDescent="0.2">
      <c r="A15" s="60" t="s">
        <v>9</v>
      </c>
      <c r="B15">
        <v>0</v>
      </c>
      <c r="C15">
        <v>8.7599999999999997E-2</v>
      </c>
      <c r="D15">
        <v>0.20399999999999999</v>
      </c>
      <c r="E15">
        <v>0.432</v>
      </c>
      <c r="F15">
        <v>1.67</v>
      </c>
      <c r="G15">
        <v>17.600000000000001</v>
      </c>
    </row>
    <row r="16" spans="1:7" x14ac:dyDescent="0.2">
      <c r="A16" s="60" t="s">
        <v>2</v>
      </c>
      <c r="B16">
        <v>0</v>
      </c>
      <c r="C16">
        <v>6.6699999999999995E-2</v>
      </c>
      <c r="D16">
        <v>0.442</v>
      </c>
      <c r="E16">
        <v>1.1200000000000001</v>
      </c>
      <c r="F16">
        <v>11.1</v>
      </c>
      <c r="G16">
        <v>27.1</v>
      </c>
    </row>
  </sheetData>
  <scenarios current="0" show="0">
    <scenario name="w?" locked="1" count="1" user="Bijkerk, Remko" comment="Gemaakt door Bijkerk, Remko op 28-2-2019">
      <inputCells r="L2" undone="1" val="1"/>
    </scenario>
  </scenario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C1" sqref="C1"/>
    </sheetView>
  </sheetViews>
  <sheetFormatPr defaultRowHeight="12.75" x14ac:dyDescent="0.2"/>
  <cols>
    <col min="1" max="1" width="12.7109375" customWidth="1"/>
    <col min="2" max="2" width="12.7109375" style="342" customWidth="1"/>
    <col min="3" max="3" width="132.85546875" customWidth="1"/>
    <col min="257" max="257" width="20.5703125" customWidth="1"/>
    <col min="513" max="513" width="20.5703125" customWidth="1"/>
    <col min="769" max="769" width="20.5703125" customWidth="1"/>
    <col min="1025" max="1025" width="20.5703125" customWidth="1"/>
    <col min="1281" max="1281" width="20.5703125" customWidth="1"/>
    <col min="1537" max="1537" width="20.5703125" customWidth="1"/>
    <col min="1793" max="1793" width="20.5703125" customWidth="1"/>
    <col min="2049" max="2049" width="20.5703125" customWidth="1"/>
    <col min="2305" max="2305" width="20.5703125" customWidth="1"/>
    <col min="2561" max="2561" width="20.5703125" customWidth="1"/>
    <col min="2817" max="2817" width="20.5703125" customWidth="1"/>
    <col min="3073" max="3073" width="20.5703125" customWidth="1"/>
    <col min="3329" max="3329" width="20.5703125" customWidth="1"/>
    <col min="3585" max="3585" width="20.5703125" customWidth="1"/>
    <col min="3841" max="3841" width="20.5703125" customWidth="1"/>
    <col min="4097" max="4097" width="20.5703125" customWidth="1"/>
    <col min="4353" max="4353" width="20.5703125" customWidth="1"/>
    <col min="4609" max="4609" width="20.5703125" customWidth="1"/>
    <col min="4865" max="4865" width="20.5703125" customWidth="1"/>
    <col min="5121" max="5121" width="20.5703125" customWidth="1"/>
    <col min="5377" max="5377" width="20.5703125" customWidth="1"/>
    <col min="5633" max="5633" width="20.5703125" customWidth="1"/>
    <col min="5889" max="5889" width="20.5703125" customWidth="1"/>
    <col min="6145" max="6145" width="20.5703125" customWidth="1"/>
    <col min="6401" max="6401" width="20.5703125" customWidth="1"/>
    <col min="6657" max="6657" width="20.5703125" customWidth="1"/>
    <col min="6913" max="6913" width="20.5703125" customWidth="1"/>
    <col min="7169" max="7169" width="20.5703125" customWidth="1"/>
    <col min="7425" max="7425" width="20.5703125" customWidth="1"/>
    <col min="7681" max="7681" width="20.5703125" customWidth="1"/>
    <col min="7937" max="7937" width="20.5703125" customWidth="1"/>
    <col min="8193" max="8193" width="20.5703125" customWidth="1"/>
    <col min="8449" max="8449" width="20.5703125" customWidth="1"/>
    <col min="8705" max="8705" width="20.5703125" customWidth="1"/>
    <col min="8961" max="8961" width="20.5703125" customWidth="1"/>
    <col min="9217" max="9217" width="20.5703125" customWidth="1"/>
    <col min="9473" max="9473" width="20.5703125" customWidth="1"/>
    <col min="9729" max="9729" width="20.5703125" customWidth="1"/>
    <col min="9985" max="9985" width="20.5703125" customWidth="1"/>
    <col min="10241" max="10241" width="20.5703125" customWidth="1"/>
    <col min="10497" max="10497" width="20.5703125" customWidth="1"/>
    <col min="10753" max="10753" width="20.5703125" customWidth="1"/>
    <col min="11009" max="11009" width="20.5703125" customWidth="1"/>
    <col min="11265" max="11265" width="20.5703125" customWidth="1"/>
    <col min="11521" max="11521" width="20.5703125" customWidth="1"/>
    <col min="11777" max="11777" width="20.5703125" customWidth="1"/>
    <col min="12033" max="12033" width="20.5703125" customWidth="1"/>
    <col min="12289" max="12289" width="20.5703125" customWidth="1"/>
    <col min="12545" max="12545" width="20.5703125" customWidth="1"/>
    <col min="12801" max="12801" width="20.5703125" customWidth="1"/>
    <col min="13057" max="13057" width="20.5703125" customWidth="1"/>
    <col min="13313" max="13313" width="20.5703125" customWidth="1"/>
    <col min="13569" max="13569" width="20.5703125" customWidth="1"/>
    <col min="13825" max="13825" width="20.5703125" customWidth="1"/>
    <col min="14081" max="14081" width="20.5703125" customWidth="1"/>
    <col min="14337" max="14337" width="20.5703125" customWidth="1"/>
    <col min="14593" max="14593" width="20.5703125" customWidth="1"/>
    <col min="14849" max="14849" width="20.5703125" customWidth="1"/>
    <col min="15105" max="15105" width="20.5703125" customWidth="1"/>
    <col min="15361" max="15361" width="20.5703125" customWidth="1"/>
    <col min="15617" max="15617" width="20.5703125" customWidth="1"/>
    <col min="15873" max="15873" width="20.5703125" customWidth="1"/>
    <col min="16129" max="16129" width="20.5703125" customWidth="1"/>
  </cols>
  <sheetData>
    <row r="1" spans="1:3" ht="30" customHeight="1" x14ac:dyDescent="0.2">
      <c r="A1" s="335" t="s">
        <v>462</v>
      </c>
      <c r="B1" s="336" t="s">
        <v>468</v>
      </c>
      <c r="C1" s="343" t="s">
        <v>463</v>
      </c>
    </row>
    <row r="2" spans="1:3" x14ac:dyDescent="0.2">
      <c r="A2" s="271" t="s">
        <v>467</v>
      </c>
      <c r="B2" s="337">
        <v>43812</v>
      </c>
      <c r="C2" s="53" t="s">
        <v>489</v>
      </c>
    </row>
    <row r="3" spans="1:3" x14ac:dyDescent="0.2">
      <c r="A3" s="271"/>
      <c r="B3" s="338"/>
      <c r="C3" s="53" t="s">
        <v>490</v>
      </c>
    </row>
    <row r="4" spans="1:3" x14ac:dyDescent="0.2">
      <c r="A4" s="271"/>
      <c r="B4" s="338"/>
      <c r="C4" s="53" t="s">
        <v>521</v>
      </c>
    </row>
    <row r="5" spans="1:3" ht="27" x14ac:dyDescent="0.2">
      <c r="A5" s="271"/>
      <c r="B5" s="338"/>
      <c r="C5" s="55" t="s">
        <v>503</v>
      </c>
    </row>
    <row r="6" spans="1:3" x14ac:dyDescent="0.2">
      <c r="A6" s="271"/>
      <c r="B6" s="338"/>
      <c r="C6" s="53" t="s">
        <v>485</v>
      </c>
    </row>
    <row r="7" spans="1:3" x14ac:dyDescent="0.2">
      <c r="A7" s="271"/>
      <c r="B7" s="338"/>
      <c r="C7" s="53" t="s">
        <v>478</v>
      </c>
    </row>
    <row r="8" spans="1:3" x14ac:dyDescent="0.2">
      <c r="A8" s="271"/>
      <c r="B8" s="338"/>
      <c r="C8" s="53" t="s">
        <v>479</v>
      </c>
    </row>
    <row r="9" spans="1:3" ht="78.75" customHeight="1" x14ac:dyDescent="0.2">
      <c r="A9" s="271"/>
      <c r="B9" s="338"/>
      <c r="C9" s="54" t="s">
        <v>484</v>
      </c>
    </row>
    <row r="10" spans="1:3" ht="51" x14ac:dyDescent="0.2">
      <c r="A10" s="271"/>
      <c r="B10" s="338"/>
      <c r="C10" s="54" t="s">
        <v>486</v>
      </c>
    </row>
    <row r="11" spans="1:3" ht="79.5" customHeight="1" x14ac:dyDescent="0.2">
      <c r="A11" s="271"/>
      <c r="B11" s="338"/>
      <c r="C11" s="54" t="s">
        <v>487</v>
      </c>
    </row>
    <row r="12" spans="1:3" ht="51" x14ac:dyDescent="0.2">
      <c r="A12" s="271"/>
      <c r="B12" s="338"/>
      <c r="C12" s="54" t="s">
        <v>488</v>
      </c>
    </row>
    <row r="13" spans="1:3" x14ac:dyDescent="0.2">
      <c r="A13" s="271"/>
      <c r="B13" s="338"/>
      <c r="C13" s="54" t="s">
        <v>492</v>
      </c>
    </row>
    <row r="14" spans="1:3" ht="25.5" x14ac:dyDescent="0.2">
      <c r="A14" s="271"/>
      <c r="B14" s="338"/>
      <c r="C14" s="54" t="s">
        <v>491</v>
      </c>
    </row>
    <row r="15" spans="1:3" x14ac:dyDescent="0.2">
      <c r="A15" s="288" t="s">
        <v>516</v>
      </c>
      <c r="B15" s="338"/>
      <c r="C15" s="54" t="s">
        <v>517</v>
      </c>
    </row>
    <row r="16" spans="1:3" x14ac:dyDescent="0.2">
      <c r="A16" s="270"/>
      <c r="B16" s="339"/>
    </row>
    <row r="17" spans="1:3" ht="25.5" x14ac:dyDescent="0.2">
      <c r="A17" s="56" t="s">
        <v>464</v>
      </c>
      <c r="B17" s="336" t="s">
        <v>468</v>
      </c>
      <c r="C17" s="51" t="s">
        <v>481</v>
      </c>
    </row>
    <row r="18" spans="1:3" ht="25.5" x14ac:dyDescent="0.2">
      <c r="A18" s="52" t="s">
        <v>466</v>
      </c>
      <c r="B18" s="340">
        <v>41283</v>
      </c>
      <c r="C18" s="271" t="s">
        <v>477</v>
      </c>
    </row>
    <row r="19" spans="1:3" x14ac:dyDescent="0.2">
      <c r="A19" s="272" t="s">
        <v>465</v>
      </c>
      <c r="B19" s="341">
        <v>39709</v>
      </c>
      <c r="C19" s="271" t="s">
        <v>476</v>
      </c>
    </row>
    <row r="20" spans="1:3" x14ac:dyDescent="0.2">
      <c r="A20" s="272" t="s">
        <v>465</v>
      </c>
      <c r="B20" s="341">
        <v>39709</v>
      </c>
      <c r="C20" s="271" t="s">
        <v>469</v>
      </c>
    </row>
    <row r="21" spans="1:3" x14ac:dyDescent="0.2">
      <c r="A21" s="272" t="s">
        <v>465</v>
      </c>
      <c r="B21" s="341">
        <v>39709</v>
      </c>
      <c r="C21" s="271" t="s">
        <v>470</v>
      </c>
    </row>
    <row r="22" spans="1:3" x14ac:dyDescent="0.2">
      <c r="A22" s="272" t="s">
        <v>465</v>
      </c>
      <c r="B22" s="341">
        <v>39709</v>
      </c>
      <c r="C22" s="2" t="s">
        <v>471</v>
      </c>
    </row>
    <row r="23" spans="1:3" x14ac:dyDescent="0.2">
      <c r="A23" s="272" t="s">
        <v>465</v>
      </c>
      <c r="B23" s="341">
        <v>39709</v>
      </c>
      <c r="C23" s="2" t="s">
        <v>472</v>
      </c>
    </row>
    <row r="24" spans="1:3" x14ac:dyDescent="0.2">
      <c r="A24" s="272" t="s">
        <v>465</v>
      </c>
      <c r="B24" s="341">
        <v>39709</v>
      </c>
      <c r="C24" s="2" t="s">
        <v>473</v>
      </c>
    </row>
    <row r="25" spans="1:3" x14ac:dyDescent="0.2">
      <c r="A25" s="272" t="s">
        <v>465</v>
      </c>
      <c r="B25" s="341">
        <v>39709</v>
      </c>
      <c r="C25" s="2" t="s">
        <v>474</v>
      </c>
    </row>
    <row r="26" spans="1:3" x14ac:dyDescent="0.2">
      <c r="A26" s="272" t="s">
        <v>465</v>
      </c>
      <c r="B26" s="341">
        <v>39709</v>
      </c>
      <c r="C26" s="2" t="s">
        <v>475</v>
      </c>
    </row>
    <row r="28" spans="1:3" x14ac:dyDescent="0.2">
      <c r="A28" s="272"/>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0"/>
  <sheetViews>
    <sheetView zoomScaleNormal="100" workbookViewId="0"/>
  </sheetViews>
  <sheetFormatPr defaultRowHeight="12.75" x14ac:dyDescent="0.2"/>
  <cols>
    <col min="1" max="1" width="74.42578125" style="15" customWidth="1"/>
    <col min="2" max="5" width="13.7109375" style="15" customWidth="1"/>
    <col min="6" max="7" width="12.7109375" style="15" customWidth="1"/>
    <col min="8" max="8" width="12.28515625" style="15" bestFit="1" customWidth="1"/>
    <col min="9" max="16384" width="9.140625" style="15"/>
  </cols>
  <sheetData>
    <row r="1" spans="1:5" x14ac:dyDescent="0.2">
      <c r="A1" s="50" t="s">
        <v>495</v>
      </c>
      <c r="B1" s="176" t="s">
        <v>423</v>
      </c>
      <c r="D1" s="176" t="s">
        <v>424</v>
      </c>
    </row>
    <row r="2" spans="1:5" x14ac:dyDescent="0.2">
      <c r="A2" s="14"/>
      <c r="B2" s="178" t="s">
        <v>30</v>
      </c>
      <c r="C2" s="179"/>
      <c r="D2" s="180" t="s">
        <v>494</v>
      </c>
      <c r="E2" s="181"/>
    </row>
    <row r="3" spans="1:5" x14ac:dyDescent="0.2">
      <c r="A3" s="14"/>
      <c r="B3" s="178" t="s">
        <v>31</v>
      </c>
      <c r="C3" s="179"/>
      <c r="D3" s="180" t="s">
        <v>32</v>
      </c>
      <c r="E3" s="181"/>
    </row>
    <row r="4" spans="1:5" ht="38.25" x14ac:dyDescent="0.2">
      <c r="A4" s="175" t="s">
        <v>33</v>
      </c>
      <c r="B4" s="17" t="s">
        <v>422</v>
      </c>
      <c r="C4" s="16" t="s">
        <v>34</v>
      </c>
      <c r="D4" s="17" t="s">
        <v>422</v>
      </c>
      <c r="E4" s="16" t="s">
        <v>34</v>
      </c>
    </row>
    <row r="5" spans="1:5" x14ac:dyDescent="0.2">
      <c r="A5" s="15" t="s">
        <v>35</v>
      </c>
      <c r="B5" s="18">
        <v>4.2999999999999996E-9</v>
      </c>
      <c r="C5" s="18">
        <v>1.2E-5</v>
      </c>
      <c r="D5" s="18">
        <v>4.3000000000000002E-5</v>
      </c>
      <c r="E5" s="18">
        <v>9.3999999999999997E-4</v>
      </c>
    </row>
    <row r="6" spans="1:5" x14ac:dyDescent="0.2">
      <c r="A6" s="15" t="s">
        <v>36</v>
      </c>
      <c r="B6" s="18">
        <v>1.0999999999999999E-8</v>
      </c>
      <c r="C6" s="18">
        <v>8.1000000000000004E-5</v>
      </c>
      <c r="D6" s="18">
        <v>1.1E-4</v>
      </c>
      <c r="E6" s="18">
        <v>6.4999999999999997E-3</v>
      </c>
    </row>
    <row r="7" spans="1:5" x14ac:dyDescent="0.2">
      <c r="A7" s="15" t="s">
        <v>37</v>
      </c>
      <c r="B7" s="18">
        <v>1.0999999999999999E-8</v>
      </c>
      <c r="C7" s="18">
        <v>1.3999999999999999E-4</v>
      </c>
      <c r="D7" s="18">
        <v>1.1E-4</v>
      </c>
      <c r="E7" s="18">
        <v>1.0999999999999999E-2</v>
      </c>
    </row>
    <row r="8" spans="1:5" x14ac:dyDescent="0.2">
      <c r="A8" s="15" t="s">
        <v>38</v>
      </c>
      <c r="B8" s="18">
        <v>5.3999999999999996E-12</v>
      </c>
      <c r="C8" s="18">
        <v>1.2E-8</v>
      </c>
      <c r="D8" s="18">
        <v>5.4E-8</v>
      </c>
      <c r="E8" s="18">
        <v>9.7999999999999993E-7</v>
      </c>
    </row>
    <row r="9" spans="1:5" x14ac:dyDescent="0.2">
      <c r="A9" s="15" t="s">
        <v>39</v>
      </c>
      <c r="B9" s="18">
        <v>1.1E-5</v>
      </c>
      <c r="C9" s="18">
        <v>8.1000000000000003E-2</v>
      </c>
      <c r="D9" s="18">
        <v>0.11</v>
      </c>
      <c r="E9" s="18" t="s">
        <v>40</v>
      </c>
    </row>
    <row r="10" spans="1:5" x14ac:dyDescent="0.2">
      <c r="A10" s="15" t="s">
        <v>41</v>
      </c>
      <c r="B10" s="18">
        <v>1.1E-5</v>
      </c>
      <c r="C10" s="18">
        <v>0.14000000000000001</v>
      </c>
      <c r="D10" s="18">
        <v>0.11</v>
      </c>
      <c r="E10" s="18" t="s">
        <v>40</v>
      </c>
    </row>
    <row r="11" spans="1:5" x14ac:dyDescent="0.2">
      <c r="A11" s="15" t="s">
        <v>42</v>
      </c>
      <c r="B11" s="18">
        <v>1.1E-5</v>
      </c>
      <c r="C11" s="18">
        <v>0.14000000000000001</v>
      </c>
      <c r="D11" s="18">
        <v>0.11</v>
      </c>
      <c r="E11" s="18" t="s">
        <v>40</v>
      </c>
    </row>
    <row r="12" spans="1:5" x14ac:dyDescent="0.2">
      <c r="A12" s="15" t="s">
        <v>43</v>
      </c>
      <c r="B12" s="18">
        <v>5.4000000000000004E-9</v>
      </c>
      <c r="C12" s="18">
        <v>1.2E-5</v>
      </c>
      <c r="D12" s="18">
        <v>5.3999999999999998E-5</v>
      </c>
      <c r="E12" s="18" t="s">
        <v>40</v>
      </c>
    </row>
    <row r="13" spans="1:5" x14ac:dyDescent="0.2">
      <c r="A13" s="15" t="s">
        <v>44</v>
      </c>
      <c r="B13" s="18">
        <v>4.3000000000000001E-8</v>
      </c>
      <c r="C13" s="18">
        <v>1.2E-4</v>
      </c>
      <c r="D13" s="18">
        <v>4.2999999999999999E-4</v>
      </c>
      <c r="E13" s="18">
        <v>9.3999999999999997E-4</v>
      </c>
    </row>
    <row r="14" spans="1:5" x14ac:dyDescent="0.2">
      <c r="A14" s="15" t="s">
        <v>45</v>
      </c>
      <c r="B14" s="18">
        <v>1.1000000000000001E-7</v>
      </c>
      <c r="C14" s="18">
        <v>8.0999999999999996E-4</v>
      </c>
      <c r="D14" s="18">
        <v>1.1000000000000001E-3</v>
      </c>
      <c r="E14" s="18">
        <v>6.4999999999999997E-3</v>
      </c>
    </row>
    <row r="15" spans="1:5" x14ac:dyDescent="0.2">
      <c r="A15" s="15" t="s">
        <v>46</v>
      </c>
      <c r="B15" s="18">
        <v>1.1000000000000001E-7</v>
      </c>
      <c r="C15" s="18">
        <v>1.4E-3</v>
      </c>
      <c r="D15" s="18">
        <v>1.1000000000000001E-3</v>
      </c>
      <c r="E15" s="18">
        <v>1.0999999999999999E-2</v>
      </c>
    </row>
    <row r="16" spans="1:5" x14ac:dyDescent="0.2">
      <c r="A16" s="15" t="s">
        <v>47</v>
      </c>
      <c r="B16" s="18">
        <v>5.4000000000000001E-11</v>
      </c>
      <c r="C16" s="18">
        <v>1.1999999999999999E-7</v>
      </c>
      <c r="D16" s="18">
        <v>5.4000000000000002E-7</v>
      </c>
      <c r="E16" s="18">
        <v>9.7999999999999993E-7</v>
      </c>
    </row>
    <row r="17" spans="1:9" x14ac:dyDescent="0.2">
      <c r="A17" s="19" t="s">
        <v>48</v>
      </c>
      <c r="B17" s="20">
        <v>4.3000000000000001E-10</v>
      </c>
      <c r="C17" s="20">
        <v>1.1999999999999999E-6</v>
      </c>
      <c r="D17" s="20">
        <v>4.3000000000000003E-6</v>
      </c>
      <c r="E17" s="20">
        <v>9.3999999999999997E-4</v>
      </c>
    </row>
    <row r="18" spans="1:9" x14ac:dyDescent="0.2">
      <c r="A18" s="19" t="s">
        <v>49</v>
      </c>
      <c r="B18" s="20">
        <v>1.0999999999999999E-9</v>
      </c>
      <c r="C18" s="20">
        <v>8.1000000000000004E-6</v>
      </c>
      <c r="D18" s="20">
        <v>1.1E-5</v>
      </c>
      <c r="E18" s="20">
        <v>6.4999999999999997E-3</v>
      </c>
    </row>
    <row r="19" spans="1:9" x14ac:dyDescent="0.2">
      <c r="A19" s="19" t="s">
        <v>50</v>
      </c>
      <c r="B19" s="20">
        <v>1.0999999999999999E-9</v>
      </c>
      <c r="C19" s="20">
        <v>1.4E-5</v>
      </c>
      <c r="D19" s="20">
        <v>1.1E-5</v>
      </c>
      <c r="E19" s="20">
        <v>1.0999999999999999E-2</v>
      </c>
    </row>
    <row r="20" spans="1:9" x14ac:dyDescent="0.2">
      <c r="A20" s="19" t="s">
        <v>51</v>
      </c>
      <c r="B20" s="20">
        <v>5.4000000000000002E-13</v>
      </c>
      <c r="C20" s="20">
        <v>1.2E-9</v>
      </c>
      <c r="D20" s="20">
        <v>5.4000000000000004E-9</v>
      </c>
      <c r="E20" s="20">
        <v>9.7999999999999993E-7</v>
      </c>
    </row>
    <row r="21" spans="1:9" x14ac:dyDescent="0.2">
      <c r="A21" s="21" t="s">
        <v>52</v>
      </c>
      <c r="B21" s="22">
        <v>5.4000000000000002E-13</v>
      </c>
      <c r="C21" s="22">
        <v>9.7999999999999999E-14</v>
      </c>
      <c r="D21" s="22">
        <v>5.4000000000000004E-9</v>
      </c>
      <c r="E21" s="22">
        <v>9.7999999999999992E-10</v>
      </c>
      <c r="F21" s="176" t="s">
        <v>497</v>
      </c>
      <c r="G21" s="19"/>
      <c r="H21" s="19"/>
    </row>
    <row r="22" spans="1:9" x14ac:dyDescent="0.2">
      <c r="A22" s="21" t="s">
        <v>55</v>
      </c>
      <c r="B22" s="22">
        <v>5.4E-10</v>
      </c>
      <c r="C22" s="22">
        <v>9.7999999999999998E-11</v>
      </c>
      <c r="D22" s="22">
        <v>5.4E-6</v>
      </c>
      <c r="E22" s="22">
        <v>9.7999999999999993E-7</v>
      </c>
      <c r="F22" s="176"/>
      <c r="G22" s="19"/>
      <c r="H22" s="19"/>
    </row>
    <row r="23" spans="1:9" x14ac:dyDescent="0.2">
      <c r="A23" s="21" t="s">
        <v>53</v>
      </c>
      <c r="B23" s="22">
        <v>6.8999999999999996E-8</v>
      </c>
      <c r="C23" s="22">
        <v>1.2E-9</v>
      </c>
      <c r="D23" s="22"/>
      <c r="E23" s="22"/>
      <c r="F23" s="176"/>
      <c r="G23" s="19"/>
      <c r="H23" s="19"/>
    </row>
    <row r="24" spans="1:9" x14ac:dyDescent="0.2">
      <c r="A24" s="21" t="s">
        <v>54</v>
      </c>
      <c r="B24" s="22">
        <v>1.6000000000000001E-8</v>
      </c>
      <c r="C24" s="22">
        <v>2.2999999999999999E-9</v>
      </c>
      <c r="D24" s="22"/>
      <c r="E24" s="22"/>
      <c r="F24" s="176"/>
      <c r="G24" s="19"/>
      <c r="H24" s="19"/>
    </row>
    <row r="25" spans="1:9" x14ac:dyDescent="0.2">
      <c r="A25" s="21" t="s">
        <v>56</v>
      </c>
      <c r="B25" s="22">
        <v>5.4000000000000004E-9</v>
      </c>
      <c r="C25" s="22">
        <v>9.7999999999999992E-10</v>
      </c>
      <c r="D25" s="22">
        <v>5.3999999999999998E-5</v>
      </c>
      <c r="E25" s="22">
        <v>9.7999999999999993E-6</v>
      </c>
      <c r="F25" s="176"/>
      <c r="G25" s="19"/>
      <c r="H25" s="19"/>
    </row>
    <row r="26" spans="1:9" x14ac:dyDescent="0.2">
      <c r="A26" s="21" t="s">
        <v>57</v>
      </c>
      <c r="B26" s="22">
        <v>1.6000000000000001E-4</v>
      </c>
      <c r="C26" s="22">
        <v>2.3E-5</v>
      </c>
      <c r="D26" s="22">
        <v>1.6000000000000001E-4</v>
      </c>
      <c r="E26" s="22">
        <v>2.3E-5</v>
      </c>
      <c r="F26" s="176"/>
      <c r="G26" s="19"/>
      <c r="H26" s="19"/>
    </row>
    <row r="27" spans="1:9" x14ac:dyDescent="0.2">
      <c r="A27" s="15" t="s">
        <v>58</v>
      </c>
      <c r="B27" s="18">
        <v>5.3000000000000001E-7</v>
      </c>
      <c r="C27" s="18">
        <v>1.1999999999999999E-3</v>
      </c>
      <c r="D27" s="18">
        <v>5.3E-3</v>
      </c>
      <c r="E27" s="18" t="s">
        <v>40</v>
      </c>
    </row>
    <row r="28" spans="1:9" x14ac:dyDescent="0.2">
      <c r="A28" s="15" t="s">
        <v>59</v>
      </c>
      <c r="B28" s="18">
        <v>4.3000000000000003E-6</v>
      </c>
      <c r="C28" s="18">
        <v>1.0999999999999999E-2</v>
      </c>
      <c r="D28" s="18">
        <v>4.2999999999999997E-2</v>
      </c>
      <c r="E28" s="18" t="s">
        <v>40</v>
      </c>
    </row>
    <row r="29" spans="1:9" x14ac:dyDescent="0.2">
      <c r="A29" s="15" t="s">
        <v>60</v>
      </c>
      <c r="B29" s="18">
        <v>5.3000000000000001E-7</v>
      </c>
      <c r="C29" s="18">
        <v>1.1999999999999999E-3</v>
      </c>
      <c r="D29" s="18">
        <v>5.3E-3</v>
      </c>
      <c r="E29" s="18">
        <v>0.11</v>
      </c>
    </row>
    <row r="30" spans="1:9" x14ac:dyDescent="0.2">
      <c r="A30" s="14"/>
      <c r="C30" s="177"/>
      <c r="E30" s="177"/>
    </row>
    <row r="31" spans="1:9" x14ac:dyDescent="0.2">
      <c r="A31" s="50" t="s">
        <v>498</v>
      </c>
    </row>
    <row r="32" spans="1:9" ht="39.75" x14ac:dyDescent="0.2">
      <c r="A32" s="282" t="s">
        <v>499</v>
      </c>
      <c r="B32" s="283" t="s">
        <v>434</v>
      </c>
      <c r="C32" s="19"/>
      <c r="D32" s="19"/>
      <c r="E32" s="280"/>
      <c r="F32" s="281"/>
      <c r="G32" s="281"/>
      <c r="H32" s="243"/>
      <c r="I32" s="243"/>
    </row>
    <row r="33" spans="1:9" ht="52.5" x14ac:dyDescent="0.2">
      <c r="A33" s="282" t="s">
        <v>502</v>
      </c>
      <c r="B33" s="50"/>
      <c r="C33" s="19"/>
      <c r="D33" s="19"/>
      <c r="E33" s="280"/>
      <c r="F33" s="281"/>
      <c r="G33" s="281"/>
      <c r="H33" s="243"/>
      <c r="I33" s="243"/>
    </row>
    <row r="34" spans="1:9" ht="39.75" x14ac:dyDescent="0.2">
      <c r="A34" s="282" t="s">
        <v>500</v>
      </c>
      <c r="B34" s="50" t="s">
        <v>435</v>
      </c>
      <c r="C34" s="19"/>
      <c r="D34" s="19"/>
      <c r="E34" s="19"/>
      <c r="F34" s="19"/>
      <c r="G34" s="19"/>
    </row>
    <row r="35" spans="1:9" ht="41.25" x14ac:dyDescent="0.2">
      <c r="A35" s="282" t="s">
        <v>504</v>
      </c>
      <c r="B35" s="50" t="s">
        <v>501</v>
      </c>
      <c r="C35" s="19"/>
      <c r="D35" s="19"/>
      <c r="E35" s="19"/>
      <c r="F35" s="19"/>
      <c r="G35" s="19"/>
    </row>
    <row r="36" spans="1:9" ht="41.25" x14ac:dyDescent="0.2">
      <c r="A36" s="282" t="s">
        <v>505</v>
      </c>
      <c r="B36" s="50"/>
      <c r="C36" s="19"/>
      <c r="D36" s="19"/>
      <c r="E36" s="19"/>
      <c r="F36" s="19"/>
      <c r="G36" s="19"/>
    </row>
    <row r="38" spans="1:9" ht="51" x14ac:dyDescent="0.2">
      <c r="A38" s="284" t="s">
        <v>506</v>
      </c>
    </row>
    <row r="39" spans="1:9" ht="15.75" x14ac:dyDescent="0.25">
      <c r="A39" s="279"/>
    </row>
    <row r="40" spans="1:9" x14ac:dyDescent="0.2">
      <c r="A40" s="50" t="s">
        <v>493</v>
      </c>
      <c r="D40" s="50" t="s">
        <v>496</v>
      </c>
    </row>
  </sheetData>
  <printOptions gridLines="1"/>
  <pageMargins left="0.75" right="0.75" top="1" bottom="1" header="0.5" footer="0.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27"/>
  <sheetViews>
    <sheetView workbookViewId="0">
      <pane ySplit="1" topLeftCell="A2" activePane="bottomLeft" state="frozen"/>
      <selection pane="bottomLeft" activeCell="A2" sqref="A2"/>
    </sheetView>
  </sheetViews>
  <sheetFormatPr defaultRowHeight="12.75" x14ac:dyDescent="0.2"/>
  <cols>
    <col min="1" max="1" width="11.7109375" bestFit="1" customWidth="1"/>
    <col min="2" max="2" width="32" customWidth="1"/>
    <col min="3" max="3" width="36.140625" customWidth="1"/>
    <col min="4" max="4" width="46.5703125" bestFit="1" customWidth="1"/>
    <col min="5" max="5" width="17.140625" customWidth="1"/>
    <col min="6" max="6" width="19.42578125" customWidth="1"/>
  </cols>
  <sheetData>
    <row r="1" spans="1:6" ht="30.75" customHeight="1" x14ac:dyDescent="0.2">
      <c r="A1" s="150" t="s">
        <v>5</v>
      </c>
      <c r="B1" s="150" t="s">
        <v>285</v>
      </c>
      <c r="C1" s="150" t="s">
        <v>13</v>
      </c>
      <c r="D1" s="170" t="s">
        <v>527</v>
      </c>
      <c r="E1" s="170" t="s">
        <v>528</v>
      </c>
      <c r="F1" s="170" t="s">
        <v>529</v>
      </c>
    </row>
    <row r="2" spans="1:6" x14ac:dyDescent="0.2">
      <c r="A2" s="91" t="s">
        <v>4</v>
      </c>
      <c r="B2" s="166" t="s">
        <v>84</v>
      </c>
      <c r="C2" s="90" t="s">
        <v>64</v>
      </c>
      <c r="D2" s="166" t="s">
        <v>533</v>
      </c>
      <c r="E2" s="294" t="s">
        <v>530</v>
      </c>
      <c r="F2" s="293" t="s">
        <v>519</v>
      </c>
    </row>
    <row r="3" spans="1:6" x14ac:dyDescent="0.2">
      <c r="A3" s="91" t="s">
        <v>4</v>
      </c>
      <c r="B3" s="166" t="s">
        <v>84</v>
      </c>
      <c r="C3" s="90" t="s">
        <v>64</v>
      </c>
      <c r="D3" s="166" t="s">
        <v>558</v>
      </c>
      <c r="E3" s="294" t="s">
        <v>530</v>
      </c>
      <c r="F3" s="293" t="s">
        <v>520</v>
      </c>
    </row>
    <row r="4" spans="1:6" x14ac:dyDescent="0.2">
      <c r="A4" s="91" t="s">
        <v>4</v>
      </c>
      <c r="B4" s="166" t="s">
        <v>84</v>
      </c>
      <c r="C4" s="90" t="s">
        <v>518</v>
      </c>
      <c r="D4" s="166" t="s">
        <v>565</v>
      </c>
      <c r="E4" s="294" t="s">
        <v>532</v>
      </c>
      <c r="F4" s="293" t="s">
        <v>519</v>
      </c>
    </row>
    <row r="5" spans="1:6" x14ac:dyDescent="0.2">
      <c r="A5" s="91" t="s">
        <v>4</v>
      </c>
      <c r="B5" s="166" t="s">
        <v>84</v>
      </c>
      <c r="C5" s="90" t="s">
        <v>518</v>
      </c>
      <c r="D5" s="166" t="s">
        <v>566</v>
      </c>
      <c r="E5" s="294" t="s">
        <v>532</v>
      </c>
      <c r="F5" s="166" t="s">
        <v>540</v>
      </c>
    </row>
    <row r="6" spans="1:6" x14ac:dyDescent="0.2">
      <c r="A6" s="91" t="s">
        <v>4</v>
      </c>
      <c r="B6" s="166" t="s">
        <v>84</v>
      </c>
      <c r="C6" s="90" t="s">
        <v>518</v>
      </c>
      <c r="D6" s="167" t="s">
        <v>563</v>
      </c>
      <c r="E6" s="294" t="s">
        <v>532</v>
      </c>
      <c r="F6" s="295" t="s">
        <v>560</v>
      </c>
    </row>
    <row r="7" spans="1:6" x14ac:dyDescent="0.2">
      <c r="A7" s="91" t="s">
        <v>4</v>
      </c>
      <c r="B7" s="166" t="s">
        <v>84</v>
      </c>
      <c r="C7" s="90" t="s">
        <v>518</v>
      </c>
      <c r="D7" s="166" t="s">
        <v>541</v>
      </c>
      <c r="E7" s="294" t="s">
        <v>531</v>
      </c>
      <c r="F7" s="166" t="s">
        <v>540</v>
      </c>
    </row>
    <row r="8" spans="1:6" x14ac:dyDescent="0.2">
      <c r="A8" s="91" t="s">
        <v>4</v>
      </c>
      <c r="B8" s="166" t="s">
        <v>84</v>
      </c>
      <c r="C8" s="90" t="s">
        <v>518</v>
      </c>
      <c r="D8" s="166" t="s">
        <v>567</v>
      </c>
      <c r="E8" s="294" t="s">
        <v>531</v>
      </c>
      <c r="F8" s="166" t="s">
        <v>539</v>
      </c>
    </row>
    <row r="9" spans="1:6" x14ac:dyDescent="0.2">
      <c r="A9" s="91" t="s">
        <v>3</v>
      </c>
      <c r="B9" s="166" t="s">
        <v>106</v>
      </c>
      <c r="C9" s="90" t="s">
        <v>64</v>
      </c>
      <c r="D9" s="166" t="s">
        <v>533</v>
      </c>
      <c r="E9" s="294" t="s">
        <v>530</v>
      </c>
      <c r="F9" s="293" t="s">
        <v>519</v>
      </c>
    </row>
    <row r="10" spans="1:6" x14ac:dyDescent="0.2">
      <c r="A10" s="91" t="s">
        <v>3</v>
      </c>
      <c r="B10" s="166" t="s">
        <v>106</v>
      </c>
      <c r="C10" s="90" t="s">
        <v>542</v>
      </c>
      <c r="D10" s="166" t="s">
        <v>566</v>
      </c>
      <c r="E10" s="294" t="s">
        <v>532</v>
      </c>
      <c r="F10" s="344" t="s">
        <v>539</v>
      </c>
    </row>
    <row r="11" spans="1:6" x14ac:dyDescent="0.2">
      <c r="A11" s="91" t="s">
        <v>3</v>
      </c>
      <c r="B11" s="166" t="s">
        <v>106</v>
      </c>
      <c r="C11" s="90" t="s">
        <v>542</v>
      </c>
      <c r="D11" s="167" t="s">
        <v>562</v>
      </c>
      <c r="E11" s="294" t="s">
        <v>532</v>
      </c>
      <c r="F11" s="295" t="s">
        <v>560</v>
      </c>
    </row>
    <row r="12" spans="1:6" x14ac:dyDescent="0.2">
      <c r="A12" s="91" t="s">
        <v>3</v>
      </c>
      <c r="B12" s="166" t="s">
        <v>106</v>
      </c>
      <c r="C12" s="90" t="s">
        <v>542</v>
      </c>
      <c r="D12" s="166" t="s">
        <v>559</v>
      </c>
      <c r="E12" s="294" t="s">
        <v>531</v>
      </c>
      <c r="F12" s="166" t="s">
        <v>540</v>
      </c>
    </row>
    <row r="13" spans="1:6" x14ac:dyDescent="0.2">
      <c r="A13" s="91" t="s">
        <v>3</v>
      </c>
      <c r="B13" s="166" t="s">
        <v>106</v>
      </c>
      <c r="C13" s="90" t="s">
        <v>542</v>
      </c>
      <c r="D13" s="166" t="s">
        <v>567</v>
      </c>
      <c r="E13" s="294" t="s">
        <v>531</v>
      </c>
      <c r="F13" s="166" t="s">
        <v>539</v>
      </c>
    </row>
    <row r="14" spans="1:6" x14ac:dyDescent="0.2">
      <c r="A14" s="91" t="s">
        <v>0</v>
      </c>
      <c r="B14" s="166" t="s">
        <v>171</v>
      </c>
      <c r="C14" s="90" t="s">
        <v>64</v>
      </c>
      <c r="D14" s="166" t="s">
        <v>546</v>
      </c>
      <c r="E14" s="294" t="s">
        <v>530</v>
      </c>
      <c r="F14" s="293" t="s">
        <v>520</v>
      </c>
    </row>
    <row r="15" spans="1:6" x14ac:dyDescent="0.2">
      <c r="A15" s="91" t="s">
        <v>0</v>
      </c>
      <c r="B15" s="166" t="s">
        <v>94</v>
      </c>
      <c r="C15" s="90" t="s">
        <v>64</v>
      </c>
      <c r="D15" s="166" t="s">
        <v>545</v>
      </c>
      <c r="E15" s="294" t="s">
        <v>530</v>
      </c>
      <c r="F15" s="293" t="s">
        <v>520</v>
      </c>
    </row>
    <row r="16" spans="1:6" x14ac:dyDescent="0.2">
      <c r="A16" s="91" t="s">
        <v>0</v>
      </c>
      <c r="B16" s="166" t="s">
        <v>94</v>
      </c>
      <c r="C16" s="90" t="s">
        <v>64</v>
      </c>
      <c r="D16" s="166" t="s">
        <v>558</v>
      </c>
      <c r="E16" s="294" t="s">
        <v>530</v>
      </c>
      <c r="F16" s="293" t="s">
        <v>520</v>
      </c>
    </row>
    <row r="17" spans="1:6" x14ac:dyDescent="0.2">
      <c r="A17" s="91" t="s">
        <v>0</v>
      </c>
      <c r="B17" s="166" t="s">
        <v>171</v>
      </c>
      <c r="C17" s="90" t="s">
        <v>64</v>
      </c>
      <c r="D17" s="166" t="s">
        <v>558</v>
      </c>
      <c r="E17" s="294" t="s">
        <v>530</v>
      </c>
      <c r="F17" s="293" t="s">
        <v>520</v>
      </c>
    </row>
    <row r="18" spans="1:6" x14ac:dyDescent="0.2">
      <c r="A18" s="91" t="s">
        <v>0</v>
      </c>
      <c r="B18" s="166" t="s">
        <v>171</v>
      </c>
      <c r="C18" s="90" t="s">
        <v>550</v>
      </c>
      <c r="D18" s="166" t="s">
        <v>565</v>
      </c>
      <c r="E18" s="294" t="s">
        <v>532</v>
      </c>
      <c r="F18" s="293" t="s">
        <v>519</v>
      </c>
    </row>
    <row r="19" spans="1:6" x14ac:dyDescent="0.2">
      <c r="A19" s="91" t="s">
        <v>0</v>
      </c>
      <c r="B19" s="166" t="s">
        <v>171</v>
      </c>
      <c r="C19" s="90" t="s">
        <v>550</v>
      </c>
      <c r="D19" s="166" t="s">
        <v>566</v>
      </c>
      <c r="E19" s="294" t="s">
        <v>532</v>
      </c>
      <c r="F19" s="166" t="s">
        <v>539</v>
      </c>
    </row>
    <row r="20" spans="1:6" x14ac:dyDescent="0.2">
      <c r="A20" s="91" t="s">
        <v>0</v>
      </c>
      <c r="B20" s="166" t="s">
        <v>171</v>
      </c>
      <c r="C20" s="90" t="s">
        <v>550</v>
      </c>
      <c r="D20" s="167" t="s">
        <v>564</v>
      </c>
      <c r="E20" s="294" t="s">
        <v>532</v>
      </c>
      <c r="F20" s="295" t="s">
        <v>561</v>
      </c>
    </row>
    <row r="21" spans="1:6" x14ac:dyDescent="0.2">
      <c r="A21" s="91" t="s">
        <v>0</v>
      </c>
      <c r="B21" s="166" t="s">
        <v>171</v>
      </c>
      <c r="C21" s="90" t="s">
        <v>550</v>
      </c>
      <c r="D21" s="166" t="s">
        <v>541</v>
      </c>
      <c r="E21" s="294" t="s">
        <v>531</v>
      </c>
      <c r="F21" s="166" t="s">
        <v>540</v>
      </c>
    </row>
    <row r="22" spans="1:6" x14ac:dyDescent="0.2">
      <c r="A22" s="91" t="s">
        <v>0</v>
      </c>
      <c r="B22" s="166" t="s">
        <v>171</v>
      </c>
      <c r="C22" s="90" t="s">
        <v>550</v>
      </c>
      <c r="D22" s="166" t="s">
        <v>567</v>
      </c>
      <c r="E22" s="294" t="s">
        <v>531</v>
      </c>
      <c r="F22" s="166" t="s">
        <v>540</v>
      </c>
    </row>
    <row r="23" spans="1:6" x14ac:dyDescent="0.2">
      <c r="A23" s="91"/>
      <c r="B23" s="166"/>
      <c r="C23" s="90"/>
      <c r="D23" s="166"/>
      <c r="E23" s="294"/>
      <c r="F23" s="166"/>
    </row>
    <row r="24" spans="1:6" x14ac:dyDescent="0.2">
      <c r="A24" s="91"/>
      <c r="B24" s="166"/>
      <c r="C24" s="90"/>
      <c r="D24" s="166"/>
      <c r="E24" s="294"/>
      <c r="F24" s="166"/>
    </row>
    <row r="25" spans="1:6" x14ac:dyDescent="0.2">
      <c r="A25" s="91"/>
      <c r="B25" s="166"/>
      <c r="C25" s="90"/>
      <c r="D25" s="166"/>
      <c r="E25" s="294"/>
      <c r="F25" s="166"/>
    </row>
    <row r="26" spans="1:6" x14ac:dyDescent="0.2">
      <c r="A26" s="242" t="s">
        <v>259</v>
      </c>
      <c r="B26" s="291"/>
      <c r="C26" s="292"/>
      <c r="D26" s="292"/>
      <c r="E26" s="292"/>
      <c r="F26" s="292"/>
    </row>
    <row r="27" spans="1:6" ht="237.75" customHeight="1" x14ac:dyDescent="0.2">
      <c r="A27" s="73" t="s">
        <v>534</v>
      </c>
      <c r="B27" s="73" t="s">
        <v>535</v>
      </c>
      <c r="C27" s="73" t="s">
        <v>536</v>
      </c>
      <c r="D27" s="74" t="s">
        <v>537</v>
      </c>
      <c r="E27" s="74" t="s">
        <v>547</v>
      </c>
      <c r="F27" s="74" t="s">
        <v>538</v>
      </c>
    </row>
  </sheetData>
  <autoFilter ref="A1:F1">
    <sortState ref="A2:F22">
      <sortCondition ref="A1"/>
    </sortState>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32"/>
  <sheetViews>
    <sheetView workbookViewId="0">
      <pane ySplit="4" topLeftCell="A5" activePane="bottomLeft" state="frozen"/>
      <selection pane="bottomLeft" activeCell="A5" sqref="A5"/>
    </sheetView>
  </sheetViews>
  <sheetFormatPr defaultRowHeight="12.75" x14ac:dyDescent="0.2"/>
  <cols>
    <col min="1" max="1" width="30.140625" style="2" customWidth="1"/>
    <col min="2" max="2" width="15.7109375" style="2" customWidth="1"/>
    <col min="3" max="3" width="15.7109375" customWidth="1"/>
    <col min="4" max="4" width="15.7109375" style="2" customWidth="1"/>
    <col min="5" max="5" width="41.28515625" style="2" customWidth="1"/>
    <col min="6" max="16384" width="9.140625" style="2"/>
  </cols>
  <sheetData>
    <row r="1" spans="1:5" ht="20.25" customHeight="1" x14ac:dyDescent="0.2">
      <c r="A1" s="131" t="s">
        <v>108</v>
      </c>
      <c r="B1" s="151"/>
      <c r="D1" s="85"/>
      <c r="E1" s="5"/>
    </row>
    <row r="2" spans="1:5" ht="29.25" customHeight="1" x14ac:dyDescent="0.2">
      <c r="A2" s="149" t="s">
        <v>285</v>
      </c>
      <c r="B2" s="150" t="s">
        <v>352</v>
      </c>
      <c r="C2" s="150" t="s">
        <v>280</v>
      </c>
      <c r="D2" s="150" t="s">
        <v>279</v>
      </c>
      <c r="E2" s="150" t="s">
        <v>436</v>
      </c>
    </row>
    <row r="3" spans="1:5" ht="15.75" customHeight="1" x14ac:dyDescent="0.2">
      <c r="A3" s="158"/>
      <c r="B3" s="159" t="s">
        <v>281</v>
      </c>
      <c r="C3" s="159" t="s">
        <v>278</v>
      </c>
      <c r="D3" s="159" t="s">
        <v>278</v>
      </c>
      <c r="E3" s="160"/>
    </row>
    <row r="4" spans="1:5" ht="12.75" hidden="1" customHeight="1" x14ac:dyDescent="0.2">
      <c r="A4" s="182" t="s">
        <v>311</v>
      </c>
      <c r="B4" s="183" t="s">
        <v>313</v>
      </c>
      <c r="C4" s="184" t="s">
        <v>312</v>
      </c>
      <c r="D4" s="185" t="s">
        <v>314</v>
      </c>
      <c r="E4" s="186" t="s">
        <v>315</v>
      </c>
    </row>
    <row r="5" spans="1:5" ht="12.75" customHeight="1" x14ac:dyDescent="0.2">
      <c r="A5" s="152" t="s">
        <v>84</v>
      </c>
      <c r="B5" s="46">
        <v>500</v>
      </c>
      <c r="C5" s="308">
        <v>2000</v>
      </c>
      <c r="D5" s="309">
        <v>4400</v>
      </c>
      <c r="E5" s="297" t="s">
        <v>544</v>
      </c>
    </row>
    <row r="6" spans="1:5" ht="12.75" customHeight="1" x14ac:dyDescent="0.2">
      <c r="A6" s="153" t="s">
        <v>94</v>
      </c>
      <c r="B6" s="46">
        <v>450</v>
      </c>
      <c r="C6" s="308">
        <v>30000</v>
      </c>
      <c r="D6" s="309">
        <v>70000</v>
      </c>
      <c r="E6" s="297" t="s">
        <v>545</v>
      </c>
    </row>
    <row r="7" spans="1:5" ht="12.75" customHeight="1" x14ac:dyDescent="0.2">
      <c r="A7" s="154" t="s">
        <v>171</v>
      </c>
      <c r="B7" s="46">
        <v>300</v>
      </c>
      <c r="C7" s="308">
        <v>10000</v>
      </c>
      <c r="D7" s="309">
        <v>14000</v>
      </c>
      <c r="E7" s="297" t="s">
        <v>546</v>
      </c>
    </row>
    <row r="8" spans="1:5" ht="12.75" customHeight="1" x14ac:dyDescent="0.2">
      <c r="A8" s="155" t="s">
        <v>106</v>
      </c>
      <c r="B8" s="46">
        <v>40</v>
      </c>
      <c r="C8" s="308">
        <v>2000</v>
      </c>
      <c r="D8" s="309">
        <v>5500</v>
      </c>
      <c r="E8" s="297" t="s">
        <v>544</v>
      </c>
    </row>
    <row r="9" spans="1:5" ht="12.75" customHeight="1" x14ac:dyDescent="0.2">
      <c r="A9" s="155"/>
      <c r="B9" s="46"/>
      <c r="C9" s="308"/>
      <c r="D9" s="309"/>
      <c r="E9" s="297"/>
    </row>
    <row r="10" spans="1:5" ht="12.75" customHeight="1" x14ac:dyDescent="0.2">
      <c r="A10" s="154"/>
      <c r="B10" s="46"/>
      <c r="C10" s="308"/>
      <c r="D10" s="309"/>
      <c r="E10" s="297"/>
    </row>
    <row r="11" spans="1:5" ht="12.75" customHeight="1" x14ac:dyDescent="0.2">
      <c r="A11" s="155"/>
      <c r="B11" s="46"/>
      <c r="C11" s="308"/>
      <c r="D11" s="309"/>
      <c r="E11" s="297"/>
    </row>
    <row r="12" spans="1:5" ht="12.75" customHeight="1" x14ac:dyDescent="0.2">
      <c r="A12" s="155"/>
      <c r="B12" s="46"/>
      <c r="C12" s="308"/>
      <c r="D12" s="309"/>
      <c r="E12" s="297"/>
    </row>
    <row r="13" spans="1:5" ht="12.75" customHeight="1" x14ac:dyDescent="0.2">
      <c r="A13" s="155"/>
      <c r="B13" s="46"/>
      <c r="C13" s="308"/>
      <c r="D13" s="309"/>
      <c r="E13" s="297"/>
    </row>
    <row r="14" spans="1:5" ht="12.75" customHeight="1" x14ac:dyDescent="0.2">
      <c r="A14" s="155"/>
      <c r="B14" s="46"/>
      <c r="C14" s="308"/>
      <c r="D14" s="309"/>
      <c r="E14" s="297"/>
    </row>
    <row r="15" spans="1:5" ht="12.75" customHeight="1" x14ac:dyDescent="0.2">
      <c r="A15" s="155"/>
      <c r="B15" s="46"/>
      <c r="C15" s="308"/>
      <c r="D15" s="309"/>
      <c r="E15" s="297"/>
    </row>
    <row r="16" spans="1:5" ht="12.75" customHeight="1" x14ac:dyDescent="0.2">
      <c r="A16" s="155"/>
      <c r="B16" s="46"/>
      <c r="C16" s="308"/>
      <c r="D16" s="309"/>
      <c r="E16" s="297"/>
    </row>
    <row r="17" spans="1:21" x14ac:dyDescent="0.2">
      <c r="A17" s="156"/>
      <c r="B17" s="46"/>
      <c r="C17" s="308"/>
      <c r="D17" s="309"/>
      <c r="E17" s="297"/>
    </row>
    <row r="18" spans="1:21" x14ac:dyDescent="0.2">
      <c r="A18" s="157"/>
      <c r="B18" s="46"/>
      <c r="C18" s="308"/>
      <c r="D18" s="309"/>
      <c r="E18" s="297"/>
    </row>
    <row r="19" spans="1:21" x14ac:dyDescent="0.2">
      <c r="A19" s="155"/>
      <c r="B19" s="46"/>
      <c r="C19" s="308"/>
      <c r="D19" s="309"/>
      <c r="E19" s="297"/>
    </row>
    <row r="20" spans="1:21" x14ac:dyDescent="0.2">
      <c r="A20" s="155"/>
      <c r="B20" s="46"/>
      <c r="C20" s="308"/>
      <c r="D20" s="309"/>
      <c r="E20" s="297"/>
    </row>
    <row r="21" spans="1:21" x14ac:dyDescent="0.2">
      <c r="A21" s="153"/>
      <c r="B21" s="46"/>
      <c r="C21" s="308"/>
      <c r="D21" s="309"/>
      <c r="E21" s="297"/>
    </row>
    <row r="22" spans="1:21" x14ac:dyDescent="0.2">
      <c r="A22" s="153"/>
      <c r="B22" s="46"/>
      <c r="C22" s="308"/>
      <c r="D22" s="309"/>
      <c r="E22" s="297"/>
    </row>
    <row r="23" spans="1:21" x14ac:dyDescent="0.2">
      <c r="A23" s="153"/>
      <c r="B23" s="46"/>
      <c r="C23" s="308"/>
      <c r="D23" s="309"/>
      <c r="E23" s="297"/>
    </row>
    <row r="24" spans="1:21" x14ac:dyDescent="0.2">
      <c r="A24" s="154"/>
      <c r="B24" s="46"/>
      <c r="C24" s="308"/>
      <c r="D24" s="309"/>
      <c r="E24" s="297"/>
    </row>
    <row r="25" spans="1:21" x14ac:dyDescent="0.2">
      <c r="A25" s="153"/>
      <c r="B25" s="46"/>
      <c r="C25" s="308"/>
      <c r="D25" s="309"/>
      <c r="E25" s="297"/>
    </row>
    <row r="26" spans="1:21" x14ac:dyDescent="0.2">
      <c r="A26" s="274"/>
      <c r="B26" s="275"/>
      <c r="C26" s="276"/>
      <c r="D26" s="276"/>
      <c r="E26" s="277"/>
    </row>
    <row r="27" spans="1:21" x14ac:dyDescent="0.2">
      <c r="B27" s="38" t="s">
        <v>414</v>
      </c>
      <c r="C27" s="38"/>
      <c r="D27" s="38"/>
    </row>
    <row r="28" spans="1:21" s="5" customFormat="1" x14ac:dyDescent="0.2">
      <c r="A28" s="2"/>
      <c r="B28" s="2"/>
      <c r="C28"/>
      <c r="D28" s="2"/>
      <c r="E28" s="2"/>
      <c r="F28" s="2"/>
      <c r="G28" s="2"/>
      <c r="H28" s="2"/>
      <c r="I28" s="2"/>
      <c r="J28" s="2"/>
      <c r="K28" s="2"/>
      <c r="L28" s="2"/>
      <c r="M28" s="2"/>
      <c r="N28" s="2"/>
      <c r="O28" s="2"/>
      <c r="P28" s="2"/>
      <c r="Q28" s="2"/>
      <c r="R28" s="2"/>
      <c r="S28" s="2"/>
      <c r="T28" s="2"/>
      <c r="U28" s="2"/>
    </row>
    <row r="29" spans="1:21" s="5" customFormat="1" x14ac:dyDescent="0.2">
      <c r="A29" s="2" t="s">
        <v>549</v>
      </c>
      <c r="B29" s="2"/>
      <c r="C29"/>
      <c r="D29" s="2"/>
      <c r="E29" s="2"/>
      <c r="F29" s="2"/>
      <c r="G29" s="2"/>
      <c r="H29" s="2"/>
      <c r="I29" s="2"/>
      <c r="J29" s="2"/>
      <c r="K29" s="2"/>
      <c r="L29" s="2"/>
      <c r="M29" s="2"/>
      <c r="N29" s="2"/>
      <c r="O29" s="2"/>
      <c r="P29" s="2"/>
      <c r="Q29" s="2"/>
      <c r="R29" s="2"/>
      <c r="S29" s="2"/>
      <c r="T29" s="2"/>
      <c r="U29" s="2"/>
    </row>
    <row r="30" spans="1:21" s="5" customFormat="1" x14ac:dyDescent="0.2">
      <c r="A30" s="2"/>
      <c r="B30" s="2"/>
      <c r="C30"/>
      <c r="D30" s="2"/>
      <c r="E30" s="2"/>
      <c r="F30" s="2"/>
      <c r="G30" s="2"/>
      <c r="H30" s="2"/>
      <c r="I30" s="2"/>
      <c r="J30" s="2"/>
      <c r="K30" s="2"/>
      <c r="L30" s="2"/>
      <c r="M30" s="2"/>
      <c r="N30" s="2"/>
      <c r="O30" s="2"/>
      <c r="P30" s="2"/>
      <c r="Q30" s="2"/>
      <c r="R30" s="2"/>
      <c r="S30" s="2"/>
      <c r="T30" s="2"/>
      <c r="U30" s="2"/>
    </row>
    <row r="31" spans="1:21" s="5" customFormat="1" x14ac:dyDescent="0.2">
      <c r="A31" s="2"/>
      <c r="B31" s="2"/>
      <c r="C31"/>
      <c r="D31" s="2"/>
      <c r="E31" s="2"/>
      <c r="F31" s="2"/>
      <c r="G31" s="2"/>
      <c r="H31" s="2"/>
      <c r="I31" s="2"/>
      <c r="J31" s="2"/>
      <c r="K31" s="2"/>
      <c r="L31" s="2"/>
      <c r="M31" s="2"/>
      <c r="N31" s="2"/>
      <c r="O31" s="2"/>
      <c r="P31" s="2"/>
      <c r="Q31" s="2"/>
      <c r="R31" s="2"/>
      <c r="S31" s="2"/>
      <c r="T31" s="2"/>
      <c r="U31" s="2"/>
    </row>
    <row r="32" spans="1:21" s="5" customFormat="1" x14ac:dyDescent="0.2">
      <c r="A32" s="2"/>
      <c r="B32" s="2"/>
      <c r="C32"/>
      <c r="D32" s="2"/>
      <c r="E32" s="2"/>
      <c r="F32" s="2"/>
      <c r="G32" s="2"/>
      <c r="H32" s="2"/>
      <c r="I32" s="2"/>
      <c r="J32" s="2"/>
      <c r="K32" s="2"/>
      <c r="L32" s="2"/>
      <c r="M32" s="2"/>
      <c r="N32" s="2"/>
      <c r="O32" s="2"/>
      <c r="P32" s="2"/>
      <c r="Q32" s="2"/>
      <c r="R32" s="2"/>
      <c r="S32" s="2"/>
      <c r="T32" s="2"/>
      <c r="U32" s="2"/>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1"/>
  <sheetViews>
    <sheetView workbookViewId="0">
      <pane ySplit="4" topLeftCell="A5" activePane="bottomLeft" state="frozen"/>
      <selection pane="bottomLeft" activeCell="A5" sqref="A5"/>
    </sheetView>
  </sheetViews>
  <sheetFormatPr defaultRowHeight="12.75" x14ac:dyDescent="0.2"/>
  <cols>
    <col min="1" max="1" width="36.140625" style="2" bestFit="1" customWidth="1"/>
    <col min="2" max="4" width="13.7109375" style="5" customWidth="1"/>
    <col min="5" max="7" width="13.7109375" style="2" customWidth="1"/>
    <col min="8" max="8" width="41.7109375" style="40" customWidth="1"/>
    <col min="9" max="9" width="8.5703125" style="2" bestFit="1" customWidth="1"/>
    <col min="10" max="16384" width="9.140625" style="2"/>
  </cols>
  <sheetData>
    <row r="1" spans="1:8" ht="20.25" customHeight="1" x14ac:dyDescent="0.2">
      <c r="A1" s="131" t="s">
        <v>288</v>
      </c>
      <c r="B1" s="87" t="s">
        <v>289</v>
      </c>
      <c r="C1" s="39"/>
      <c r="D1" s="87"/>
      <c r="E1" s="88" t="s">
        <v>437</v>
      </c>
      <c r="F1" s="89"/>
      <c r="G1" s="89"/>
      <c r="H1" s="195"/>
    </row>
    <row r="2" spans="1:8" ht="29.25" customHeight="1" x14ac:dyDescent="0.2">
      <c r="A2" s="149" t="s">
        <v>286</v>
      </c>
      <c r="B2" s="150" t="s">
        <v>287</v>
      </c>
      <c r="C2" s="150" t="s">
        <v>280</v>
      </c>
      <c r="D2" s="150" t="s">
        <v>279</v>
      </c>
      <c r="E2" s="150" t="s">
        <v>287</v>
      </c>
      <c r="F2" s="150" t="s">
        <v>280</v>
      </c>
      <c r="G2" s="150" t="s">
        <v>279</v>
      </c>
      <c r="H2" s="170" t="s">
        <v>283</v>
      </c>
    </row>
    <row r="3" spans="1:8" ht="12.75" customHeight="1" x14ac:dyDescent="0.2">
      <c r="A3" s="149"/>
      <c r="B3" s="150" t="s">
        <v>281</v>
      </c>
      <c r="C3" s="150" t="s">
        <v>278</v>
      </c>
      <c r="D3" s="150" t="s">
        <v>278</v>
      </c>
      <c r="E3" s="150" t="s">
        <v>281</v>
      </c>
      <c r="F3" s="150" t="s">
        <v>278</v>
      </c>
      <c r="G3" s="150" t="s">
        <v>278</v>
      </c>
      <c r="H3" s="170"/>
    </row>
    <row r="4" spans="1:8" ht="12.75" hidden="1" customHeight="1" x14ac:dyDescent="0.2">
      <c r="A4" s="187" t="s">
        <v>311</v>
      </c>
      <c r="B4" s="144" t="s">
        <v>313</v>
      </c>
      <c r="C4" s="144" t="s">
        <v>312</v>
      </c>
      <c r="D4" s="145" t="s">
        <v>314</v>
      </c>
      <c r="E4" s="146" t="s">
        <v>315</v>
      </c>
      <c r="F4" s="147" t="s">
        <v>316</v>
      </c>
      <c r="G4" s="146" t="s">
        <v>317</v>
      </c>
      <c r="H4" s="87" t="s">
        <v>318</v>
      </c>
    </row>
    <row r="5" spans="1:8" ht="12.75" customHeight="1" x14ac:dyDescent="0.2">
      <c r="A5" s="89" t="s">
        <v>518</v>
      </c>
      <c r="B5" s="289">
        <v>2000</v>
      </c>
      <c r="C5" s="299">
        <v>350</v>
      </c>
      <c r="D5" s="299">
        <v>1000</v>
      </c>
      <c r="E5" s="305">
        <v>2000</v>
      </c>
      <c r="F5" s="298">
        <v>150</v>
      </c>
      <c r="G5" s="300">
        <v>350</v>
      </c>
      <c r="H5" s="41" t="s">
        <v>543</v>
      </c>
    </row>
    <row r="6" spans="1:8" ht="12.75" customHeight="1" x14ac:dyDescent="0.2">
      <c r="A6" s="89" t="s">
        <v>550</v>
      </c>
      <c r="B6" s="289">
        <v>1500</v>
      </c>
      <c r="C6" s="299">
        <v>600</v>
      </c>
      <c r="D6" s="299">
        <v>900</v>
      </c>
      <c r="E6" s="305">
        <v>1500</v>
      </c>
      <c r="F6" s="298">
        <v>550</v>
      </c>
      <c r="G6" s="300">
        <v>800</v>
      </c>
      <c r="H6" s="41"/>
    </row>
    <row r="7" spans="1:8" ht="12.75" customHeight="1" x14ac:dyDescent="0.2">
      <c r="A7" s="89" t="s">
        <v>542</v>
      </c>
      <c r="B7" s="306">
        <v>40</v>
      </c>
      <c r="C7" s="301">
        <v>2000</v>
      </c>
      <c r="D7" s="299">
        <v>5500</v>
      </c>
      <c r="E7" s="305">
        <v>40</v>
      </c>
      <c r="F7" s="302">
        <v>2000</v>
      </c>
      <c r="G7" s="300">
        <v>5500</v>
      </c>
      <c r="H7" s="41"/>
    </row>
    <row r="8" spans="1:8" ht="12.75" customHeight="1" x14ac:dyDescent="0.2">
      <c r="A8" s="296"/>
      <c r="B8" s="306"/>
      <c r="C8" s="301"/>
      <c r="D8" s="299"/>
      <c r="E8" s="305"/>
      <c r="F8" s="302"/>
      <c r="G8" s="300"/>
      <c r="H8" s="41"/>
    </row>
    <row r="9" spans="1:8" ht="12.75" customHeight="1" x14ac:dyDescent="0.2">
      <c r="A9" s="89"/>
      <c r="B9" s="306"/>
      <c r="C9" s="301"/>
      <c r="D9" s="299"/>
      <c r="E9" s="305"/>
      <c r="F9" s="302"/>
      <c r="G9" s="300"/>
      <c r="H9" s="41"/>
    </row>
    <row r="10" spans="1:8" ht="12.75" customHeight="1" x14ac:dyDescent="0.2">
      <c r="A10" s="89"/>
      <c r="B10" s="306"/>
      <c r="C10" s="301"/>
      <c r="D10" s="301"/>
      <c r="E10" s="305"/>
      <c r="F10" s="302"/>
      <c r="G10" s="300"/>
      <c r="H10" s="41"/>
    </row>
    <row r="11" spans="1:8" ht="12.75" customHeight="1" x14ac:dyDescent="0.2">
      <c r="A11" s="89"/>
      <c r="B11" s="306"/>
      <c r="C11" s="301"/>
      <c r="D11" s="301"/>
      <c r="E11" s="305"/>
      <c r="F11" s="302"/>
      <c r="G11" s="300"/>
      <c r="H11" s="41"/>
    </row>
    <row r="12" spans="1:8" ht="12.75" customHeight="1" x14ac:dyDescent="0.2">
      <c r="A12" s="89"/>
      <c r="B12" s="306"/>
      <c r="C12" s="301"/>
      <c r="D12" s="301"/>
      <c r="E12" s="305"/>
      <c r="F12" s="302"/>
      <c r="G12" s="300"/>
      <c r="H12" s="41"/>
    </row>
    <row r="13" spans="1:8" ht="12.75" customHeight="1" x14ac:dyDescent="0.2">
      <c r="A13" s="89"/>
      <c r="B13" s="306"/>
      <c r="C13" s="301"/>
      <c r="D13" s="299"/>
      <c r="E13" s="305"/>
      <c r="F13" s="302"/>
      <c r="G13" s="300"/>
      <c r="H13" s="41"/>
    </row>
    <row r="14" spans="1:8" ht="12.75" customHeight="1" x14ac:dyDescent="0.2">
      <c r="A14" s="89"/>
      <c r="B14" s="306"/>
      <c r="C14" s="301"/>
      <c r="D14" s="301"/>
      <c r="E14" s="305"/>
      <c r="F14" s="302"/>
      <c r="G14" s="300"/>
      <c r="H14" s="41"/>
    </row>
    <row r="15" spans="1:8" ht="12.75" customHeight="1" x14ac:dyDescent="0.2">
      <c r="A15" s="89"/>
      <c r="B15" s="306"/>
      <c r="C15" s="301"/>
      <c r="D15" s="301"/>
      <c r="E15" s="305"/>
      <c r="F15" s="302"/>
      <c r="G15" s="300"/>
      <c r="H15" s="41"/>
    </row>
    <row r="16" spans="1:8" ht="12.75" customHeight="1" x14ac:dyDescent="0.2">
      <c r="A16" s="89"/>
      <c r="B16" s="306"/>
      <c r="C16" s="301"/>
      <c r="D16" s="301"/>
      <c r="E16" s="305"/>
      <c r="F16" s="302"/>
      <c r="G16" s="300"/>
      <c r="H16" s="41"/>
    </row>
    <row r="17" spans="1:8" ht="12.75" customHeight="1" x14ac:dyDescent="0.2">
      <c r="A17" s="89"/>
      <c r="B17" s="289"/>
      <c r="C17" s="299"/>
      <c r="D17" s="299"/>
      <c r="E17" s="305"/>
      <c r="F17" s="298"/>
      <c r="G17" s="300"/>
      <c r="H17" s="41"/>
    </row>
    <row r="18" spans="1:8" ht="12.75" customHeight="1" x14ac:dyDescent="0.2">
      <c r="A18" s="89"/>
      <c r="B18" s="306"/>
      <c r="C18" s="301"/>
      <c r="D18" s="299"/>
      <c r="E18" s="305"/>
      <c r="F18" s="302"/>
      <c r="G18" s="300"/>
      <c r="H18" s="41"/>
    </row>
    <row r="19" spans="1:8" ht="12.75" customHeight="1" x14ac:dyDescent="0.2">
      <c r="A19" s="89"/>
      <c r="B19" s="307"/>
      <c r="C19" s="303"/>
      <c r="D19" s="299"/>
      <c r="E19" s="305"/>
      <c r="F19" s="304"/>
      <c r="G19" s="300"/>
      <c r="H19" s="41"/>
    </row>
    <row r="20" spans="1:8" ht="12.75" customHeight="1" x14ac:dyDescent="0.2">
      <c r="A20" s="89"/>
      <c r="B20" s="289"/>
      <c r="C20" s="299"/>
      <c r="D20" s="299"/>
      <c r="E20" s="305"/>
      <c r="F20" s="298"/>
      <c r="G20" s="300"/>
      <c r="H20" s="41"/>
    </row>
    <row r="21" spans="1:8" ht="12.75" customHeight="1" x14ac:dyDescent="0.2">
      <c r="A21" s="89"/>
      <c r="B21" s="307"/>
      <c r="C21" s="303"/>
      <c r="D21" s="299"/>
      <c r="E21" s="305"/>
      <c r="F21" s="304"/>
      <c r="G21" s="300"/>
      <c r="H21" s="41"/>
    </row>
    <row r="22" spans="1:8" ht="12.75" customHeight="1" x14ac:dyDescent="0.2">
      <c r="A22" s="89"/>
      <c r="B22" s="289"/>
      <c r="C22" s="299"/>
      <c r="D22" s="299"/>
      <c r="E22" s="305"/>
      <c r="F22" s="298"/>
      <c r="G22" s="300"/>
      <c r="H22" s="41"/>
    </row>
    <row r="23" spans="1:8" ht="12.75" customHeight="1" x14ac:dyDescent="0.2">
      <c r="A23" s="89"/>
      <c r="B23" s="306"/>
      <c r="C23" s="301"/>
      <c r="D23" s="299"/>
      <c r="E23" s="305"/>
      <c r="F23" s="302"/>
      <c r="G23" s="300"/>
      <c r="H23" s="41"/>
    </row>
    <row r="24" spans="1:8" ht="12.75" customHeight="1" x14ac:dyDescent="0.2">
      <c r="A24" s="89"/>
      <c r="B24" s="289"/>
      <c r="C24" s="299"/>
      <c r="D24" s="299"/>
      <c r="E24" s="305"/>
      <c r="F24" s="298"/>
      <c r="G24" s="300"/>
      <c r="H24" s="41"/>
    </row>
    <row r="25" spans="1:8" x14ac:dyDescent="0.2">
      <c r="A25" s="89"/>
      <c r="B25" s="306"/>
      <c r="C25" s="301"/>
      <c r="D25" s="299"/>
      <c r="E25" s="305"/>
      <c r="F25" s="302"/>
      <c r="G25" s="300"/>
      <c r="H25" s="41"/>
    </row>
    <row r="26" spans="1:8" x14ac:dyDescent="0.2">
      <c r="A26" s="148"/>
      <c r="B26" s="162"/>
      <c r="C26" s="162"/>
      <c r="D26" s="163"/>
      <c r="E26" s="164"/>
      <c r="F26" s="165"/>
      <c r="G26" s="164"/>
      <c r="H26" s="195"/>
    </row>
    <row r="27" spans="1:8" x14ac:dyDescent="0.2">
      <c r="A27" s="40"/>
      <c r="B27" s="41" t="s">
        <v>78</v>
      </c>
      <c r="C27" s="42"/>
      <c r="D27" s="42"/>
      <c r="E27" s="43" t="s">
        <v>79</v>
      </c>
      <c r="F27" s="44"/>
      <c r="G27" s="44"/>
    </row>
    <row r="28" spans="1:8" x14ac:dyDescent="0.2">
      <c r="A28" s="40"/>
      <c r="B28" s="29"/>
      <c r="C28" s="29"/>
      <c r="D28" s="29"/>
      <c r="E28" s="30"/>
      <c r="F28" s="30"/>
      <c r="G28" s="30"/>
    </row>
    <row r="29" spans="1:8" x14ac:dyDescent="0.2">
      <c r="A29" s="286" t="s">
        <v>259</v>
      </c>
      <c r="B29" s="269"/>
      <c r="C29" s="269"/>
      <c r="D29" s="269"/>
      <c r="E29" s="269"/>
      <c r="F29" s="269"/>
      <c r="G29" s="269"/>
      <c r="H29" s="269"/>
    </row>
    <row r="30" spans="1:8" x14ac:dyDescent="0.2">
      <c r="A30" s="5" t="s">
        <v>514</v>
      </c>
      <c r="B30" s="2" t="s">
        <v>515</v>
      </c>
      <c r="C30"/>
      <c r="D30"/>
      <c r="E30"/>
      <c r="F30"/>
      <c r="G30"/>
      <c r="H30"/>
    </row>
    <row r="31" spans="1:8" x14ac:dyDescent="0.2">
      <c r="A31" s="2" t="s">
        <v>549</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E32"/>
  <sheetViews>
    <sheetView zoomScaleNormal="100" workbookViewId="0">
      <pane xSplit="3" ySplit="3" topLeftCell="D4" activePane="bottomRight" state="frozen"/>
      <selection pane="topRight" activeCell="D1" sqref="D1"/>
      <selection pane="bottomLeft" activeCell="A4" sqref="A4"/>
      <selection pane="bottomRight" activeCell="A4" sqref="A4"/>
    </sheetView>
  </sheetViews>
  <sheetFormatPr defaultRowHeight="12.75" x14ac:dyDescent="0.2"/>
  <cols>
    <col min="1" max="1" width="13.140625" customWidth="1"/>
    <col min="2" max="2" width="30.7109375" customWidth="1"/>
    <col min="3" max="3" width="25.7109375" customWidth="1"/>
    <col min="4" max="4" width="16.28515625" customWidth="1"/>
    <col min="5" max="5" width="16.28515625" style="9" customWidth="1"/>
    <col min="6" max="6" width="14" customWidth="1"/>
    <col min="7" max="7" width="13" customWidth="1"/>
    <col min="8" max="8" width="12.5703125" customWidth="1"/>
    <col min="9" max="9" width="14.28515625" customWidth="1"/>
    <col min="10" max="10" width="11.85546875" customWidth="1"/>
    <col min="11" max="11" width="10.42578125" bestFit="1" customWidth="1"/>
    <col min="12" max="12" width="13.42578125" bestFit="1" customWidth="1"/>
    <col min="13" max="13" width="14.28515625" customWidth="1"/>
    <col min="14" max="16" width="12.28515625" customWidth="1"/>
    <col min="17" max="18" width="13.140625" bestFit="1" customWidth="1"/>
    <col min="19" max="19" width="13.140625" customWidth="1"/>
    <col min="20" max="20" width="11.85546875" customWidth="1"/>
    <col min="21" max="21" width="12.7109375" customWidth="1"/>
    <col min="22" max="27" width="13.28515625" customWidth="1"/>
    <col min="28" max="28" width="10.7109375" customWidth="1"/>
    <col min="29" max="31" width="13.28515625" customWidth="1"/>
  </cols>
  <sheetData>
    <row r="1" spans="1:31" ht="30" customHeight="1" x14ac:dyDescent="0.2">
      <c r="A1" s="131" t="s">
        <v>373</v>
      </c>
      <c r="B1" s="125" t="s">
        <v>374</v>
      </c>
      <c r="C1" s="126"/>
      <c r="D1" s="126"/>
      <c r="E1" s="133"/>
      <c r="F1" s="126"/>
      <c r="G1" s="126"/>
      <c r="H1" s="126"/>
      <c r="I1" s="126"/>
      <c r="J1" s="126"/>
      <c r="K1" s="126"/>
      <c r="L1" s="126"/>
      <c r="M1" s="126"/>
      <c r="N1" s="4"/>
      <c r="O1" s="4"/>
      <c r="P1" s="5"/>
      <c r="Q1" s="234" t="s">
        <v>61</v>
      </c>
      <c r="R1" s="234" t="s">
        <v>61</v>
      </c>
      <c r="S1" s="234" t="s">
        <v>349</v>
      </c>
      <c r="T1" s="234" t="s">
        <v>350</v>
      </c>
      <c r="U1" s="234" t="s">
        <v>350</v>
      </c>
      <c r="V1" s="130" t="s">
        <v>354</v>
      </c>
      <c r="W1" s="24"/>
      <c r="X1" s="35"/>
      <c r="Y1" s="24"/>
      <c r="Z1" s="35"/>
      <c r="AA1" s="24"/>
      <c r="AB1" s="127" t="s">
        <v>356</v>
      </c>
      <c r="AC1" s="128"/>
      <c r="AD1" s="128"/>
      <c r="AE1" s="129"/>
    </row>
    <row r="2" spans="1:31" ht="41.25" customHeight="1" x14ac:dyDescent="0.2">
      <c r="A2" s="101" t="s">
        <v>5</v>
      </c>
      <c r="B2" s="103" t="s">
        <v>285</v>
      </c>
      <c r="C2" s="103" t="s">
        <v>367</v>
      </c>
      <c r="D2" s="103" t="s">
        <v>480</v>
      </c>
      <c r="E2" s="103" t="s">
        <v>302</v>
      </c>
      <c r="F2" s="103" t="s">
        <v>290</v>
      </c>
      <c r="G2" s="103" t="s">
        <v>292</v>
      </c>
      <c r="H2" s="103" t="s">
        <v>295</v>
      </c>
      <c r="I2" s="103" t="s">
        <v>525</v>
      </c>
      <c r="J2" s="103" t="s">
        <v>294</v>
      </c>
      <c r="K2" s="103" t="s">
        <v>293</v>
      </c>
      <c r="L2" s="103" t="s">
        <v>297</v>
      </c>
      <c r="M2" s="103" t="s">
        <v>526</v>
      </c>
      <c r="N2" s="102" t="s">
        <v>352</v>
      </c>
      <c r="O2" s="102" t="s">
        <v>280</v>
      </c>
      <c r="P2" s="102" t="s">
        <v>82</v>
      </c>
      <c r="Q2" s="102" t="s">
        <v>299</v>
      </c>
      <c r="R2" s="102" t="s">
        <v>300</v>
      </c>
      <c r="S2" s="102" t="s">
        <v>301</v>
      </c>
      <c r="T2" s="102" t="s">
        <v>83</v>
      </c>
      <c r="U2" s="102" t="s">
        <v>86</v>
      </c>
      <c r="V2" s="116" t="s">
        <v>303</v>
      </c>
      <c r="W2" s="116" t="s">
        <v>305</v>
      </c>
      <c r="X2" s="116" t="s">
        <v>307</v>
      </c>
      <c r="Y2" s="116" t="s">
        <v>308</v>
      </c>
      <c r="Z2" s="116" t="s">
        <v>309</v>
      </c>
      <c r="AA2" s="116" t="s">
        <v>310</v>
      </c>
      <c r="AB2" s="103" t="s">
        <v>364</v>
      </c>
      <c r="AC2" s="116" t="s">
        <v>305</v>
      </c>
      <c r="AD2" s="116" t="s">
        <v>308</v>
      </c>
      <c r="AE2" s="116" t="s">
        <v>310</v>
      </c>
    </row>
    <row r="3" spans="1:31" ht="17.25" customHeight="1" x14ac:dyDescent="0.2">
      <c r="A3" s="104"/>
      <c r="B3" s="104"/>
      <c r="C3" s="135"/>
      <c r="D3" s="104"/>
      <c r="E3" s="103" t="s">
        <v>522</v>
      </c>
      <c r="F3" s="103" t="s">
        <v>291</v>
      </c>
      <c r="G3" s="103" t="s">
        <v>69</v>
      </c>
      <c r="H3" s="103" t="s">
        <v>296</v>
      </c>
      <c r="I3" s="103" t="s">
        <v>298</v>
      </c>
      <c r="J3" s="103" t="s">
        <v>291</v>
      </c>
      <c r="K3" s="103" t="s">
        <v>68</v>
      </c>
      <c r="L3" s="103" t="s">
        <v>296</v>
      </c>
      <c r="M3" s="103" t="s">
        <v>298</v>
      </c>
      <c r="N3" s="102" t="s">
        <v>281</v>
      </c>
      <c r="O3" s="102" t="s">
        <v>278</v>
      </c>
      <c r="P3" s="102"/>
      <c r="Q3" s="102" t="s">
        <v>255</v>
      </c>
      <c r="R3" s="102" t="s">
        <v>255</v>
      </c>
      <c r="S3" s="102" t="s">
        <v>255</v>
      </c>
      <c r="T3" s="102"/>
      <c r="U3" s="102"/>
      <c r="V3" s="116" t="s">
        <v>304</v>
      </c>
      <c r="W3" s="116" t="s">
        <v>306</v>
      </c>
      <c r="X3" s="116" t="s">
        <v>304</v>
      </c>
      <c r="Y3" s="116" t="s">
        <v>306</v>
      </c>
      <c r="Z3" s="116" t="s">
        <v>304</v>
      </c>
      <c r="AA3" s="116" t="s">
        <v>306</v>
      </c>
      <c r="AB3" s="103" t="s">
        <v>355</v>
      </c>
      <c r="AC3" s="116" t="s">
        <v>306</v>
      </c>
      <c r="AD3" s="116" t="s">
        <v>306</v>
      </c>
      <c r="AE3" s="116" t="s">
        <v>306</v>
      </c>
    </row>
    <row r="4" spans="1:31" x14ac:dyDescent="0.2">
      <c r="A4" s="121" t="s">
        <v>4</v>
      </c>
      <c r="B4" s="109" t="s">
        <v>84</v>
      </c>
      <c r="C4" s="111" t="s">
        <v>284</v>
      </c>
      <c r="D4" s="273">
        <v>1</v>
      </c>
      <c r="E4" s="290">
        <v>0</v>
      </c>
      <c r="F4" s="236">
        <v>2</v>
      </c>
      <c r="G4" s="237">
        <v>10</v>
      </c>
      <c r="H4" s="238">
        <v>30</v>
      </c>
      <c r="I4" s="114" t="s">
        <v>66</v>
      </c>
      <c r="J4" s="237">
        <v>2</v>
      </c>
      <c r="K4" s="239">
        <v>0.5</v>
      </c>
      <c r="L4" s="238">
        <v>0</v>
      </c>
      <c r="M4" s="114" t="s">
        <v>66</v>
      </c>
      <c r="N4" s="99">
        <f>VLOOKUP(B4,Levering[#All],2,FALSE)</f>
        <v>500</v>
      </c>
      <c r="O4" s="100">
        <f>VLOOKUP(B4,Levering[#All],3,FALSE)</f>
        <v>2000</v>
      </c>
      <c r="P4" s="106">
        <f>EXP(-0.693*E4/(VLOOKUP(A4,Nucliden[#All],3,FALSE)))*D4</f>
        <v>1</v>
      </c>
      <c r="Q4" s="115">
        <f>IF(I4="Nee",(VLOOKUP(A4,Nucliden[#All],35,FALSE)),(IF(I4="Ja",(VLOOKUP(A4,Nucliden[#All],34,FALSE)),(IF(I4="Deels","Bepaal h(0,07)","")))))</f>
        <v>16</v>
      </c>
      <c r="R4" s="115">
        <f>IF(M4="Nee",(VLOOKUP(A4,Nucliden[#All],19,FALSE)),(IF(M4="Ja",(VLOOKUP(A4,Nucliden[#All],18,FALSE)),(IF(M4="Deels","Bepaal h(10)","")))))</f>
        <v>0.16</v>
      </c>
      <c r="S4" s="115">
        <f>IF(M4="Nee",(VLOOKUP(A4,Nucliden[#All],25,FALSE)),(IF(M4="Ja",(VLOOKUP(A4,Nucliden[#All],26,FALSE)),(IF(M4="Deels","Bepaal h(3)","")))))</f>
        <v>0.16900000000000001</v>
      </c>
      <c r="T4" s="115">
        <f>EXP(-0.693*H4/(VLOOKUP(A4,Nucliden[#All],6,FALSE)))</f>
        <v>1.4995576820477717E-2</v>
      </c>
      <c r="U4" s="117">
        <f>EXP(-0.693*L4/(VLOOKUP(A4,Nucliden[#All],6,FALSE)))</f>
        <v>1</v>
      </c>
      <c r="V4" s="118">
        <f t="shared" ref="V4:V25" si="0">O4*P4*(10/G4)^2*Q4*T4</f>
        <v>479.85845825528696</v>
      </c>
      <c r="W4" s="119">
        <f t="shared" ref="W4:W25" si="1">N4/1000*F4/60*V4</f>
        <v>7.9976409709214495</v>
      </c>
      <c r="X4" s="118">
        <f t="shared" ref="X4:X25" si="2">O4*P4*(1/K4)^2*R4*T4*U4</f>
        <v>19.19433833021148</v>
      </c>
      <c r="Y4" s="119">
        <f t="shared" ref="Y4:Y25" si="3">N4/1000*J4/60*X4</f>
        <v>0.31990563883685796</v>
      </c>
      <c r="Z4" s="118">
        <f t="shared" ref="Z4:Z25" si="4">O4*P4*(1/K4)^2*S4*T4*U4</f>
        <v>20.274019861285872</v>
      </c>
      <c r="AA4" s="119">
        <f t="shared" ref="AA4:AA25" si="5">N4/1000*J4/60*Z4</f>
        <v>0.33790033102143119</v>
      </c>
      <c r="AB4" s="120">
        <v>1</v>
      </c>
      <c r="AC4" s="119">
        <f>AB4*$W4</f>
        <v>7.9976409709214495</v>
      </c>
      <c r="AD4" s="119">
        <f>AB4*$Y4</f>
        <v>0.31990563883685796</v>
      </c>
      <c r="AE4" s="119">
        <f>AB4*$AA4</f>
        <v>0.33790033102143119</v>
      </c>
    </row>
    <row r="5" spans="1:31" x14ac:dyDescent="0.2">
      <c r="A5" s="121" t="s">
        <v>0</v>
      </c>
      <c r="B5" s="109" t="s">
        <v>94</v>
      </c>
      <c r="C5" s="111" t="s">
        <v>545</v>
      </c>
      <c r="D5" s="273">
        <v>1</v>
      </c>
      <c r="E5" s="290">
        <v>0</v>
      </c>
      <c r="F5" s="236">
        <v>1</v>
      </c>
      <c r="G5" s="237">
        <v>5</v>
      </c>
      <c r="H5" s="238">
        <v>2</v>
      </c>
      <c r="I5" s="114" t="s">
        <v>66</v>
      </c>
      <c r="J5" s="237">
        <v>1</v>
      </c>
      <c r="K5" s="239">
        <v>0.5</v>
      </c>
      <c r="L5" s="238">
        <v>10</v>
      </c>
      <c r="M5" s="114" t="s">
        <v>66</v>
      </c>
      <c r="N5" s="99">
        <f>VLOOKUP(B5,Levering[#All],2,FALSE)</f>
        <v>450</v>
      </c>
      <c r="O5" s="100">
        <f>VLOOKUP(B5,Levering[#All],3,FALSE)</f>
        <v>30000</v>
      </c>
      <c r="P5" s="106">
        <f>EXP(-0.693*E5/(VLOOKUP(A5,Nucliden[#All],3,FALSE)))*D5</f>
        <v>1</v>
      </c>
      <c r="Q5" s="115">
        <f>IF(I5="Nee",(VLOOKUP(A5,Nucliden[#All],35,FALSE)),(IF(I5="Ja",(VLOOKUP(A5,Nucliden[#All],34,FALSE)),(IF(I5="Deels","Bepaal h(0,07)","")))))</f>
        <v>2.21</v>
      </c>
      <c r="R5" s="115">
        <f>IF(M5="Nee",(VLOOKUP(A5,Nucliden[#All],19,FALSE)),(IF(M5="Ja",(VLOOKUP(A5,Nucliden[#All],18,FALSE)),(IF(M5="Deels","Bepaal h(10)","")))))</f>
        <v>2.18E-2</v>
      </c>
      <c r="S5" s="115">
        <f>IF(M5="Nee",(VLOOKUP(A5,Nucliden[#All],25,FALSE)),(IF(M5="Ja",(VLOOKUP(A5,Nucliden[#All],26,FALSE)),(IF(M5="Deels","Bepaal h(3)","")))))</f>
        <v>2.5999999999999999E-2</v>
      </c>
      <c r="T5" s="115">
        <f>EXP(-0.693*H5/(VLOOKUP(A5,Nucliden[#All],6,FALSE)))</f>
        <v>2.6769507205430419E-3</v>
      </c>
      <c r="U5" s="117">
        <f>EXP(-0.693*L5/(VLOOKUP(A5,Nucliden[#All],6,FALSE)))</f>
        <v>1.374680847871773E-13</v>
      </c>
      <c r="V5" s="118">
        <f t="shared" si="0"/>
        <v>709.92733108801474</v>
      </c>
      <c r="W5" s="119">
        <f t="shared" si="1"/>
        <v>5.3244549831601109</v>
      </c>
      <c r="X5" s="118">
        <f t="shared" si="2"/>
        <v>9.6267567503699959E-13</v>
      </c>
      <c r="Y5" s="119">
        <f t="shared" si="3"/>
        <v>7.2200675627774974E-15</v>
      </c>
      <c r="Z5" s="118">
        <f t="shared" si="4"/>
        <v>1.1481453005028434E-12</v>
      </c>
      <c r="AA5" s="119">
        <f t="shared" si="5"/>
        <v>8.6110897537713264E-15</v>
      </c>
      <c r="AB5" s="120">
        <v>1</v>
      </c>
      <c r="AC5" s="119">
        <f t="shared" ref="AC5:AC7" si="6">AB5*$W5</f>
        <v>5.3244549831601109</v>
      </c>
      <c r="AD5" s="119">
        <f t="shared" ref="AD5:AD7" si="7">AB5*$Y5</f>
        <v>7.2200675627774974E-15</v>
      </c>
      <c r="AE5" s="119">
        <f t="shared" ref="AE5:AE7" si="8">AB5*$AA5</f>
        <v>8.6110897537713264E-15</v>
      </c>
    </row>
    <row r="6" spans="1:31" x14ac:dyDescent="0.2">
      <c r="A6" s="121" t="s">
        <v>0</v>
      </c>
      <c r="B6" s="109" t="s">
        <v>171</v>
      </c>
      <c r="C6" s="111" t="s">
        <v>546</v>
      </c>
      <c r="D6" s="273">
        <v>1</v>
      </c>
      <c r="E6" s="290">
        <v>0</v>
      </c>
      <c r="F6" s="236">
        <v>2</v>
      </c>
      <c r="G6" s="237">
        <v>5</v>
      </c>
      <c r="H6" s="238">
        <v>2</v>
      </c>
      <c r="I6" s="114" t="s">
        <v>66</v>
      </c>
      <c r="J6" s="237">
        <v>2</v>
      </c>
      <c r="K6" s="239">
        <v>0.5</v>
      </c>
      <c r="L6" s="238">
        <v>10</v>
      </c>
      <c r="M6" s="114" t="s">
        <v>66</v>
      </c>
      <c r="N6" s="99">
        <f>VLOOKUP(B6,Levering[#All],2,FALSE)</f>
        <v>300</v>
      </c>
      <c r="O6" s="100">
        <f>VLOOKUP(B6,Levering[#All],3,FALSE)</f>
        <v>10000</v>
      </c>
      <c r="P6" s="106">
        <f>EXP(-0.693*E6/(VLOOKUP(A6,Nucliden[#All],3,FALSE)))*D6</f>
        <v>1</v>
      </c>
      <c r="Q6" s="115">
        <f>IF(I6="Nee",(VLOOKUP(A6,Nucliden[#All],35,FALSE)),(IF(I6="Ja",(VLOOKUP(A6,Nucliden[#All],34,FALSE)),(IF(I6="Deels","Bepaal h(0,07)","")))))</f>
        <v>2.21</v>
      </c>
      <c r="R6" s="115">
        <f>IF(M6="Nee",(VLOOKUP(A6,Nucliden[#All],19,FALSE)),(IF(M6="Ja",(VLOOKUP(A6,Nucliden[#All],18,FALSE)),(IF(M6="Deels","Bepaal h(10)","")))))</f>
        <v>2.18E-2</v>
      </c>
      <c r="S6" s="115">
        <f>IF(M6="Nee",(VLOOKUP(A6,Nucliden[#All],25,FALSE)),(IF(M6="Ja",(VLOOKUP(A6,Nucliden[#All],26,FALSE)),(IF(M6="Deels","Bepaal h(3)","")))))</f>
        <v>2.5999999999999999E-2</v>
      </c>
      <c r="T6" s="115">
        <f>EXP(-0.693*H6/(VLOOKUP(A6,Nucliden[#All],6,FALSE)))</f>
        <v>2.6769507205430419E-3</v>
      </c>
      <c r="U6" s="117">
        <f>EXP(-0.693*L6/(VLOOKUP(A6,Nucliden[#All],6,FALSE)))</f>
        <v>1.374680847871773E-13</v>
      </c>
      <c r="V6" s="118">
        <f t="shared" si="0"/>
        <v>236.6424436960049</v>
      </c>
      <c r="W6" s="119">
        <f t="shared" si="1"/>
        <v>2.3664244369600489</v>
      </c>
      <c r="X6" s="118">
        <f t="shared" si="2"/>
        <v>3.208918916789998E-13</v>
      </c>
      <c r="Y6" s="119">
        <f t="shared" si="3"/>
        <v>3.2089189167899979E-15</v>
      </c>
      <c r="Z6" s="118">
        <f t="shared" si="4"/>
        <v>3.827151001676145E-13</v>
      </c>
      <c r="AA6" s="119">
        <f t="shared" si="5"/>
        <v>3.8271510016761453E-15</v>
      </c>
      <c r="AB6" s="120">
        <v>1</v>
      </c>
      <c r="AC6" s="119">
        <f t="shared" si="6"/>
        <v>2.3664244369600489</v>
      </c>
      <c r="AD6" s="119">
        <f t="shared" si="7"/>
        <v>3.2089189167899979E-15</v>
      </c>
      <c r="AE6" s="119">
        <f t="shared" si="8"/>
        <v>3.8271510016761453E-15</v>
      </c>
    </row>
    <row r="7" spans="1:31" x14ac:dyDescent="0.2">
      <c r="A7" s="121" t="s">
        <v>3</v>
      </c>
      <c r="B7" s="109" t="s">
        <v>106</v>
      </c>
      <c r="C7" s="111" t="s">
        <v>284</v>
      </c>
      <c r="D7" s="273">
        <v>1</v>
      </c>
      <c r="E7" s="290">
        <v>0</v>
      </c>
      <c r="F7" s="236">
        <v>2</v>
      </c>
      <c r="G7" s="237">
        <v>10</v>
      </c>
      <c r="H7" s="238">
        <v>30</v>
      </c>
      <c r="I7" s="114" t="s">
        <v>66</v>
      </c>
      <c r="J7" s="237">
        <v>2</v>
      </c>
      <c r="K7" s="239">
        <v>0.5</v>
      </c>
      <c r="L7" s="238">
        <v>0</v>
      </c>
      <c r="M7" s="114" t="s">
        <v>66</v>
      </c>
      <c r="N7" s="99">
        <f>VLOOKUP(B7,Levering[#All],2,FALSE)</f>
        <v>40</v>
      </c>
      <c r="O7" s="100">
        <f>VLOOKUP(B7,Levering[#All],3,FALSE)</f>
        <v>2000</v>
      </c>
      <c r="P7" s="106">
        <f>EXP(-0.693*E7/(VLOOKUP(A7,Nucliden[#All],3,FALSE)))*D7</f>
        <v>1</v>
      </c>
      <c r="Q7" s="115">
        <f>IF(I7="Nee",(VLOOKUP(A7,Nucliden[#All],35,FALSE)),(IF(I7="Ja",(VLOOKUP(A7,Nucliden[#All],34,FALSE)),(IF(I7="Deels","Bepaal h(0,07)","")))))</f>
        <v>6.05</v>
      </c>
      <c r="R7" s="115">
        <f>IF(M7="Nee",(VLOOKUP(A7,Nucliden[#All],19,FALSE)),(IF(M7="Ja",(VLOOKUP(A7,Nucliden[#All],18,FALSE)),(IF(M7="Deels","Bepaal h(10)","")))))</f>
        <v>6.2300000000000001E-2</v>
      </c>
      <c r="S7" s="115">
        <f>IF(M7="Nee",(VLOOKUP(A7,Nucliden[#All],25,FALSE)),(IF(M7="Ja",(VLOOKUP(A7,Nucliden[#All],26,FALSE)),(IF(M7="Deels","Bepaal h(3)","")))))</f>
        <v>6.8000000000000005E-2</v>
      </c>
      <c r="T7" s="115">
        <f>EXP(-0.693*H7/(VLOOKUP(A7,Nucliden[#All],6,FALSE)))</f>
        <v>5.0670010367412322E-4</v>
      </c>
      <c r="U7" s="117">
        <f>EXP(-0.693*L7/(VLOOKUP(A7,Nucliden[#All],6,FALSE)))</f>
        <v>1</v>
      </c>
      <c r="V7" s="118">
        <f t="shared" si="0"/>
        <v>6.1310712544568906</v>
      </c>
      <c r="W7" s="119">
        <f t="shared" si="1"/>
        <v>8.174761672609188E-3</v>
      </c>
      <c r="X7" s="118">
        <f t="shared" si="2"/>
        <v>0.25253933167118303</v>
      </c>
      <c r="Y7" s="119">
        <f t="shared" si="3"/>
        <v>3.3671910889491069E-4</v>
      </c>
      <c r="Z7" s="118">
        <f t="shared" si="4"/>
        <v>0.27564485639872305</v>
      </c>
      <c r="AA7" s="119">
        <f t="shared" si="5"/>
        <v>3.675264751982974E-4</v>
      </c>
      <c r="AB7" s="120">
        <v>1</v>
      </c>
      <c r="AC7" s="119">
        <f t="shared" si="6"/>
        <v>8.174761672609188E-3</v>
      </c>
      <c r="AD7" s="119">
        <f t="shared" si="7"/>
        <v>3.3671910889491069E-4</v>
      </c>
      <c r="AE7" s="119">
        <f t="shared" si="8"/>
        <v>3.675264751982974E-4</v>
      </c>
    </row>
    <row r="8" spans="1:31" x14ac:dyDescent="0.2">
      <c r="A8" s="121"/>
      <c r="B8" s="109"/>
      <c r="C8" s="111"/>
      <c r="D8" s="273"/>
      <c r="E8" s="290"/>
      <c r="F8" s="236"/>
      <c r="G8" s="237"/>
      <c r="H8" s="238"/>
      <c r="I8" s="114"/>
      <c r="J8" s="237"/>
      <c r="K8" s="239"/>
      <c r="L8" s="238"/>
      <c r="M8" s="114"/>
      <c r="N8" s="99" t="e">
        <f>VLOOKUP(B8,Levering[#All],2,FALSE)</f>
        <v>#N/A</v>
      </c>
      <c r="O8" s="100" t="e">
        <f>VLOOKUP(B8,Levering[#All],3,FALSE)</f>
        <v>#N/A</v>
      </c>
      <c r="P8" s="106" t="e">
        <f>EXP(-0.693*E8/(VLOOKUP(A8,Nucliden[#All],3,FALSE)))*D8</f>
        <v>#N/A</v>
      </c>
      <c r="Q8" s="115" t="str">
        <f>IF(I8="Nee",(VLOOKUP(A8,Nucliden[#All],35,FALSE)),(IF(I8="Ja",(VLOOKUP(A8,Nucliden[#All],34,FALSE)),(IF(I8="Deels","Bepaal h(0,07)","")))))</f>
        <v/>
      </c>
      <c r="R8" s="115" t="str">
        <f>IF(M8="Nee",(VLOOKUP(A8,Nucliden[#All],19,FALSE)),(IF(M8="Ja",(VLOOKUP(A8,Nucliden[#All],18,FALSE)),(IF(M8="Deels","Bepaal h(10)","")))))</f>
        <v/>
      </c>
      <c r="S8" s="115" t="str">
        <f>IF(M8="Nee",(VLOOKUP(A8,Nucliden[#All],25,FALSE)),(IF(M8="Ja",(VLOOKUP(A8,Nucliden[#All],26,FALSE)),(IF(M8="Deels","Bepaal h(3)","")))))</f>
        <v/>
      </c>
      <c r="T8" s="115" t="e">
        <f>EXP(-0.693*H8/(VLOOKUP(A8,Nucliden[#All],6,FALSE)))</f>
        <v>#N/A</v>
      </c>
      <c r="U8" s="117" t="e">
        <f>EXP(-0.693*L8/(VLOOKUP(A8,Nucliden[#All],6,FALSE)))</f>
        <v>#N/A</v>
      </c>
      <c r="V8" s="118" t="e">
        <f t="shared" si="0"/>
        <v>#N/A</v>
      </c>
      <c r="W8" s="119" t="e">
        <f t="shared" si="1"/>
        <v>#N/A</v>
      </c>
      <c r="X8" s="118" t="e">
        <f t="shared" si="2"/>
        <v>#N/A</v>
      </c>
      <c r="Y8" s="119" t="e">
        <f t="shared" si="3"/>
        <v>#N/A</v>
      </c>
      <c r="Z8" s="118" t="e">
        <f t="shared" si="4"/>
        <v>#N/A</v>
      </c>
      <c r="AA8" s="119" t="e">
        <f t="shared" si="5"/>
        <v>#N/A</v>
      </c>
      <c r="AB8" s="120"/>
      <c r="AC8" s="119" t="e">
        <f t="shared" ref="AC8:AC25" si="9">AB8*$W8</f>
        <v>#N/A</v>
      </c>
      <c r="AD8" s="119" t="e">
        <f t="shared" ref="AD8:AD25" si="10">AB8*$Y8</f>
        <v>#N/A</v>
      </c>
      <c r="AE8" s="119" t="e">
        <f t="shared" ref="AE8:AE25" si="11">AB8*$AA8</f>
        <v>#N/A</v>
      </c>
    </row>
    <row r="9" spans="1:31" x14ac:dyDescent="0.2">
      <c r="A9" s="121"/>
      <c r="B9" s="110"/>
      <c r="C9" s="111"/>
      <c r="D9" s="273"/>
      <c r="E9" s="290"/>
      <c r="F9" s="236"/>
      <c r="G9" s="237"/>
      <c r="H9" s="238"/>
      <c r="I9" s="114"/>
      <c r="J9" s="237"/>
      <c r="K9" s="239"/>
      <c r="L9" s="238"/>
      <c r="M9" s="114"/>
      <c r="N9" s="99" t="e">
        <f>VLOOKUP(B9,Levering[#All],2,FALSE)</f>
        <v>#N/A</v>
      </c>
      <c r="O9" s="100" t="e">
        <f>VLOOKUP(B9,Levering[#All],3,FALSE)</f>
        <v>#N/A</v>
      </c>
      <c r="P9" s="106" t="e">
        <f>EXP(-0.693*E9/(VLOOKUP(A9,Nucliden[#All],3,FALSE)))*D9</f>
        <v>#N/A</v>
      </c>
      <c r="Q9" s="115" t="str">
        <f>IF(I9="Nee",(VLOOKUP(A9,Nucliden[#All],35,FALSE)),(IF(I9="Ja",(VLOOKUP(A9,Nucliden[#All],34,FALSE)),(IF(I9="Deels","Bepaal h(0,07)","")))))</f>
        <v/>
      </c>
      <c r="R9" s="115" t="str">
        <f>IF(M9="Nee",(VLOOKUP(A9,Nucliden[#All],19,FALSE)),(IF(M9="Ja",(VLOOKUP(A9,Nucliden[#All],18,FALSE)),(IF(M9="Deels","Bepaal h(10)","")))))</f>
        <v/>
      </c>
      <c r="S9" s="115" t="str">
        <f>IF(M9="Nee",(VLOOKUP(A9,Nucliden[#All],25,FALSE)),(IF(M9="Ja",(VLOOKUP(A9,Nucliden[#All],26,FALSE)),(IF(M9="Deels","Bepaal h(3)","")))))</f>
        <v/>
      </c>
      <c r="T9" s="115" t="e">
        <f>EXP(-0.693*H9/(VLOOKUP(A9,Nucliden[#All],6,FALSE)))</f>
        <v>#N/A</v>
      </c>
      <c r="U9" s="117" t="e">
        <f>EXP(-0.693*L9/(VLOOKUP(A9,Nucliden[#All],6,FALSE)))</f>
        <v>#N/A</v>
      </c>
      <c r="V9" s="118" t="e">
        <f t="shared" si="0"/>
        <v>#N/A</v>
      </c>
      <c r="W9" s="119" t="e">
        <f t="shared" si="1"/>
        <v>#N/A</v>
      </c>
      <c r="X9" s="118" t="e">
        <f t="shared" si="2"/>
        <v>#N/A</v>
      </c>
      <c r="Y9" s="119" t="e">
        <f t="shared" si="3"/>
        <v>#N/A</v>
      </c>
      <c r="Z9" s="118" t="e">
        <f t="shared" si="4"/>
        <v>#N/A</v>
      </c>
      <c r="AA9" s="119" t="e">
        <f t="shared" si="5"/>
        <v>#N/A</v>
      </c>
      <c r="AB9" s="120"/>
      <c r="AC9" s="119" t="e">
        <f t="shared" si="9"/>
        <v>#N/A</v>
      </c>
      <c r="AD9" s="119" t="e">
        <f t="shared" si="10"/>
        <v>#N/A</v>
      </c>
      <c r="AE9" s="119" t="e">
        <f t="shared" si="11"/>
        <v>#N/A</v>
      </c>
    </row>
    <row r="10" spans="1:31" x14ac:dyDescent="0.2">
      <c r="A10" s="121"/>
      <c r="B10" s="109"/>
      <c r="C10" s="111"/>
      <c r="D10" s="273"/>
      <c r="E10" s="290"/>
      <c r="F10" s="236"/>
      <c r="G10" s="237"/>
      <c r="H10" s="238"/>
      <c r="I10" s="114"/>
      <c r="J10" s="237"/>
      <c r="K10" s="239"/>
      <c r="L10" s="238"/>
      <c r="M10" s="114"/>
      <c r="N10" s="99" t="e">
        <f>VLOOKUP(B10,Levering[#All],2,FALSE)</f>
        <v>#N/A</v>
      </c>
      <c r="O10" s="100" t="e">
        <f>VLOOKUP(B10,Levering[#All],3,FALSE)</f>
        <v>#N/A</v>
      </c>
      <c r="P10" s="106" t="e">
        <f>EXP(-0.693*E10/(VLOOKUP(A10,Nucliden[#All],3,FALSE)))*D10</f>
        <v>#N/A</v>
      </c>
      <c r="Q10" s="115" t="str">
        <f>IF(I10="Nee",(VLOOKUP(A10,Nucliden[#All],35,FALSE)),(IF(I10="Ja",(VLOOKUP(A10,Nucliden[#All],34,FALSE)),(IF(I10="Deels","Bepaal h(0,07)","")))))</f>
        <v/>
      </c>
      <c r="R10" s="115" t="str">
        <f>IF(M10="Nee",(VLOOKUP(A10,Nucliden[#All],19,FALSE)),(IF(M10="Ja",(VLOOKUP(A10,Nucliden[#All],18,FALSE)),(IF(M10="Deels","Bepaal h(10)","")))))</f>
        <v/>
      </c>
      <c r="S10" s="115" t="str">
        <f>IF(M10="Nee",(VLOOKUP(A10,Nucliden[#All],25,FALSE)),(IF(M10="Ja",(VLOOKUP(A10,Nucliden[#All],26,FALSE)),(IF(M10="Deels","Bepaal h(3)","")))))</f>
        <v/>
      </c>
      <c r="T10" s="115" t="e">
        <f>EXP(-0.693*H10/(VLOOKUP(A10,Nucliden[#All],6,FALSE)))</f>
        <v>#N/A</v>
      </c>
      <c r="U10" s="117" t="e">
        <f>EXP(-0.693*L10/(VLOOKUP(A10,Nucliden[#All],6,FALSE)))</f>
        <v>#N/A</v>
      </c>
      <c r="V10" s="118" t="e">
        <f t="shared" si="0"/>
        <v>#N/A</v>
      </c>
      <c r="W10" s="119" t="e">
        <f t="shared" si="1"/>
        <v>#N/A</v>
      </c>
      <c r="X10" s="118" t="e">
        <f t="shared" si="2"/>
        <v>#N/A</v>
      </c>
      <c r="Y10" s="119" t="e">
        <f t="shared" si="3"/>
        <v>#N/A</v>
      </c>
      <c r="Z10" s="118" t="e">
        <f t="shared" si="4"/>
        <v>#N/A</v>
      </c>
      <c r="AA10" s="119" t="e">
        <f t="shared" si="5"/>
        <v>#N/A</v>
      </c>
      <c r="AB10" s="120"/>
      <c r="AC10" s="119" t="e">
        <f t="shared" si="9"/>
        <v>#N/A</v>
      </c>
      <c r="AD10" s="119" t="e">
        <f t="shared" si="10"/>
        <v>#N/A</v>
      </c>
      <c r="AE10" s="119" t="e">
        <f t="shared" si="11"/>
        <v>#N/A</v>
      </c>
    </row>
    <row r="11" spans="1:31" x14ac:dyDescent="0.2">
      <c r="A11" s="121"/>
      <c r="B11" s="111"/>
      <c r="C11" s="111"/>
      <c r="D11" s="273"/>
      <c r="E11" s="290"/>
      <c r="F11" s="236"/>
      <c r="G11" s="237"/>
      <c r="H11" s="238"/>
      <c r="I11" s="114"/>
      <c r="J11" s="237"/>
      <c r="K11" s="239"/>
      <c r="L11" s="238"/>
      <c r="M11" s="114"/>
      <c r="N11" s="99" t="e">
        <f>VLOOKUP(B11,Levering[#All],2,FALSE)</f>
        <v>#N/A</v>
      </c>
      <c r="O11" s="100" t="e">
        <f>VLOOKUP(B11,Levering[#All],3,FALSE)</f>
        <v>#N/A</v>
      </c>
      <c r="P11" s="106" t="e">
        <f>EXP(-0.693*E11/(VLOOKUP(A11,Nucliden[#All],3,FALSE)))*D11</f>
        <v>#N/A</v>
      </c>
      <c r="Q11" s="115" t="str">
        <f>IF(I11="Nee",(VLOOKUP(A11,Nucliden[#All],35,FALSE)),(IF(I11="Ja",(VLOOKUP(A11,Nucliden[#All],34,FALSE)),(IF(I11="Deels","Bepaal h(0,07)","")))))</f>
        <v/>
      </c>
      <c r="R11" s="115" t="str">
        <f>IF(M11="Nee",(VLOOKUP(A11,Nucliden[#All],19,FALSE)),(IF(M11="Ja",(VLOOKUP(A11,Nucliden[#All],18,FALSE)),(IF(M11="Deels","Bepaal h(10)","")))))</f>
        <v/>
      </c>
      <c r="S11" s="115" t="str">
        <f>IF(M11="Nee",(VLOOKUP(A11,Nucliden[#All],25,FALSE)),(IF(M11="Ja",(VLOOKUP(A11,Nucliden[#All],26,FALSE)),(IF(M11="Deels","Bepaal h(3)","")))))</f>
        <v/>
      </c>
      <c r="T11" s="115" t="e">
        <f>EXP(-0.693*H11/(VLOOKUP(A11,Nucliden[#All],6,FALSE)))</f>
        <v>#N/A</v>
      </c>
      <c r="U11" s="117" t="e">
        <f>EXP(-0.693*L11/(VLOOKUP(A11,Nucliden[#All],6,FALSE)))</f>
        <v>#N/A</v>
      </c>
      <c r="V11" s="118" t="e">
        <f t="shared" si="0"/>
        <v>#N/A</v>
      </c>
      <c r="W11" s="119" t="e">
        <f t="shared" si="1"/>
        <v>#N/A</v>
      </c>
      <c r="X11" s="118" t="e">
        <f t="shared" si="2"/>
        <v>#N/A</v>
      </c>
      <c r="Y11" s="119" t="e">
        <f t="shared" si="3"/>
        <v>#N/A</v>
      </c>
      <c r="Z11" s="118" t="e">
        <f t="shared" si="4"/>
        <v>#N/A</v>
      </c>
      <c r="AA11" s="119" t="e">
        <f t="shared" si="5"/>
        <v>#N/A</v>
      </c>
      <c r="AB11" s="120"/>
      <c r="AC11" s="119" t="e">
        <f t="shared" si="9"/>
        <v>#N/A</v>
      </c>
      <c r="AD11" s="119" t="e">
        <f t="shared" si="10"/>
        <v>#N/A</v>
      </c>
      <c r="AE11" s="119" t="e">
        <f t="shared" si="11"/>
        <v>#N/A</v>
      </c>
    </row>
    <row r="12" spans="1:31" x14ac:dyDescent="0.2">
      <c r="A12" s="121"/>
      <c r="B12" s="111"/>
      <c r="C12" s="111"/>
      <c r="D12" s="273"/>
      <c r="E12" s="290"/>
      <c r="F12" s="236"/>
      <c r="G12" s="237"/>
      <c r="H12" s="238"/>
      <c r="I12" s="114"/>
      <c r="J12" s="237"/>
      <c r="K12" s="239"/>
      <c r="L12" s="238"/>
      <c r="M12" s="114"/>
      <c r="N12" s="99" t="e">
        <f>VLOOKUP(B12,Levering[#All],2,FALSE)</f>
        <v>#N/A</v>
      </c>
      <c r="O12" s="100" t="e">
        <f>VLOOKUP(B12,Levering[#All],3,FALSE)</f>
        <v>#N/A</v>
      </c>
      <c r="P12" s="106" t="e">
        <f>EXP(-0.693*E12/(VLOOKUP(A12,Nucliden[#All],3,FALSE)))*D12</f>
        <v>#N/A</v>
      </c>
      <c r="Q12" s="115" t="str">
        <f>IF(I12="Nee",(VLOOKUP(A12,Nucliden[#All],35,FALSE)),(IF(I12="Ja",(VLOOKUP(A12,Nucliden[#All],34,FALSE)),(IF(I12="Deels","Bepaal h(0,07)","")))))</f>
        <v/>
      </c>
      <c r="R12" s="115" t="str">
        <f>IF(M12="Nee",(VLOOKUP(A12,Nucliden[#All],19,FALSE)),(IF(M12="Ja",(VLOOKUP(A12,Nucliden[#All],18,FALSE)),(IF(M12="Deels","Bepaal h(10)","")))))</f>
        <v/>
      </c>
      <c r="S12" s="115" t="str">
        <f>IF(M12="Nee",(VLOOKUP(A12,Nucliden[#All],25,FALSE)),(IF(M12="Ja",(VLOOKUP(A12,Nucliden[#All],26,FALSE)),(IF(M12="Deels","Bepaal h(3)","")))))</f>
        <v/>
      </c>
      <c r="T12" s="115" t="e">
        <f>EXP(-0.693*H12/(VLOOKUP(A12,Nucliden[#All],6,FALSE)))</f>
        <v>#N/A</v>
      </c>
      <c r="U12" s="117" t="e">
        <f>EXP(-0.693*L12/(VLOOKUP(A12,Nucliden[#All],6,FALSE)))</f>
        <v>#N/A</v>
      </c>
      <c r="V12" s="118" t="e">
        <f t="shared" si="0"/>
        <v>#N/A</v>
      </c>
      <c r="W12" s="119" t="e">
        <f t="shared" si="1"/>
        <v>#N/A</v>
      </c>
      <c r="X12" s="118" t="e">
        <f t="shared" si="2"/>
        <v>#N/A</v>
      </c>
      <c r="Y12" s="119" t="e">
        <f t="shared" si="3"/>
        <v>#N/A</v>
      </c>
      <c r="Z12" s="118" t="e">
        <f t="shared" si="4"/>
        <v>#N/A</v>
      </c>
      <c r="AA12" s="119" t="e">
        <f t="shared" si="5"/>
        <v>#N/A</v>
      </c>
      <c r="AB12" s="120"/>
      <c r="AC12" s="119" t="e">
        <f t="shared" si="9"/>
        <v>#N/A</v>
      </c>
      <c r="AD12" s="119" t="e">
        <f t="shared" si="10"/>
        <v>#N/A</v>
      </c>
      <c r="AE12" s="119" t="e">
        <f t="shared" si="11"/>
        <v>#N/A</v>
      </c>
    </row>
    <row r="13" spans="1:31" x14ac:dyDescent="0.2">
      <c r="A13" s="121"/>
      <c r="B13" s="109"/>
      <c r="C13" s="111"/>
      <c r="D13" s="273"/>
      <c r="E13" s="290"/>
      <c r="F13" s="236"/>
      <c r="G13" s="237"/>
      <c r="H13" s="238"/>
      <c r="I13" s="114"/>
      <c r="J13" s="237"/>
      <c r="K13" s="239"/>
      <c r="L13" s="238"/>
      <c r="M13" s="114"/>
      <c r="N13" s="99" t="e">
        <f>VLOOKUP(B13,Levering[#All],2,FALSE)</f>
        <v>#N/A</v>
      </c>
      <c r="O13" s="100" t="e">
        <f>VLOOKUP(B13,Levering[#All],3,FALSE)</f>
        <v>#N/A</v>
      </c>
      <c r="P13" s="106" t="e">
        <f>EXP(-0.693*E13/(VLOOKUP(A13,Nucliden[#All],3,FALSE)))*D13</f>
        <v>#N/A</v>
      </c>
      <c r="Q13" s="115" t="str">
        <f>IF(I13="Nee",(VLOOKUP(A13,Nucliden[#All],35,FALSE)),(IF(I13="Ja",(VLOOKUP(A13,Nucliden[#All],34,FALSE)),(IF(I13="Deels","Bepaal h(0,07)","")))))</f>
        <v/>
      </c>
      <c r="R13" s="115" t="str">
        <f>IF(M13="Nee",(VLOOKUP(A13,Nucliden[#All],19,FALSE)),(IF(M13="Ja",(VLOOKUP(A13,Nucliden[#All],18,FALSE)),(IF(M13="Deels","Bepaal h(10)","")))))</f>
        <v/>
      </c>
      <c r="S13" s="115" t="str">
        <f>IF(M13="Nee",(VLOOKUP(A13,Nucliden[#All],25,FALSE)),(IF(M13="Ja",(VLOOKUP(A13,Nucliden[#All],26,FALSE)),(IF(M13="Deels","Bepaal h(3)","")))))</f>
        <v/>
      </c>
      <c r="T13" s="115" t="e">
        <f>EXP(-0.693*H13/(VLOOKUP(A13,Nucliden[#All],6,FALSE)))</f>
        <v>#N/A</v>
      </c>
      <c r="U13" s="117" t="e">
        <f>EXP(-0.693*L13/(VLOOKUP(A13,Nucliden[#All],6,FALSE)))</f>
        <v>#N/A</v>
      </c>
      <c r="V13" s="118" t="e">
        <f t="shared" si="0"/>
        <v>#N/A</v>
      </c>
      <c r="W13" s="119" t="e">
        <f t="shared" si="1"/>
        <v>#N/A</v>
      </c>
      <c r="X13" s="118" t="e">
        <f t="shared" si="2"/>
        <v>#N/A</v>
      </c>
      <c r="Y13" s="119" t="e">
        <f t="shared" si="3"/>
        <v>#N/A</v>
      </c>
      <c r="Z13" s="118" t="e">
        <f t="shared" si="4"/>
        <v>#N/A</v>
      </c>
      <c r="AA13" s="119" t="e">
        <f t="shared" si="5"/>
        <v>#N/A</v>
      </c>
      <c r="AB13" s="120"/>
      <c r="AC13" s="119" t="e">
        <f t="shared" si="9"/>
        <v>#N/A</v>
      </c>
      <c r="AD13" s="119" t="e">
        <f t="shared" si="10"/>
        <v>#N/A</v>
      </c>
      <c r="AE13" s="119" t="e">
        <f t="shared" si="11"/>
        <v>#N/A</v>
      </c>
    </row>
    <row r="14" spans="1:31" x14ac:dyDescent="0.2">
      <c r="A14" s="121"/>
      <c r="B14" s="109"/>
      <c r="C14" s="111"/>
      <c r="D14" s="273"/>
      <c r="E14" s="290"/>
      <c r="F14" s="236"/>
      <c r="G14" s="237"/>
      <c r="H14" s="238"/>
      <c r="I14" s="114"/>
      <c r="J14" s="237"/>
      <c r="K14" s="239"/>
      <c r="L14" s="238"/>
      <c r="M14" s="114"/>
      <c r="N14" s="99" t="e">
        <f>VLOOKUP(B14,Levering[#All],2,FALSE)</f>
        <v>#N/A</v>
      </c>
      <c r="O14" s="100" t="e">
        <f>VLOOKUP(B14,Levering[#All],3,FALSE)</f>
        <v>#N/A</v>
      </c>
      <c r="P14" s="106" t="e">
        <f>EXP(-0.693*E14/(VLOOKUP(A14,Nucliden[#All],3,FALSE)))*D14</f>
        <v>#N/A</v>
      </c>
      <c r="Q14" s="115" t="str">
        <f>IF(I14="Nee",(VLOOKUP(A14,Nucliden[#All],35,FALSE)),(IF(I14="Ja",(VLOOKUP(A14,Nucliden[#All],34,FALSE)),(IF(I14="Deels","Bepaal h(0,07)","")))))</f>
        <v/>
      </c>
      <c r="R14" s="115" t="str">
        <f>IF(M14="Nee",(VLOOKUP(A14,Nucliden[#All],19,FALSE)),(IF(M14="Ja",(VLOOKUP(A14,Nucliden[#All],18,FALSE)),(IF(M14="Deels","Bepaal h(10)","")))))</f>
        <v/>
      </c>
      <c r="S14" s="115" t="str">
        <f>IF(M14="Nee",(VLOOKUP(A14,Nucliden[#All],25,FALSE)),(IF(M14="Ja",(VLOOKUP(A14,Nucliden[#All],26,FALSE)),(IF(M14="Deels","Bepaal h(3)","")))))</f>
        <v/>
      </c>
      <c r="T14" s="115" t="e">
        <f>EXP(-0.693*H14/(VLOOKUP(A14,Nucliden[#All],6,FALSE)))</f>
        <v>#N/A</v>
      </c>
      <c r="U14" s="117" t="e">
        <f>EXP(-0.693*L14/(VLOOKUP(A14,Nucliden[#All],6,FALSE)))</f>
        <v>#N/A</v>
      </c>
      <c r="V14" s="118" t="e">
        <f t="shared" si="0"/>
        <v>#N/A</v>
      </c>
      <c r="W14" s="119" t="e">
        <f t="shared" si="1"/>
        <v>#N/A</v>
      </c>
      <c r="X14" s="118" t="e">
        <f t="shared" si="2"/>
        <v>#N/A</v>
      </c>
      <c r="Y14" s="119" t="e">
        <f t="shared" si="3"/>
        <v>#N/A</v>
      </c>
      <c r="Z14" s="118" t="e">
        <f t="shared" si="4"/>
        <v>#N/A</v>
      </c>
      <c r="AA14" s="119" t="e">
        <f t="shared" si="5"/>
        <v>#N/A</v>
      </c>
      <c r="AB14" s="120"/>
      <c r="AC14" s="119" t="e">
        <f t="shared" si="9"/>
        <v>#N/A</v>
      </c>
      <c r="AD14" s="119" t="e">
        <f t="shared" si="10"/>
        <v>#N/A</v>
      </c>
      <c r="AE14" s="119" t="e">
        <f t="shared" si="11"/>
        <v>#N/A</v>
      </c>
    </row>
    <row r="15" spans="1:31" x14ac:dyDescent="0.2">
      <c r="A15" s="121"/>
      <c r="B15" s="109"/>
      <c r="C15" s="111"/>
      <c r="D15" s="273"/>
      <c r="E15" s="290"/>
      <c r="F15" s="236"/>
      <c r="G15" s="237"/>
      <c r="H15" s="238"/>
      <c r="I15" s="114"/>
      <c r="J15" s="237"/>
      <c r="K15" s="239"/>
      <c r="L15" s="238"/>
      <c r="M15" s="114"/>
      <c r="N15" s="99" t="e">
        <f>VLOOKUP(B15,Levering[#All],2,FALSE)</f>
        <v>#N/A</v>
      </c>
      <c r="O15" s="100" t="e">
        <f>VLOOKUP(B15,Levering[#All],3,FALSE)</f>
        <v>#N/A</v>
      </c>
      <c r="P15" s="106" t="e">
        <f>EXP(-0.693*E15/(VLOOKUP(A15,Nucliden[#All],3,FALSE)))*D15</f>
        <v>#N/A</v>
      </c>
      <c r="Q15" s="115" t="str">
        <f>IF(I15="Nee",(VLOOKUP(A15,Nucliden[#All],35,FALSE)),(IF(I15="Ja",(VLOOKUP(A15,Nucliden[#All],34,FALSE)),(IF(I15="Deels","Bepaal h(0,07)","")))))</f>
        <v/>
      </c>
      <c r="R15" s="115" t="str">
        <f>IF(M15="Nee",(VLOOKUP(A15,Nucliden[#All],19,FALSE)),(IF(M15="Ja",(VLOOKUP(A15,Nucliden[#All],18,FALSE)),(IF(M15="Deels","Bepaal h(10)","")))))</f>
        <v/>
      </c>
      <c r="S15" s="115" t="str">
        <f>IF(M15="Nee",(VLOOKUP(A15,Nucliden[#All],25,FALSE)),(IF(M15="Ja",(VLOOKUP(A15,Nucliden[#All],26,FALSE)),(IF(M15="Deels","Bepaal h(3)","")))))</f>
        <v/>
      </c>
      <c r="T15" s="115" t="e">
        <f>EXP(-0.693*H15/(VLOOKUP(A15,Nucliden[#All],6,FALSE)))</f>
        <v>#N/A</v>
      </c>
      <c r="U15" s="117" t="e">
        <f>EXP(-0.693*L15/(VLOOKUP(A15,Nucliden[#All],6,FALSE)))</f>
        <v>#N/A</v>
      </c>
      <c r="V15" s="118" t="e">
        <f t="shared" si="0"/>
        <v>#N/A</v>
      </c>
      <c r="W15" s="119" t="e">
        <f t="shared" si="1"/>
        <v>#N/A</v>
      </c>
      <c r="X15" s="118" t="e">
        <f t="shared" si="2"/>
        <v>#N/A</v>
      </c>
      <c r="Y15" s="119" t="e">
        <f t="shared" si="3"/>
        <v>#N/A</v>
      </c>
      <c r="Z15" s="118" t="e">
        <f t="shared" si="4"/>
        <v>#N/A</v>
      </c>
      <c r="AA15" s="119" t="e">
        <f t="shared" si="5"/>
        <v>#N/A</v>
      </c>
      <c r="AB15" s="120"/>
      <c r="AC15" s="119" t="e">
        <f t="shared" si="9"/>
        <v>#N/A</v>
      </c>
      <c r="AD15" s="119" t="e">
        <f t="shared" si="10"/>
        <v>#N/A</v>
      </c>
      <c r="AE15" s="119" t="e">
        <f t="shared" si="11"/>
        <v>#N/A</v>
      </c>
    </row>
    <row r="16" spans="1:31" x14ac:dyDescent="0.2">
      <c r="A16" s="121"/>
      <c r="B16" s="109"/>
      <c r="C16" s="111"/>
      <c r="D16" s="273"/>
      <c r="E16" s="290"/>
      <c r="F16" s="236"/>
      <c r="G16" s="237"/>
      <c r="H16" s="238"/>
      <c r="I16" s="114"/>
      <c r="J16" s="237"/>
      <c r="K16" s="239"/>
      <c r="L16" s="238"/>
      <c r="M16" s="114"/>
      <c r="N16" s="99" t="e">
        <f>VLOOKUP(B16,Levering[#All],2,FALSE)</f>
        <v>#N/A</v>
      </c>
      <c r="O16" s="100" t="e">
        <f>VLOOKUP(B16,Levering[#All],3,FALSE)</f>
        <v>#N/A</v>
      </c>
      <c r="P16" s="106" t="e">
        <f>EXP(-0.693*E16/(VLOOKUP(A16,Nucliden[#All],3,FALSE)))*D16</f>
        <v>#N/A</v>
      </c>
      <c r="Q16" s="115" t="str">
        <f>IF(I16="Nee",(VLOOKUP(A16,Nucliden[#All],35,FALSE)),(IF(I16="Ja",(VLOOKUP(A16,Nucliden[#All],34,FALSE)),(IF(I16="Deels","Bepaal h(0,07)","")))))</f>
        <v/>
      </c>
      <c r="R16" s="115" t="str">
        <f>IF(M16="Nee",(VLOOKUP(A16,Nucliden[#All],19,FALSE)),(IF(M16="Ja",(VLOOKUP(A16,Nucliden[#All],18,FALSE)),(IF(M16="Deels","Bepaal h(10)","")))))</f>
        <v/>
      </c>
      <c r="S16" s="115" t="str">
        <f>IF(M16="Nee",(VLOOKUP(A16,Nucliden[#All],25,FALSE)),(IF(M16="Ja",(VLOOKUP(A16,Nucliden[#All],26,FALSE)),(IF(M16="Deels","Bepaal h(3)","")))))</f>
        <v/>
      </c>
      <c r="T16" s="115" t="e">
        <f>EXP(-0.693*H16/(VLOOKUP(A16,Nucliden[#All],6,FALSE)))</f>
        <v>#N/A</v>
      </c>
      <c r="U16" s="117" t="e">
        <f>EXP(-0.693*L16/(VLOOKUP(A16,Nucliden[#All],6,FALSE)))</f>
        <v>#N/A</v>
      </c>
      <c r="V16" s="118" t="e">
        <f t="shared" si="0"/>
        <v>#N/A</v>
      </c>
      <c r="W16" s="119" t="e">
        <f t="shared" si="1"/>
        <v>#N/A</v>
      </c>
      <c r="X16" s="118" t="e">
        <f t="shared" si="2"/>
        <v>#N/A</v>
      </c>
      <c r="Y16" s="119" t="e">
        <f t="shared" si="3"/>
        <v>#N/A</v>
      </c>
      <c r="Z16" s="118" t="e">
        <f t="shared" si="4"/>
        <v>#N/A</v>
      </c>
      <c r="AA16" s="119" t="e">
        <f t="shared" si="5"/>
        <v>#N/A</v>
      </c>
      <c r="AB16" s="120"/>
      <c r="AC16" s="119" t="e">
        <f t="shared" si="9"/>
        <v>#N/A</v>
      </c>
      <c r="AD16" s="119" t="e">
        <f t="shared" si="10"/>
        <v>#N/A</v>
      </c>
      <c r="AE16" s="119" t="e">
        <f t="shared" si="11"/>
        <v>#N/A</v>
      </c>
    </row>
    <row r="17" spans="1:31" x14ac:dyDescent="0.2">
      <c r="A17" s="121"/>
      <c r="B17" s="109"/>
      <c r="C17" s="111"/>
      <c r="D17" s="273"/>
      <c r="E17" s="290"/>
      <c r="F17" s="236"/>
      <c r="G17" s="237"/>
      <c r="H17" s="238"/>
      <c r="I17" s="114"/>
      <c r="J17" s="237"/>
      <c r="K17" s="239"/>
      <c r="L17" s="238"/>
      <c r="M17" s="114"/>
      <c r="N17" s="99" t="e">
        <f>VLOOKUP(B17,Levering[#All],2,FALSE)</f>
        <v>#N/A</v>
      </c>
      <c r="O17" s="100" t="e">
        <f>VLOOKUP(B17,Levering[#All],3,FALSE)</f>
        <v>#N/A</v>
      </c>
      <c r="P17" s="106" t="e">
        <f>EXP(-0.693*E17/(VLOOKUP(A17,Nucliden[#All],3,FALSE)))*D17</f>
        <v>#N/A</v>
      </c>
      <c r="Q17" s="115" t="str">
        <f>IF(I17="Nee",(VLOOKUP(A17,Nucliden[#All],35,FALSE)),(IF(I17="Ja",(VLOOKUP(A17,Nucliden[#All],34,FALSE)),(IF(I17="Deels","Bepaal h(0,07)","")))))</f>
        <v/>
      </c>
      <c r="R17" s="115" t="str">
        <f>IF(M17="Nee",(VLOOKUP(A17,Nucliden[#All],19,FALSE)),(IF(M17="Ja",(VLOOKUP(A17,Nucliden[#All],18,FALSE)),(IF(M17="Deels","Bepaal h(10)","")))))</f>
        <v/>
      </c>
      <c r="S17" s="115" t="str">
        <f>IF(M17="Nee",(VLOOKUP(A17,Nucliden[#All],25,FALSE)),(IF(M17="Ja",(VLOOKUP(A17,Nucliden[#All],26,FALSE)),(IF(M17="Deels","Bepaal h(3)","")))))</f>
        <v/>
      </c>
      <c r="T17" s="115" t="e">
        <f>EXP(-0.693*H17/(VLOOKUP(A17,Nucliden[#All],6,FALSE)))</f>
        <v>#N/A</v>
      </c>
      <c r="U17" s="117" t="e">
        <f>EXP(-0.693*L17/(VLOOKUP(A17,Nucliden[#All],6,FALSE)))</f>
        <v>#N/A</v>
      </c>
      <c r="V17" s="118" t="e">
        <f t="shared" si="0"/>
        <v>#N/A</v>
      </c>
      <c r="W17" s="119" t="e">
        <f t="shared" si="1"/>
        <v>#N/A</v>
      </c>
      <c r="X17" s="118" t="e">
        <f t="shared" si="2"/>
        <v>#N/A</v>
      </c>
      <c r="Y17" s="119" t="e">
        <f t="shared" si="3"/>
        <v>#N/A</v>
      </c>
      <c r="Z17" s="118" t="e">
        <f t="shared" si="4"/>
        <v>#N/A</v>
      </c>
      <c r="AA17" s="119" t="e">
        <f t="shared" si="5"/>
        <v>#N/A</v>
      </c>
      <c r="AB17" s="120"/>
      <c r="AC17" s="119" t="e">
        <f t="shared" si="9"/>
        <v>#N/A</v>
      </c>
      <c r="AD17" s="119" t="e">
        <f t="shared" si="10"/>
        <v>#N/A</v>
      </c>
      <c r="AE17" s="119" t="e">
        <f t="shared" si="11"/>
        <v>#N/A</v>
      </c>
    </row>
    <row r="18" spans="1:31" x14ac:dyDescent="0.2">
      <c r="A18" s="121"/>
      <c r="B18" s="109"/>
      <c r="C18" s="111"/>
      <c r="D18" s="273"/>
      <c r="E18" s="290"/>
      <c r="F18" s="236"/>
      <c r="G18" s="237"/>
      <c r="H18" s="238"/>
      <c r="I18" s="114"/>
      <c r="J18" s="237"/>
      <c r="K18" s="239"/>
      <c r="L18" s="238"/>
      <c r="M18" s="114"/>
      <c r="N18" s="99" t="e">
        <f>VLOOKUP(B18,Levering[#All],2,FALSE)</f>
        <v>#N/A</v>
      </c>
      <c r="O18" s="100" t="e">
        <f>VLOOKUP(B18,Levering[#All],3,FALSE)</f>
        <v>#N/A</v>
      </c>
      <c r="P18" s="106" t="e">
        <f>EXP(-0.693*E18/(VLOOKUP(A18,Nucliden[#All],3,FALSE)))*D18</f>
        <v>#N/A</v>
      </c>
      <c r="Q18" s="115" t="str">
        <f>IF(I18="Nee",(VLOOKUP(A18,Nucliden[#All],35,FALSE)),(IF(I18="Ja",(VLOOKUP(A18,Nucliden[#All],34,FALSE)),(IF(I18="Deels","Bepaal h(0,07)","")))))</f>
        <v/>
      </c>
      <c r="R18" s="115" t="str">
        <f>IF(M18="Nee",(VLOOKUP(A18,Nucliden[#All],19,FALSE)),(IF(M18="Ja",(VLOOKUP(A18,Nucliden[#All],18,FALSE)),(IF(M18="Deels","Bepaal h(10)","")))))</f>
        <v/>
      </c>
      <c r="S18" s="115" t="str">
        <f>IF(M18="Nee",(VLOOKUP(A18,Nucliden[#All],25,FALSE)),(IF(M18="Ja",(VLOOKUP(A18,Nucliden[#All],26,FALSE)),(IF(M18="Deels","Bepaal h(3)","")))))</f>
        <v/>
      </c>
      <c r="T18" s="115" t="e">
        <f>EXP(-0.693*H18/(VLOOKUP(A18,Nucliden[#All],6,FALSE)))</f>
        <v>#N/A</v>
      </c>
      <c r="U18" s="117" t="e">
        <f>EXP(-0.693*L18/(VLOOKUP(A18,Nucliden[#All],6,FALSE)))</f>
        <v>#N/A</v>
      </c>
      <c r="V18" s="118" t="e">
        <f t="shared" si="0"/>
        <v>#N/A</v>
      </c>
      <c r="W18" s="119" t="e">
        <f t="shared" si="1"/>
        <v>#N/A</v>
      </c>
      <c r="X18" s="118" t="e">
        <f t="shared" si="2"/>
        <v>#N/A</v>
      </c>
      <c r="Y18" s="119" t="e">
        <f t="shared" si="3"/>
        <v>#N/A</v>
      </c>
      <c r="Z18" s="118" t="e">
        <f t="shared" si="4"/>
        <v>#N/A</v>
      </c>
      <c r="AA18" s="119" t="e">
        <f t="shared" si="5"/>
        <v>#N/A</v>
      </c>
      <c r="AB18" s="120"/>
      <c r="AC18" s="119" t="e">
        <f t="shared" si="9"/>
        <v>#N/A</v>
      </c>
      <c r="AD18" s="119" t="e">
        <f t="shared" si="10"/>
        <v>#N/A</v>
      </c>
      <c r="AE18" s="119" t="e">
        <f t="shared" si="11"/>
        <v>#N/A</v>
      </c>
    </row>
    <row r="19" spans="1:31" x14ac:dyDescent="0.2">
      <c r="A19" s="121"/>
      <c r="B19" s="112"/>
      <c r="C19" s="111"/>
      <c r="D19" s="273"/>
      <c r="E19" s="290"/>
      <c r="F19" s="236"/>
      <c r="G19" s="237"/>
      <c r="H19" s="238"/>
      <c r="I19" s="114"/>
      <c r="J19" s="237"/>
      <c r="K19" s="239"/>
      <c r="L19" s="238"/>
      <c r="M19" s="114"/>
      <c r="N19" s="99" t="e">
        <f>VLOOKUP(B19,Levering[#All],2,FALSE)</f>
        <v>#N/A</v>
      </c>
      <c r="O19" s="100" t="e">
        <f>VLOOKUP(B19,Levering[#All],3,FALSE)</f>
        <v>#N/A</v>
      </c>
      <c r="P19" s="106" t="e">
        <f>EXP(-0.693*E19/(VLOOKUP(A19,Nucliden[#All],3,FALSE)))*D19</f>
        <v>#N/A</v>
      </c>
      <c r="Q19" s="115" t="str">
        <f>IF(I19="Nee",(VLOOKUP(A19,Nucliden[#All],35,FALSE)),(IF(I19="Ja",(VLOOKUP(A19,Nucliden[#All],34,FALSE)),(IF(I19="Deels","Bepaal h(0,07)","")))))</f>
        <v/>
      </c>
      <c r="R19" s="115" t="str">
        <f>IF(M19="Nee",(VLOOKUP(A19,Nucliden[#All],19,FALSE)),(IF(M19="Ja",(VLOOKUP(A19,Nucliden[#All],18,FALSE)),(IF(M19="Deels","Bepaal h(10)","")))))</f>
        <v/>
      </c>
      <c r="S19" s="115" t="str">
        <f>IF(M19="Nee",(VLOOKUP(A19,Nucliden[#All],25,FALSE)),(IF(M19="Ja",(VLOOKUP(A19,Nucliden[#All],26,FALSE)),(IF(M19="Deels","Bepaal h(3)","")))))</f>
        <v/>
      </c>
      <c r="T19" s="115" t="e">
        <f>EXP(-0.693*H19/(VLOOKUP(A19,Nucliden[#All],6,FALSE)))</f>
        <v>#N/A</v>
      </c>
      <c r="U19" s="117" t="e">
        <f>EXP(-0.693*L19/(VLOOKUP(A19,Nucliden[#All],6,FALSE)))</f>
        <v>#N/A</v>
      </c>
      <c r="V19" s="118" t="e">
        <f t="shared" si="0"/>
        <v>#N/A</v>
      </c>
      <c r="W19" s="119" t="e">
        <f t="shared" si="1"/>
        <v>#N/A</v>
      </c>
      <c r="X19" s="118" t="e">
        <f t="shared" si="2"/>
        <v>#N/A</v>
      </c>
      <c r="Y19" s="119" t="e">
        <f t="shared" si="3"/>
        <v>#N/A</v>
      </c>
      <c r="Z19" s="118" t="e">
        <f t="shared" si="4"/>
        <v>#N/A</v>
      </c>
      <c r="AA19" s="119" t="e">
        <f t="shared" si="5"/>
        <v>#N/A</v>
      </c>
      <c r="AB19" s="120"/>
      <c r="AC19" s="119" t="e">
        <f t="shared" si="9"/>
        <v>#N/A</v>
      </c>
      <c r="AD19" s="119" t="e">
        <f t="shared" si="10"/>
        <v>#N/A</v>
      </c>
      <c r="AE19" s="119" t="e">
        <f t="shared" si="11"/>
        <v>#N/A</v>
      </c>
    </row>
    <row r="20" spans="1:31" x14ac:dyDescent="0.2">
      <c r="A20" s="121"/>
      <c r="B20" s="109"/>
      <c r="C20" s="111"/>
      <c r="D20" s="273"/>
      <c r="E20" s="290"/>
      <c r="F20" s="236"/>
      <c r="G20" s="237"/>
      <c r="H20" s="238"/>
      <c r="I20" s="114"/>
      <c r="J20" s="237"/>
      <c r="K20" s="239"/>
      <c r="L20" s="238"/>
      <c r="M20" s="114"/>
      <c r="N20" s="99" t="e">
        <f>VLOOKUP(B20,Levering[#All],2,FALSE)</f>
        <v>#N/A</v>
      </c>
      <c r="O20" s="100" t="e">
        <f>VLOOKUP(B20,Levering[#All],3,FALSE)</f>
        <v>#N/A</v>
      </c>
      <c r="P20" s="106" t="e">
        <f>EXP(-0.693*E20/(VLOOKUP(A20,Nucliden[#All],3,FALSE)))*D20</f>
        <v>#N/A</v>
      </c>
      <c r="Q20" s="115" t="str">
        <f>IF(I20="Nee",(VLOOKUP(A20,Nucliden[#All],35,FALSE)),(IF(I20="Ja",(VLOOKUP(A20,Nucliden[#All],34,FALSE)),(IF(I20="Deels","Bepaal h(0,07)","")))))</f>
        <v/>
      </c>
      <c r="R20" s="115" t="str">
        <f>IF(M20="Nee",(VLOOKUP(A20,Nucliden[#All],19,FALSE)),(IF(M20="Ja",(VLOOKUP(A20,Nucliden[#All],18,FALSE)),(IF(M20="Deels","Bepaal h(10)","")))))</f>
        <v/>
      </c>
      <c r="S20" s="115" t="str">
        <f>IF(M20="Nee",(VLOOKUP(A20,Nucliden[#All],25,FALSE)),(IF(M20="Ja",(VLOOKUP(A20,Nucliden[#All],26,FALSE)),(IF(M20="Deels","Bepaal h(3)","")))))</f>
        <v/>
      </c>
      <c r="T20" s="115" t="e">
        <f>EXP(-0.693*H20/(VLOOKUP(A20,Nucliden[#All],6,FALSE)))</f>
        <v>#N/A</v>
      </c>
      <c r="U20" s="117" t="e">
        <f>EXP(-0.693*L20/(VLOOKUP(A20,Nucliden[#All],6,FALSE)))</f>
        <v>#N/A</v>
      </c>
      <c r="V20" s="118" t="e">
        <f t="shared" si="0"/>
        <v>#N/A</v>
      </c>
      <c r="W20" s="119" t="e">
        <f t="shared" si="1"/>
        <v>#N/A</v>
      </c>
      <c r="X20" s="118" t="e">
        <f t="shared" si="2"/>
        <v>#N/A</v>
      </c>
      <c r="Y20" s="119" t="e">
        <f t="shared" si="3"/>
        <v>#N/A</v>
      </c>
      <c r="Z20" s="118" t="e">
        <f t="shared" si="4"/>
        <v>#N/A</v>
      </c>
      <c r="AA20" s="119" t="e">
        <f t="shared" si="5"/>
        <v>#N/A</v>
      </c>
      <c r="AB20" s="120"/>
      <c r="AC20" s="119" t="e">
        <f t="shared" si="9"/>
        <v>#N/A</v>
      </c>
      <c r="AD20" s="119" t="e">
        <f t="shared" si="10"/>
        <v>#N/A</v>
      </c>
      <c r="AE20" s="119" t="e">
        <f t="shared" si="11"/>
        <v>#N/A</v>
      </c>
    </row>
    <row r="21" spans="1:31" x14ac:dyDescent="0.2">
      <c r="A21" s="121"/>
      <c r="B21" s="109"/>
      <c r="C21" s="111"/>
      <c r="D21" s="273"/>
      <c r="E21" s="290"/>
      <c r="F21" s="236"/>
      <c r="G21" s="237"/>
      <c r="H21" s="238"/>
      <c r="I21" s="114"/>
      <c r="J21" s="237"/>
      <c r="K21" s="239"/>
      <c r="L21" s="238"/>
      <c r="M21" s="114"/>
      <c r="N21" s="99" t="e">
        <f>VLOOKUP(B21,Levering[#All],2,FALSE)</f>
        <v>#N/A</v>
      </c>
      <c r="O21" s="100" t="e">
        <f>VLOOKUP(B21,Levering[#All],3,FALSE)</f>
        <v>#N/A</v>
      </c>
      <c r="P21" s="106" t="e">
        <f>EXP(-0.693*E21/(VLOOKUP(A21,Nucliden[#All],3,FALSE)))*D21</f>
        <v>#N/A</v>
      </c>
      <c r="Q21" s="115" t="str">
        <f>IF(I21="Nee",(VLOOKUP(A21,Nucliden[#All],35,FALSE)),(IF(I21="Ja",(VLOOKUP(A21,Nucliden[#All],34,FALSE)),(IF(I21="Deels","Bepaal h(0,07)","")))))</f>
        <v/>
      </c>
      <c r="R21" s="115" t="str">
        <f>IF(M21="Nee",(VLOOKUP(A21,Nucliden[#All],19,FALSE)),(IF(M21="Ja",(VLOOKUP(A21,Nucliden[#All],18,FALSE)),(IF(M21="Deels","Bepaal h(10)","")))))</f>
        <v/>
      </c>
      <c r="S21" s="115" t="str">
        <f>IF(M21="Nee",(VLOOKUP(A21,Nucliden[#All],25,FALSE)),(IF(M21="Ja",(VLOOKUP(A21,Nucliden[#All],26,FALSE)),(IF(M21="Deels","Bepaal h(3)","")))))</f>
        <v/>
      </c>
      <c r="T21" s="115" t="e">
        <f>EXP(-0.693*H21/(VLOOKUP(A21,Nucliden[#All],6,FALSE)))</f>
        <v>#N/A</v>
      </c>
      <c r="U21" s="117" t="e">
        <f>EXP(-0.693*L21/(VLOOKUP(A21,Nucliden[#All],6,FALSE)))</f>
        <v>#N/A</v>
      </c>
      <c r="V21" s="118" t="e">
        <f t="shared" si="0"/>
        <v>#N/A</v>
      </c>
      <c r="W21" s="119" t="e">
        <f t="shared" si="1"/>
        <v>#N/A</v>
      </c>
      <c r="X21" s="118" t="e">
        <f t="shared" si="2"/>
        <v>#N/A</v>
      </c>
      <c r="Y21" s="119" t="e">
        <f t="shared" si="3"/>
        <v>#N/A</v>
      </c>
      <c r="Z21" s="118" t="e">
        <f t="shared" si="4"/>
        <v>#N/A</v>
      </c>
      <c r="AA21" s="119" t="e">
        <f t="shared" si="5"/>
        <v>#N/A</v>
      </c>
      <c r="AB21" s="120"/>
      <c r="AC21" s="119" t="e">
        <f t="shared" si="9"/>
        <v>#N/A</v>
      </c>
      <c r="AD21" s="119" t="e">
        <f t="shared" si="10"/>
        <v>#N/A</v>
      </c>
      <c r="AE21" s="119" t="e">
        <f t="shared" si="11"/>
        <v>#N/A</v>
      </c>
    </row>
    <row r="22" spans="1:31" x14ac:dyDescent="0.2">
      <c r="A22" s="121"/>
      <c r="B22" s="109"/>
      <c r="C22" s="111"/>
      <c r="D22" s="273"/>
      <c r="E22" s="290"/>
      <c r="F22" s="236"/>
      <c r="G22" s="237"/>
      <c r="H22" s="238"/>
      <c r="I22" s="114"/>
      <c r="J22" s="237"/>
      <c r="K22" s="239"/>
      <c r="L22" s="238"/>
      <c r="M22" s="114"/>
      <c r="N22" s="99" t="e">
        <f>VLOOKUP(B22,Levering[#All],2,FALSE)</f>
        <v>#N/A</v>
      </c>
      <c r="O22" s="100" t="e">
        <f>VLOOKUP(B22,Levering[#All],3,FALSE)</f>
        <v>#N/A</v>
      </c>
      <c r="P22" s="106" t="e">
        <f>EXP(-0.693*E22/(VLOOKUP(A22,Nucliden[#All],3,FALSE)))*D22</f>
        <v>#N/A</v>
      </c>
      <c r="Q22" s="115" t="str">
        <f>IF(I22="Nee",(VLOOKUP(A22,Nucliden[#All],35,FALSE)),(IF(I22="Ja",(VLOOKUP(A22,Nucliden[#All],34,FALSE)),(IF(I22="Deels","Bepaal h(0,07)","")))))</f>
        <v/>
      </c>
      <c r="R22" s="115" t="str">
        <f>IF(M22="Nee",(VLOOKUP(A22,Nucliden[#All],19,FALSE)),(IF(M22="Ja",(VLOOKUP(A22,Nucliden[#All],18,FALSE)),(IF(M22="Deels","Bepaal h(10)","")))))</f>
        <v/>
      </c>
      <c r="S22" s="115" t="str">
        <f>IF(M22="Nee",(VLOOKUP(A22,Nucliden[#All],25,FALSE)),(IF(M22="Ja",(VLOOKUP(A22,Nucliden[#All],26,FALSE)),(IF(M22="Deels","Bepaal h(3)","")))))</f>
        <v/>
      </c>
      <c r="T22" s="115" t="e">
        <f>EXP(-0.693*H22/(VLOOKUP(A22,Nucliden[#All],6,FALSE)))</f>
        <v>#N/A</v>
      </c>
      <c r="U22" s="117" t="e">
        <f>EXP(-0.693*L22/(VLOOKUP(A22,Nucliden[#All],6,FALSE)))</f>
        <v>#N/A</v>
      </c>
      <c r="V22" s="118" t="e">
        <f t="shared" si="0"/>
        <v>#N/A</v>
      </c>
      <c r="W22" s="119" t="e">
        <f t="shared" si="1"/>
        <v>#N/A</v>
      </c>
      <c r="X22" s="118" t="e">
        <f t="shared" si="2"/>
        <v>#N/A</v>
      </c>
      <c r="Y22" s="119" t="e">
        <f t="shared" si="3"/>
        <v>#N/A</v>
      </c>
      <c r="Z22" s="118" t="e">
        <f t="shared" si="4"/>
        <v>#N/A</v>
      </c>
      <c r="AA22" s="119" t="e">
        <f t="shared" si="5"/>
        <v>#N/A</v>
      </c>
      <c r="AB22" s="120"/>
      <c r="AC22" s="119" t="e">
        <f t="shared" si="9"/>
        <v>#N/A</v>
      </c>
      <c r="AD22" s="119" t="e">
        <f t="shared" si="10"/>
        <v>#N/A</v>
      </c>
      <c r="AE22" s="119" t="e">
        <f t="shared" si="11"/>
        <v>#N/A</v>
      </c>
    </row>
    <row r="23" spans="1:31" x14ac:dyDescent="0.2">
      <c r="A23" s="121"/>
      <c r="B23" s="111"/>
      <c r="C23" s="111"/>
      <c r="D23" s="273"/>
      <c r="E23" s="290"/>
      <c r="F23" s="236"/>
      <c r="G23" s="237"/>
      <c r="H23" s="238"/>
      <c r="I23" s="114"/>
      <c r="J23" s="237"/>
      <c r="K23" s="239"/>
      <c r="L23" s="238"/>
      <c r="M23" s="114"/>
      <c r="N23" s="99" t="e">
        <f>VLOOKUP(B23,Levering[#All],2,FALSE)</f>
        <v>#N/A</v>
      </c>
      <c r="O23" s="100" t="e">
        <f>VLOOKUP(B23,Levering[#All],3,FALSE)</f>
        <v>#N/A</v>
      </c>
      <c r="P23" s="106" t="e">
        <f>EXP(-0.693*E23/(VLOOKUP(A23,Nucliden[#All],3,FALSE)))*D23</f>
        <v>#N/A</v>
      </c>
      <c r="Q23" s="115" t="str">
        <f>IF(I23="Nee",(VLOOKUP(A23,Nucliden[#All],35,FALSE)),(IF(I23="Ja",(VLOOKUP(A23,Nucliden[#All],34,FALSE)),(IF(I23="Deels","Bepaal h(0,07)","")))))</f>
        <v/>
      </c>
      <c r="R23" s="115" t="str">
        <f>IF(M23="Nee",(VLOOKUP(A23,Nucliden[#All],19,FALSE)),(IF(M23="Ja",(VLOOKUP(A23,Nucliden[#All],18,FALSE)),(IF(M23="Deels","Bepaal h(10)","")))))</f>
        <v/>
      </c>
      <c r="S23" s="115" t="str">
        <f>IF(M23="Nee",(VLOOKUP(A23,Nucliden[#All],25,FALSE)),(IF(M23="Ja",(VLOOKUP(A23,Nucliden[#All],26,FALSE)),(IF(M23="Deels","Bepaal h(3)","")))))</f>
        <v/>
      </c>
      <c r="T23" s="115" t="e">
        <f>EXP(-0.693*H23/(VLOOKUP(A23,Nucliden[#All],6,FALSE)))</f>
        <v>#N/A</v>
      </c>
      <c r="U23" s="117" t="e">
        <f>EXP(-0.693*L23/(VLOOKUP(A23,Nucliden[#All],6,FALSE)))</f>
        <v>#N/A</v>
      </c>
      <c r="V23" s="118" t="e">
        <f t="shared" si="0"/>
        <v>#N/A</v>
      </c>
      <c r="W23" s="119" t="e">
        <f t="shared" si="1"/>
        <v>#N/A</v>
      </c>
      <c r="X23" s="118" t="e">
        <f t="shared" si="2"/>
        <v>#N/A</v>
      </c>
      <c r="Y23" s="119" t="e">
        <f t="shared" si="3"/>
        <v>#N/A</v>
      </c>
      <c r="Z23" s="118" t="e">
        <f t="shared" si="4"/>
        <v>#N/A</v>
      </c>
      <c r="AA23" s="119" t="e">
        <f t="shared" si="5"/>
        <v>#N/A</v>
      </c>
      <c r="AB23" s="120"/>
      <c r="AC23" s="119" t="e">
        <f t="shared" si="9"/>
        <v>#N/A</v>
      </c>
      <c r="AD23" s="119" t="e">
        <f t="shared" si="10"/>
        <v>#N/A</v>
      </c>
      <c r="AE23" s="119" t="e">
        <f t="shared" si="11"/>
        <v>#N/A</v>
      </c>
    </row>
    <row r="24" spans="1:31" x14ac:dyDescent="0.2">
      <c r="A24" s="121"/>
      <c r="B24" s="109"/>
      <c r="C24" s="111"/>
      <c r="D24" s="273"/>
      <c r="E24" s="290"/>
      <c r="F24" s="236"/>
      <c r="G24" s="237"/>
      <c r="H24" s="238"/>
      <c r="I24" s="114"/>
      <c r="J24" s="237"/>
      <c r="K24" s="239"/>
      <c r="L24" s="238"/>
      <c r="M24" s="114"/>
      <c r="N24" s="99" t="e">
        <f>VLOOKUP(B24,Levering[#All],2,FALSE)</f>
        <v>#N/A</v>
      </c>
      <c r="O24" s="100" t="e">
        <f>VLOOKUP(B24,Levering[#All],3,FALSE)</f>
        <v>#N/A</v>
      </c>
      <c r="P24" s="106" t="e">
        <f>EXP(-0.693*E24/(VLOOKUP(A24,Nucliden[#All],3,FALSE)))*D24</f>
        <v>#N/A</v>
      </c>
      <c r="Q24" s="115" t="str">
        <f>IF(I24="Nee",(VLOOKUP(A24,Nucliden[#All],35,FALSE)),(IF(I24="Ja",(VLOOKUP(A24,Nucliden[#All],34,FALSE)),(IF(I24="Deels","Bepaal h(0,07)","")))))</f>
        <v/>
      </c>
      <c r="R24" s="115" t="str">
        <f>IF(M24="Nee",(VLOOKUP(A24,Nucliden[#All],19,FALSE)),(IF(M24="Ja",(VLOOKUP(A24,Nucliden[#All],18,FALSE)),(IF(M24="Deels","Bepaal h(10)","")))))</f>
        <v/>
      </c>
      <c r="S24" s="115" t="str">
        <f>IF(M24="Nee",(VLOOKUP(A24,Nucliden[#All],25,FALSE)),(IF(M24="Ja",(VLOOKUP(A24,Nucliden[#All],26,FALSE)),(IF(M24="Deels","Bepaal h(3)","")))))</f>
        <v/>
      </c>
      <c r="T24" s="115" t="e">
        <f>EXP(-0.693*H24/(VLOOKUP(A24,Nucliden[#All],6,FALSE)))</f>
        <v>#N/A</v>
      </c>
      <c r="U24" s="117" t="e">
        <f>EXP(-0.693*L24/(VLOOKUP(A24,Nucliden[#All],6,FALSE)))</f>
        <v>#N/A</v>
      </c>
      <c r="V24" s="118" t="e">
        <f t="shared" si="0"/>
        <v>#N/A</v>
      </c>
      <c r="W24" s="119" t="e">
        <f t="shared" si="1"/>
        <v>#N/A</v>
      </c>
      <c r="X24" s="118" t="e">
        <f t="shared" si="2"/>
        <v>#N/A</v>
      </c>
      <c r="Y24" s="119" t="e">
        <f t="shared" si="3"/>
        <v>#N/A</v>
      </c>
      <c r="Z24" s="118" t="e">
        <f t="shared" si="4"/>
        <v>#N/A</v>
      </c>
      <c r="AA24" s="119" t="e">
        <f t="shared" si="5"/>
        <v>#N/A</v>
      </c>
      <c r="AB24" s="120"/>
      <c r="AC24" s="119" t="e">
        <f t="shared" si="9"/>
        <v>#N/A</v>
      </c>
      <c r="AD24" s="119" t="e">
        <f t="shared" si="10"/>
        <v>#N/A</v>
      </c>
      <c r="AE24" s="119" t="e">
        <f t="shared" si="11"/>
        <v>#N/A</v>
      </c>
    </row>
    <row r="25" spans="1:31" x14ac:dyDescent="0.2">
      <c r="A25" s="122"/>
      <c r="B25" s="111"/>
      <c r="C25" s="111"/>
      <c r="D25" s="273"/>
      <c r="E25" s="290"/>
      <c r="F25" s="236"/>
      <c r="G25" s="237"/>
      <c r="H25" s="238"/>
      <c r="I25" s="114"/>
      <c r="J25" s="237"/>
      <c r="K25" s="239"/>
      <c r="L25" s="238"/>
      <c r="M25" s="114"/>
      <c r="N25" s="99" t="e">
        <f>VLOOKUP(B25,Levering[#All],2,FALSE)</f>
        <v>#N/A</v>
      </c>
      <c r="O25" s="100" t="e">
        <f>VLOOKUP(B25,Levering[#All],3,FALSE)</f>
        <v>#N/A</v>
      </c>
      <c r="P25" s="106" t="e">
        <f>EXP(-0.693*E25/(VLOOKUP(A25,Nucliden[#All],3,FALSE)))*D25</f>
        <v>#N/A</v>
      </c>
      <c r="Q25" s="115" t="str">
        <f>IF(I25="Nee",(VLOOKUP(A25,Nucliden[#All],35,FALSE)),(IF(I25="Ja",(VLOOKUP(A25,Nucliden[#All],34,FALSE)),(IF(I25="Deels","Bepaal h(0,07)","")))))</f>
        <v/>
      </c>
      <c r="R25" s="115" t="str">
        <f>IF(M25="Nee",(VLOOKUP(A25,Nucliden[#All],19,FALSE)),(IF(M25="Ja",(VLOOKUP(A25,Nucliden[#All],18,FALSE)),(IF(M25="Deels","Bepaal h(10)","")))))</f>
        <v/>
      </c>
      <c r="S25" s="115" t="str">
        <f>IF(M25="Nee",(VLOOKUP(A25,Nucliden[#All],25,FALSE)),(IF(M25="Ja",(VLOOKUP(A25,Nucliden[#All],26,FALSE)),(IF(M25="Deels","Bepaal h(3)","")))))</f>
        <v/>
      </c>
      <c r="T25" s="115" t="e">
        <f>EXP(-0.693*H25/(VLOOKUP(A25,Nucliden[#All],6,FALSE)))</f>
        <v>#N/A</v>
      </c>
      <c r="U25" s="117" t="e">
        <f>EXP(-0.693*L25/(VLOOKUP(A25,Nucliden[#All],6,FALSE)))</f>
        <v>#N/A</v>
      </c>
      <c r="V25" s="118" t="e">
        <f t="shared" si="0"/>
        <v>#N/A</v>
      </c>
      <c r="W25" s="119" t="e">
        <f t="shared" si="1"/>
        <v>#N/A</v>
      </c>
      <c r="X25" s="118" t="e">
        <f t="shared" si="2"/>
        <v>#N/A</v>
      </c>
      <c r="Y25" s="119" t="e">
        <f t="shared" si="3"/>
        <v>#N/A</v>
      </c>
      <c r="Z25" s="118" t="e">
        <f t="shared" si="4"/>
        <v>#N/A</v>
      </c>
      <c r="AA25" s="119" t="e">
        <f t="shared" si="5"/>
        <v>#N/A</v>
      </c>
      <c r="AB25" s="120"/>
      <c r="AC25" s="119" t="e">
        <f t="shared" si="9"/>
        <v>#N/A</v>
      </c>
      <c r="AD25" s="119" t="e">
        <f t="shared" si="10"/>
        <v>#N/A</v>
      </c>
      <c r="AE25" s="119" t="e">
        <f t="shared" si="11"/>
        <v>#N/A</v>
      </c>
    </row>
    <row r="26" spans="1:31" x14ac:dyDescent="0.2">
      <c r="A26" s="286" t="s">
        <v>259</v>
      </c>
      <c r="B26" s="269"/>
      <c r="C26" s="269"/>
      <c r="D26" s="4"/>
      <c r="I26" s="7" t="s">
        <v>445</v>
      </c>
      <c r="M26" s="7" t="s">
        <v>445</v>
      </c>
      <c r="AB26" s="242" t="s">
        <v>449</v>
      </c>
      <c r="AC26" s="241" t="e">
        <f>SUM(AC4:AC25)</f>
        <v>#N/A</v>
      </c>
      <c r="AD26" s="241" t="e">
        <f>SUM(AD4:AD25)</f>
        <v>#N/A</v>
      </c>
      <c r="AE26" s="241" t="e">
        <f>SUM(AE4:AE25)</f>
        <v>#N/A</v>
      </c>
    </row>
    <row r="27" spans="1:31" x14ac:dyDescent="0.2">
      <c r="A27" s="332" t="s">
        <v>556</v>
      </c>
      <c r="B27" s="333"/>
      <c r="C27" s="333"/>
      <c r="D27" s="4"/>
      <c r="E27" s="4"/>
      <c r="F27" s="4"/>
      <c r="G27" s="4"/>
      <c r="H27" s="4"/>
      <c r="I27" s="233" t="s">
        <v>66</v>
      </c>
      <c r="M27" s="233" t="s">
        <v>66</v>
      </c>
    </row>
    <row r="28" spans="1:31" x14ac:dyDescent="0.2">
      <c r="A28" s="333"/>
      <c r="B28" s="333"/>
      <c r="C28" s="333"/>
      <c r="I28" s="233" t="s">
        <v>446</v>
      </c>
      <c r="M28" s="233" t="s">
        <v>446</v>
      </c>
      <c r="O28" s="143"/>
    </row>
    <row r="29" spans="1:31" x14ac:dyDescent="0.2">
      <c r="A29" s="333"/>
      <c r="B29" s="333"/>
      <c r="C29" s="333"/>
      <c r="I29" s="233" t="s">
        <v>447</v>
      </c>
      <c r="M29" s="233" t="s">
        <v>447</v>
      </c>
    </row>
    <row r="30" spans="1:31" x14ac:dyDescent="0.2">
      <c r="A30" s="1"/>
      <c r="B30" s="1"/>
      <c r="C30" s="4"/>
      <c r="D30" s="1"/>
      <c r="N30" s="1"/>
    </row>
    <row r="31" spans="1:31" x14ac:dyDescent="0.2">
      <c r="A31" s="5"/>
      <c r="B31" s="5"/>
      <c r="C31" s="4"/>
      <c r="D31" s="2"/>
      <c r="N31" s="1"/>
    </row>
    <row r="32" spans="1:31" x14ac:dyDescent="0.2">
      <c r="A32" s="4"/>
      <c r="B32" s="4"/>
      <c r="C32" s="4"/>
    </row>
  </sheetData>
  <mergeCells count="1">
    <mergeCell ref="A27:C29"/>
  </mergeCells>
  <dataValidations count="1">
    <dataValidation type="list" allowBlank="1" showInputMessage="1" showErrorMessage="1" sqref="M4:M25 I4:I25">
      <formula1>$M$27:$M$29</formula1>
    </dataValidation>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E32"/>
  <sheetViews>
    <sheetView zoomScaleNormal="100" workbookViewId="0">
      <pane xSplit="3" ySplit="3" topLeftCell="D4" activePane="bottomRight" state="frozen"/>
      <selection pane="topRight" activeCell="D1" sqref="D1"/>
      <selection pane="bottomLeft" activeCell="A4" sqref="A4"/>
      <selection pane="bottomRight" activeCell="A4" sqref="A4"/>
    </sheetView>
  </sheetViews>
  <sheetFormatPr defaultRowHeight="12.75" x14ac:dyDescent="0.2"/>
  <cols>
    <col min="1" max="1" width="13.140625" customWidth="1"/>
    <col min="2" max="2" width="22.28515625" customWidth="1"/>
    <col min="3" max="3" width="36.140625" bestFit="1" customWidth="1"/>
    <col min="4" max="4" width="16.28515625" customWidth="1"/>
    <col min="5" max="5" width="16.28515625" style="9" customWidth="1"/>
    <col min="6" max="6" width="14" customWidth="1"/>
    <col min="7" max="7" width="13" customWidth="1"/>
    <col min="8" max="8" width="12.5703125" customWidth="1"/>
    <col min="9" max="9" width="14.28515625" customWidth="1"/>
    <col min="10" max="10" width="11.85546875" customWidth="1"/>
    <col min="11" max="11" width="10.42578125" bestFit="1" customWidth="1"/>
    <col min="12" max="12" width="13.42578125" bestFit="1" customWidth="1"/>
    <col min="13" max="13" width="14.28515625" customWidth="1"/>
    <col min="14" max="16" width="12.28515625" customWidth="1"/>
    <col min="17" max="18" width="13.140625" bestFit="1" customWidth="1"/>
    <col min="19" max="19" width="13.140625" customWidth="1"/>
    <col min="20" max="20" width="11.85546875" customWidth="1"/>
    <col min="21" max="21" width="12.7109375" customWidth="1"/>
    <col min="22" max="27" width="13.28515625" customWidth="1"/>
    <col min="28" max="28" width="10.7109375" customWidth="1"/>
    <col min="29" max="31" width="13.28515625" customWidth="1"/>
  </cols>
  <sheetData>
    <row r="1" spans="1:31" ht="30" customHeight="1" x14ac:dyDescent="0.2">
      <c r="A1" s="131" t="s">
        <v>376</v>
      </c>
      <c r="B1" s="132" t="s">
        <v>375</v>
      </c>
      <c r="C1" s="126"/>
      <c r="D1" s="126"/>
      <c r="E1" s="133"/>
      <c r="F1" s="126"/>
      <c r="G1" s="126"/>
      <c r="H1" s="126"/>
      <c r="I1" s="134"/>
      <c r="J1" s="134"/>
      <c r="K1" s="134"/>
      <c r="L1" s="134"/>
      <c r="M1" s="134"/>
      <c r="Q1" s="234" t="s">
        <v>61</v>
      </c>
      <c r="R1" s="234" t="s">
        <v>61</v>
      </c>
      <c r="S1" s="234" t="s">
        <v>349</v>
      </c>
      <c r="T1" s="234" t="s">
        <v>350</v>
      </c>
      <c r="U1" s="234" t="s">
        <v>350</v>
      </c>
      <c r="V1" s="130" t="s">
        <v>354</v>
      </c>
      <c r="W1" s="24"/>
      <c r="X1" s="35"/>
      <c r="Y1" s="24"/>
      <c r="Z1" s="35"/>
      <c r="AA1" s="24"/>
      <c r="AB1" s="125" t="s">
        <v>356</v>
      </c>
      <c r="AC1" s="126"/>
      <c r="AD1" s="126"/>
      <c r="AE1" s="126"/>
    </row>
    <row r="2" spans="1:31" ht="41.25" customHeight="1" x14ac:dyDescent="0.2">
      <c r="A2" s="103" t="s">
        <v>5</v>
      </c>
      <c r="B2" s="103" t="s">
        <v>13</v>
      </c>
      <c r="C2" s="103" t="s">
        <v>367</v>
      </c>
      <c r="D2" s="103" t="s">
        <v>480</v>
      </c>
      <c r="E2" s="103" t="s">
        <v>302</v>
      </c>
      <c r="F2" s="103" t="s">
        <v>290</v>
      </c>
      <c r="G2" s="103" t="s">
        <v>292</v>
      </c>
      <c r="H2" s="103" t="s">
        <v>295</v>
      </c>
      <c r="I2" s="103" t="s">
        <v>525</v>
      </c>
      <c r="J2" s="103" t="s">
        <v>294</v>
      </c>
      <c r="K2" s="103" t="s">
        <v>293</v>
      </c>
      <c r="L2" s="103" t="s">
        <v>297</v>
      </c>
      <c r="M2" s="103" t="s">
        <v>526</v>
      </c>
      <c r="N2" s="102" t="s">
        <v>287</v>
      </c>
      <c r="O2" s="102" t="s">
        <v>280</v>
      </c>
      <c r="P2" s="102" t="s">
        <v>82</v>
      </c>
      <c r="Q2" s="102" t="s">
        <v>299</v>
      </c>
      <c r="R2" s="102" t="s">
        <v>300</v>
      </c>
      <c r="S2" s="102" t="s">
        <v>301</v>
      </c>
      <c r="T2" s="102" t="s">
        <v>83</v>
      </c>
      <c r="U2" s="102" t="s">
        <v>86</v>
      </c>
      <c r="V2" s="116" t="s">
        <v>303</v>
      </c>
      <c r="W2" s="116" t="s">
        <v>305</v>
      </c>
      <c r="X2" s="116" t="s">
        <v>307</v>
      </c>
      <c r="Y2" s="116" t="s">
        <v>308</v>
      </c>
      <c r="Z2" s="116" t="s">
        <v>309</v>
      </c>
      <c r="AA2" s="116" t="s">
        <v>310</v>
      </c>
      <c r="AB2" s="103" t="s">
        <v>364</v>
      </c>
      <c r="AC2" s="116" t="s">
        <v>305</v>
      </c>
      <c r="AD2" s="116" t="s">
        <v>308</v>
      </c>
      <c r="AE2" s="116" t="s">
        <v>310</v>
      </c>
    </row>
    <row r="3" spans="1:31" ht="17.25" customHeight="1" x14ac:dyDescent="0.2">
      <c r="A3" s="104"/>
      <c r="B3" s="104"/>
      <c r="C3" s="135"/>
      <c r="D3" s="104"/>
      <c r="E3" s="103" t="s">
        <v>522</v>
      </c>
      <c r="F3" s="103" t="s">
        <v>291</v>
      </c>
      <c r="G3" s="103" t="s">
        <v>69</v>
      </c>
      <c r="H3" s="103" t="s">
        <v>296</v>
      </c>
      <c r="I3" s="103" t="s">
        <v>298</v>
      </c>
      <c r="J3" s="103" t="s">
        <v>291</v>
      </c>
      <c r="K3" s="103" t="s">
        <v>68</v>
      </c>
      <c r="L3" s="103" t="s">
        <v>296</v>
      </c>
      <c r="M3" s="103" t="s">
        <v>298</v>
      </c>
      <c r="N3" s="102" t="s">
        <v>281</v>
      </c>
      <c r="O3" s="102" t="s">
        <v>278</v>
      </c>
      <c r="P3" s="102"/>
      <c r="Q3" s="102" t="s">
        <v>255</v>
      </c>
      <c r="R3" s="102" t="s">
        <v>255</v>
      </c>
      <c r="S3" s="102" t="s">
        <v>255</v>
      </c>
      <c r="T3" s="102"/>
      <c r="U3" s="102"/>
      <c r="V3" s="116" t="s">
        <v>304</v>
      </c>
      <c r="W3" s="116" t="s">
        <v>306</v>
      </c>
      <c r="X3" s="116" t="s">
        <v>304</v>
      </c>
      <c r="Y3" s="116" t="s">
        <v>306</v>
      </c>
      <c r="Z3" s="116" t="s">
        <v>304</v>
      </c>
      <c r="AA3" s="116" t="s">
        <v>306</v>
      </c>
      <c r="AB3" s="103" t="s">
        <v>355</v>
      </c>
      <c r="AC3" s="116" t="s">
        <v>306</v>
      </c>
      <c r="AD3" s="116" t="s">
        <v>306</v>
      </c>
      <c r="AE3" s="116" t="s">
        <v>306</v>
      </c>
    </row>
    <row r="4" spans="1:31" x14ac:dyDescent="0.2">
      <c r="A4" s="108" t="s">
        <v>4</v>
      </c>
      <c r="B4" s="109" t="s">
        <v>518</v>
      </c>
      <c r="C4" s="111" t="s">
        <v>551</v>
      </c>
      <c r="D4" s="273">
        <v>1</v>
      </c>
      <c r="E4" s="290">
        <v>0</v>
      </c>
      <c r="F4" s="236">
        <v>2</v>
      </c>
      <c r="G4" s="237">
        <v>25</v>
      </c>
      <c r="H4" s="238">
        <v>20</v>
      </c>
      <c r="I4" s="114" t="s">
        <v>66</v>
      </c>
      <c r="J4" s="237">
        <v>2</v>
      </c>
      <c r="K4" s="239">
        <v>0.5</v>
      </c>
      <c r="L4" s="238">
        <v>10</v>
      </c>
      <c r="M4" s="114" t="s">
        <v>66</v>
      </c>
      <c r="N4" s="99">
        <f>VLOOKUP(B4,Onderzoek[#All],2,FALSE)</f>
        <v>2000</v>
      </c>
      <c r="O4" s="100">
        <f>VLOOKUP(B4,Onderzoek[#All],3,FALSE)</f>
        <v>350</v>
      </c>
      <c r="P4" s="106">
        <f>EXP(-0.693*E4/(VLOOKUP(A4,Nucliden[#All],3,FALSE)))*D4</f>
        <v>1</v>
      </c>
      <c r="Q4" s="115">
        <f>IF(I4="Nee",(VLOOKUP(A4,Nucliden[#All],35,FALSE)),(IF(I4="Ja",(VLOOKUP(A4,Nucliden[#All],34,FALSE)),(IF(I4="Deels","Bepaal h(0,07)","")))))</f>
        <v>16</v>
      </c>
      <c r="R4" s="115">
        <f>IF(M4="Nee",(VLOOKUP(A4,Nucliden[#All],19,FALSE)),(IF(M4="Ja",(VLOOKUP(A4,Nucliden[#All],18,FALSE)),(IF(M4="Deels","Bepaal h(10)","")))))</f>
        <v>0.16</v>
      </c>
      <c r="S4" s="115">
        <f>IF(M4="Nee",(VLOOKUP(A4,Nucliden[#All],25,FALSE)),(IF(M4="Ja",(VLOOKUP(A4,Nucliden[#All],26,FALSE)),(IF(M4="Deels","Bepaal h(3)","")))))</f>
        <v>0.16900000000000001</v>
      </c>
      <c r="T4" s="115">
        <f>EXP(-0.693*H4/(VLOOKUP(A4,Nucliden[#All],6,FALSE)))</f>
        <v>6.0810062625217973E-2</v>
      </c>
      <c r="U4" s="117">
        <f>EXP(-0.693*L4/(VLOOKUP(A4,Nucliden[#All],6,FALSE)))</f>
        <v>0.24659696394160649</v>
      </c>
      <c r="V4" s="118">
        <f t="shared" ref="V4" si="0">O4*P4*(10/G4)^2*Q4*T4</f>
        <v>54.485816112195316</v>
      </c>
      <c r="W4" s="119">
        <f t="shared" ref="W4" si="1">N4/1000*F4/60*V4</f>
        <v>3.6323877408130212</v>
      </c>
      <c r="X4" s="118">
        <f t="shared" ref="X4" si="2">O4*P4*(1/K4)^2*R4*T4*U4</f>
        <v>3.3590092077870066</v>
      </c>
      <c r="Y4" s="119">
        <f t="shared" ref="Y4" si="3">N4/1000*J4/60*X4</f>
        <v>0.22393394718580042</v>
      </c>
      <c r="Z4" s="118">
        <f t="shared" ref="Z4" si="4">O4*P4*(1/K4)^2*S4*T4*U4</f>
        <v>3.5479534757250262</v>
      </c>
      <c r="AA4" s="119">
        <f t="shared" ref="AA4" si="5">N4/1000*J4/60*Z4</f>
        <v>0.23653023171500173</v>
      </c>
      <c r="AB4" s="120">
        <v>1</v>
      </c>
      <c r="AC4" s="119">
        <f>$AB4*$W4</f>
        <v>3.6323877408130212</v>
      </c>
      <c r="AD4" s="119">
        <f>$AB4*$Y4</f>
        <v>0.22393394718580042</v>
      </c>
      <c r="AE4" s="119">
        <f>$AB4*$AA4</f>
        <v>0.23653023171500173</v>
      </c>
    </row>
    <row r="5" spans="1:31" x14ac:dyDescent="0.2">
      <c r="A5" s="108" t="s">
        <v>0</v>
      </c>
      <c r="B5" s="111" t="s">
        <v>550</v>
      </c>
      <c r="C5" s="111" t="s">
        <v>551</v>
      </c>
      <c r="D5" s="273">
        <v>1</v>
      </c>
      <c r="E5" s="290">
        <v>0</v>
      </c>
      <c r="F5" s="236">
        <v>2</v>
      </c>
      <c r="G5" s="237">
        <v>5</v>
      </c>
      <c r="H5" s="238">
        <v>2</v>
      </c>
      <c r="I5" s="114" t="s">
        <v>66</v>
      </c>
      <c r="J5" s="237">
        <v>2</v>
      </c>
      <c r="K5" s="239">
        <v>0.5</v>
      </c>
      <c r="L5" s="238">
        <v>10</v>
      </c>
      <c r="M5" s="114" t="s">
        <v>66</v>
      </c>
      <c r="N5" s="99">
        <f>VLOOKUP(B5,Onderzoek[#All],2,FALSE)</f>
        <v>1500</v>
      </c>
      <c r="O5" s="100">
        <f>VLOOKUP(B5,Onderzoek[#All],3,FALSE)</f>
        <v>600</v>
      </c>
      <c r="P5" s="106">
        <f>EXP(-0.693*E5/(VLOOKUP(A5,Nucliden[#All],3,FALSE)))*D5</f>
        <v>1</v>
      </c>
      <c r="Q5" s="115">
        <f>IF(I5="Nee",(VLOOKUP(A5,Nucliden[#All],35,FALSE)),(IF(I5="Ja",(VLOOKUP(A5,Nucliden[#All],34,FALSE)),(IF(I5="Deels","Bepaal h(0,07)","")))))</f>
        <v>2.21</v>
      </c>
      <c r="R5" s="115">
        <f>IF(M5="Nee",(VLOOKUP(A5,Nucliden[#All],19,FALSE)),(IF(M5="Ja",(VLOOKUP(A5,Nucliden[#All],18,FALSE)),(IF(M5="Deels","Bepaal h(10)","")))))</f>
        <v>2.18E-2</v>
      </c>
      <c r="S5" s="115">
        <f>IF(M5="Nee",(VLOOKUP(A5,Nucliden[#All],25,FALSE)),(IF(M5="Ja",(VLOOKUP(A5,Nucliden[#All],26,FALSE)),(IF(M5="Deels","Bepaal h(3)","")))))</f>
        <v>2.5999999999999999E-2</v>
      </c>
      <c r="T5" s="115">
        <f>EXP(-0.693*H5/(VLOOKUP(A5,Nucliden[#All],6,FALSE)))</f>
        <v>2.6769507205430419E-3</v>
      </c>
      <c r="U5" s="117">
        <f>EXP(-0.693*L5/(VLOOKUP(A5,Nucliden[#All],6,FALSE)))</f>
        <v>1.374680847871773E-13</v>
      </c>
      <c r="V5" s="118">
        <f t="shared" ref="V5:V8" si="6">O5*P5*(10/G5)^2*Q5*T5</f>
        <v>14.198546621760293</v>
      </c>
      <c r="W5" s="119">
        <f t="shared" ref="W5:W8" si="7">N5/1000*F5/60*V5</f>
        <v>0.70992733108801476</v>
      </c>
      <c r="X5" s="118">
        <f t="shared" ref="X5:X8" si="8">O5*P5*(1/K5)^2*R5*T5*U5</f>
        <v>1.9253513500739991E-14</v>
      </c>
      <c r="Y5" s="119">
        <f t="shared" ref="Y5:Y8" si="9">N5/1000*J5/60*X5</f>
        <v>9.6267567503699963E-16</v>
      </c>
      <c r="Z5" s="118">
        <f t="shared" ref="Z5:Z8" si="10">O5*P5*(1/K5)^2*S5*T5*U5</f>
        <v>2.296290601005687E-14</v>
      </c>
      <c r="AA5" s="119">
        <f t="shared" ref="AA5:AA8" si="11">N5/1000*J5/60*Z5</f>
        <v>1.1481453005028436E-15</v>
      </c>
      <c r="AB5" s="120">
        <v>1</v>
      </c>
      <c r="AC5" s="119">
        <f t="shared" ref="AC5:AC8" si="12">$AB5*$W5</f>
        <v>0.70992733108801476</v>
      </c>
      <c r="AD5" s="119">
        <f t="shared" ref="AD5:AD8" si="13">$AB5*$Y5</f>
        <v>9.6267567503699963E-16</v>
      </c>
      <c r="AE5" s="119">
        <f t="shared" ref="AE5:AE8" si="14">$AB5*$AA5</f>
        <v>1.1481453005028436E-15</v>
      </c>
    </row>
    <row r="6" spans="1:31" x14ac:dyDescent="0.2">
      <c r="A6" s="113" t="s">
        <v>3</v>
      </c>
      <c r="B6" s="109" t="s">
        <v>542</v>
      </c>
      <c r="C6" s="111" t="s">
        <v>551</v>
      </c>
      <c r="D6" s="273">
        <v>1</v>
      </c>
      <c r="E6" s="290">
        <v>0</v>
      </c>
      <c r="F6" s="236">
        <v>1</v>
      </c>
      <c r="G6" s="237">
        <v>5</v>
      </c>
      <c r="H6" s="238">
        <v>15</v>
      </c>
      <c r="I6" s="114" t="s">
        <v>66</v>
      </c>
      <c r="J6" s="237">
        <v>2</v>
      </c>
      <c r="K6" s="239">
        <v>0.5</v>
      </c>
      <c r="L6" s="238">
        <v>10</v>
      </c>
      <c r="M6" s="114" t="s">
        <v>66</v>
      </c>
      <c r="N6" s="99">
        <f>VLOOKUP(B6,Onderzoek[#All],2,FALSE)</f>
        <v>40</v>
      </c>
      <c r="O6" s="100">
        <f>VLOOKUP(B6,Onderzoek[#All],3,FALSE)</f>
        <v>2000</v>
      </c>
      <c r="P6" s="106">
        <f>EXP(-0.693*E6/(VLOOKUP(A6,Nucliden[#All],3,FALSE)))*D6</f>
        <v>1</v>
      </c>
      <c r="Q6" s="115">
        <f>IF(I6="Nee",(VLOOKUP(A6,Nucliden[#All],35,FALSE)),(IF(I6="Ja",(VLOOKUP(A6,Nucliden[#All],34,FALSE)),(IF(I6="Deels","Bepaal h(0,07)","")))))</f>
        <v>6.05</v>
      </c>
      <c r="R6" s="115">
        <f>IF(M6="Nee",(VLOOKUP(A6,Nucliden[#All],19,FALSE)),(IF(M6="Ja",(VLOOKUP(A6,Nucliden[#All],18,FALSE)),(IF(M6="Deels","Bepaal h(10)","")))))</f>
        <v>6.2300000000000001E-2</v>
      </c>
      <c r="S6" s="115">
        <f>IF(M6="Nee",(VLOOKUP(A6,Nucliden[#All],25,FALSE)),(IF(M6="Ja",(VLOOKUP(A6,Nucliden[#All],26,FALSE)),(IF(M6="Deels","Bepaal h(3)","")))))</f>
        <v>6.8000000000000005E-2</v>
      </c>
      <c r="T6" s="115">
        <f>EXP(-0.693*H6/(VLOOKUP(A6,Nucliden[#All],6,FALSE)))</f>
        <v>2.2510000081610911E-2</v>
      </c>
      <c r="U6" s="117">
        <f>EXP(-0.693*L6/(VLOOKUP(A6,Nucliden[#All],6,FALSE)))</f>
        <v>7.9723005767372443E-2</v>
      </c>
      <c r="V6" s="118">
        <f t="shared" si="6"/>
        <v>1089.4840039499682</v>
      </c>
      <c r="W6" s="119">
        <f t="shared" si="7"/>
        <v>0.7263226692999788</v>
      </c>
      <c r="X6" s="118">
        <f t="shared" si="8"/>
        <v>0.89441112937878275</v>
      </c>
      <c r="Y6" s="119">
        <f t="shared" si="9"/>
        <v>1.1925481725050435E-3</v>
      </c>
      <c r="Z6" s="118">
        <f t="shared" si="10"/>
        <v>0.97624328728342258</v>
      </c>
      <c r="AA6" s="119">
        <f t="shared" si="11"/>
        <v>1.3016577163778968E-3</v>
      </c>
      <c r="AB6" s="120">
        <v>1</v>
      </c>
      <c r="AC6" s="119">
        <f t="shared" si="12"/>
        <v>0.7263226692999788</v>
      </c>
      <c r="AD6" s="119">
        <f t="shared" si="13"/>
        <v>1.1925481725050435E-3</v>
      </c>
      <c r="AE6" s="119">
        <f t="shared" si="14"/>
        <v>1.3016577163778968E-3</v>
      </c>
    </row>
    <row r="7" spans="1:31" x14ac:dyDescent="0.2">
      <c r="A7" s="113"/>
      <c r="B7" s="109"/>
      <c r="C7" s="111"/>
      <c r="D7" s="273"/>
      <c r="E7" s="290"/>
      <c r="F7" s="236"/>
      <c r="G7" s="237"/>
      <c r="H7" s="238"/>
      <c r="I7" s="114"/>
      <c r="J7" s="237"/>
      <c r="K7" s="239"/>
      <c r="L7" s="238"/>
      <c r="M7" s="114"/>
      <c r="N7" s="99" t="e">
        <f>VLOOKUP(B7,Onderzoek[#All],2,FALSE)</f>
        <v>#N/A</v>
      </c>
      <c r="O7" s="100" t="e">
        <f>VLOOKUP(B7,Onderzoek[#All],3,FALSE)</f>
        <v>#N/A</v>
      </c>
      <c r="P7" s="106" t="e">
        <f>EXP(-0.693*E7/(VLOOKUP(A7,Nucliden[#All],3,FALSE)))*D7</f>
        <v>#N/A</v>
      </c>
      <c r="Q7" s="115" t="str">
        <f>IF(I7="Nee",(VLOOKUP(A7,Nucliden[#All],35,FALSE)),(IF(I7="Ja",(VLOOKUP(A7,Nucliden[#All],34,FALSE)),(IF(I7="Deels","Bepaal h(0,07)","")))))</f>
        <v/>
      </c>
      <c r="R7" s="115" t="str">
        <f>IF(M7="Nee",(VLOOKUP(A7,Nucliden[#All],19,FALSE)),(IF(M7="Ja",(VLOOKUP(A7,Nucliden[#All],18,FALSE)),(IF(M7="Deels","Bepaal h(10)","")))))</f>
        <v/>
      </c>
      <c r="S7" s="115" t="str">
        <f>IF(M7="Nee",(VLOOKUP(A7,Nucliden[#All],25,FALSE)),(IF(M7="Ja",(VLOOKUP(A7,Nucliden[#All],26,FALSE)),(IF(M7="Deels","Bepaal h(3)","")))))</f>
        <v/>
      </c>
      <c r="T7" s="115" t="e">
        <f>EXP(-0.693*H7/(VLOOKUP(A7,Nucliden[#All],6,FALSE)))</f>
        <v>#N/A</v>
      </c>
      <c r="U7" s="117" t="e">
        <f>EXP(-0.693*L7/(VLOOKUP(A7,Nucliden[#All],6,FALSE)))</f>
        <v>#N/A</v>
      </c>
      <c r="V7" s="118" t="e">
        <f t="shared" si="6"/>
        <v>#N/A</v>
      </c>
      <c r="W7" s="119" t="e">
        <f t="shared" si="7"/>
        <v>#N/A</v>
      </c>
      <c r="X7" s="118" t="e">
        <f t="shared" si="8"/>
        <v>#N/A</v>
      </c>
      <c r="Y7" s="119" t="e">
        <f t="shared" si="9"/>
        <v>#N/A</v>
      </c>
      <c r="Z7" s="118" t="e">
        <f t="shared" si="10"/>
        <v>#N/A</v>
      </c>
      <c r="AA7" s="119" t="e">
        <f t="shared" si="11"/>
        <v>#N/A</v>
      </c>
      <c r="AB7" s="120"/>
      <c r="AC7" s="119" t="e">
        <f t="shared" si="12"/>
        <v>#N/A</v>
      </c>
      <c r="AD7" s="119" t="e">
        <f t="shared" si="13"/>
        <v>#N/A</v>
      </c>
      <c r="AE7" s="119" t="e">
        <f t="shared" si="14"/>
        <v>#N/A</v>
      </c>
    </row>
    <row r="8" spans="1:31" x14ac:dyDescent="0.2">
      <c r="A8" s="113"/>
      <c r="B8" s="109"/>
      <c r="C8" s="111"/>
      <c r="D8" s="273"/>
      <c r="E8" s="290"/>
      <c r="F8" s="236"/>
      <c r="G8" s="237"/>
      <c r="H8" s="238"/>
      <c r="I8" s="114"/>
      <c r="J8" s="237"/>
      <c r="K8" s="239"/>
      <c r="L8" s="238"/>
      <c r="M8" s="114"/>
      <c r="N8" s="99" t="e">
        <f>VLOOKUP(B8,Onderzoek[#All],2,FALSE)</f>
        <v>#N/A</v>
      </c>
      <c r="O8" s="100" t="e">
        <f>VLOOKUP(B8,Onderzoek[#All],3,FALSE)</f>
        <v>#N/A</v>
      </c>
      <c r="P8" s="106" t="e">
        <f>EXP(-0.693*E8/(VLOOKUP(A8,Nucliden[#All],3,FALSE)))*D8</f>
        <v>#N/A</v>
      </c>
      <c r="Q8" s="115" t="str">
        <f>IF(I8="Nee",(VLOOKUP(A8,Nucliden[#All],35,FALSE)),(IF(I8="Ja",(VLOOKUP(A8,Nucliden[#All],34,FALSE)),(IF(I8="Deels","Bepaal h(0,07)","")))))</f>
        <v/>
      </c>
      <c r="R8" s="115" t="str">
        <f>IF(M8="Nee",(VLOOKUP(A8,Nucliden[#All],19,FALSE)),(IF(M8="Ja",(VLOOKUP(A8,Nucliden[#All],18,FALSE)),(IF(M8="Deels","Bepaal h(10)","")))))</f>
        <v/>
      </c>
      <c r="S8" s="115" t="str">
        <f>IF(M8="Nee",(VLOOKUP(A8,Nucliden[#All],25,FALSE)),(IF(M8="Ja",(VLOOKUP(A8,Nucliden[#All],26,FALSE)),(IF(M8="Deels","Bepaal h(3)","")))))</f>
        <v/>
      </c>
      <c r="T8" s="115" t="e">
        <f>EXP(-0.693*H8/(VLOOKUP(A8,Nucliden[#All],6,FALSE)))</f>
        <v>#N/A</v>
      </c>
      <c r="U8" s="117" t="e">
        <f>EXP(-0.693*L8/(VLOOKUP(A8,Nucliden[#All],6,FALSE)))</f>
        <v>#N/A</v>
      </c>
      <c r="V8" s="118" t="e">
        <f t="shared" si="6"/>
        <v>#N/A</v>
      </c>
      <c r="W8" s="119" t="e">
        <f t="shared" si="7"/>
        <v>#N/A</v>
      </c>
      <c r="X8" s="118" t="e">
        <f t="shared" si="8"/>
        <v>#N/A</v>
      </c>
      <c r="Y8" s="119" t="e">
        <f t="shared" si="9"/>
        <v>#N/A</v>
      </c>
      <c r="Z8" s="118" t="e">
        <f t="shared" si="10"/>
        <v>#N/A</v>
      </c>
      <c r="AA8" s="119" t="e">
        <f t="shared" si="11"/>
        <v>#N/A</v>
      </c>
      <c r="AB8" s="120"/>
      <c r="AC8" s="119" t="e">
        <f t="shared" si="12"/>
        <v>#N/A</v>
      </c>
      <c r="AD8" s="119" t="e">
        <f t="shared" si="13"/>
        <v>#N/A</v>
      </c>
      <c r="AE8" s="119" t="e">
        <f t="shared" si="14"/>
        <v>#N/A</v>
      </c>
    </row>
    <row r="9" spans="1:31" x14ac:dyDescent="0.2">
      <c r="A9" s="113"/>
      <c r="B9" s="109"/>
      <c r="C9" s="111"/>
      <c r="D9" s="273"/>
      <c r="E9" s="290"/>
      <c r="F9" s="236"/>
      <c r="G9" s="237"/>
      <c r="H9" s="238"/>
      <c r="I9" s="114"/>
      <c r="J9" s="237"/>
      <c r="K9" s="239"/>
      <c r="L9" s="238"/>
      <c r="M9" s="114"/>
      <c r="N9" s="99" t="e">
        <f>VLOOKUP(B9,Onderzoek[#All],2,FALSE)</f>
        <v>#N/A</v>
      </c>
      <c r="O9" s="100" t="e">
        <f>VLOOKUP(B9,Onderzoek[#All],3,FALSE)</f>
        <v>#N/A</v>
      </c>
      <c r="P9" s="106" t="e">
        <f>EXP(-0.693*E9/(VLOOKUP(A9,Nucliden[#All],3,FALSE)))*D9</f>
        <v>#N/A</v>
      </c>
      <c r="Q9" s="115" t="str">
        <f>IF(I9="Nee",(VLOOKUP(A9,Nucliden[#All],35,FALSE)),(IF(I9="Ja",(VLOOKUP(A9,Nucliden[#All],34,FALSE)),(IF(I9="Deels","Bepaal h(0,07)","")))))</f>
        <v/>
      </c>
      <c r="R9" s="115" t="str">
        <f>IF(M9="Nee",(VLOOKUP(A9,Nucliden[#All],19,FALSE)),(IF(M9="Ja",(VLOOKUP(A9,Nucliden[#All],18,FALSE)),(IF(M9="Deels","Bepaal h(10)","")))))</f>
        <v/>
      </c>
      <c r="S9" s="115" t="str">
        <f>IF(M9="Nee",(VLOOKUP(A9,Nucliden[#All],25,FALSE)),(IF(M9="Ja",(VLOOKUP(A9,Nucliden[#All],26,FALSE)),(IF(M9="Deels","Bepaal h(3)","")))))</f>
        <v/>
      </c>
      <c r="T9" s="115" t="e">
        <f>EXP(-0.693*H9/(VLOOKUP(A9,Nucliden[#All],6,FALSE)))</f>
        <v>#N/A</v>
      </c>
      <c r="U9" s="117" t="e">
        <f>EXP(-0.693*L9/(VLOOKUP(A9,Nucliden[#All],6,FALSE)))</f>
        <v>#N/A</v>
      </c>
      <c r="V9" s="118" t="e">
        <f t="shared" ref="V9:V11" si="15">O9*P9*(10/G9)^2*Q9*T9</f>
        <v>#N/A</v>
      </c>
      <c r="W9" s="119" t="e">
        <f t="shared" ref="W9:W11" si="16">N9/1000*F9/60*V9</f>
        <v>#N/A</v>
      </c>
      <c r="X9" s="118" t="e">
        <f t="shared" ref="X9:X11" si="17">O9*P9*(1/K9)^2*R9*T9*U9</f>
        <v>#N/A</v>
      </c>
      <c r="Y9" s="119" t="e">
        <f t="shared" ref="Y9:Y11" si="18">N9/1000*J9/60*X9</f>
        <v>#N/A</v>
      </c>
      <c r="Z9" s="118" t="e">
        <f t="shared" ref="Z9:Z11" si="19">O9*P9*(1/K9)^2*S9*T9*U9</f>
        <v>#N/A</v>
      </c>
      <c r="AA9" s="119" t="e">
        <f t="shared" ref="AA9:AA11" si="20">N9/1000*J9/60*Z9</f>
        <v>#N/A</v>
      </c>
      <c r="AB9" s="120"/>
      <c r="AC9" s="119" t="e">
        <f t="shared" ref="AC9:AC25" si="21">$AB9*$W9</f>
        <v>#N/A</v>
      </c>
      <c r="AD9" s="119" t="e">
        <f t="shared" ref="AD9:AD25" si="22">$AB9*$Y9</f>
        <v>#N/A</v>
      </c>
      <c r="AE9" s="119" t="e">
        <f t="shared" ref="AE9:AE25" si="23">$AB9*$AA9</f>
        <v>#N/A</v>
      </c>
    </row>
    <row r="10" spans="1:31" x14ac:dyDescent="0.2">
      <c r="A10" s="113"/>
      <c r="B10" s="109"/>
      <c r="C10" s="111"/>
      <c r="D10" s="273"/>
      <c r="E10" s="290"/>
      <c r="F10" s="236"/>
      <c r="G10" s="237"/>
      <c r="H10" s="238"/>
      <c r="I10" s="114"/>
      <c r="J10" s="237"/>
      <c r="K10" s="239"/>
      <c r="L10" s="238"/>
      <c r="M10" s="114"/>
      <c r="N10" s="99" t="e">
        <f>VLOOKUP(B10,Onderzoek[#All],2,FALSE)</f>
        <v>#N/A</v>
      </c>
      <c r="O10" s="100" t="e">
        <f>VLOOKUP(B10,Onderzoek[#All],3,FALSE)</f>
        <v>#N/A</v>
      </c>
      <c r="P10" s="106" t="e">
        <f>EXP(-0.693*E10/(VLOOKUP(A10,Nucliden[#All],3,FALSE)))*D10</f>
        <v>#N/A</v>
      </c>
      <c r="Q10" s="115" t="str">
        <f>IF(I10="Nee",(VLOOKUP(A10,Nucliden[#All],35,FALSE)),(IF(I10="Ja",(VLOOKUP(A10,Nucliden[#All],34,FALSE)),(IF(I10="Deels","Bepaal h(0,07)","")))))</f>
        <v/>
      </c>
      <c r="R10" s="115" t="str">
        <f>IF(M10="Nee",(VLOOKUP(A10,Nucliden[#All],19,FALSE)),(IF(M10="Ja",(VLOOKUP(A10,Nucliden[#All],18,FALSE)),(IF(M10="Deels","Bepaal h(10)","")))))</f>
        <v/>
      </c>
      <c r="S10" s="115" t="str">
        <f>IF(M10="Nee",(VLOOKUP(A10,Nucliden[#All],25,FALSE)),(IF(M10="Ja",(VLOOKUP(A10,Nucliden[#All],26,FALSE)),(IF(M10="Deels","Bepaal h(3)","")))))</f>
        <v/>
      </c>
      <c r="T10" s="115" t="e">
        <f>EXP(-0.693*H10/(VLOOKUP(A10,Nucliden[#All],6,FALSE)))</f>
        <v>#N/A</v>
      </c>
      <c r="U10" s="117" t="e">
        <f>EXP(-0.693*L10/(VLOOKUP(A10,Nucliden[#All],6,FALSE)))</f>
        <v>#N/A</v>
      </c>
      <c r="V10" s="118" t="e">
        <f t="shared" si="15"/>
        <v>#N/A</v>
      </c>
      <c r="W10" s="119" t="e">
        <f t="shared" si="16"/>
        <v>#N/A</v>
      </c>
      <c r="X10" s="118" t="e">
        <f t="shared" si="17"/>
        <v>#N/A</v>
      </c>
      <c r="Y10" s="119" t="e">
        <f t="shared" si="18"/>
        <v>#N/A</v>
      </c>
      <c r="Z10" s="118" t="e">
        <f t="shared" si="19"/>
        <v>#N/A</v>
      </c>
      <c r="AA10" s="119" t="e">
        <f t="shared" si="20"/>
        <v>#N/A</v>
      </c>
      <c r="AB10" s="120"/>
      <c r="AC10" s="119" t="e">
        <f t="shared" si="21"/>
        <v>#N/A</v>
      </c>
      <c r="AD10" s="119" t="e">
        <f t="shared" si="22"/>
        <v>#N/A</v>
      </c>
      <c r="AE10" s="119" t="e">
        <f t="shared" si="23"/>
        <v>#N/A</v>
      </c>
    </row>
    <row r="11" spans="1:31" x14ac:dyDescent="0.2">
      <c r="A11" s="113"/>
      <c r="B11" s="109"/>
      <c r="C11" s="111"/>
      <c r="D11" s="273"/>
      <c r="E11" s="290"/>
      <c r="F11" s="236"/>
      <c r="G11" s="237"/>
      <c r="H11" s="238"/>
      <c r="I11" s="114"/>
      <c r="J11" s="237"/>
      <c r="K11" s="239"/>
      <c r="L11" s="238"/>
      <c r="M11" s="114"/>
      <c r="N11" s="99" t="e">
        <f>VLOOKUP(B11,Onderzoek[#All],2,FALSE)</f>
        <v>#N/A</v>
      </c>
      <c r="O11" s="100" t="e">
        <f>VLOOKUP(B11,Onderzoek[#All],3,FALSE)</f>
        <v>#N/A</v>
      </c>
      <c r="P11" s="106" t="e">
        <f>EXP(-0.693*E11/(VLOOKUP(A11,Nucliden[#All],3,FALSE)))*D11</f>
        <v>#N/A</v>
      </c>
      <c r="Q11" s="115" t="str">
        <f>IF(I11="Nee",(VLOOKUP(A11,Nucliden[#All],35,FALSE)),(IF(I11="Ja",(VLOOKUP(A11,Nucliden[#All],34,FALSE)),(IF(I11="Deels","Bepaal h(0,07)","")))))</f>
        <v/>
      </c>
      <c r="R11" s="115" t="str">
        <f>IF(M11="Nee",(VLOOKUP(A11,Nucliden[#All],19,FALSE)),(IF(M11="Ja",(VLOOKUP(A11,Nucliden[#All],18,FALSE)),(IF(M11="Deels","Bepaal h(10)","")))))</f>
        <v/>
      </c>
      <c r="S11" s="115" t="str">
        <f>IF(M11="Nee",(VLOOKUP(A11,Nucliden[#All],25,FALSE)),(IF(M11="Ja",(VLOOKUP(A11,Nucliden[#All],26,FALSE)),(IF(M11="Deels","Bepaal h(3)","")))))</f>
        <v/>
      </c>
      <c r="T11" s="115" t="e">
        <f>EXP(-0.693*H11/(VLOOKUP(A11,Nucliden[#All],6,FALSE)))</f>
        <v>#N/A</v>
      </c>
      <c r="U11" s="117" t="e">
        <f>EXP(-0.693*L11/(VLOOKUP(A11,Nucliden[#All],6,FALSE)))</f>
        <v>#N/A</v>
      </c>
      <c r="V11" s="118" t="e">
        <f t="shared" si="15"/>
        <v>#N/A</v>
      </c>
      <c r="W11" s="119" t="e">
        <f t="shared" si="16"/>
        <v>#N/A</v>
      </c>
      <c r="X11" s="118" t="e">
        <f t="shared" si="17"/>
        <v>#N/A</v>
      </c>
      <c r="Y11" s="119" t="e">
        <f t="shared" si="18"/>
        <v>#N/A</v>
      </c>
      <c r="Z11" s="118" t="e">
        <f t="shared" si="19"/>
        <v>#N/A</v>
      </c>
      <c r="AA11" s="119" t="e">
        <f t="shared" si="20"/>
        <v>#N/A</v>
      </c>
      <c r="AB11" s="120"/>
      <c r="AC11" s="119" t="e">
        <f t="shared" si="21"/>
        <v>#N/A</v>
      </c>
      <c r="AD11" s="119" t="e">
        <f t="shared" si="22"/>
        <v>#N/A</v>
      </c>
      <c r="AE11" s="119" t="e">
        <f t="shared" si="23"/>
        <v>#N/A</v>
      </c>
    </row>
    <row r="12" spans="1:31" x14ac:dyDescent="0.2">
      <c r="A12" s="113"/>
      <c r="B12" s="109"/>
      <c r="C12" s="111"/>
      <c r="D12" s="273"/>
      <c r="E12" s="290"/>
      <c r="F12" s="236"/>
      <c r="G12" s="237"/>
      <c r="H12" s="238"/>
      <c r="I12" s="107"/>
      <c r="J12" s="237"/>
      <c r="K12" s="239"/>
      <c r="L12" s="238"/>
      <c r="M12" s="107"/>
      <c r="N12" s="99" t="e">
        <f>VLOOKUP(B12,Onderzoek[#All],2,FALSE)</f>
        <v>#N/A</v>
      </c>
      <c r="O12" s="100" t="e">
        <f>VLOOKUP(B12,Onderzoek[#All],3,FALSE)</f>
        <v>#N/A</v>
      </c>
      <c r="P12" s="106" t="e">
        <f>EXP(-0.693*E12/(VLOOKUP(A12,Nucliden[#All],3,FALSE)))*D12</f>
        <v>#N/A</v>
      </c>
      <c r="Q12" s="115" t="str">
        <f>IF(I12="Nee",(VLOOKUP(A12,Nucliden[#All],35,FALSE)),(IF(I12="Ja",(VLOOKUP(A12,Nucliden[#All],34,FALSE)),(IF(I12="Deels","Bepaal h(0,07)","")))))</f>
        <v/>
      </c>
      <c r="R12" s="115" t="str">
        <f>IF(M12="Nee",(VLOOKUP(A12,Nucliden[#All],19,FALSE)),(IF(M12="Ja",(VLOOKUP(A12,Nucliden[#All],18,FALSE)),(IF(M12="Deels","Bepaal h(10)","")))))</f>
        <v/>
      </c>
      <c r="S12" s="115" t="str">
        <f>IF(M12="Nee",(VLOOKUP(A12,Nucliden[#All],25,FALSE)),(IF(M12="Ja",(VLOOKUP(A12,Nucliden[#All],26,FALSE)),(IF(M12="Deels","Bepaal h(3)","")))))</f>
        <v/>
      </c>
      <c r="T12" s="115" t="e">
        <f>EXP(-0.693*H12/(VLOOKUP(A12,Nucliden[#All],6,FALSE)))</f>
        <v>#N/A</v>
      </c>
      <c r="U12" s="117" t="e">
        <f>EXP(-0.693*L12/(VLOOKUP(A12,Nucliden[#All],6,FALSE)))</f>
        <v>#N/A</v>
      </c>
      <c r="V12" s="118" t="e">
        <f t="shared" ref="V12:V25" si="24">O12*P12*(10/G12)^2*Q12*T12</f>
        <v>#N/A</v>
      </c>
      <c r="W12" s="119" t="e">
        <f t="shared" ref="W12:W25" si="25">N12/1000*F12/60*V12</f>
        <v>#N/A</v>
      </c>
      <c r="X12" s="118" t="e">
        <f t="shared" ref="X12:X25" si="26">O12*P12*(1/K12)^2*R12*T12*U12</f>
        <v>#N/A</v>
      </c>
      <c r="Y12" s="119" t="e">
        <f t="shared" ref="Y12:Y25" si="27">N12/1000*J12/60*X12</f>
        <v>#N/A</v>
      </c>
      <c r="Z12" s="118" t="e">
        <f t="shared" ref="Z12:Z25" si="28">O12*P12*(1/K12)^2*S12*T12*U12</f>
        <v>#N/A</v>
      </c>
      <c r="AA12" s="119" t="e">
        <f t="shared" ref="AA12:AA25" si="29">N12/1000*J12/60*Z12</f>
        <v>#N/A</v>
      </c>
      <c r="AB12" s="120"/>
      <c r="AC12" s="119" t="e">
        <f t="shared" si="21"/>
        <v>#N/A</v>
      </c>
      <c r="AD12" s="119" t="e">
        <f t="shared" si="22"/>
        <v>#N/A</v>
      </c>
      <c r="AE12" s="119" t="e">
        <f t="shared" si="23"/>
        <v>#N/A</v>
      </c>
    </row>
    <row r="13" spans="1:31" x14ac:dyDescent="0.2">
      <c r="A13" s="113"/>
      <c r="B13" s="112"/>
      <c r="C13" s="111"/>
      <c r="D13" s="273"/>
      <c r="E13" s="290"/>
      <c r="F13" s="236"/>
      <c r="G13" s="237"/>
      <c r="H13" s="238"/>
      <c r="I13" s="107"/>
      <c r="J13" s="237"/>
      <c r="K13" s="239"/>
      <c r="L13" s="238"/>
      <c r="M13" s="107"/>
      <c r="N13" s="99" t="e">
        <f>VLOOKUP(B13,Onderzoek[#All],2,FALSE)</f>
        <v>#N/A</v>
      </c>
      <c r="O13" s="100" t="e">
        <f>VLOOKUP(B13,Onderzoek[#All],3,FALSE)</f>
        <v>#N/A</v>
      </c>
      <c r="P13" s="106" t="e">
        <f>EXP(-0.693*E13/(VLOOKUP(A13,Nucliden[#All],3,FALSE)))*D13</f>
        <v>#N/A</v>
      </c>
      <c r="Q13" s="115" t="str">
        <f>IF(I13="Nee",(VLOOKUP(A13,Nucliden[#All],35,FALSE)),(IF(I13="Ja",(VLOOKUP(A13,Nucliden[#All],34,FALSE)),(IF(I13="Deels","Bepaal h(0,07)","")))))</f>
        <v/>
      </c>
      <c r="R13" s="115" t="str">
        <f>IF(M13="Nee",(VLOOKUP(A13,Nucliden[#All],19,FALSE)),(IF(M13="Ja",(VLOOKUP(A13,Nucliden[#All],18,FALSE)),(IF(M13="Deels","Bepaal h(10)","")))))</f>
        <v/>
      </c>
      <c r="S13" s="115" t="str">
        <f>IF(M13="Nee",(VLOOKUP(A13,Nucliden[#All],25,FALSE)),(IF(M13="Ja",(VLOOKUP(A13,Nucliden[#All],26,FALSE)),(IF(M13="Deels","Bepaal h(3)","")))))</f>
        <v/>
      </c>
      <c r="T13" s="115" t="e">
        <f>EXP(-0.693*H13/(VLOOKUP(A13,Nucliden[#All],6,FALSE)))</f>
        <v>#N/A</v>
      </c>
      <c r="U13" s="117" t="e">
        <f>EXP(-0.693*L13/(VLOOKUP(A13,Nucliden[#All],6,FALSE)))</f>
        <v>#N/A</v>
      </c>
      <c r="V13" s="118" t="e">
        <f t="shared" si="24"/>
        <v>#N/A</v>
      </c>
      <c r="W13" s="119" t="e">
        <f t="shared" si="25"/>
        <v>#N/A</v>
      </c>
      <c r="X13" s="118" t="e">
        <f t="shared" si="26"/>
        <v>#N/A</v>
      </c>
      <c r="Y13" s="119" t="e">
        <f t="shared" si="27"/>
        <v>#N/A</v>
      </c>
      <c r="Z13" s="118" t="e">
        <f t="shared" si="28"/>
        <v>#N/A</v>
      </c>
      <c r="AA13" s="119" t="e">
        <f t="shared" si="29"/>
        <v>#N/A</v>
      </c>
      <c r="AB13" s="120"/>
      <c r="AC13" s="119" t="e">
        <f t="shared" si="21"/>
        <v>#N/A</v>
      </c>
      <c r="AD13" s="119" t="e">
        <f t="shared" si="22"/>
        <v>#N/A</v>
      </c>
      <c r="AE13" s="119" t="e">
        <f t="shared" si="23"/>
        <v>#N/A</v>
      </c>
    </row>
    <row r="14" spans="1:31" x14ac:dyDescent="0.2">
      <c r="A14" s="113"/>
      <c r="B14" s="109"/>
      <c r="C14" s="111"/>
      <c r="D14" s="273"/>
      <c r="E14" s="290"/>
      <c r="F14" s="236"/>
      <c r="G14" s="237"/>
      <c r="H14" s="238"/>
      <c r="I14" s="107"/>
      <c r="J14" s="237"/>
      <c r="K14" s="239"/>
      <c r="L14" s="238"/>
      <c r="M14" s="107"/>
      <c r="N14" s="99" t="e">
        <f>VLOOKUP(B14,Onderzoek[#All],2,FALSE)</f>
        <v>#N/A</v>
      </c>
      <c r="O14" s="100" t="e">
        <f>VLOOKUP(B14,Onderzoek[#All],3,FALSE)</f>
        <v>#N/A</v>
      </c>
      <c r="P14" s="106" t="e">
        <f>EXP(-0.693*E14/(VLOOKUP(A14,Nucliden[#All],3,FALSE)))*D14</f>
        <v>#N/A</v>
      </c>
      <c r="Q14" s="115" t="str">
        <f>IF(I14="Nee",(VLOOKUP(A14,Nucliden[#All],35,FALSE)),(IF(I14="Ja",(VLOOKUP(A14,Nucliden[#All],34,FALSE)),(IF(I14="Deels","Bepaal h(0,07)","")))))</f>
        <v/>
      </c>
      <c r="R14" s="115" t="str">
        <f>IF(M14="Nee",(VLOOKUP(A14,Nucliden[#All],19,FALSE)),(IF(M14="Ja",(VLOOKUP(A14,Nucliden[#All],18,FALSE)),(IF(M14="Deels","Bepaal h(10)","")))))</f>
        <v/>
      </c>
      <c r="S14" s="115" t="str">
        <f>IF(M14="Nee",(VLOOKUP(A14,Nucliden[#All],25,FALSE)),(IF(M14="Ja",(VLOOKUP(A14,Nucliden[#All],26,FALSE)),(IF(M14="Deels","Bepaal h(3)","")))))</f>
        <v/>
      </c>
      <c r="T14" s="115" t="e">
        <f>EXP(-0.693*H14/(VLOOKUP(A14,Nucliden[#All],6,FALSE)))</f>
        <v>#N/A</v>
      </c>
      <c r="U14" s="117" t="e">
        <f>EXP(-0.693*L14/(VLOOKUP(A14,Nucliden[#All],6,FALSE)))</f>
        <v>#N/A</v>
      </c>
      <c r="V14" s="118" t="e">
        <f t="shared" si="24"/>
        <v>#N/A</v>
      </c>
      <c r="W14" s="119" t="e">
        <f t="shared" si="25"/>
        <v>#N/A</v>
      </c>
      <c r="X14" s="118" t="e">
        <f t="shared" si="26"/>
        <v>#N/A</v>
      </c>
      <c r="Y14" s="119" t="e">
        <f t="shared" si="27"/>
        <v>#N/A</v>
      </c>
      <c r="Z14" s="118" t="e">
        <f t="shared" si="28"/>
        <v>#N/A</v>
      </c>
      <c r="AA14" s="119" t="e">
        <f t="shared" si="29"/>
        <v>#N/A</v>
      </c>
      <c r="AB14" s="120"/>
      <c r="AC14" s="119" t="e">
        <f t="shared" si="21"/>
        <v>#N/A</v>
      </c>
      <c r="AD14" s="119" t="e">
        <f t="shared" si="22"/>
        <v>#N/A</v>
      </c>
      <c r="AE14" s="119" t="e">
        <f t="shared" si="23"/>
        <v>#N/A</v>
      </c>
    </row>
    <row r="15" spans="1:31" x14ac:dyDescent="0.2">
      <c r="A15" s="113"/>
      <c r="B15" s="109"/>
      <c r="C15" s="111"/>
      <c r="D15" s="273"/>
      <c r="E15" s="290"/>
      <c r="F15" s="236"/>
      <c r="G15" s="237"/>
      <c r="H15" s="238"/>
      <c r="I15" s="107"/>
      <c r="J15" s="237"/>
      <c r="K15" s="239"/>
      <c r="L15" s="238"/>
      <c r="M15" s="107"/>
      <c r="N15" s="99" t="e">
        <f>VLOOKUP(B15,Onderzoek[#All],2,FALSE)</f>
        <v>#N/A</v>
      </c>
      <c r="O15" s="100" t="e">
        <f>VLOOKUP(B15,Onderzoek[#All],3,FALSE)</f>
        <v>#N/A</v>
      </c>
      <c r="P15" s="106" t="e">
        <f>EXP(-0.693*E15/(VLOOKUP(A15,Nucliden[#All],3,FALSE)))*D15</f>
        <v>#N/A</v>
      </c>
      <c r="Q15" s="115" t="str">
        <f>IF(I15="Nee",(VLOOKUP(A15,Nucliden[#All],35,FALSE)),(IF(I15="Ja",(VLOOKUP(A15,Nucliden[#All],34,FALSE)),(IF(I15="Deels","Bepaal h(0,07)","")))))</f>
        <v/>
      </c>
      <c r="R15" s="115" t="str">
        <f>IF(M15="Nee",(VLOOKUP(A15,Nucliden[#All],19,FALSE)),(IF(M15="Ja",(VLOOKUP(A15,Nucliden[#All],18,FALSE)),(IF(M15="Deels","Bepaal h(10)","")))))</f>
        <v/>
      </c>
      <c r="S15" s="115" t="str">
        <f>IF(M15="Nee",(VLOOKUP(A15,Nucliden[#All],25,FALSE)),(IF(M15="Ja",(VLOOKUP(A15,Nucliden[#All],26,FALSE)),(IF(M15="Deels","Bepaal h(3)","")))))</f>
        <v/>
      </c>
      <c r="T15" s="115" t="e">
        <f>EXP(-0.693*H15/(VLOOKUP(A15,Nucliden[#All],6,FALSE)))</f>
        <v>#N/A</v>
      </c>
      <c r="U15" s="117" t="e">
        <f>EXP(-0.693*L15/(VLOOKUP(A15,Nucliden[#All],6,FALSE)))</f>
        <v>#N/A</v>
      </c>
      <c r="V15" s="118" t="e">
        <f t="shared" si="24"/>
        <v>#N/A</v>
      </c>
      <c r="W15" s="119" t="e">
        <f t="shared" si="25"/>
        <v>#N/A</v>
      </c>
      <c r="X15" s="118" t="e">
        <f t="shared" si="26"/>
        <v>#N/A</v>
      </c>
      <c r="Y15" s="119" t="e">
        <f t="shared" si="27"/>
        <v>#N/A</v>
      </c>
      <c r="Z15" s="118" t="e">
        <f t="shared" si="28"/>
        <v>#N/A</v>
      </c>
      <c r="AA15" s="119" t="e">
        <f t="shared" si="29"/>
        <v>#N/A</v>
      </c>
      <c r="AB15" s="120"/>
      <c r="AC15" s="119" t="e">
        <f t="shared" si="21"/>
        <v>#N/A</v>
      </c>
      <c r="AD15" s="119" t="e">
        <f t="shared" si="22"/>
        <v>#N/A</v>
      </c>
      <c r="AE15" s="119" t="e">
        <f t="shared" si="23"/>
        <v>#N/A</v>
      </c>
    </row>
    <row r="16" spans="1:31" x14ac:dyDescent="0.2">
      <c r="A16" s="113"/>
      <c r="B16" s="109"/>
      <c r="C16" s="111"/>
      <c r="D16" s="273"/>
      <c r="E16" s="290"/>
      <c r="F16" s="236"/>
      <c r="G16" s="237"/>
      <c r="H16" s="238"/>
      <c r="I16" s="107"/>
      <c r="J16" s="237"/>
      <c r="K16" s="239"/>
      <c r="L16" s="238"/>
      <c r="M16" s="107"/>
      <c r="N16" s="99" t="e">
        <f>VLOOKUP(B16,Onderzoek[#All],2,FALSE)</f>
        <v>#N/A</v>
      </c>
      <c r="O16" s="100" t="e">
        <f>VLOOKUP(B16,Onderzoek[#All],3,FALSE)</f>
        <v>#N/A</v>
      </c>
      <c r="P16" s="106" t="e">
        <f>EXP(-0.693*E16/(VLOOKUP(A16,Nucliden[#All],3,FALSE)))*D16</f>
        <v>#N/A</v>
      </c>
      <c r="Q16" s="115" t="str">
        <f>IF(I16="Nee",(VLOOKUP(A16,Nucliden[#All],35,FALSE)),(IF(I16="Ja",(VLOOKUP(A16,Nucliden[#All],34,FALSE)),(IF(I16="Deels","Bepaal h(0,07)","")))))</f>
        <v/>
      </c>
      <c r="R16" s="115" t="str">
        <f>IF(M16="Nee",(VLOOKUP(A16,Nucliden[#All],19,FALSE)),(IF(M16="Ja",(VLOOKUP(A16,Nucliden[#All],18,FALSE)),(IF(M16="Deels","Bepaal h(10)","")))))</f>
        <v/>
      </c>
      <c r="S16" s="115" t="str">
        <f>IF(M16="Nee",(VLOOKUP(A16,Nucliden[#All],25,FALSE)),(IF(M16="Ja",(VLOOKUP(A16,Nucliden[#All],26,FALSE)),(IF(M16="Deels","Bepaal h(3)","")))))</f>
        <v/>
      </c>
      <c r="T16" s="115" t="e">
        <f>EXP(-0.693*H16/(VLOOKUP(A16,Nucliden[#All],6,FALSE)))</f>
        <v>#N/A</v>
      </c>
      <c r="U16" s="117" t="e">
        <f>EXP(-0.693*L16/(VLOOKUP(A16,Nucliden[#All],6,FALSE)))</f>
        <v>#N/A</v>
      </c>
      <c r="V16" s="118" t="e">
        <f t="shared" si="24"/>
        <v>#N/A</v>
      </c>
      <c r="W16" s="119" t="e">
        <f t="shared" si="25"/>
        <v>#N/A</v>
      </c>
      <c r="X16" s="118" t="e">
        <f t="shared" si="26"/>
        <v>#N/A</v>
      </c>
      <c r="Y16" s="119" t="e">
        <f t="shared" si="27"/>
        <v>#N/A</v>
      </c>
      <c r="Z16" s="118" t="e">
        <f t="shared" si="28"/>
        <v>#N/A</v>
      </c>
      <c r="AA16" s="119" t="e">
        <f t="shared" si="29"/>
        <v>#N/A</v>
      </c>
      <c r="AB16" s="120"/>
      <c r="AC16" s="119" t="e">
        <f t="shared" si="21"/>
        <v>#N/A</v>
      </c>
      <c r="AD16" s="119" t="e">
        <f t="shared" si="22"/>
        <v>#N/A</v>
      </c>
      <c r="AE16" s="119" t="e">
        <f t="shared" si="23"/>
        <v>#N/A</v>
      </c>
    </row>
    <row r="17" spans="1:31" x14ac:dyDescent="0.2">
      <c r="A17" s="113"/>
      <c r="B17" s="111"/>
      <c r="C17" s="111"/>
      <c r="D17" s="273"/>
      <c r="E17" s="290"/>
      <c r="F17" s="236"/>
      <c r="G17" s="237"/>
      <c r="H17" s="238"/>
      <c r="I17" s="107"/>
      <c r="J17" s="237"/>
      <c r="K17" s="239"/>
      <c r="L17" s="238"/>
      <c r="M17" s="107"/>
      <c r="N17" s="99" t="e">
        <f>VLOOKUP(B17,Onderzoek[#All],2,FALSE)</f>
        <v>#N/A</v>
      </c>
      <c r="O17" s="100" t="e">
        <f>VLOOKUP(B17,Onderzoek[#All],3,FALSE)</f>
        <v>#N/A</v>
      </c>
      <c r="P17" s="106" t="e">
        <f>EXP(-0.693*E17/(VLOOKUP(A17,Nucliden[#All],3,FALSE)))*D17</f>
        <v>#N/A</v>
      </c>
      <c r="Q17" s="115" t="str">
        <f>IF(I17="Nee",(VLOOKUP(A17,Nucliden[#All],35,FALSE)),(IF(I17="Ja",(VLOOKUP(A17,Nucliden[#All],34,FALSE)),(IF(I17="Deels","Bepaal h(0,07)","")))))</f>
        <v/>
      </c>
      <c r="R17" s="115" t="str">
        <f>IF(M17="Nee",(VLOOKUP(A17,Nucliden[#All],19,FALSE)),(IF(M17="Ja",(VLOOKUP(A17,Nucliden[#All],18,FALSE)),(IF(M17="Deels","Bepaal h(10)","")))))</f>
        <v/>
      </c>
      <c r="S17" s="115" t="str">
        <f>IF(M17="Nee",(VLOOKUP(A17,Nucliden[#All],25,FALSE)),(IF(M17="Ja",(VLOOKUP(A17,Nucliden[#All],26,FALSE)),(IF(M17="Deels","Bepaal h(3)","")))))</f>
        <v/>
      </c>
      <c r="T17" s="115" t="e">
        <f>EXP(-0.693*H17/(VLOOKUP(A17,Nucliden[#All],6,FALSE)))</f>
        <v>#N/A</v>
      </c>
      <c r="U17" s="117" t="e">
        <f>EXP(-0.693*L17/(VLOOKUP(A17,Nucliden[#All],6,FALSE)))</f>
        <v>#N/A</v>
      </c>
      <c r="V17" s="118" t="e">
        <f t="shared" si="24"/>
        <v>#N/A</v>
      </c>
      <c r="W17" s="119" t="e">
        <f t="shared" si="25"/>
        <v>#N/A</v>
      </c>
      <c r="X17" s="118" t="e">
        <f t="shared" si="26"/>
        <v>#N/A</v>
      </c>
      <c r="Y17" s="119" t="e">
        <f t="shared" si="27"/>
        <v>#N/A</v>
      </c>
      <c r="Z17" s="118" t="e">
        <f t="shared" si="28"/>
        <v>#N/A</v>
      </c>
      <c r="AA17" s="119" t="e">
        <f t="shared" si="29"/>
        <v>#N/A</v>
      </c>
      <c r="AB17" s="120"/>
      <c r="AC17" s="119" t="e">
        <f t="shared" si="21"/>
        <v>#N/A</v>
      </c>
      <c r="AD17" s="119" t="e">
        <f t="shared" si="22"/>
        <v>#N/A</v>
      </c>
      <c r="AE17" s="119" t="e">
        <f t="shared" si="23"/>
        <v>#N/A</v>
      </c>
    </row>
    <row r="18" spans="1:31" x14ac:dyDescent="0.2">
      <c r="A18" s="113"/>
      <c r="B18" s="111"/>
      <c r="C18" s="111"/>
      <c r="D18" s="273"/>
      <c r="E18" s="290"/>
      <c r="F18" s="236"/>
      <c r="G18" s="237"/>
      <c r="H18" s="238"/>
      <c r="I18" s="107"/>
      <c r="J18" s="237"/>
      <c r="K18" s="239"/>
      <c r="L18" s="238"/>
      <c r="M18" s="107"/>
      <c r="N18" s="99" t="e">
        <f>VLOOKUP(B18,Onderzoek[#All],2,FALSE)</f>
        <v>#N/A</v>
      </c>
      <c r="O18" s="100" t="e">
        <f>VLOOKUP(B18,Onderzoek[#All],3,FALSE)</f>
        <v>#N/A</v>
      </c>
      <c r="P18" s="106" t="e">
        <f>EXP(-0.693*E18/(VLOOKUP(A18,Nucliden[#All],3,FALSE)))*D18</f>
        <v>#N/A</v>
      </c>
      <c r="Q18" s="115" t="str">
        <f>IF(I18="Nee",(VLOOKUP(A18,Nucliden[#All],35,FALSE)),(IF(I18="Ja",(VLOOKUP(A18,Nucliden[#All],34,FALSE)),(IF(I18="Deels","Bepaal h(0,07)","")))))</f>
        <v/>
      </c>
      <c r="R18" s="115" t="str">
        <f>IF(M18="Nee",(VLOOKUP(A18,Nucliden[#All],19,FALSE)),(IF(M18="Ja",(VLOOKUP(A18,Nucliden[#All],18,FALSE)),(IF(M18="Deels","Bepaal h(10)","")))))</f>
        <v/>
      </c>
      <c r="S18" s="115" t="str">
        <f>IF(M18="Nee",(VLOOKUP(A18,Nucliden[#All],25,FALSE)),(IF(M18="Ja",(VLOOKUP(A18,Nucliden[#All],26,FALSE)),(IF(M18="Deels","Bepaal h(3)","")))))</f>
        <v/>
      </c>
      <c r="T18" s="115" t="e">
        <f>EXP(-0.693*H18/(VLOOKUP(A18,Nucliden[#All],6,FALSE)))</f>
        <v>#N/A</v>
      </c>
      <c r="U18" s="117" t="e">
        <f>EXP(-0.693*L18/(VLOOKUP(A18,Nucliden[#All],6,FALSE)))</f>
        <v>#N/A</v>
      </c>
      <c r="V18" s="118" t="e">
        <f t="shared" si="24"/>
        <v>#N/A</v>
      </c>
      <c r="W18" s="119" t="e">
        <f t="shared" si="25"/>
        <v>#N/A</v>
      </c>
      <c r="X18" s="118" t="e">
        <f t="shared" si="26"/>
        <v>#N/A</v>
      </c>
      <c r="Y18" s="119" t="e">
        <f t="shared" si="27"/>
        <v>#N/A</v>
      </c>
      <c r="Z18" s="118" t="e">
        <f t="shared" si="28"/>
        <v>#N/A</v>
      </c>
      <c r="AA18" s="119" t="e">
        <f t="shared" si="29"/>
        <v>#N/A</v>
      </c>
      <c r="AB18" s="120"/>
      <c r="AC18" s="119" t="e">
        <f t="shared" si="21"/>
        <v>#N/A</v>
      </c>
      <c r="AD18" s="119" t="e">
        <f t="shared" si="22"/>
        <v>#N/A</v>
      </c>
      <c r="AE18" s="119" t="e">
        <f t="shared" si="23"/>
        <v>#N/A</v>
      </c>
    </row>
    <row r="19" spans="1:31" x14ac:dyDescent="0.2">
      <c r="A19" s="113"/>
      <c r="B19" s="109"/>
      <c r="C19" s="111"/>
      <c r="D19" s="273"/>
      <c r="E19" s="290"/>
      <c r="F19" s="236"/>
      <c r="G19" s="237"/>
      <c r="H19" s="238"/>
      <c r="I19" s="107"/>
      <c r="J19" s="237"/>
      <c r="K19" s="239"/>
      <c r="L19" s="238"/>
      <c r="M19" s="107"/>
      <c r="N19" s="99" t="e">
        <f>VLOOKUP(B19,Onderzoek[#All],2,FALSE)</f>
        <v>#N/A</v>
      </c>
      <c r="O19" s="100" t="e">
        <f>VLOOKUP(B19,Onderzoek[#All],3,FALSE)</f>
        <v>#N/A</v>
      </c>
      <c r="P19" s="106" t="e">
        <f>EXP(-0.693*E19/(VLOOKUP(A19,Nucliden[#All],3,FALSE)))*D19</f>
        <v>#N/A</v>
      </c>
      <c r="Q19" s="115" t="str">
        <f>IF(I19="Nee",(VLOOKUP(A19,Nucliden[#All],35,FALSE)),(IF(I19="Ja",(VLOOKUP(A19,Nucliden[#All],34,FALSE)),(IF(I19="Deels","Bepaal h(0,07)","")))))</f>
        <v/>
      </c>
      <c r="R19" s="115" t="str">
        <f>IF(M19="Nee",(VLOOKUP(A19,Nucliden[#All],19,FALSE)),(IF(M19="Ja",(VLOOKUP(A19,Nucliden[#All],18,FALSE)),(IF(M19="Deels","Bepaal h(10)","")))))</f>
        <v/>
      </c>
      <c r="S19" s="115" t="str">
        <f>IF(M19="Nee",(VLOOKUP(A19,Nucliden[#All],25,FALSE)),(IF(M19="Ja",(VLOOKUP(A19,Nucliden[#All],26,FALSE)),(IF(M19="Deels","Bepaal h(3)","")))))</f>
        <v/>
      </c>
      <c r="T19" s="115" t="e">
        <f>EXP(-0.693*H19/(VLOOKUP(A19,Nucliden[#All],6,FALSE)))</f>
        <v>#N/A</v>
      </c>
      <c r="U19" s="117" t="e">
        <f>EXP(-0.693*L19/(VLOOKUP(A19,Nucliden[#All],6,FALSE)))</f>
        <v>#N/A</v>
      </c>
      <c r="V19" s="118" t="e">
        <f t="shared" si="24"/>
        <v>#N/A</v>
      </c>
      <c r="W19" s="119" t="e">
        <f t="shared" si="25"/>
        <v>#N/A</v>
      </c>
      <c r="X19" s="118" t="e">
        <f t="shared" si="26"/>
        <v>#N/A</v>
      </c>
      <c r="Y19" s="119" t="e">
        <f t="shared" si="27"/>
        <v>#N/A</v>
      </c>
      <c r="Z19" s="118" t="e">
        <f t="shared" si="28"/>
        <v>#N/A</v>
      </c>
      <c r="AA19" s="119" t="e">
        <f t="shared" si="29"/>
        <v>#N/A</v>
      </c>
      <c r="AB19" s="120"/>
      <c r="AC19" s="119" t="e">
        <f t="shared" si="21"/>
        <v>#N/A</v>
      </c>
      <c r="AD19" s="119" t="e">
        <f t="shared" si="22"/>
        <v>#N/A</v>
      </c>
      <c r="AE19" s="119" t="e">
        <f t="shared" si="23"/>
        <v>#N/A</v>
      </c>
    </row>
    <row r="20" spans="1:31" x14ac:dyDescent="0.2">
      <c r="A20" s="113"/>
      <c r="B20" s="111"/>
      <c r="C20" s="111"/>
      <c r="D20" s="273"/>
      <c r="E20" s="290"/>
      <c r="F20" s="236"/>
      <c r="G20" s="237"/>
      <c r="H20" s="238"/>
      <c r="I20" s="107"/>
      <c r="J20" s="237"/>
      <c r="K20" s="239"/>
      <c r="L20" s="238"/>
      <c r="M20" s="107"/>
      <c r="N20" s="99" t="e">
        <f>VLOOKUP(B20,Onderzoek[#All],2,FALSE)</f>
        <v>#N/A</v>
      </c>
      <c r="O20" s="100" t="e">
        <f>VLOOKUP(B20,Onderzoek[#All],3,FALSE)</f>
        <v>#N/A</v>
      </c>
      <c r="P20" s="106" t="e">
        <f>EXP(-0.693*E20/(VLOOKUP(A20,Nucliden[#All],3,FALSE)))*D20</f>
        <v>#N/A</v>
      </c>
      <c r="Q20" s="115" t="str">
        <f>IF(I20="Nee",(VLOOKUP(A20,Nucliden[#All],35,FALSE)),(IF(I20="Ja",(VLOOKUP(A20,Nucliden[#All],34,FALSE)),(IF(I20="Deels","Bepaal h(0,07)","")))))</f>
        <v/>
      </c>
      <c r="R20" s="115" t="str">
        <f>IF(M20="Nee",(VLOOKUP(A20,Nucliden[#All],19,FALSE)),(IF(M20="Ja",(VLOOKUP(A20,Nucliden[#All],18,FALSE)),(IF(M20="Deels","Bepaal h(10)","")))))</f>
        <v/>
      </c>
      <c r="S20" s="115" t="str">
        <f>IF(M20="Nee",(VLOOKUP(A20,Nucliden[#All],25,FALSE)),(IF(M20="Ja",(VLOOKUP(A20,Nucliden[#All],26,FALSE)),(IF(M20="Deels","Bepaal h(3)","")))))</f>
        <v/>
      </c>
      <c r="T20" s="115" t="e">
        <f>EXP(-0.693*H20/(VLOOKUP(A20,Nucliden[#All],6,FALSE)))</f>
        <v>#N/A</v>
      </c>
      <c r="U20" s="117" t="e">
        <f>EXP(-0.693*L20/(VLOOKUP(A20,Nucliden[#All],6,FALSE)))</f>
        <v>#N/A</v>
      </c>
      <c r="V20" s="118" t="e">
        <f t="shared" si="24"/>
        <v>#N/A</v>
      </c>
      <c r="W20" s="119" t="e">
        <f t="shared" si="25"/>
        <v>#N/A</v>
      </c>
      <c r="X20" s="118" t="e">
        <f t="shared" si="26"/>
        <v>#N/A</v>
      </c>
      <c r="Y20" s="119" t="e">
        <f t="shared" si="27"/>
        <v>#N/A</v>
      </c>
      <c r="Z20" s="118" t="e">
        <f t="shared" si="28"/>
        <v>#N/A</v>
      </c>
      <c r="AA20" s="119" t="e">
        <f t="shared" si="29"/>
        <v>#N/A</v>
      </c>
      <c r="AB20" s="120"/>
      <c r="AC20" s="119" t="e">
        <f t="shared" si="21"/>
        <v>#N/A</v>
      </c>
      <c r="AD20" s="119" t="e">
        <f t="shared" si="22"/>
        <v>#N/A</v>
      </c>
      <c r="AE20" s="119" t="e">
        <f t="shared" si="23"/>
        <v>#N/A</v>
      </c>
    </row>
    <row r="21" spans="1:31" x14ac:dyDescent="0.2">
      <c r="A21" s="113"/>
      <c r="B21" s="111"/>
      <c r="C21" s="111"/>
      <c r="D21" s="273"/>
      <c r="E21" s="290"/>
      <c r="F21" s="236"/>
      <c r="G21" s="237"/>
      <c r="H21" s="238"/>
      <c r="I21" s="107"/>
      <c r="J21" s="237"/>
      <c r="K21" s="239"/>
      <c r="L21" s="238"/>
      <c r="M21" s="107"/>
      <c r="N21" s="99" t="e">
        <f>VLOOKUP(B21,Onderzoek[#All],2,FALSE)</f>
        <v>#N/A</v>
      </c>
      <c r="O21" s="100" t="e">
        <f>VLOOKUP(B21,Onderzoek[#All],3,FALSE)</f>
        <v>#N/A</v>
      </c>
      <c r="P21" s="106" t="e">
        <f>EXP(-0.693*E21/(VLOOKUP(A21,Nucliden[#All],3,FALSE)))*D21</f>
        <v>#N/A</v>
      </c>
      <c r="Q21" s="115" t="str">
        <f>IF(I21="Nee",(VLOOKUP(A21,Nucliden[#All],35,FALSE)),(IF(I21="Ja",(VLOOKUP(A21,Nucliden[#All],34,FALSE)),(IF(I21="Deels","Bepaal h(0,07)","")))))</f>
        <v/>
      </c>
      <c r="R21" s="115" t="str">
        <f>IF(M21="Nee",(VLOOKUP(A21,Nucliden[#All],19,FALSE)),(IF(M21="Ja",(VLOOKUP(A21,Nucliden[#All],18,FALSE)),(IF(M21="Deels","Bepaal h(10)","")))))</f>
        <v/>
      </c>
      <c r="S21" s="115" t="str">
        <f>IF(M21="Nee",(VLOOKUP(A21,Nucliden[#All],25,FALSE)),(IF(M21="Ja",(VLOOKUP(A21,Nucliden[#All],26,FALSE)),(IF(M21="Deels","Bepaal h(3)","")))))</f>
        <v/>
      </c>
      <c r="T21" s="115" t="e">
        <f>EXP(-0.693*H21/(VLOOKUP(A21,Nucliden[#All],6,FALSE)))</f>
        <v>#N/A</v>
      </c>
      <c r="U21" s="117" t="e">
        <f>EXP(-0.693*L21/(VLOOKUP(A21,Nucliden[#All],6,FALSE)))</f>
        <v>#N/A</v>
      </c>
      <c r="V21" s="118" t="e">
        <f t="shared" si="24"/>
        <v>#N/A</v>
      </c>
      <c r="W21" s="119" t="e">
        <f t="shared" si="25"/>
        <v>#N/A</v>
      </c>
      <c r="X21" s="118" t="e">
        <f t="shared" si="26"/>
        <v>#N/A</v>
      </c>
      <c r="Y21" s="119" t="e">
        <f t="shared" si="27"/>
        <v>#N/A</v>
      </c>
      <c r="Z21" s="118" t="e">
        <f t="shared" si="28"/>
        <v>#N/A</v>
      </c>
      <c r="AA21" s="119" t="e">
        <f t="shared" si="29"/>
        <v>#N/A</v>
      </c>
      <c r="AB21" s="120"/>
      <c r="AC21" s="119" t="e">
        <f t="shared" si="21"/>
        <v>#N/A</v>
      </c>
      <c r="AD21" s="119" t="e">
        <f t="shared" si="22"/>
        <v>#N/A</v>
      </c>
      <c r="AE21" s="119" t="e">
        <f t="shared" si="23"/>
        <v>#N/A</v>
      </c>
    </row>
    <row r="22" spans="1:31" x14ac:dyDescent="0.2">
      <c r="A22" s="113"/>
      <c r="B22" s="111"/>
      <c r="C22" s="111"/>
      <c r="D22" s="273"/>
      <c r="E22" s="290"/>
      <c r="F22" s="236"/>
      <c r="G22" s="237"/>
      <c r="H22" s="238"/>
      <c r="I22" s="107"/>
      <c r="J22" s="237"/>
      <c r="K22" s="239"/>
      <c r="L22" s="238"/>
      <c r="M22" s="107"/>
      <c r="N22" s="99" t="e">
        <f>VLOOKUP(B22,Onderzoek[#All],2,FALSE)</f>
        <v>#N/A</v>
      </c>
      <c r="O22" s="100" t="e">
        <f>VLOOKUP(B22,Onderzoek[#All],3,FALSE)</f>
        <v>#N/A</v>
      </c>
      <c r="P22" s="106" t="e">
        <f>EXP(-0.693*E22/(VLOOKUP(A22,Nucliden[#All],3,FALSE)))*D22</f>
        <v>#N/A</v>
      </c>
      <c r="Q22" s="115" t="str">
        <f>IF(I22="Nee",(VLOOKUP(A22,Nucliden[#All],35,FALSE)),(IF(I22="Ja",(VLOOKUP(A22,Nucliden[#All],34,FALSE)),(IF(I22="Deels","Bepaal h(0,07)","")))))</f>
        <v/>
      </c>
      <c r="R22" s="115" t="str">
        <f>IF(M22="Nee",(VLOOKUP(A22,Nucliden[#All],19,FALSE)),(IF(M22="Ja",(VLOOKUP(A22,Nucliden[#All],18,FALSE)),(IF(M22="Deels","Bepaal h(10)","")))))</f>
        <v/>
      </c>
      <c r="S22" s="115" t="str">
        <f>IF(M22="Nee",(VLOOKUP(A22,Nucliden[#All],25,FALSE)),(IF(M22="Ja",(VLOOKUP(A22,Nucliden[#All],26,FALSE)),(IF(M22="Deels","Bepaal h(3)","")))))</f>
        <v/>
      </c>
      <c r="T22" s="115" t="e">
        <f>EXP(-0.693*H22/(VLOOKUP(A22,Nucliden[#All],6,FALSE)))</f>
        <v>#N/A</v>
      </c>
      <c r="U22" s="117" t="e">
        <f>EXP(-0.693*L22/(VLOOKUP(A22,Nucliden[#All],6,FALSE)))</f>
        <v>#N/A</v>
      </c>
      <c r="V22" s="118" t="e">
        <f t="shared" si="24"/>
        <v>#N/A</v>
      </c>
      <c r="W22" s="119" t="e">
        <f t="shared" si="25"/>
        <v>#N/A</v>
      </c>
      <c r="X22" s="118" t="e">
        <f t="shared" si="26"/>
        <v>#N/A</v>
      </c>
      <c r="Y22" s="119" t="e">
        <f t="shared" si="27"/>
        <v>#N/A</v>
      </c>
      <c r="Z22" s="118" t="e">
        <f t="shared" si="28"/>
        <v>#N/A</v>
      </c>
      <c r="AA22" s="119" t="e">
        <f t="shared" si="29"/>
        <v>#N/A</v>
      </c>
      <c r="AB22" s="120"/>
      <c r="AC22" s="119" t="e">
        <f t="shared" si="21"/>
        <v>#N/A</v>
      </c>
      <c r="AD22" s="119" t="e">
        <f t="shared" si="22"/>
        <v>#N/A</v>
      </c>
      <c r="AE22" s="119" t="e">
        <f t="shared" si="23"/>
        <v>#N/A</v>
      </c>
    </row>
    <row r="23" spans="1:31" x14ac:dyDescent="0.2">
      <c r="A23" s="113"/>
      <c r="B23" s="111"/>
      <c r="C23" s="111"/>
      <c r="D23" s="273"/>
      <c r="E23" s="290"/>
      <c r="F23" s="236"/>
      <c r="G23" s="237"/>
      <c r="H23" s="238"/>
      <c r="I23" s="107"/>
      <c r="J23" s="237"/>
      <c r="K23" s="239"/>
      <c r="L23" s="238"/>
      <c r="M23" s="107"/>
      <c r="N23" s="99" t="e">
        <f>VLOOKUP(B23,Onderzoek[#All],2,FALSE)</f>
        <v>#N/A</v>
      </c>
      <c r="O23" s="100" t="e">
        <f>VLOOKUP(B23,Onderzoek[#All],3,FALSE)</f>
        <v>#N/A</v>
      </c>
      <c r="P23" s="106" t="e">
        <f>EXP(-0.693*E23/(VLOOKUP(A23,Nucliden[#All],3,FALSE)))*D23</f>
        <v>#N/A</v>
      </c>
      <c r="Q23" s="115" t="str">
        <f>IF(I23="Nee",(VLOOKUP(A23,Nucliden[#All],35,FALSE)),(IF(I23="Ja",(VLOOKUP(A23,Nucliden[#All],34,FALSE)),(IF(I23="Deels","Bepaal h(0,07)","")))))</f>
        <v/>
      </c>
      <c r="R23" s="115" t="str">
        <f>IF(M23="Nee",(VLOOKUP(A23,Nucliden[#All],19,FALSE)),(IF(M23="Ja",(VLOOKUP(A23,Nucliden[#All],18,FALSE)),(IF(M23="Deels","Bepaal h(10)","")))))</f>
        <v/>
      </c>
      <c r="S23" s="115" t="str">
        <f>IF(M23="Nee",(VLOOKUP(A23,Nucliden[#All],25,FALSE)),(IF(M23="Ja",(VLOOKUP(A23,Nucliden[#All],26,FALSE)),(IF(M23="Deels","Bepaal h(3)","")))))</f>
        <v/>
      </c>
      <c r="T23" s="115" t="e">
        <f>EXP(-0.693*H23/(VLOOKUP(A23,Nucliden[#All],6,FALSE)))</f>
        <v>#N/A</v>
      </c>
      <c r="U23" s="117" t="e">
        <f>EXP(-0.693*L23/(VLOOKUP(A23,Nucliden[#All],6,FALSE)))</f>
        <v>#N/A</v>
      </c>
      <c r="V23" s="118" t="e">
        <f t="shared" si="24"/>
        <v>#N/A</v>
      </c>
      <c r="W23" s="119" t="e">
        <f t="shared" si="25"/>
        <v>#N/A</v>
      </c>
      <c r="X23" s="118" t="e">
        <f t="shared" si="26"/>
        <v>#N/A</v>
      </c>
      <c r="Y23" s="119" t="e">
        <f t="shared" si="27"/>
        <v>#N/A</v>
      </c>
      <c r="Z23" s="118" t="e">
        <f t="shared" si="28"/>
        <v>#N/A</v>
      </c>
      <c r="AA23" s="119" t="e">
        <f t="shared" si="29"/>
        <v>#N/A</v>
      </c>
      <c r="AB23" s="120"/>
      <c r="AC23" s="119" t="e">
        <f t="shared" si="21"/>
        <v>#N/A</v>
      </c>
      <c r="AD23" s="119" t="e">
        <f t="shared" si="22"/>
        <v>#N/A</v>
      </c>
      <c r="AE23" s="119" t="e">
        <f t="shared" si="23"/>
        <v>#N/A</v>
      </c>
    </row>
    <row r="24" spans="1:31" x14ac:dyDescent="0.2">
      <c r="A24" s="113"/>
      <c r="B24" s="111"/>
      <c r="C24" s="111"/>
      <c r="D24" s="273"/>
      <c r="E24" s="290"/>
      <c r="F24" s="236"/>
      <c r="G24" s="237"/>
      <c r="H24" s="238"/>
      <c r="I24" s="107"/>
      <c r="J24" s="237"/>
      <c r="K24" s="239"/>
      <c r="L24" s="238"/>
      <c r="M24" s="107"/>
      <c r="N24" s="99" t="e">
        <f>VLOOKUP(B24,Onderzoek[#All],2,FALSE)</f>
        <v>#N/A</v>
      </c>
      <c r="O24" s="100" t="e">
        <f>VLOOKUP(B24,Onderzoek[#All],3,FALSE)</f>
        <v>#N/A</v>
      </c>
      <c r="P24" s="106" t="e">
        <f>EXP(-0.693*E24/(VLOOKUP(A24,Nucliden[#All],3,FALSE)))*D24</f>
        <v>#N/A</v>
      </c>
      <c r="Q24" s="115" t="str">
        <f>IF(I24="Nee",(VLOOKUP(A24,Nucliden[#All],35,FALSE)),(IF(I24="Ja",(VLOOKUP(A24,Nucliden[#All],34,FALSE)),(IF(I24="Deels","Bepaal h(0,07)","")))))</f>
        <v/>
      </c>
      <c r="R24" s="115" t="str">
        <f>IF(M24="Nee",(VLOOKUP(A24,Nucliden[#All],19,FALSE)),(IF(M24="Ja",(VLOOKUP(A24,Nucliden[#All],18,FALSE)),(IF(M24="Deels","Bepaal h(10)","")))))</f>
        <v/>
      </c>
      <c r="S24" s="115" t="str">
        <f>IF(M24="Nee",(VLOOKUP(A24,Nucliden[#All],25,FALSE)),(IF(M24="Ja",(VLOOKUP(A24,Nucliden[#All],26,FALSE)),(IF(M24="Deels","Bepaal h(3)","")))))</f>
        <v/>
      </c>
      <c r="T24" s="115" t="e">
        <f>EXP(-0.693*H24/(VLOOKUP(A24,Nucliden[#All],6,FALSE)))</f>
        <v>#N/A</v>
      </c>
      <c r="U24" s="117" t="e">
        <f>EXP(-0.693*L24/(VLOOKUP(A24,Nucliden[#All],6,FALSE)))</f>
        <v>#N/A</v>
      </c>
      <c r="V24" s="118" t="e">
        <f t="shared" si="24"/>
        <v>#N/A</v>
      </c>
      <c r="W24" s="119" t="e">
        <f t="shared" si="25"/>
        <v>#N/A</v>
      </c>
      <c r="X24" s="118" t="e">
        <f t="shared" si="26"/>
        <v>#N/A</v>
      </c>
      <c r="Y24" s="119" t="e">
        <f t="shared" si="27"/>
        <v>#N/A</v>
      </c>
      <c r="Z24" s="118" t="e">
        <f t="shared" si="28"/>
        <v>#N/A</v>
      </c>
      <c r="AA24" s="119" t="e">
        <f t="shared" si="29"/>
        <v>#N/A</v>
      </c>
      <c r="AB24" s="120"/>
      <c r="AC24" s="119" t="e">
        <f t="shared" si="21"/>
        <v>#N/A</v>
      </c>
      <c r="AD24" s="119" t="e">
        <f t="shared" si="22"/>
        <v>#N/A</v>
      </c>
      <c r="AE24" s="119" t="e">
        <f t="shared" si="23"/>
        <v>#N/A</v>
      </c>
    </row>
    <row r="25" spans="1:31" x14ac:dyDescent="0.2">
      <c r="A25" s="113"/>
      <c r="B25" s="111"/>
      <c r="C25" s="111"/>
      <c r="D25" s="273"/>
      <c r="E25" s="290"/>
      <c r="F25" s="236"/>
      <c r="G25" s="237"/>
      <c r="H25" s="238"/>
      <c r="I25" s="107"/>
      <c r="J25" s="237"/>
      <c r="K25" s="239"/>
      <c r="L25" s="238"/>
      <c r="M25" s="107"/>
      <c r="N25" s="99" t="e">
        <f>VLOOKUP(B25,Onderzoek[#All],2,FALSE)</f>
        <v>#N/A</v>
      </c>
      <c r="O25" s="100" t="e">
        <f>VLOOKUP(B25,Onderzoek[#All],3,FALSE)</f>
        <v>#N/A</v>
      </c>
      <c r="P25" s="106" t="e">
        <f>EXP(-0.693*E25/(VLOOKUP(A25,Nucliden[#All],3,FALSE)))*D25</f>
        <v>#N/A</v>
      </c>
      <c r="Q25" s="115" t="str">
        <f>IF(I25="Nee",(VLOOKUP(A25,Nucliden[#All],35,FALSE)),(IF(I25="Ja",(VLOOKUP(A25,Nucliden[#All],34,FALSE)),(IF(I25="Deels","Bepaal h(0,07)","")))))</f>
        <v/>
      </c>
      <c r="R25" s="115" t="str">
        <f>IF(M25="Nee",(VLOOKUP(A25,Nucliden[#All],19,FALSE)),(IF(M25="Ja",(VLOOKUP(A25,Nucliden[#All],18,FALSE)),(IF(M25="Deels","Bepaal h(10)","")))))</f>
        <v/>
      </c>
      <c r="S25" s="115" t="str">
        <f>IF(M25="Nee",(VLOOKUP(A25,Nucliden[#All],25,FALSE)),(IF(M25="Ja",(VLOOKUP(A25,Nucliden[#All],26,FALSE)),(IF(M25="Deels","Bepaal h(3)","")))))</f>
        <v/>
      </c>
      <c r="T25" s="115" t="e">
        <f>EXP(-0.693*H25/(VLOOKUP(A25,Nucliden[#All],6,FALSE)))</f>
        <v>#N/A</v>
      </c>
      <c r="U25" s="117" t="e">
        <f>EXP(-0.693*L25/(VLOOKUP(A25,Nucliden[#All],6,FALSE)))</f>
        <v>#N/A</v>
      </c>
      <c r="V25" s="118" t="e">
        <f t="shared" si="24"/>
        <v>#N/A</v>
      </c>
      <c r="W25" s="119" t="e">
        <f t="shared" si="25"/>
        <v>#N/A</v>
      </c>
      <c r="X25" s="118" t="e">
        <f t="shared" si="26"/>
        <v>#N/A</v>
      </c>
      <c r="Y25" s="119" t="e">
        <f t="shared" si="27"/>
        <v>#N/A</v>
      </c>
      <c r="Z25" s="118" t="e">
        <f t="shared" si="28"/>
        <v>#N/A</v>
      </c>
      <c r="AA25" s="119" t="e">
        <f t="shared" si="29"/>
        <v>#N/A</v>
      </c>
      <c r="AB25" s="120"/>
      <c r="AC25" s="119" t="e">
        <f t="shared" si="21"/>
        <v>#N/A</v>
      </c>
      <c r="AD25" s="119" t="e">
        <f t="shared" si="22"/>
        <v>#N/A</v>
      </c>
      <c r="AE25" s="119" t="e">
        <f t="shared" si="23"/>
        <v>#N/A</v>
      </c>
    </row>
    <row r="26" spans="1:31" x14ac:dyDescent="0.2">
      <c r="A26" s="4"/>
      <c r="B26" s="4"/>
      <c r="D26" s="4"/>
      <c r="I26" s="7" t="s">
        <v>445</v>
      </c>
      <c r="M26" s="7" t="s">
        <v>445</v>
      </c>
      <c r="AB26" s="242" t="s">
        <v>449</v>
      </c>
      <c r="AC26" s="241" t="e">
        <f>SUM(AC4:AC25)</f>
        <v>#N/A</v>
      </c>
      <c r="AD26" s="241" t="e">
        <f>SUM(AD4:AD25)</f>
        <v>#N/A</v>
      </c>
      <c r="AE26" s="241" t="e">
        <f>SUM(AE4:AE25)</f>
        <v>#N/A</v>
      </c>
    </row>
    <row r="27" spans="1:31" x14ac:dyDescent="0.2">
      <c r="B27" s="5"/>
      <c r="D27" s="4"/>
      <c r="E27" s="10"/>
      <c r="I27" s="233" t="s">
        <v>66</v>
      </c>
      <c r="M27" s="233" t="s">
        <v>66</v>
      </c>
      <c r="O27" s="143"/>
    </row>
    <row r="28" spans="1:31" x14ac:dyDescent="0.2">
      <c r="I28" s="233" t="s">
        <v>446</v>
      </c>
      <c r="M28" s="233" t="s">
        <v>446</v>
      </c>
    </row>
    <row r="29" spans="1:31" x14ac:dyDescent="0.2">
      <c r="I29" s="233" t="s">
        <v>447</v>
      </c>
      <c r="M29" s="233" t="s">
        <v>447</v>
      </c>
    </row>
    <row r="30" spans="1:31" x14ac:dyDescent="0.2">
      <c r="A30" s="1"/>
      <c r="B30" s="1"/>
      <c r="D30" s="1"/>
      <c r="N30" s="1"/>
    </row>
    <row r="31" spans="1:31" x14ac:dyDescent="0.2">
      <c r="A31" s="1"/>
      <c r="B31" s="1"/>
      <c r="D31" s="2"/>
      <c r="N31" s="1"/>
    </row>
    <row r="32" spans="1:31" x14ac:dyDescent="0.2">
      <c r="A32" s="2"/>
      <c r="B32" s="2"/>
    </row>
  </sheetData>
  <dataValidations count="1">
    <dataValidation type="list" allowBlank="1" showInputMessage="1" showErrorMessage="1" sqref="M4:M25 I4:I25">
      <formula1>$M$27:$M$29</formula1>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E32"/>
  <sheetViews>
    <sheetView zoomScaleNormal="100" workbookViewId="0">
      <pane xSplit="3" ySplit="3" topLeftCell="D4" activePane="bottomRight" state="frozen"/>
      <selection pane="topRight" activeCell="D1" sqref="D1"/>
      <selection pane="bottomLeft" activeCell="A4" sqref="A4"/>
      <selection pane="bottomRight" activeCell="A4" sqref="A4"/>
    </sheetView>
  </sheetViews>
  <sheetFormatPr defaultRowHeight="12.75" x14ac:dyDescent="0.2"/>
  <cols>
    <col min="1" max="1" width="13.140625" customWidth="1"/>
    <col min="2" max="2" width="36" customWidth="1"/>
    <col min="3" max="3" width="16.85546875" customWidth="1"/>
    <col min="4" max="4" width="16.28515625" customWidth="1"/>
    <col min="5" max="5" width="16.28515625" style="9" customWidth="1"/>
    <col min="6" max="6" width="14" customWidth="1"/>
    <col min="7" max="7" width="13" customWidth="1"/>
    <col min="8" max="8" width="12.5703125" customWidth="1"/>
    <col min="9" max="9" width="14.28515625" customWidth="1"/>
    <col min="10" max="10" width="11.85546875" customWidth="1"/>
    <col min="11" max="11" width="10.42578125" bestFit="1" customWidth="1"/>
    <col min="12" max="12" width="13.42578125" bestFit="1" customWidth="1"/>
    <col min="13" max="13" width="14.28515625" customWidth="1"/>
    <col min="14" max="16" width="12.28515625" customWidth="1"/>
    <col min="17" max="18" width="13.140625" bestFit="1" customWidth="1"/>
    <col min="19" max="19" width="13.140625" customWidth="1"/>
    <col min="20" max="20" width="11.85546875" customWidth="1"/>
    <col min="21" max="21" width="12.7109375" customWidth="1"/>
    <col min="22" max="27" width="13.28515625" customWidth="1"/>
    <col min="28" max="28" width="10.7109375" customWidth="1"/>
    <col min="29" max="31" width="13.28515625" customWidth="1"/>
  </cols>
  <sheetData>
    <row r="1" spans="1:31" ht="30" customHeight="1" x14ac:dyDescent="0.2">
      <c r="A1" s="131" t="s">
        <v>377</v>
      </c>
      <c r="B1" s="132" t="s">
        <v>378</v>
      </c>
      <c r="C1" s="126"/>
      <c r="D1" s="126"/>
      <c r="E1" s="133"/>
      <c r="F1" s="126"/>
      <c r="G1" s="126"/>
      <c r="H1" s="126"/>
      <c r="I1" s="126"/>
      <c r="J1" s="126"/>
      <c r="K1" s="126"/>
      <c r="L1" s="126"/>
      <c r="M1" s="126"/>
      <c r="P1" s="2"/>
      <c r="Q1" s="234" t="s">
        <v>61</v>
      </c>
      <c r="R1" s="234" t="s">
        <v>61</v>
      </c>
      <c r="S1" s="234" t="s">
        <v>349</v>
      </c>
      <c r="T1" s="234" t="s">
        <v>350</v>
      </c>
      <c r="U1" s="234" t="s">
        <v>350</v>
      </c>
      <c r="V1" s="130" t="s">
        <v>354</v>
      </c>
      <c r="W1" s="24"/>
      <c r="X1" s="35"/>
      <c r="Y1" s="24"/>
      <c r="Z1" s="35"/>
      <c r="AA1" s="24"/>
      <c r="AB1" s="125" t="s">
        <v>356</v>
      </c>
      <c r="AC1" s="126"/>
      <c r="AD1" s="126"/>
      <c r="AE1" s="126"/>
    </row>
    <row r="2" spans="1:31" ht="41.25" customHeight="1" x14ac:dyDescent="0.2">
      <c r="A2" s="101" t="s">
        <v>5</v>
      </c>
      <c r="B2" s="103" t="s">
        <v>13</v>
      </c>
      <c r="C2" s="103" t="s">
        <v>367</v>
      </c>
      <c r="D2" s="103" t="s">
        <v>480</v>
      </c>
      <c r="E2" s="103" t="s">
        <v>302</v>
      </c>
      <c r="F2" s="103" t="s">
        <v>290</v>
      </c>
      <c r="G2" s="103" t="s">
        <v>292</v>
      </c>
      <c r="H2" s="103" t="s">
        <v>295</v>
      </c>
      <c r="I2" s="103" t="s">
        <v>525</v>
      </c>
      <c r="J2" s="103" t="s">
        <v>294</v>
      </c>
      <c r="K2" s="103" t="s">
        <v>293</v>
      </c>
      <c r="L2" s="103" t="s">
        <v>297</v>
      </c>
      <c r="M2" s="103" t="s">
        <v>526</v>
      </c>
      <c r="N2" s="102" t="s">
        <v>353</v>
      </c>
      <c r="O2" s="102" t="s">
        <v>280</v>
      </c>
      <c r="P2" s="102" t="s">
        <v>82</v>
      </c>
      <c r="Q2" s="102" t="s">
        <v>299</v>
      </c>
      <c r="R2" s="102" t="s">
        <v>300</v>
      </c>
      <c r="S2" s="102" t="s">
        <v>301</v>
      </c>
      <c r="T2" s="102" t="s">
        <v>83</v>
      </c>
      <c r="U2" s="102" t="s">
        <v>86</v>
      </c>
      <c r="V2" s="116" t="s">
        <v>303</v>
      </c>
      <c r="W2" s="116" t="s">
        <v>305</v>
      </c>
      <c r="X2" s="116" t="s">
        <v>307</v>
      </c>
      <c r="Y2" s="116" t="s">
        <v>308</v>
      </c>
      <c r="Z2" s="116" t="s">
        <v>309</v>
      </c>
      <c r="AA2" s="116" t="s">
        <v>310</v>
      </c>
      <c r="AB2" s="103" t="s">
        <v>364</v>
      </c>
      <c r="AC2" s="116" t="s">
        <v>305</v>
      </c>
      <c r="AD2" s="116" t="s">
        <v>308</v>
      </c>
      <c r="AE2" s="116" t="s">
        <v>310</v>
      </c>
    </row>
    <row r="3" spans="1:31" ht="17.25" customHeight="1" x14ac:dyDescent="0.2">
      <c r="A3" s="104"/>
      <c r="B3" s="104"/>
      <c r="C3" s="135"/>
      <c r="D3" s="104"/>
      <c r="E3" s="103" t="s">
        <v>522</v>
      </c>
      <c r="F3" s="103" t="s">
        <v>291</v>
      </c>
      <c r="G3" s="103" t="s">
        <v>69</v>
      </c>
      <c r="H3" s="103" t="s">
        <v>296</v>
      </c>
      <c r="I3" s="103" t="s">
        <v>298</v>
      </c>
      <c r="J3" s="103" t="s">
        <v>291</v>
      </c>
      <c r="K3" s="103" t="s">
        <v>68</v>
      </c>
      <c r="L3" s="103" t="s">
        <v>296</v>
      </c>
      <c r="M3" s="103" t="s">
        <v>298</v>
      </c>
      <c r="N3" s="102" t="str">
        <f>'Handelingen Leveringsniveau'!B3</f>
        <v>[Aantal/jaar]</v>
      </c>
      <c r="O3" s="102" t="str">
        <f>'Handelingen Leveringsniveau'!C3</f>
        <v>[MBq]</v>
      </c>
      <c r="P3" s="102"/>
      <c r="Q3" s="102" t="s">
        <v>255</v>
      </c>
      <c r="R3" s="102" t="s">
        <v>255</v>
      </c>
      <c r="S3" s="102" t="s">
        <v>255</v>
      </c>
      <c r="T3" s="102"/>
      <c r="U3" s="102"/>
      <c r="V3" s="116" t="s">
        <v>304</v>
      </c>
      <c r="W3" s="116" t="s">
        <v>306</v>
      </c>
      <c r="X3" s="116" t="s">
        <v>304</v>
      </c>
      <c r="Y3" s="116" t="s">
        <v>306</v>
      </c>
      <c r="Z3" s="116" t="s">
        <v>304</v>
      </c>
      <c r="AA3" s="116" t="s">
        <v>306</v>
      </c>
      <c r="AB3" s="103" t="s">
        <v>355</v>
      </c>
      <c r="AC3" s="116" t="s">
        <v>306</v>
      </c>
      <c r="AD3" s="116" t="s">
        <v>306</v>
      </c>
      <c r="AE3" s="116" t="s">
        <v>306</v>
      </c>
    </row>
    <row r="4" spans="1:31" x14ac:dyDescent="0.2">
      <c r="A4" s="108" t="s">
        <v>4</v>
      </c>
      <c r="B4" s="109" t="s">
        <v>518</v>
      </c>
      <c r="C4" s="111" t="s">
        <v>566</v>
      </c>
      <c r="D4" s="273">
        <v>1</v>
      </c>
      <c r="E4" s="290">
        <v>0</v>
      </c>
      <c r="F4" s="236">
        <v>2</v>
      </c>
      <c r="G4" s="237">
        <v>25</v>
      </c>
      <c r="H4" s="238">
        <v>20</v>
      </c>
      <c r="I4" s="114" t="s">
        <v>66</v>
      </c>
      <c r="J4" s="237">
        <v>2</v>
      </c>
      <c r="K4" s="239">
        <v>0.5</v>
      </c>
      <c r="L4" s="238">
        <v>9</v>
      </c>
      <c r="M4" s="114" t="s">
        <v>66</v>
      </c>
      <c r="N4" s="99">
        <f>VLOOKUP(B4,Onderzoek[#All],5,FALSE)</f>
        <v>2000</v>
      </c>
      <c r="O4" s="100">
        <f>VLOOKUP(B4,Onderzoek[#All],6,FALSE)</f>
        <v>150</v>
      </c>
      <c r="P4" s="106">
        <f>EXP(-0.693*E4/(VLOOKUP(A4,Nucliden[#All],3,FALSE)))*D4</f>
        <v>1</v>
      </c>
      <c r="Q4" s="115">
        <f>IF(I4="Nee",(VLOOKUP(A4,Nucliden[#All],35,FALSE)),(IF(I4="Ja",(VLOOKUP(A4,Nucliden[#All],34,FALSE)),(IF(I4="Deels","Bepaal h(0,07)","")))))</f>
        <v>16</v>
      </c>
      <c r="R4" s="115">
        <f>IF(M4="Nee",(VLOOKUP(A4,Nucliden[#All],19,FALSE)),(IF(M4="Ja",(VLOOKUP(A4,Nucliden[#All],18,FALSE)),(IF(M4="Deels","Bepaal h(10)","")))))</f>
        <v>0.16</v>
      </c>
      <c r="S4" s="115">
        <f>IF(M4="Nee",(VLOOKUP(A4,Nucliden[#All],25,FALSE)),(IF(M4="Ja",(VLOOKUP(A4,Nucliden[#All],26,FALSE)),(IF(M4="Deels","Bepaal h(3)","")))))</f>
        <v>0.16900000000000001</v>
      </c>
      <c r="T4" s="115">
        <f>EXP(-0.693*H4/(VLOOKUP(A4,Nucliden[#All],6,FALSE)))</f>
        <v>6.0810062625217973E-2</v>
      </c>
      <c r="U4" s="117">
        <f>EXP(-0.693*L4/(VLOOKUP(A4,Nucliden[#All],6,FALSE)))</f>
        <v>0.28365402649977045</v>
      </c>
      <c r="V4" s="118">
        <f t="shared" ref="V4:V25" si="0">O4*P4*(10/G4)^2*Q4*T4</f>
        <v>23.351064048083703</v>
      </c>
      <c r="W4" s="119">
        <f t="shared" ref="W4:W25" si="1">N4/1000*F4/60*V4</f>
        <v>1.5567376032055802</v>
      </c>
      <c r="X4" s="118">
        <f t="shared" ref="X4:X25" si="2">O4*P4*(1/K4)^2*R4*T4*U4</f>
        <v>1.6559058350732427</v>
      </c>
      <c r="Y4" s="119">
        <f t="shared" ref="Y4:Y25" si="3">N4/1000*J4/60*X4</f>
        <v>0.11039372233821618</v>
      </c>
      <c r="Z4" s="118">
        <f t="shared" ref="Z4:Z25" si="4">O4*P4*(1/K4)^2*S4*T4*U4</f>
        <v>1.7490505382961128</v>
      </c>
      <c r="AA4" s="119">
        <f t="shared" ref="AA4:AA25" si="5">N4/1000*J4/60*Z4</f>
        <v>0.11660336921974085</v>
      </c>
      <c r="AB4" s="120">
        <v>1</v>
      </c>
      <c r="AC4" s="119">
        <f>$AB4*$W4</f>
        <v>1.5567376032055802</v>
      </c>
      <c r="AD4" s="119">
        <f>$AB4*$Y4</f>
        <v>0.11039372233821618</v>
      </c>
      <c r="AE4" s="119">
        <f>$AB4*$AA4</f>
        <v>0.11660336921974085</v>
      </c>
    </row>
    <row r="5" spans="1:31" x14ac:dyDescent="0.2">
      <c r="A5" s="108" t="s">
        <v>4</v>
      </c>
      <c r="B5" s="109" t="s">
        <v>518</v>
      </c>
      <c r="C5" s="111" t="s">
        <v>565</v>
      </c>
      <c r="D5" s="273">
        <v>1</v>
      </c>
      <c r="E5" s="290">
        <v>1</v>
      </c>
      <c r="F5" s="236">
        <v>1</v>
      </c>
      <c r="G5" s="237">
        <v>5</v>
      </c>
      <c r="H5" s="238">
        <v>0</v>
      </c>
      <c r="I5" s="114" t="s">
        <v>66</v>
      </c>
      <c r="J5" s="237">
        <v>5</v>
      </c>
      <c r="K5" s="239">
        <v>0.5</v>
      </c>
      <c r="L5" s="238">
        <v>0</v>
      </c>
      <c r="M5" s="114" t="s">
        <v>66</v>
      </c>
      <c r="N5" s="99">
        <f>VLOOKUP(B5,Onderzoek[#All],5,FALSE)</f>
        <v>2000</v>
      </c>
      <c r="O5" s="100">
        <f>VLOOKUP(B5,Onderzoek[#All],6,FALSE)</f>
        <v>150</v>
      </c>
      <c r="P5" s="106">
        <f>EXP(-0.693*E5/(VLOOKUP(A5,Nucliden[#All],3,FALSE)))*D5</f>
        <v>0.6846879994898768</v>
      </c>
      <c r="Q5" s="115">
        <f>IF(I5="Nee",(VLOOKUP(A5,Nucliden[#All],35,FALSE)),(IF(I5="Ja",(VLOOKUP(A5,Nucliden[#All],34,FALSE)),(IF(I5="Deels","Bepaal h(0,07)","")))))</f>
        <v>16</v>
      </c>
      <c r="R5" s="115">
        <f>IF(M5="Nee",(VLOOKUP(A5,Nucliden[#All],19,FALSE)),(IF(M5="Ja",(VLOOKUP(A5,Nucliden[#All],18,FALSE)),(IF(M5="Deels","Bepaal h(10)","")))))</f>
        <v>0.16</v>
      </c>
      <c r="S5" s="115">
        <f>IF(M5="Nee",(VLOOKUP(A5,Nucliden[#All],25,FALSE)),(IF(M5="Ja",(VLOOKUP(A5,Nucliden[#All],26,FALSE)),(IF(M5="Deels","Bepaal h(3)","")))))</f>
        <v>0.16900000000000001</v>
      </c>
      <c r="T5" s="115">
        <f>EXP(-0.693*H5/(VLOOKUP(A5,Nucliden[#All],6,FALSE)))</f>
        <v>1</v>
      </c>
      <c r="U5" s="117">
        <f>EXP(-0.693*L5/(VLOOKUP(A5,Nucliden[#All],6,FALSE)))</f>
        <v>1</v>
      </c>
      <c r="V5" s="118">
        <f t="shared" ref="V5:V12" si="6">O5*P5*(10/G5)^2*Q5*T5</f>
        <v>6573.0047951028173</v>
      </c>
      <c r="W5" s="119">
        <f t="shared" ref="W5:W12" si="7">N5/1000*F5/60*V5</f>
        <v>219.10015983676058</v>
      </c>
      <c r="X5" s="118">
        <f t="shared" ref="X5:X12" si="8">O5*P5*(1/K5)^2*R5*T5*U5</f>
        <v>65.730047951028169</v>
      </c>
      <c r="Y5" s="119">
        <f t="shared" ref="Y5:Y12" si="9">N5/1000*J5/60*X5</f>
        <v>10.955007991838027</v>
      </c>
      <c r="Z5" s="118">
        <f t="shared" ref="Z5:Z12" si="10">O5*P5*(1/K5)^2*S5*T5*U5</f>
        <v>69.427363148273514</v>
      </c>
      <c r="AA5" s="119">
        <f t="shared" ref="AA5:AA12" si="11">N5/1000*J5/60*Z5</f>
        <v>11.571227191378918</v>
      </c>
      <c r="AB5" s="120">
        <v>1</v>
      </c>
      <c r="AC5" s="119">
        <f t="shared" ref="AC5:AC25" si="12">$AB5*$W5</f>
        <v>219.10015983676058</v>
      </c>
      <c r="AD5" s="119">
        <f t="shared" ref="AD5:AD25" si="13">$AB5*$Y5</f>
        <v>10.955007991838027</v>
      </c>
      <c r="AE5" s="119">
        <f t="shared" ref="AE5:AE25" si="14">$AB5*$AA5</f>
        <v>11.571227191378918</v>
      </c>
    </row>
    <row r="6" spans="1:31" x14ac:dyDescent="0.2">
      <c r="A6" s="133" t="s">
        <v>0</v>
      </c>
      <c r="B6" s="111" t="s">
        <v>550</v>
      </c>
      <c r="C6" s="111" t="s">
        <v>566</v>
      </c>
      <c r="D6" s="273">
        <v>1</v>
      </c>
      <c r="E6" s="290">
        <v>0</v>
      </c>
      <c r="F6" s="236">
        <v>2</v>
      </c>
      <c r="G6" s="237">
        <v>5</v>
      </c>
      <c r="H6" s="238">
        <v>2</v>
      </c>
      <c r="I6" s="114" t="s">
        <v>66</v>
      </c>
      <c r="J6" s="237">
        <v>5</v>
      </c>
      <c r="K6" s="239">
        <v>0.5</v>
      </c>
      <c r="L6" s="238">
        <v>0</v>
      </c>
      <c r="M6" s="114" t="s">
        <v>66</v>
      </c>
      <c r="N6" s="99">
        <f>VLOOKUP(B6,Onderzoek[#All],5,FALSE)</f>
        <v>1500</v>
      </c>
      <c r="O6" s="100">
        <f>VLOOKUP(B6,Onderzoek[#All],6,FALSE)</f>
        <v>550</v>
      </c>
      <c r="P6" s="106">
        <f>EXP(-0.693*E6/(VLOOKUP(A6,Nucliden[#All],3,FALSE)))*D6</f>
        <v>1</v>
      </c>
      <c r="Q6" s="115">
        <f>IF(I6="Nee",(VLOOKUP(A6,Nucliden[#All],35,FALSE)),(IF(I6="Ja",(VLOOKUP(A6,Nucliden[#All],34,FALSE)),(IF(I6="Deels","Bepaal h(0,07)","")))))</f>
        <v>2.21</v>
      </c>
      <c r="R6" s="115">
        <f>IF(M6="Nee",(VLOOKUP(A6,Nucliden[#All],19,FALSE)),(IF(M6="Ja",(VLOOKUP(A6,Nucliden[#All],18,FALSE)),(IF(M6="Deels","Bepaal h(10)","")))))</f>
        <v>2.18E-2</v>
      </c>
      <c r="S6" s="115">
        <f>IF(M6="Nee",(VLOOKUP(A6,Nucliden[#All],25,FALSE)),(IF(M6="Ja",(VLOOKUP(A6,Nucliden[#All],26,FALSE)),(IF(M6="Deels","Bepaal h(3)","")))))</f>
        <v>2.5999999999999999E-2</v>
      </c>
      <c r="T6" s="115">
        <f>EXP(-0.693*H6/(VLOOKUP(A6,Nucliden[#All],6,FALSE)))</f>
        <v>2.6769507205430419E-3</v>
      </c>
      <c r="U6" s="117">
        <f>EXP(-0.693*L6/(VLOOKUP(A6,Nucliden[#All],6,FALSE)))</f>
        <v>1</v>
      </c>
      <c r="V6" s="118">
        <f t="shared" si="6"/>
        <v>13.015334403280269</v>
      </c>
      <c r="W6" s="119">
        <f t="shared" si="7"/>
        <v>0.65076672016401349</v>
      </c>
      <c r="X6" s="118">
        <f t="shared" si="8"/>
        <v>0.12838655655724429</v>
      </c>
      <c r="Y6" s="119">
        <f t="shared" si="9"/>
        <v>1.6048319569655536E-2</v>
      </c>
      <c r="Z6" s="118">
        <f t="shared" si="10"/>
        <v>0.15312158121506197</v>
      </c>
      <c r="AA6" s="119">
        <f t="shared" si="11"/>
        <v>1.9140197651882747E-2</v>
      </c>
      <c r="AB6" s="120">
        <v>1</v>
      </c>
      <c r="AC6" s="119">
        <f t="shared" si="12"/>
        <v>0.65076672016401349</v>
      </c>
      <c r="AD6" s="119">
        <f t="shared" si="13"/>
        <v>1.6048319569655536E-2</v>
      </c>
      <c r="AE6" s="119">
        <f t="shared" si="14"/>
        <v>1.9140197651882747E-2</v>
      </c>
    </row>
    <row r="7" spans="1:31" x14ac:dyDescent="0.2">
      <c r="A7" s="108" t="s">
        <v>0</v>
      </c>
      <c r="B7" s="111" t="s">
        <v>550</v>
      </c>
      <c r="C7" s="111" t="s">
        <v>565</v>
      </c>
      <c r="D7" s="273">
        <v>1</v>
      </c>
      <c r="E7" s="290">
        <v>0.25</v>
      </c>
      <c r="F7" s="236">
        <v>2</v>
      </c>
      <c r="G7" s="237">
        <v>5</v>
      </c>
      <c r="H7" s="238">
        <v>0</v>
      </c>
      <c r="I7" s="114" t="s">
        <v>66</v>
      </c>
      <c r="J7" s="237">
        <v>5</v>
      </c>
      <c r="K7" s="239">
        <v>0.5</v>
      </c>
      <c r="L7" s="238">
        <v>0</v>
      </c>
      <c r="M7" s="114" t="s">
        <v>66</v>
      </c>
      <c r="N7" s="99">
        <f>VLOOKUP(B7,Onderzoek[#All],5,FALSE)</f>
        <v>1500</v>
      </c>
      <c r="O7" s="100">
        <f>VLOOKUP(B7,Onderzoek[#All],6,FALSE)</f>
        <v>550</v>
      </c>
      <c r="P7" s="106">
        <f>EXP(-0.693*E7/(VLOOKUP(A7,Nucliden[#All],3,FALSE)))*D7</f>
        <v>0.97163110344125647</v>
      </c>
      <c r="Q7" s="115">
        <f>IF(I7="Nee",(VLOOKUP(A7,Nucliden[#All],35,FALSE)),(IF(I7="Ja",(VLOOKUP(A7,Nucliden[#All],34,FALSE)),(IF(I7="Deels","Bepaal h(0,07)","")))))</f>
        <v>2.21</v>
      </c>
      <c r="R7" s="115">
        <f>IF(M7="Nee",(VLOOKUP(A7,Nucliden[#All],19,FALSE)),(IF(M7="Ja",(VLOOKUP(A7,Nucliden[#All],18,FALSE)),(IF(M7="Deels","Bepaal h(10)","")))))</f>
        <v>2.18E-2</v>
      </c>
      <c r="S7" s="115">
        <f>IF(M7="Nee",(VLOOKUP(A7,Nucliden[#All],25,FALSE)),(IF(M7="Ja",(VLOOKUP(A7,Nucliden[#All],26,FALSE)),(IF(M7="Deels","Bepaal h(3)","")))))</f>
        <v>2.5999999999999999E-2</v>
      </c>
      <c r="T7" s="115">
        <f>EXP(-0.693*H7/(VLOOKUP(A7,Nucliden[#All],6,FALSE)))</f>
        <v>1</v>
      </c>
      <c r="U7" s="117">
        <f>EXP(-0.693*L7/(VLOOKUP(A7,Nucliden[#All],6,FALSE)))</f>
        <v>1</v>
      </c>
      <c r="V7" s="118">
        <f t="shared" si="6"/>
        <v>4724.0704249313894</v>
      </c>
      <c r="W7" s="119">
        <f t="shared" si="7"/>
        <v>236.20352124656949</v>
      </c>
      <c r="X7" s="118">
        <f t="shared" si="8"/>
        <v>46.599427721042666</v>
      </c>
      <c r="Y7" s="119">
        <f t="shared" si="9"/>
        <v>5.8249284651303332</v>
      </c>
      <c r="Z7" s="118">
        <f t="shared" si="10"/>
        <v>55.577299116839875</v>
      </c>
      <c r="AA7" s="119">
        <f t="shared" si="11"/>
        <v>6.9471623896049843</v>
      </c>
      <c r="AB7" s="120">
        <v>1</v>
      </c>
      <c r="AC7" s="119">
        <f t="shared" si="12"/>
        <v>236.20352124656949</v>
      </c>
      <c r="AD7" s="119">
        <f t="shared" si="13"/>
        <v>5.8249284651303332</v>
      </c>
      <c r="AE7" s="119">
        <f t="shared" si="14"/>
        <v>6.9471623896049843</v>
      </c>
    </row>
    <row r="8" spans="1:31" x14ac:dyDescent="0.2">
      <c r="A8" s="113" t="s">
        <v>3</v>
      </c>
      <c r="B8" s="111" t="s">
        <v>542</v>
      </c>
      <c r="C8" s="111" t="s">
        <v>566</v>
      </c>
      <c r="D8" s="273">
        <v>1</v>
      </c>
      <c r="E8" s="290">
        <v>0</v>
      </c>
      <c r="F8" s="236">
        <v>1</v>
      </c>
      <c r="G8" s="237">
        <v>5</v>
      </c>
      <c r="H8" s="238">
        <v>0</v>
      </c>
      <c r="I8" s="107" t="s">
        <v>66</v>
      </c>
      <c r="J8" s="237">
        <v>5</v>
      </c>
      <c r="K8" s="239">
        <v>0.5</v>
      </c>
      <c r="L8" s="238">
        <v>0</v>
      </c>
      <c r="M8" s="107" t="s">
        <v>66</v>
      </c>
      <c r="N8" s="99">
        <f>VLOOKUP(B8,Onderzoek[#All],5,FALSE)</f>
        <v>40</v>
      </c>
      <c r="O8" s="100">
        <f>VLOOKUP(B8,Onderzoek[#All],6,FALSE)</f>
        <v>2000</v>
      </c>
      <c r="P8" s="106">
        <f>EXP(-0.693*E8/(VLOOKUP(A8,Nucliden[#All],3,FALSE)))*D8</f>
        <v>1</v>
      </c>
      <c r="Q8" s="115">
        <f>IF(I8="Nee",(VLOOKUP(A8,Nucliden[#All],35,FALSE)),(IF(I8="Ja",(VLOOKUP(A8,Nucliden[#All],34,FALSE)),(IF(I8="Deels","Bepaal h(0,07)","")))))</f>
        <v>6.05</v>
      </c>
      <c r="R8" s="115">
        <f>IF(M8="Nee",(VLOOKUP(A8,Nucliden[#All],19,FALSE)),(IF(M8="Ja",(VLOOKUP(A8,Nucliden[#All],18,FALSE)),(IF(M8="Deels","Bepaal h(10)","")))))</f>
        <v>6.2300000000000001E-2</v>
      </c>
      <c r="S8" s="115">
        <f>IF(M8="Nee",(VLOOKUP(A8,Nucliden[#All],25,FALSE)),(IF(M8="Ja",(VLOOKUP(A8,Nucliden[#All],26,FALSE)),(IF(M8="Deels","Bepaal h(3)","")))))</f>
        <v>6.8000000000000005E-2</v>
      </c>
      <c r="T8" s="115">
        <f>EXP(-0.693*H8/(VLOOKUP(A8,Nucliden[#All],6,FALSE)))</f>
        <v>1</v>
      </c>
      <c r="U8" s="117">
        <f>EXP(-0.693*L8/(VLOOKUP(A8,Nucliden[#All],6,FALSE)))</f>
        <v>1</v>
      </c>
      <c r="V8" s="118">
        <f t="shared" si="6"/>
        <v>48400</v>
      </c>
      <c r="W8" s="119">
        <f t="shared" si="7"/>
        <v>32.266666666666666</v>
      </c>
      <c r="X8" s="118">
        <f t="shared" si="8"/>
        <v>498.40000000000003</v>
      </c>
      <c r="Y8" s="119">
        <f t="shared" si="9"/>
        <v>1.6613333333333336</v>
      </c>
      <c r="Z8" s="118">
        <f t="shared" si="10"/>
        <v>544</v>
      </c>
      <c r="AA8" s="119">
        <f t="shared" si="11"/>
        <v>1.8133333333333335</v>
      </c>
      <c r="AB8" s="120">
        <v>1</v>
      </c>
      <c r="AC8" s="119">
        <f t="shared" si="12"/>
        <v>32.266666666666666</v>
      </c>
      <c r="AD8" s="119">
        <f t="shared" si="13"/>
        <v>1.6613333333333336</v>
      </c>
      <c r="AE8" s="119">
        <f t="shared" si="14"/>
        <v>1.8133333333333335</v>
      </c>
    </row>
    <row r="9" spans="1:31" x14ac:dyDescent="0.2">
      <c r="A9" s="113"/>
      <c r="B9" s="111"/>
      <c r="C9" s="111"/>
      <c r="D9" s="273"/>
      <c r="E9" s="290"/>
      <c r="F9" s="236"/>
      <c r="G9" s="237"/>
      <c r="H9" s="238"/>
      <c r="I9" s="107"/>
      <c r="J9" s="237"/>
      <c r="K9" s="239"/>
      <c r="L9" s="238"/>
      <c r="M9" s="107"/>
      <c r="N9" s="99" t="e">
        <f>VLOOKUP(B9,Onderzoek[#All],5,FALSE)</f>
        <v>#N/A</v>
      </c>
      <c r="O9" s="100" t="e">
        <f>VLOOKUP(B9,Onderzoek[#All],6,FALSE)</f>
        <v>#N/A</v>
      </c>
      <c r="P9" s="106" t="e">
        <f>EXP(-0.693*E9/(VLOOKUP(A9,Nucliden[#All],3,FALSE)))*D9</f>
        <v>#N/A</v>
      </c>
      <c r="Q9" s="115" t="str">
        <f>IF(I9="Nee",(VLOOKUP(A9,Nucliden[#All],35,FALSE)),(IF(I9="Ja",(VLOOKUP(A9,Nucliden[#All],34,FALSE)),(IF(I9="Deels","Bepaal h(0,07)","")))))</f>
        <v/>
      </c>
      <c r="R9" s="115" t="str">
        <f>IF(M9="Nee",(VLOOKUP(A9,Nucliden[#All],19,FALSE)),(IF(M9="Ja",(VLOOKUP(A9,Nucliden[#All],18,FALSE)),(IF(M9="Deels","Bepaal h(10)","")))))</f>
        <v/>
      </c>
      <c r="S9" s="115" t="str">
        <f>IF(M9="Nee",(VLOOKUP(A9,Nucliden[#All],25,FALSE)),(IF(M9="Ja",(VLOOKUP(A9,Nucliden[#All],26,FALSE)),(IF(M9="Deels","Bepaal h(3)","")))))</f>
        <v/>
      </c>
      <c r="T9" s="115" t="e">
        <f>EXP(-0.693*H9/(VLOOKUP(A9,Nucliden[#All],6,FALSE)))</f>
        <v>#N/A</v>
      </c>
      <c r="U9" s="117" t="e">
        <f>EXP(-0.693*L9/(VLOOKUP(A9,Nucliden[#All],6,FALSE)))</f>
        <v>#N/A</v>
      </c>
      <c r="V9" s="118" t="e">
        <f t="shared" si="6"/>
        <v>#N/A</v>
      </c>
      <c r="W9" s="119" t="e">
        <f t="shared" si="7"/>
        <v>#N/A</v>
      </c>
      <c r="X9" s="118" t="e">
        <f t="shared" si="8"/>
        <v>#N/A</v>
      </c>
      <c r="Y9" s="119" t="e">
        <f t="shared" si="9"/>
        <v>#N/A</v>
      </c>
      <c r="Z9" s="118" t="e">
        <f t="shared" si="10"/>
        <v>#N/A</v>
      </c>
      <c r="AA9" s="119" t="e">
        <f t="shared" si="11"/>
        <v>#N/A</v>
      </c>
      <c r="AB9" s="120"/>
      <c r="AC9" s="119" t="e">
        <f t="shared" si="12"/>
        <v>#N/A</v>
      </c>
      <c r="AD9" s="119" t="e">
        <f t="shared" si="13"/>
        <v>#N/A</v>
      </c>
      <c r="AE9" s="119" t="e">
        <f t="shared" si="14"/>
        <v>#N/A</v>
      </c>
    </row>
    <row r="10" spans="1:31" x14ac:dyDescent="0.2">
      <c r="A10" s="113"/>
      <c r="B10" s="111"/>
      <c r="C10" s="111"/>
      <c r="D10" s="273"/>
      <c r="E10" s="290"/>
      <c r="F10" s="236"/>
      <c r="G10" s="237"/>
      <c r="H10" s="238"/>
      <c r="I10" s="107"/>
      <c r="J10" s="237"/>
      <c r="K10" s="239"/>
      <c r="L10" s="238"/>
      <c r="M10" s="107"/>
      <c r="N10" s="99" t="e">
        <f>VLOOKUP(B10,Onderzoek[#All],5,FALSE)</f>
        <v>#N/A</v>
      </c>
      <c r="O10" s="100" t="e">
        <f>VLOOKUP(B10,Onderzoek[#All],6,FALSE)</f>
        <v>#N/A</v>
      </c>
      <c r="P10" s="106" t="e">
        <f>EXP(-0.693*E10/(VLOOKUP(A10,Nucliden[#All],3,FALSE)))*D10</f>
        <v>#N/A</v>
      </c>
      <c r="Q10" s="115" t="str">
        <f>IF(I10="Nee",(VLOOKUP(A10,Nucliden[#All],35,FALSE)),(IF(I10="Ja",(VLOOKUP(A10,Nucliden[#All],34,FALSE)),(IF(I10="Deels","Bepaal h(0,07)","")))))</f>
        <v/>
      </c>
      <c r="R10" s="115" t="str">
        <f>IF(M10="Nee",(VLOOKUP(A10,Nucliden[#All],19,FALSE)),(IF(M10="Ja",(VLOOKUP(A10,Nucliden[#All],18,FALSE)),(IF(M10="Deels","Bepaal h(10)","")))))</f>
        <v/>
      </c>
      <c r="S10" s="115" t="str">
        <f>IF(M10="Nee",(VLOOKUP(A10,Nucliden[#All],25,FALSE)),(IF(M10="Ja",(VLOOKUP(A10,Nucliden[#All],26,FALSE)),(IF(M10="Deels","Bepaal h(3)","")))))</f>
        <v/>
      </c>
      <c r="T10" s="115" t="e">
        <f>EXP(-0.693*H10/(VLOOKUP(A10,Nucliden[#All],6,FALSE)))</f>
        <v>#N/A</v>
      </c>
      <c r="U10" s="117" t="e">
        <f>EXP(-0.693*L10/(VLOOKUP(A10,Nucliden[#All],6,FALSE)))</f>
        <v>#N/A</v>
      </c>
      <c r="V10" s="118" t="e">
        <f t="shared" si="6"/>
        <v>#N/A</v>
      </c>
      <c r="W10" s="119" t="e">
        <f t="shared" si="7"/>
        <v>#N/A</v>
      </c>
      <c r="X10" s="118" t="e">
        <f t="shared" si="8"/>
        <v>#N/A</v>
      </c>
      <c r="Y10" s="119" t="e">
        <f t="shared" si="9"/>
        <v>#N/A</v>
      </c>
      <c r="Z10" s="118" t="e">
        <f t="shared" si="10"/>
        <v>#N/A</v>
      </c>
      <c r="AA10" s="119" t="e">
        <f t="shared" si="11"/>
        <v>#N/A</v>
      </c>
      <c r="AB10" s="120"/>
      <c r="AC10" s="119" t="e">
        <f t="shared" si="12"/>
        <v>#N/A</v>
      </c>
      <c r="AD10" s="119" t="e">
        <f t="shared" si="13"/>
        <v>#N/A</v>
      </c>
      <c r="AE10" s="119" t="e">
        <f t="shared" si="14"/>
        <v>#N/A</v>
      </c>
    </row>
    <row r="11" spans="1:31" x14ac:dyDescent="0.2">
      <c r="A11" s="113"/>
      <c r="B11" s="109"/>
      <c r="C11" s="111"/>
      <c r="D11" s="273"/>
      <c r="E11" s="290"/>
      <c r="F11" s="236"/>
      <c r="G11" s="237"/>
      <c r="H11" s="238"/>
      <c r="I11" s="107"/>
      <c r="J11" s="237"/>
      <c r="K11" s="239"/>
      <c r="L11" s="238"/>
      <c r="M11" s="107"/>
      <c r="N11" s="99" t="e">
        <f>VLOOKUP(B11,Onderzoek[#All],5,FALSE)</f>
        <v>#N/A</v>
      </c>
      <c r="O11" s="100" t="e">
        <f>VLOOKUP(B11,Onderzoek[#All],6,FALSE)</f>
        <v>#N/A</v>
      </c>
      <c r="P11" s="106" t="e">
        <f>EXP(-0.693*E11/(VLOOKUP(A11,Nucliden[#All],3,FALSE)))*D11</f>
        <v>#N/A</v>
      </c>
      <c r="Q11" s="115" t="str">
        <f>IF(I11="Nee",(VLOOKUP(A11,Nucliden[#All],35,FALSE)),(IF(I11="Ja",(VLOOKUP(A11,Nucliden[#All],34,FALSE)),(IF(I11="Deels","Bepaal h(0,07)","")))))</f>
        <v/>
      </c>
      <c r="R11" s="115" t="str">
        <f>IF(M11="Nee",(VLOOKUP(A11,Nucliden[#All],19,FALSE)),(IF(M11="Ja",(VLOOKUP(A11,Nucliden[#All],18,FALSE)),(IF(M11="Deels","Bepaal h(10)","")))))</f>
        <v/>
      </c>
      <c r="S11" s="115" t="str">
        <f>IF(M11="Nee",(VLOOKUP(A11,Nucliden[#All],25,FALSE)),(IF(M11="Ja",(VLOOKUP(A11,Nucliden[#All],26,FALSE)),(IF(M11="Deels","Bepaal h(3)","")))))</f>
        <v/>
      </c>
      <c r="T11" s="115" t="e">
        <f>EXP(-0.693*H11/(VLOOKUP(A11,Nucliden[#All],6,FALSE)))</f>
        <v>#N/A</v>
      </c>
      <c r="U11" s="117" t="e">
        <f>EXP(-0.693*L11/(VLOOKUP(A11,Nucliden[#All],6,FALSE)))</f>
        <v>#N/A</v>
      </c>
      <c r="V11" s="118" t="e">
        <f t="shared" si="6"/>
        <v>#N/A</v>
      </c>
      <c r="W11" s="119" t="e">
        <f t="shared" si="7"/>
        <v>#N/A</v>
      </c>
      <c r="X11" s="118" t="e">
        <f t="shared" si="8"/>
        <v>#N/A</v>
      </c>
      <c r="Y11" s="119" t="e">
        <f t="shared" si="9"/>
        <v>#N/A</v>
      </c>
      <c r="Z11" s="118" t="e">
        <f t="shared" si="10"/>
        <v>#N/A</v>
      </c>
      <c r="AA11" s="119" t="e">
        <f t="shared" si="11"/>
        <v>#N/A</v>
      </c>
      <c r="AB11" s="120"/>
      <c r="AC11" s="119" t="e">
        <f t="shared" si="12"/>
        <v>#N/A</v>
      </c>
      <c r="AD11" s="119" t="e">
        <f t="shared" si="13"/>
        <v>#N/A</v>
      </c>
      <c r="AE11" s="119" t="e">
        <f t="shared" si="14"/>
        <v>#N/A</v>
      </c>
    </row>
    <row r="12" spans="1:31" x14ac:dyDescent="0.2">
      <c r="A12" s="113"/>
      <c r="B12" s="109"/>
      <c r="C12" s="111"/>
      <c r="D12" s="273"/>
      <c r="E12" s="290"/>
      <c r="F12" s="236"/>
      <c r="G12" s="237"/>
      <c r="H12" s="238"/>
      <c r="I12" s="107"/>
      <c r="J12" s="237"/>
      <c r="K12" s="239"/>
      <c r="L12" s="238"/>
      <c r="M12" s="107"/>
      <c r="N12" s="99" t="e">
        <f>VLOOKUP(B12,Onderzoek[#All],5,FALSE)</f>
        <v>#N/A</v>
      </c>
      <c r="O12" s="100" t="e">
        <f>VLOOKUP(B12,Onderzoek[#All],6,FALSE)</f>
        <v>#N/A</v>
      </c>
      <c r="P12" s="106" t="e">
        <f>EXP(-0.693*E12/(VLOOKUP(A12,Nucliden[#All],3,FALSE)))*D12</f>
        <v>#N/A</v>
      </c>
      <c r="Q12" s="115" t="str">
        <f>IF(I12="Nee",(VLOOKUP(A12,Nucliden[#All],35,FALSE)),(IF(I12="Ja",(VLOOKUP(A12,Nucliden[#All],34,FALSE)),(IF(I12="Deels","Bepaal h(0,07)","")))))</f>
        <v/>
      </c>
      <c r="R12" s="115" t="str">
        <f>IF(M12="Nee",(VLOOKUP(A12,Nucliden[#All],19,FALSE)),(IF(M12="Ja",(VLOOKUP(A12,Nucliden[#All],18,FALSE)),(IF(M12="Deels","Bepaal h(10)","")))))</f>
        <v/>
      </c>
      <c r="S12" s="115" t="str">
        <f>IF(M12="Nee",(VLOOKUP(A12,Nucliden[#All],25,FALSE)),(IF(M12="Ja",(VLOOKUP(A12,Nucliden[#All],26,FALSE)),(IF(M12="Deels","Bepaal h(3)","")))))</f>
        <v/>
      </c>
      <c r="T12" s="115" t="e">
        <f>EXP(-0.693*H12/(VLOOKUP(A12,Nucliden[#All],6,FALSE)))</f>
        <v>#N/A</v>
      </c>
      <c r="U12" s="117" t="e">
        <f>EXP(-0.693*L12/(VLOOKUP(A12,Nucliden[#All],6,FALSE)))</f>
        <v>#N/A</v>
      </c>
      <c r="V12" s="118" t="e">
        <f t="shared" si="6"/>
        <v>#N/A</v>
      </c>
      <c r="W12" s="119" t="e">
        <f t="shared" si="7"/>
        <v>#N/A</v>
      </c>
      <c r="X12" s="118" t="e">
        <f t="shared" si="8"/>
        <v>#N/A</v>
      </c>
      <c r="Y12" s="119" t="e">
        <f t="shared" si="9"/>
        <v>#N/A</v>
      </c>
      <c r="Z12" s="118" t="e">
        <f t="shared" si="10"/>
        <v>#N/A</v>
      </c>
      <c r="AA12" s="119" t="e">
        <f t="shared" si="11"/>
        <v>#N/A</v>
      </c>
      <c r="AB12" s="120"/>
      <c r="AC12" s="119" t="e">
        <f t="shared" si="12"/>
        <v>#N/A</v>
      </c>
      <c r="AD12" s="119" t="e">
        <f t="shared" si="13"/>
        <v>#N/A</v>
      </c>
      <c r="AE12" s="119" t="e">
        <f t="shared" si="14"/>
        <v>#N/A</v>
      </c>
    </row>
    <row r="13" spans="1:31" x14ac:dyDescent="0.2">
      <c r="A13" s="113"/>
      <c r="B13" s="112"/>
      <c r="C13" s="111"/>
      <c r="D13" s="273"/>
      <c r="E13" s="290"/>
      <c r="F13" s="236"/>
      <c r="G13" s="237"/>
      <c r="H13" s="238"/>
      <c r="I13" s="107"/>
      <c r="J13" s="237"/>
      <c r="K13" s="239"/>
      <c r="L13" s="238"/>
      <c r="M13" s="107"/>
      <c r="N13" s="99" t="e">
        <f>VLOOKUP(B13,Onderzoek[#All],5,FALSE)</f>
        <v>#N/A</v>
      </c>
      <c r="O13" s="100" t="e">
        <f>VLOOKUP(B13,Onderzoek[#All],6,FALSE)</f>
        <v>#N/A</v>
      </c>
      <c r="P13" s="106" t="e">
        <f>EXP(-0.693*E13/(VLOOKUP(A13,Nucliden[#All],3,FALSE)))*D13</f>
        <v>#N/A</v>
      </c>
      <c r="Q13" s="115" t="str">
        <f>IF(I13="Nee",(VLOOKUP(A13,Nucliden[#All],35,FALSE)),(IF(I13="Ja",(VLOOKUP(A13,Nucliden[#All],34,FALSE)),(IF(I13="Deels","Bepaal h(0,07)","")))))</f>
        <v/>
      </c>
      <c r="R13" s="115" t="str">
        <f>IF(M13="Nee",(VLOOKUP(A13,Nucliden[#All],19,FALSE)),(IF(M13="Ja",(VLOOKUP(A13,Nucliden[#All],18,FALSE)),(IF(M13="Deels","Bepaal h(10)","")))))</f>
        <v/>
      </c>
      <c r="S13" s="115" t="str">
        <f>IF(M13="Nee",(VLOOKUP(A13,Nucliden[#All],25,FALSE)),(IF(M13="Ja",(VLOOKUP(A13,Nucliden[#All],26,FALSE)),(IF(M13="Deels","Bepaal h(3)","")))))</f>
        <v/>
      </c>
      <c r="T13" s="115" t="e">
        <f>EXP(-0.693*H13/(VLOOKUP(A13,Nucliden[#All],6,FALSE)))</f>
        <v>#N/A</v>
      </c>
      <c r="U13" s="117" t="e">
        <f>EXP(-0.693*L13/(VLOOKUP(A13,Nucliden[#All],6,FALSE)))</f>
        <v>#N/A</v>
      </c>
      <c r="V13" s="118" t="e">
        <f t="shared" si="0"/>
        <v>#N/A</v>
      </c>
      <c r="W13" s="119" t="e">
        <f t="shared" si="1"/>
        <v>#N/A</v>
      </c>
      <c r="X13" s="118" t="e">
        <f t="shared" si="2"/>
        <v>#N/A</v>
      </c>
      <c r="Y13" s="119" t="e">
        <f t="shared" si="3"/>
        <v>#N/A</v>
      </c>
      <c r="Z13" s="118" t="e">
        <f t="shared" si="4"/>
        <v>#N/A</v>
      </c>
      <c r="AA13" s="119" t="e">
        <f t="shared" si="5"/>
        <v>#N/A</v>
      </c>
      <c r="AB13" s="120"/>
      <c r="AC13" s="119" t="e">
        <f t="shared" si="12"/>
        <v>#N/A</v>
      </c>
      <c r="AD13" s="119" t="e">
        <f t="shared" si="13"/>
        <v>#N/A</v>
      </c>
      <c r="AE13" s="119" t="e">
        <f t="shared" si="14"/>
        <v>#N/A</v>
      </c>
    </row>
    <row r="14" spans="1:31" x14ac:dyDescent="0.2">
      <c r="A14" s="113"/>
      <c r="B14" s="109"/>
      <c r="C14" s="111"/>
      <c r="D14" s="273"/>
      <c r="E14" s="290"/>
      <c r="F14" s="236"/>
      <c r="G14" s="237"/>
      <c r="H14" s="238"/>
      <c r="I14" s="107"/>
      <c r="J14" s="237"/>
      <c r="K14" s="239"/>
      <c r="L14" s="238"/>
      <c r="M14" s="107"/>
      <c r="N14" s="99" t="e">
        <f>VLOOKUP(B14,Onderzoek[#All],5,FALSE)</f>
        <v>#N/A</v>
      </c>
      <c r="O14" s="100" t="e">
        <f>VLOOKUP(B14,Onderzoek[#All],6,FALSE)</f>
        <v>#N/A</v>
      </c>
      <c r="P14" s="106" t="e">
        <f>EXP(-0.693*E14/(VLOOKUP(A14,Nucliden[#All],3,FALSE)))*D14</f>
        <v>#N/A</v>
      </c>
      <c r="Q14" s="115" t="str">
        <f>IF(I14="Nee",(VLOOKUP(A14,Nucliden[#All],35,FALSE)),(IF(I14="Ja",(VLOOKUP(A14,Nucliden[#All],34,FALSE)),(IF(I14="Deels","Bepaal h(0,07)","")))))</f>
        <v/>
      </c>
      <c r="R14" s="115" t="str">
        <f>IF(M14="Nee",(VLOOKUP(A14,Nucliden[#All],19,FALSE)),(IF(M14="Ja",(VLOOKUP(A14,Nucliden[#All],18,FALSE)),(IF(M14="Deels","Bepaal h(10)","")))))</f>
        <v/>
      </c>
      <c r="S14" s="115" t="str">
        <f>IF(M14="Nee",(VLOOKUP(A14,Nucliden[#All],25,FALSE)),(IF(M14="Ja",(VLOOKUP(A14,Nucliden[#All],26,FALSE)),(IF(M14="Deels","Bepaal h(3)","")))))</f>
        <v/>
      </c>
      <c r="T14" s="115" t="e">
        <f>EXP(-0.693*H14/(VLOOKUP(A14,Nucliden[#All],6,FALSE)))</f>
        <v>#N/A</v>
      </c>
      <c r="U14" s="117" t="e">
        <f>EXP(-0.693*L14/(VLOOKUP(A14,Nucliden[#All],6,FALSE)))</f>
        <v>#N/A</v>
      </c>
      <c r="V14" s="118" t="e">
        <f t="shared" si="0"/>
        <v>#N/A</v>
      </c>
      <c r="W14" s="119" t="e">
        <f t="shared" si="1"/>
        <v>#N/A</v>
      </c>
      <c r="X14" s="118" t="e">
        <f t="shared" si="2"/>
        <v>#N/A</v>
      </c>
      <c r="Y14" s="119" t="e">
        <f t="shared" si="3"/>
        <v>#N/A</v>
      </c>
      <c r="Z14" s="118" t="e">
        <f t="shared" si="4"/>
        <v>#N/A</v>
      </c>
      <c r="AA14" s="119" t="e">
        <f t="shared" si="5"/>
        <v>#N/A</v>
      </c>
      <c r="AB14" s="120"/>
      <c r="AC14" s="119" t="e">
        <f t="shared" si="12"/>
        <v>#N/A</v>
      </c>
      <c r="AD14" s="119" t="e">
        <f t="shared" si="13"/>
        <v>#N/A</v>
      </c>
      <c r="AE14" s="119" t="e">
        <f t="shared" si="14"/>
        <v>#N/A</v>
      </c>
    </row>
    <row r="15" spans="1:31" x14ac:dyDescent="0.2">
      <c r="A15" s="113"/>
      <c r="B15" s="109"/>
      <c r="C15" s="111"/>
      <c r="D15" s="273"/>
      <c r="E15" s="290"/>
      <c r="F15" s="236"/>
      <c r="G15" s="237"/>
      <c r="H15" s="238"/>
      <c r="I15" s="107"/>
      <c r="J15" s="237"/>
      <c r="K15" s="239"/>
      <c r="L15" s="238"/>
      <c r="M15" s="107"/>
      <c r="N15" s="99" t="e">
        <f>VLOOKUP(B15,Onderzoek[#All],5,FALSE)</f>
        <v>#N/A</v>
      </c>
      <c r="O15" s="100" t="e">
        <f>VLOOKUP(B15,Onderzoek[#All],6,FALSE)</f>
        <v>#N/A</v>
      </c>
      <c r="P15" s="106" t="e">
        <f>EXP(-0.693*E15/(VLOOKUP(A15,Nucliden[#All],3,FALSE)))*D15</f>
        <v>#N/A</v>
      </c>
      <c r="Q15" s="115" t="str">
        <f>IF(I15="Nee",(VLOOKUP(A15,Nucliden[#All],35,FALSE)),(IF(I15="Ja",(VLOOKUP(A15,Nucliden[#All],34,FALSE)),(IF(I15="Deels","Bepaal h(0,07)","")))))</f>
        <v/>
      </c>
      <c r="R15" s="115" t="str">
        <f>IF(M15="Nee",(VLOOKUP(A15,Nucliden[#All],19,FALSE)),(IF(M15="Ja",(VLOOKUP(A15,Nucliden[#All],18,FALSE)),(IF(M15="Deels","Bepaal h(10)","")))))</f>
        <v/>
      </c>
      <c r="S15" s="115" t="str">
        <f>IF(M15="Nee",(VLOOKUP(A15,Nucliden[#All],25,FALSE)),(IF(M15="Ja",(VLOOKUP(A15,Nucliden[#All],26,FALSE)),(IF(M15="Deels","Bepaal h(3)","")))))</f>
        <v/>
      </c>
      <c r="T15" s="115" t="e">
        <f>EXP(-0.693*H15/(VLOOKUP(A15,Nucliden[#All],6,FALSE)))</f>
        <v>#N/A</v>
      </c>
      <c r="U15" s="117" t="e">
        <f>EXP(-0.693*L15/(VLOOKUP(A15,Nucliden[#All],6,FALSE)))</f>
        <v>#N/A</v>
      </c>
      <c r="V15" s="118" t="e">
        <f t="shared" si="0"/>
        <v>#N/A</v>
      </c>
      <c r="W15" s="119" t="e">
        <f t="shared" si="1"/>
        <v>#N/A</v>
      </c>
      <c r="X15" s="118" t="e">
        <f t="shared" si="2"/>
        <v>#N/A</v>
      </c>
      <c r="Y15" s="119" t="e">
        <f t="shared" si="3"/>
        <v>#N/A</v>
      </c>
      <c r="Z15" s="118" t="e">
        <f t="shared" si="4"/>
        <v>#N/A</v>
      </c>
      <c r="AA15" s="119" t="e">
        <f t="shared" si="5"/>
        <v>#N/A</v>
      </c>
      <c r="AB15" s="120"/>
      <c r="AC15" s="119" t="e">
        <f t="shared" si="12"/>
        <v>#N/A</v>
      </c>
      <c r="AD15" s="119" t="e">
        <f t="shared" si="13"/>
        <v>#N/A</v>
      </c>
      <c r="AE15" s="119" t="e">
        <f t="shared" si="14"/>
        <v>#N/A</v>
      </c>
    </row>
    <row r="16" spans="1:31" x14ac:dyDescent="0.2">
      <c r="A16" s="113"/>
      <c r="B16" s="109"/>
      <c r="C16" s="111"/>
      <c r="D16" s="273"/>
      <c r="E16" s="290"/>
      <c r="F16" s="236"/>
      <c r="G16" s="237"/>
      <c r="H16" s="238"/>
      <c r="I16" s="107"/>
      <c r="J16" s="237"/>
      <c r="K16" s="239"/>
      <c r="L16" s="238"/>
      <c r="M16" s="107"/>
      <c r="N16" s="99" t="e">
        <f>VLOOKUP(B16,Onderzoek[#All],5,FALSE)</f>
        <v>#N/A</v>
      </c>
      <c r="O16" s="100" t="e">
        <f>VLOOKUP(B16,Onderzoek[#All],6,FALSE)</f>
        <v>#N/A</v>
      </c>
      <c r="P16" s="106" t="e">
        <f>EXP(-0.693*E16/(VLOOKUP(A16,Nucliden[#All],3,FALSE)))*D16</f>
        <v>#N/A</v>
      </c>
      <c r="Q16" s="115" t="str">
        <f>IF(I16="Nee",(VLOOKUP(A16,Nucliden[#All],35,FALSE)),(IF(I16="Ja",(VLOOKUP(A16,Nucliden[#All],34,FALSE)),(IF(I16="Deels","Bepaal h(0,07)","")))))</f>
        <v/>
      </c>
      <c r="R16" s="115" t="str">
        <f>IF(M16="Nee",(VLOOKUP(A16,Nucliden[#All],19,FALSE)),(IF(M16="Ja",(VLOOKUP(A16,Nucliden[#All],18,FALSE)),(IF(M16="Deels","Bepaal h(10)","")))))</f>
        <v/>
      </c>
      <c r="S16" s="115" t="str">
        <f>IF(M16="Nee",(VLOOKUP(A16,Nucliden[#All],25,FALSE)),(IF(M16="Ja",(VLOOKUP(A16,Nucliden[#All],26,FALSE)),(IF(M16="Deels","Bepaal h(3)","")))))</f>
        <v/>
      </c>
      <c r="T16" s="115" t="e">
        <f>EXP(-0.693*H16/(VLOOKUP(A16,Nucliden[#All],6,FALSE)))</f>
        <v>#N/A</v>
      </c>
      <c r="U16" s="117" t="e">
        <f>EXP(-0.693*L16/(VLOOKUP(A16,Nucliden[#All],6,FALSE)))</f>
        <v>#N/A</v>
      </c>
      <c r="V16" s="118" t="e">
        <f t="shared" si="0"/>
        <v>#N/A</v>
      </c>
      <c r="W16" s="119" t="e">
        <f t="shared" si="1"/>
        <v>#N/A</v>
      </c>
      <c r="X16" s="118" t="e">
        <f t="shared" si="2"/>
        <v>#N/A</v>
      </c>
      <c r="Y16" s="119" t="e">
        <f t="shared" si="3"/>
        <v>#N/A</v>
      </c>
      <c r="Z16" s="118" t="e">
        <f t="shared" si="4"/>
        <v>#N/A</v>
      </c>
      <c r="AA16" s="119" t="e">
        <f t="shared" si="5"/>
        <v>#N/A</v>
      </c>
      <c r="AB16" s="120"/>
      <c r="AC16" s="119" t="e">
        <f t="shared" si="12"/>
        <v>#N/A</v>
      </c>
      <c r="AD16" s="119" t="e">
        <f t="shared" si="13"/>
        <v>#N/A</v>
      </c>
      <c r="AE16" s="119" t="e">
        <f t="shared" si="14"/>
        <v>#N/A</v>
      </c>
    </row>
    <row r="17" spans="1:31" x14ac:dyDescent="0.2">
      <c r="A17" s="113"/>
      <c r="B17" s="111"/>
      <c r="C17" s="111"/>
      <c r="D17" s="273"/>
      <c r="E17" s="290"/>
      <c r="F17" s="236"/>
      <c r="G17" s="237"/>
      <c r="H17" s="238"/>
      <c r="I17" s="107"/>
      <c r="J17" s="237"/>
      <c r="K17" s="239"/>
      <c r="L17" s="238"/>
      <c r="M17" s="107"/>
      <c r="N17" s="99" t="e">
        <f>VLOOKUP(B17,Onderzoek[#All],5,FALSE)</f>
        <v>#N/A</v>
      </c>
      <c r="O17" s="100" t="e">
        <f>VLOOKUP(B17,Onderzoek[#All],6,FALSE)</f>
        <v>#N/A</v>
      </c>
      <c r="P17" s="106" t="e">
        <f>EXP(-0.693*E17/(VLOOKUP(A17,Nucliden[#All],3,FALSE)))*D17</f>
        <v>#N/A</v>
      </c>
      <c r="Q17" s="115" t="str">
        <f>IF(I17="Nee",(VLOOKUP(A17,Nucliden[#All],35,FALSE)),(IF(I17="Ja",(VLOOKUP(A17,Nucliden[#All],34,FALSE)),(IF(I17="Deels","Bepaal h(0,07)","")))))</f>
        <v/>
      </c>
      <c r="R17" s="115" t="str">
        <f>IF(M17="Nee",(VLOOKUP(A17,Nucliden[#All],19,FALSE)),(IF(M17="Ja",(VLOOKUP(A17,Nucliden[#All],18,FALSE)),(IF(M17="Deels","Bepaal h(10)","")))))</f>
        <v/>
      </c>
      <c r="S17" s="115" t="str">
        <f>IF(M17="Nee",(VLOOKUP(A17,Nucliden[#All],25,FALSE)),(IF(M17="Ja",(VLOOKUP(A17,Nucliden[#All],26,FALSE)),(IF(M17="Deels","Bepaal h(3)","")))))</f>
        <v/>
      </c>
      <c r="T17" s="115" t="e">
        <f>EXP(-0.693*H17/(VLOOKUP(A17,Nucliden[#All],6,FALSE)))</f>
        <v>#N/A</v>
      </c>
      <c r="U17" s="117" t="e">
        <f>EXP(-0.693*L17/(VLOOKUP(A17,Nucliden[#All],6,FALSE)))</f>
        <v>#N/A</v>
      </c>
      <c r="V17" s="118" t="e">
        <f t="shared" si="0"/>
        <v>#N/A</v>
      </c>
      <c r="W17" s="119" t="e">
        <f t="shared" si="1"/>
        <v>#N/A</v>
      </c>
      <c r="X17" s="118" t="e">
        <f t="shared" si="2"/>
        <v>#N/A</v>
      </c>
      <c r="Y17" s="119" t="e">
        <f t="shared" si="3"/>
        <v>#N/A</v>
      </c>
      <c r="Z17" s="118" t="e">
        <f t="shared" si="4"/>
        <v>#N/A</v>
      </c>
      <c r="AA17" s="119" t="e">
        <f t="shared" si="5"/>
        <v>#N/A</v>
      </c>
      <c r="AB17" s="120"/>
      <c r="AC17" s="119" t="e">
        <f t="shared" si="12"/>
        <v>#N/A</v>
      </c>
      <c r="AD17" s="119" t="e">
        <f t="shared" si="13"/>
        <v>#N/A</v>
      </c>
      <c r="AE17" s="119" t="e">
        <f t="shared" si="14"/>
        <v>#N/A</v>
      </c>
    </row>
    <row r="18" spans="1:31" x14ac:dyDescent="0.2">
      <c r="A18" s="113"/>
      <c r="B18" s="111"/>
      <c r="C18" s="111"/>
      <c r="D18" s="273"/>
      <c r="E18" s="290"/>
      <c r="F18" s="236"/>
      <c r="G18" s="237"/>
      <c r="H18" s="238"/>
      <c r="I18" s="107"/>
      <c r="J18" s="237"/>
      <c r="K18" s="239"/>
      <c r="L18" s="238"/>
      <c r="M18" s="107"/>
      <c r="N18" s="99" t="e">
        <f>VLOOKUP(B18,Onderzoek[#All],5,FALSE)</f>
        <v>#N/A</v>
      </c>
      <c r="O18" s="100" t="e">
        <f>VLOOKUP(B18,Onderzoek[#All],6,FALSE)</f>
        <v>#N/A</v>
      </c>
      <c r="P18" s="106" t="e">
        <f>EXP(-0.693*E18/(VLOOKUP(A18,Nucliden[#All],3,FALSE)))*D18</f>
        <v>#N/A</v>
      </c>
      <c r="Q18" s="115" t="str">
        <f>IF(I18="Nee",(VLOOKUP(A18,Nucliden[#All],35,FALSE)),(IF(I18="Ja",(VLOOKUP(A18,Nucliden[#All],34,FALSE)),(IF(I18="Deels","Bepaal h(0,07)","")))))</f>
        <v/>
      </c>
      <c r="R18" s="115" t="str">
        <f>IF(M18="Nee",(VLOOKUP(A18,Nucliden[#All],19,FALSE)),(IF(M18="Ja",(VLOOKUP(A18,Nucliden[#All],18,FALSE)),(IF(M18="Deels","Bepaal h(10)","")))))</f>
        <v/>
      </c>
      <c r="S18" s="115" t="str">
        <f>IF(M18="Nee",(VLOOKUP(A18,Nucliden[#All],25,FALSE)),(IF(M18="Ja",(VLOOKUP(A18,Nucliden[#All],26,FALSE)),(IF(M18="Deels","Bepaal h(3)","")))))</f>
        <v/>
      </c>
      <c r="T18" s="115" t="e">
        <f>EXP(-0.693*H18/(VLOOKUP(A18,Nucliden[#All],6,FALSE)))</f>
        <v>#N/A</v>
      </c>
      <c r="U18" s="117" t="e">
        <f>EXP(-0.693*L18/(VLOOKUP(A18,Nucliden[#All],6,FALSE)))</f>
        <v>#N/A</v>
      </c>
      <c r="V18" s="118" t="e">
        <f t="shared" si="0"/>
        <v>#N/A</v>
      </c>
      <c r="W18" s="119" t="e">
        <f t="shared" si="1"/>
        <v>#N/A</v>
      </c>
      <c r="X18" s="118" t="e">
        <f t="shared" si="2"/>
        <v>#N/A</v>
      </c>
      <c r="Y18" s="119" t="e">
        <f t="shared" si="3"/>
        <v>#N/A</v>
      </c>
      <c r="Z18" s="118" t="e">
        <f t="shared" si="4"/>
        <v>#N/A</v>
      </c>
      <c r="AA18" s="119" t="e">
        <f t="shared" si="5"/>
        <v>#N/A</v>
      </c>
      <c r="AB18" s="120"/>
      <c r="AC18" s="119" t="e">
        <f t="shared" si="12"/>
        <v>#N/A</v>
      </c>
      <c r="AD18" s="119" t="e">
        <f t="shared" si="13"/>
        <v>#N/A</v>
      </c>
      <c r="AE18" s="119" t="e">
        <f t="shared" si="14"/>
        <v>#N/A</v>
      </c>
    </row>
    <row r="19" spans="1:31" x14ac:dyDescent="0.2">
      <c r="A19" s="113"/>
      <c r="B19" s="109"/>
      <c r="C19" s="111"/>
      <c r="D19" s="273"/>
      <c r="E19" s="290"/>
      <c r="F19" s="236"/>
      <c r="G19" s="237"/>
      <c r="H19" s="238"/>
      <c r="I19" s="107"/>
      <c r="J19" s="237"/>
      <c r="K19" s="239"/>
      <c r="L19" s="238"/>
      <c r="M19" s="107"/>
      <c r="N19" s="99" t="e">
        <f>VLOOKUP(B19,Onderzoek[#All],5,FALSE)</f>
        <v>#N/A</v>
      </c>
      <c r="O19" s="100" t="e">
        <f>VLOOKUP(B19,Onderzoek[#All],6,FALSE)</f>
        <v>#N/A</v>
      </c>
      <c r="P19" s="106" t="e">
        <f>EXP(-0.693*E19/(VLOOKUP(A19,Nucliden[#All],3,FALSE)))*D19</f>
        <v>#N/A</v>
      </c>
      <c r="Q19" s="115" t="str">
        <f>IF(I19="Nee",(VLOOKUP(A19,Nucliden[#All],35,FALSE)),(IF(I19="Ja",(VLOOKUP(A19,Nucliden[#All],34,FALSE)),(IF(I19="Deels","Bepaal h(0,07)","")))))</f>
        <v/>
      </c>
      <c r="R19" s="115" t="str">
        <f>IF(M19="Nee",(VLOOKUP(A19,Nucliden[#All],19,FALSE)),(IF(M19="Ja",(VLOOKUP(A19,Nucliden[#All],18,FALSE)),(IF(M19="Deels","Bepaal h(10)","")))))</f>
        <v/>
      </c>
      <c r="S19" s="115" t="str">
        <f>IF(M19="Nee",(VLOOKUP(A19,Nucliden[#All],25,FALSE)),(IF(M19="Ja",(VLOOKUP(A19,Nucliden[#All],26,FALSE)),(IF(M19="Deels","Bepaal h(3)","")))))</f>
        <v/>
      </c>
      <c r="T19" s="115" t="e">
        <f>EXP(-0.693*H19/(VLOOKUP(A19,Nucliden[#All],6,FALSE)))</f>
        <v>#N/A</v>
      </c>
      <c r="U19" s="117" t="e">
        <f>EXP(-0.693*L19/(VLOOKUP(A19,Nucliden[#All],6,FALSE)))</f>
        <v>#N/A</v>
      </c>
      <c r="V19" s="118" t="e">
        <f t="shared" si="0"/>
        <v>#N/A</v>
      </c>
      <c r="W19" s="119" t="e">
        <f t="shared" si="1"/>
        <v>#N/A</v>
      </c>
      <c r="X19" s="118" t="e">
        <f t="shared" si="2"/>
        <v>#N/A</v>
      </c>
      <c r="Y19" s="119" t="e">
        <f t="shared" si="3"/>
        <v>#N/A</v>
      </c>
      <c r="Z19" s="118" t="e">
        <f t="shared" si="4"/>
        <v>#N/A</v>
      </c>
      <c r="AA19" s="119" t="e">
        <f t="shared" si="5"/>
        <v>#N/A</v>
      </c>
      <c r="AB19" s="120"/>
      <c r="AC19" s="119" t="e">
        <f t="shared" si="12"/>
        <v>#N/A</v>
      </c>
      <c r="AD19" s="119" t="e">
        <f t="shared" si="13"/>
        <v>#N/A</v>
      </c>
      <c r="AE19" s="119" t="e">
        <f t="shared" si="14"/>
        <v>#N/A</v>
      </c>
    </row>
    <row r="20" spans="1:31" x14ac:dyDescent="0.2">
      <c r="A20" s="113"/>
      <c r="B20" s="111"/>
      <c r="C20" s="111"/>
      <c r="D20" s="273"/>
      <c r="E20" s="290"/>
      <c r="F20" s="236"/>
      <c r="G20" s="237"/>
      <c r="H20" s="238"/>
      <c r="I20" s="107"/>
      <c r="J20" s="237"/>
      <c r="K20" s="239"/>
      <c r="L20" s="238"/>
      <c r="M20" s="107"/>
      <c r="N20" s="99" t="e">
        <f>VLOOKUP(B20,Onderzoek[#All],5,FALSE)</f>
        <v>#N/A</v>
      </c>
      <c r="O20" s="100" t="e">
        <f>VLOOKUP(B20,Onderzoek[#All],6,FALSE)</f>
        <v>#N/A</v>
      </c>
      <c r="P20" s="106" t="e">
        <f>EXP(-0.693*E20/(VLOOKUP(A20,Nucliden[#All],3,FALSE)))*D20</f>
        <v>#N/A</v>
      </c>
      <c r="Q20" s="115" t="str">
        <f>IF(I20="Nee",(VLOOKUP(A20,Nucliden[#All],35,FALSE)),(IF(I20="Ja",(VLOOKUP(A20,Nucliden[#All],34,FALSE)),(IF(I20="Deels","Bepaal h(0,07)","")))))</f>
        <v/>
      </c>
      <c r="R20" s="115" t="str">
        <f>IF(M20="Nee",(VLOOKUP(A20,Nucliden[#All],19,FALSE)),(IF(M20="Ja",(VLOOKUP(A20,Nucliden[#All],18,FALSE)),(IF(M20="Deels","Bepaal h(10)","")))))</f>
        <v/>
      </c>
      <c r="S20" s="115" t="str">
        <f>IF(M20="Nee",(VLOOKUP(A20,Nucliden[#All],25,FALSE)),(IF(M20="Ja",(VLOOKUP(A20,Nucliden[#All],26,FALSE)),(IF(M20="Deels","Bepaal h(3)","")))))</f>
        <v/>
      </c>
      <c r="T20" s="115" t="e">
        <f>EXP(-0.693*H20/(VLOOKUP(A20,Nucliden[#All],6,FALSE)))</f>
        <v>#N/A</v>
      </c>
      <c r="U20" s="117" t="e">
        <f>EXP(-0.693*L20/(VLOOKUP(A20,Nucliden[#All],6,FALSE)))</f>
        <v>#N/A</v>
      </c>
      <c r="V20" s="118" t="e">
        <f t="shared" si="0"/>
        <v>#N/A</v>
      </c>
      <c r="W20" s="119" t="e">
        <f t="shared" si="1"/>
        <v>#N/A</v>
      </c>
      <c r="X20" s="118" t="e">
        <f t="shared" si="2"/>
        <v>#N/A</v>
      </c>
      <c r="Y20" s="119" t="e">
        <f t="shared" si="3"/>
        <v>#N/A</v>
      </c>
      <c r="Z20" s="118" t="e">
        <f t="shared" si="4"/>
        <v>#N/A</v>
      </c>
      <c r="AA20" s="119" t="e">
        <f t="shared" si="5"/>
        <v>#N/A</v>
      </c>
      <c r="AB20" s="120"/>
      <c r="AC20" s="119" t="e">
        <f t="shared" si="12"/>
        <v>#N/A</v>
      </c>
      <c r="AD20" s="119" t="e">
        <f t="shared" si="13"/>
        <v>#N/A</v>
      </c>
      <c r="AE20" s="119" t="e">
        <f t="shared" si="14"/>
        <v>#N/A</v>
      </c>
    </row>
    <row r="21" spans="1:31" x14ac:dyDescent="0.2">
      <c r="A21" s="113"/>
      <c r="B21" s="111"/>
      <c r="C21" s="111"/>
      <c r="D21" s="273"/>
      <c r="E21" s="290"/>
      <c r="F21" s="236"/>
      <c r="G21" s="237"/>
      <c r="H21" s="238"/>
      <c r="I21" s="107"/>
      <c r="J21" s="237"/>
      <c r="K21" s="239"/>
      <c r="L21" s="238"/>
      <c r="M21" s="107"/>
      <c r="N21" s="99" t="e">
        <f>VLOOKUP(B21,Onderzoek[#All],5,FALSE)</f>
        <v>#N/A</v>
      </c>
      <c r="O21" s="100" t="e">
        <f>VLOOKUP(B21,Onderzoek[#All],6,FALSE)</f>
        <v>#N/A</v>
      </c>
      <c r="P21" s="106" t="e">
        <f>EXP(-0.693*E21/(VLOOKUP(A21,Nucliden[#All],3,FALSE)))*D21</f>
        <v>#N/A</v>
      </c>
      <c r="Q21" s="115" t="str">
        <f>IF(I21="Nee",(VLOOKUP(A21,Nucliden[#All],35,FALSE)),(IF(I21="Ja",(VLOOKUP(A21,Nucliden[#All],34,FALSE)),(IF(I21="Deels","Bepaal h(0,07)","")))))</f>
        <v/>
      </c>
      <c r="R21" s="115" t="str">
        <f>IF(M21="Nee",(VLOOKUP(A21,Nucliden[#All],19,FALSE)),(IF(M21="Ja",(VLOOKUP(A21,Nucliden[#All],18,FALSE)),(IF(M21="Deels","Bepaal h(10)","")))))</f>
        <v/>
      </c>
      <c r="S21" s="115" t="str">
        <f>IF(M21="Nee",(VLOOKUP(A21,Nucliden[#All],25,FALSE)),(IF(M21="Ja",(VLOOKUP(A21,Nucliden[#All],26,FALSE)),(IF(M21="Deels","Bepaal h(3)","")))))</f>
        <v/>
      </c>
      <c r="T21" s="115" t="e">
        <f>EXP(-0.693*H21/(VLOOKUP(A21,Nucliden[#All],6,FALSE)))</f>
        <v>#N/A</v>
      </c>
      <c r="U21" s="117" t="e">
        <f>EXP(-0.693*L21/(VLOOKUP(A21,Nucliden[#All],6,FALSE)))</f>
        <v>#N/A</v>
      </c>
      <c r="V21" s="118" t="e">
        <f t="shared" si="0"/>
        <v>#N/A</v>
      </c>
      <c r="W21" s="119" t="e">
        <f t="shared" si="1"/>
        <v>#N/A</v>
      </c>
      <c r="X21" s="118" t="e">
        <f t="shared" si="2"/>
        <v>#N/A</v>
      </c>
      <c r="Y21" s="119" t="e">
        <f t="shared" si="3"/>
        <v>#N/A</v>
      </c>
      <c r="Z21" s="118" t="e">
        <f t="shared" si="4"/>
        <v>#N/A</v>
      </c>
      <c r="AA21" s="119" t="e">
        <f t="shared" si="5"/>
        <v>#N/A</v>
      </c>
      <c r="AB21" s="120"/>
      <c r="AC21" s="119" t="e">
        <f t="shared" si="12"/>
        <v>#N/A</v>
      </c>
      <c r="AD21" s="119" t="e">
        <f t="shared" si="13"/>
        <v>#N/A</v>
      </c>
      <c r="AE21" s="119" t="e">
        <f t="shared" si="14"/>
        <v>#N/A</v>
      </c>
    </row>
    <row r="22" spans="1:31" x14ac:dyDescent="0.2">
      <c r="A22" s="113"/>
      <c r="B22" s="111"/>
      <c r="C22" s="111"/>
      <c r="D22" s="273"/>
      <c r="E22" s="290"/>
      <c r="F22" s="236"/>
      <c r="G22" s="237"/>
      <c r="H22" s="238"/>
      <c r="I22" s="107"/>
      <c r="J22" s="237"/>
      <c r="K22" s="239"/>
      <c r="L22" s="238"/>
      <c r="M22" s="107"/>
      <c r="N22" s="99" t="e">
        <f>VLOOKUP(B22,Onderzoek[#All],5,FALSE)</f>
        <v>#N/A</v>
      </c>
      <c r="O22" s="100" t="e">
        <f>VLOOKUP(B22,Onderzoek[#All],6,FALSE)</f>
        <v>#N/A</v>
      </c>
      <c r="P22" s="106" t="e">
        <f>EXP(-0.693*E22/(VLOOKUP(A22,Nucliden[#All],3,FALSE)))*D22</f>
        <v>#N/A</v>
      </c>
      <c r="Q22" s="115" t="str">
        <f>IF(I22="Nee",(VLOOKUP(A22,Nucliden[#All],35,FALSE)),(IF(I22="Ja",(VLOOKUP(A22,Nucliden[#All],34,FALSE)),(IF(I22="Deels","Bepaal h(0,07)","")))))</f>
        <v/>
      </c>
      <c r="R22" s="115" t="str">
        <f>IF(M22="Nee",(VLOOKUP(A22,Nucliden[#All],19,FALSE)),(IF(M22="Ja",(VLOOKUP(A22,Nucliden[#All],18,FALSE)),(IF(M22="Deels","Bepaal h(10)","")))))</f>
        <v/>
      </c>
      <c r="S22" s="115" t="str">
        <f>IF(M22="Nee",(VLOOKUP(A22,Nucliden[#All],25,FALSE)),(IF(M22="Ja",(VLOOKUP(A22,Nucliden[#All],26,FALSE)),(IF(M22="Deels","Bepaal h(3)","")))))</f>
        <v/>
      </c>
      <c r="T22" s="115" t="e">
        <f>EXP(-0.693*H22/(VLOOKUP(A22,Nucliden[#All],6,FALSE)))</f>
        <v>#N/A</v>
      </c>
      <c r="U22" s="117" t="e">
        <f>EXP(-0.693*L22/(VLOOKUP(A22,Nucliden[#All],6,FALSE)))</f>
        <v>#N/A</v>
      </c>
      <c r="V22" s="118" t="e">
        <f t="shared" si="0"/>
        <v>#N/A</v>
      </c>
      <c r="W22" s="119" t="e">
        <f t="shared" si="1"/>
        <v>#N/A</v>
      </c>
      <c r="X22" s="118" t="e">
        <f t="shared" si="2"/>
        <v>#N/A</v>
      </c>
      <c r="Y22" s="119" t="e">
        <f t="shared" si="3"/>
        <v>#N/A</v>
      </c>
      <c r="Z22" s="118" t="e">
        <f t="shared" si="4"/>
        <v>#N/A</v>
      </c>
      <c r="AA22" s="119" t="e">
        <f t="shared" si="5"/>
        <v>#N/A</v>
      </c>
      <c r="AB22" s="120"/>
      <c r="AC22" s="119" t="e">
        <f t="shared" si="12"/>
        <v>#N/A</v>
      </c>
      <c r="AD22" s="119" t="e">
        <f t="shared" si="13"/>
        <v>#N/A</v>
      </c>
      <c r="AE22" s="119" t="e">
        <f t="shared" si="14"/>
        <v>#N/A</v>
      </c>
    </row>
    <row r="23" spans="1:31" x14ac:dyDescent="0.2">
      <c r="A23" s="113"/>
      <c r="B23" s="111"/>
      <c r="C23" s="111"/>
      <c r="D23" s="273"/>
      <c r="E23" s="290"/>
      <c r="F23" s="236"/>
      <c r="G23" s="237"/>
      <c r="H23" s="238"/>
      <c r="I23" s="107"/>
      <c r="J23" s="237"/>
      <c r="K23" s="239"/>
      <c r="L23" s="238"/>
      <c r="M23" s="107"/>
      <c r="N23" s="99" t="e">
        <f>VLOOKUP(B23,Onderzoek[#All],5,FALSE)</f>
        <v>#N/A</v>
      </c>
      <c r="O23" s="100" t="e">
        <f>VLOOKUP(B23,Onderzoek[#All],6,FALSE)</f>
        <v>#N/A</v>
      </c>
      <c r="P23" s="106" t="e">
        <f>EXP(-0.693*E23/(VLOOKUP(A23,Nucliden[#All],3,FALSE)))*D23</f>
        <v>#N/A</v>
      </c>
      <c r="Q23" s="115" t="str">
        <f>IF(I23="Nee",(VLOOKUP(A23,Nucliden[#All],35,FALSE)),(IF(I23="Ja",(VLOOKUP(A23,Nucliden[#All],34,FALSE)),(IF(I23="Deels","Bepaal h(0,07)","")))))</f>
        <v/>
      </c>
      <c r="R23" s="115" t="str">
        <f>IF(M23="Nee",(VLOOKUP(A23,Nucliden[#All],19,FALSE)),(IF(M23="Ja",(VLOOKUP(A23,Nucliden[#All],18,FALSE)),(IF(M23="Deels","Bepaal h(10)","")))))</f>
        <v/>
      </c>
      <c r="S23" s="115" t="str">
        <f>IF(M23="Nee",(VLOOKUP(A23,Nucliden[#All],25,FALSE)),(IF(M23="Ja",(VLOOKUP(A23,Nucliden[#All],26,FALSE)),(IF(M23="Deels","Bepaal h(3)","")))))</f>
        <v/>
      </c>
      <c r="T23" s="115" t="e">
        <f>EXP(-0.693*H23/(VLOOKUP(A23,Nucliden[#All],6,FALSE)))</f>
        <v>#N/A</v>
      </c>
      <c r="U23" s="117" t="e">
        <f>EXP(-0.693*L23/(VLOOKUP(A23,Nucliden[#All],6,FALSE)))</f>
        <v>#N/A</v>
      </c>
      <c r="V23" s="118" t="e">
        <f t="shared" si="0"/>
        <v>#N/A</v>
      </c>
      <c r="W23" s="119" t="e">
        <f t="shared" si="1"/>
        <v>#N/A</v>
      </c>
      <c r="X23" s="118" t="e">
        <f t="shared" si="2"/>
        <v>#N/A</v>
      </c>
      <c r="Y23" s="119" t="e">
        <f t="shared" si="3"/>
        <v>#N/A</v>
      </c>
      <c r="Z23" s="118" t="e">
        <f t="shared" si="4"/>
        <v>#N/A</v>
      </c>
      <c r="AA23" s="119" t="e">
        <f t="shared" si="5"/>
        <v>#N/A</v>
      </c>
      <c r="AB23" s="120"/>
      <c r="AC23" s="119" t="e">
        <f t="shared" si="12"/>
        <v>#N/A</v>
      </c>
      <c r="AD23" s="119" t="e">
        <f t="shared" si="13"/>
        <v>#N/A</v>
      </c>
      <c r="AE23" s="119" t="e">
        <f t="shared" si="14"/>
        <v>#N/A</v>
      </c>
    </row>
    <row r="24" spans="1:31" x14ac:dyDescent="0.2">
      <c r="A24" s="113"/>
      <c r="B24" s="111"/>
      <c r="C24" s="111"/>
      <c r="D24" s="273"/>
      <c r="E24" s="290"/>
      <c r="F24" s="236"/>
      <c r="G24" s="237"/>
      <c r="H24" s="238"/>
      <c r="I24" s="107"/>
      <c r="J24" s="237"/>
      <c r="K24" s="239"/>
      <c r="L24" s="238"/>
      <c r="M24" s="107"/>
      <c r="N24" s="99" t="e">
        <f>VLOOKUP(B24,Onderzoek[#All],5,FALSE)</f>
        <v>#N/A</v>
      </c>
      <c r="O24" s="100" t="e">
        <f>VLOOKUP(B24,Onderzoek[#All],6,FALSE)</f>
        <v>#N/A</v>
      </c>
      <c r="P24" s="106" t="e">
        <f>EXP(-0.693*E24/(VLOOKUP(A24,Nucliden[#All],3,FALSE)))*D24</f>
        <v>#N/A</v>
      </c>
      <c r="Q24" s="115" t="str">
        <f>IF(I24="Nee",(VLOOKUP(A24,Nucliden[#All],35,FALSE)),(IF(I24="Ja",(VLOOKUP(A24,Nucliden[#All],34,FALSE)),(IF(I24="Deels","Bepaal h(0,07)","")))))</f>
        <v/>
      </c>
      <c r="R24" s="115" t="str">
        <f>IF(M24="Nee",(VLOOKUP(A24,Nucliden[#All],19,FALSE)),(IF(M24="Ja",(VLOOKUP(A24,Nucliden[#All],18,FALSE)),(IF(M24="Deels","Bepaal h(10)","")))))</f>
        <v/>
      </c>
      <c r="S24" s="115" t="str">
        <f>IF(M24="Nee",(VLOOKUP(A24,Nucliden[#All],25,FALSE)),(IF(M24="Ja",(VLOOKUP(A24,Nucliden[#All],26,FALSE)),(IF(M24="Deels","Bepaal h(3)","")))))</f>
        <v/>
      </c>
      <c r="T24" s="115" t="e">
        <f>EXP(-0.693*H24/(VLOOKUP(A24,Nucliden[#All],6,FALSE)))</f>
        <v>#N/A</v>
      </c>
      <c r="U24" s="117" t="e">
        <f>EXP(-0.693*L24/(VLOOKUP(A24,Nucliden[#All],6,FALSE)))</f>
        <v>#N/A</v>
      </c>
      <c r="V24" s="118" t="e">
        <f t="shared" si="0"/>
        <v>#N/A</v>
      </c>
      <c r="W24" s="119" t="e">
        <f t="shared" si="1"/>
        <v>#N/A</v>
      </c>
      <c r="X24" s="118" t="e">
        <f t="shared" si="2"/>
        <v>#N/A</v>
      </c>
      <c r="Y24" s="119" t="e">
        <f t="shared" si="3"/>
        <v>#N/A</v>
      </c>
      <c r="Z24" s="118" t="e">
        <f t="shared" si="4"/>
        <v>#N/A</v>
      </c>
      <c r="AA24" s="119" t="e">
        <f t="shared" si="5"/>
        <v>#N/A</v>
      </c>
      <c r="AB24" s="120"/>
      <c r="AC24" s="119" t="e">
        <f t="shared" si="12"/>
        <v>#N/A</v>
      </c>
      <c r="AD24" s="119" t="e">
        <f t="shared" si="13"/>
        <v>#N/A</v>
      </c>
      <c r="AE24" s="119" t="e">
        <f t="shared" si="14"/>
        <v>#N/A</v>
      </c>
    </row>
    <row r="25" spans="1:31" x14ac:dyDescent="0.2">
      <c r="A25" s="113"/>
      <c r="B25" s="111"/>
      <c r="C25" s="111"/>
      <c r="D25" s="273"/>
      <c r="E25" s="290"/>
      <c r="F25" s="236"/>
      <c r="G25" s="237"/>
      <c r="H25" s="238"/>
      <c r="I25" s="107"/>
      <c r="J25" s="237"/>
      <c r="K25" s="239"/>
      <c r="L25" s="238"/>
      <c r="M25" s="107"/>
      <c r="N25" s="99" t="e">
        <f>VLOOKUP(B25,Onderzoek[#All],5,FALSE)</f>
        <v>#N/A</v>
      </c>
      <c r="O25" s="100" t="e">
        <f>VLOOKUP(B25,Onderzoek[#All],6,FALSE)</f>
        <v>#N/A</v>
      </c>
      <c r="P25" s="106" t="e">
        <f>EXP(-0.693*E25/(VLOOKUP(A25,Nucliden[#All],3,FALSE)))*D25</f>
        <v>#N/A</v>
      </c>
      <c r="Q25" s="115" t="str">
        <f>IF(I25="Nee",(VLOOKUP(A25,Nucliden[#All],35,FALSE)),(IF(I25="Ja",(VLOOKUP(A25,Nucliden[#All],34,FALSE)),(IF(I25="Deels","Bepaal h(0,07)","")))))</f>
        <v/>
      </c>
      <c r="R25" s="115" t="str">
        <f>IF(M25="Nee",(VLOOKUP(A25,Nucliden[#All],19,FALSE)),(IF(M25="Ja",(VLOOKUP(A25,Nucliden[#All],18,FALSE)),(IF(M25="Deels","Bepaal h(10)","")))))</f>
        <v/>
      </c>
      <c r="S25" s="115" t="str">
        <f>IF(M25="Nee",(VLOOKUP(A25,Nucliden[#All],25,FALSE)),(IF(M25="Ja",(VLOOKUP(A25,Nucliden[#All],26,FALSE)),(IF(M25="Deels","Bepaal h(3)","")))))</f>
        <v/>
      </c>
      <c r="T25" s="115" t="e">
        <f>EXP(-0.693*H25/(VLOOKUP(A25,Nucliden[#All],6,FALSE)))</f>
        <v>#N/A</v>
      </c>
      <c r="U25" s="117" t="e">
        <f>EXP(-0.693*L25/(VLOOKUP(A25,Nucliden[#All],6,FALSE)))</f>
        <v>#N/A</v>
      </c>
      <c r="V25" s="118" t="e">
        <f t="shared" si="0"/>
        <v>#N/A</v>
      </c>
      <c r="W25" s="119" t="e">
        <f t="shared" si="1"/>
        <v>#N/A</v>
      </c>
      <c r="X25" s="118" t="e">
        <f t="shared" si="2"/>
        <v>#N/A</v>
      </c>
      <c r="Y25" s="119" t="e">
        <f t="shared" si="3"/>
        <v>#N/A</v>
      </c>
      <c r="Z25" s="118" t="e">
        <f t="shared" si="4"/>
        <v>#N/A</v>
      </c>
      <c r="AA25" s="119" t="e">
        <f t="shared" si="5"/>
        <v>#N/A</v>
      </c>
      <c r="AB25" s="120"/>
      <c r="AC25" s="119" t="e">
        <f t="shared" si="12"/>
        <v>#N/A</v>
      </c>
      <c r="AD25" s="119" t="e">
        <f t="shared" si="13"/>
        <v>#N/A</v>
      </c>
      <c r="AE25" s="119" t="e">
        <f t="shared" si="14"/>
        <v>#N/A</v>
      </c>
    </row>
    <row r="26" spans="1:31" x14ac:dyDescent="0.2">
      <c r="A26" s="4"/>
      <c r="B26" s="4"/>
      <c r="D26" s="4"/>
      <c r="I26" s="7" t="s">
        <v>445</v>
      </c>
      <c r="M26" s="7" t="s">
        <v>445</v>
      </c>
      <c r="AB26" s="242" t="s">
        <v>449</v>
      </c>
      <c r="AC26" s="241" t="e">
        <f>SUM(AC4:AC25)</f>
        <v>#N/A</v>
      </c>
      <c r="AD26" s="241" t="e">
        <f>SUM(AD4:AD25)</f>
        <v>#N/A</v>
      </c>
      <c r="AE26" s="241" t="e">
        <f>SUM(AE4:AE25)</f>
        <v>#N/A</v>
      </c>
    </row>
    <row r="27" spans="1:31" x14ac:dyDescent="0.2">
      <c r="A27" s="4"/>
      <c r="D27" s="4"/>
      <c r="I27" s="233" t="s">
        <v>66</v>
      </c>
      <c r="M27" s="233" t="s">
        <v>66</v>
      </c>
    </row>
    <row r="28" spans="1:31" x14ac:dyDescent="0.2">
      <c r="A28" s="4"/>
      <c r="I28" s="233" t="s">
        <v>446</v>
      </c>
      <c r="M28" s="233" t="s">
        <v>446</v>
      </c>
    </row>
    <row r="29" spans="1:31" x14ac:dyDescent="0.2">
      <c r="A29" s="4"/>
      <c r="I29" s="233" t="s">
        <v>447</v>
      </c>
      <c r="M29" s="233" t="s">
        <v>447</v>
      </c>
    </row>
    <row r="30" spans="1:31" x14ac:dyDescent="0.2">
      <c r="A30" s="1"/>
      <c r="B30" s="1"/>
      <c r="D30" s="1"/>
      <c r="N30" s="1"/>
    </row>
    <row r="31" spans="1:31" x14ac:dyDescent="0.2">
      <c r="A31" s="1"/>
      <c r="B31" s="1"/>
      <c r="D31" s="2"/>
      <c r="N31" s="1"/>
    </row>
    <row r="32" spans="1:31" x14ac:dyDescent="0.2">
      <c r="A32" s="5"/>
      <c r="B32" s="5"/>
    </row>
  </sheetData>
  <dataValidations count="1">
    <dataValidation type="list" allowBlank="1" showInputMessage="1" showErrorMessage="1" sqref="I4:I25 M4:M25">
      <formula1>$M$27:$M$29</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21</vt:i4>
      </vt:variant>
      <vt:variant>
        <vt:lpstr>Benoemde bereiken</vt:lpstr>
      </vt:variant>
      <vt:variant>
        <vt:i4>1</vt:i4>
      </vt:variant>
    </vt:vector>
  </HeadingPairs>
  <TitlesOfParts>
    <vt:vector size="22" baseType="lpstr">
      <vt:lpstr>Nucliden gegevens</vt:lpstr>
      <vt:lpstr>Farmaca gegevens</vt:lpstr>
      <vt:lpstr>Transfer fracties (TFW)</vt:lpstr>
      <vt:lpstr>Nuclide - Farmacon - Onderzoek</vt:lpstr>
      <vt:lpstr>Handelingen Leveringsniveau</vt:lpstr>
      <vt:lpstr>Handelingen Onderzoeksniveau</vt:lpstr>
      <vt:lpstr>Levering - Uitwendig - Regulier</vt:lpstr>
      <vt:lpstr>VTGM - Uitwendig - Regulier</vt:lpstr>
      <vt:lpstr>Toediening-Uitwendig-Regulier</vt:lpstr>
      <vt:lpstr>Levering - Inhalatie - Regulier</vt:lpstr>
      <vt:lpstr>VTGM - Inhalatie - Regulier</vt:lpstr>
      <vt:lpstr>Toediening-Inhalatie-Regulier</vt:lpstr>
      <vt:lpstr>Levering - Uitwendig - VOG</vt:lpstr>
      <vt:lpstr>VTGM - Uitwendig - VOG</vt:lpstr>
      <vt:lpstr>Toediening - Uitwendig - VOG</vt:lpstr>
      <vt:lpstr>Levering - Inwendig - VOG</vt:lpstr>
      <vt:lpstr>VTGM - Inwendig - VOG</vt:lpstr>
      <vt:lpstr>Toediening - Inwendig - VOG</vt:lpstr>
      <vt:lpstr>Totalen per type medewerker</vt:lpstr>
      <vt:lpstr>Transmissie door Lood</vt:lpstr>
      <vt:lpstr>Versiebeheer</vt:lpstr>
      <vt:lpstr>'Transfer fracties (TFW)'!Afdrukbereik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r.bijkerk@adrz.nl</dc:creator>
  <cp:lastModifiedBy>Bijkerk, Remko</cp:lastModifiedBy>
  <cp:lastPrinted>2017-10-05T10:24:58Z</cp:lastPrinted>
  <dcterms:created xsi:type="dcterms:W3CDTF">2008-03-22T18:51:17Z</dcterms:created>
  <dcterms:modified xsi:type="dcterms:W3CDTF">2019-12-12T16:39:59Z</dcterms:modified>
</cp:coreProperties>
</file>