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vd.kamer\surfdrive\werk\societies\NCS\subcies\I-125 stralingshygiëne\dose calculations\"/>
    </mc:Choice>
  </mc:AlternateContent>
  <workbookProtection workbookAlgorithmName="SHA-512" workbookHashValue="4CL+PR0QtxA5KfFDP0cHRwFV/4QlDsorvI0dzj7scsZdy/iwg1doJxFVtkUAkh75QZLaqVQpaei6fMdkzC/6iA==" workbookSaltValue="aAdQkL0OXwviRLuW4iRzOw==" workbookSpinCount="100000" lockStructure="1"/>
  <bookViews>
    <workbookView xWindow="0" yWindow="0" windowWidth="23025" windowHeight="9570" tabRatio="663"/>
  </bookViews>
  <sheets>
    <sheet name="blootstelling familie etc" sheetId="6" r:id="rId1"/>
    <sheet name="stochastische effecten" sheetId="3" r:id="rId2"/>
    <sheet name="De effecten vergeleken" sheetId="5" r:id="rId3"/>
    <sheet name="basisrisico op kanker" sheetId="4" r:id="rId4"/>
    <sheet name="Specifieke I-125 vliegbrief" sheetId="1" r:id="rId5"/>
    <sheet name="pwd" sheetId="2" r:id="rId6"/>
  </sheets>
  <definedNames>
    <definedName name="_xlnm.Print_Area" localSheetId="4">'Specifieke I-125 vliegbrief'!$A$1:$J$56</definedName>
  </definedNames>
  <calcPr calcId="162913"/>
</workbook>
</file>

<file path=xl/calcChain.xml><?xml version="1.0" encoding="utf-8"?>
<calcChain xmlns="http://schemas.openxmlformats.org/spreadsheetml/2006/main">
  <c r="F6" i="3" l="1"/>
  <c r="E40" i="6"/>
  <c r="S4" i="1"/>
  <c r="R9" i="1"/>
  <c r="S7" i="1"/>
  <c r="E39" i="6" l="1"/>
  <c r="D40" i="6" s="1"/>
  <c r="C36" i="6" l="1"/>
  <c r="C35" i="6"/>
  <c r="D24" i="6"/>
  <c r="D23" i="6"/>
  <c r="E36" i="6" l="1"/>
  <c r="E35" i="6"/>
  <c r="D49" i="6"/>
  <c r="E49" i="6" s="1"/>
  <c r="F49" i="6" s="1"/>
  <c r="D48" i="6"/>
  <c r="E48" i="6" s="1"/>
  <c r="F48" i="6" s="1"/>
  <c r="D47" i="6"/>
  <c r="E47" i="6" s="1"/>
  <c r="F47" i="6" s="1"/>
  <c r="G35" i="1"/>
  <c r="E33" i="1"/>
  <c r="F30" i="1"/>
  <c r="E30" i="1"/>
  <c r="S24" i="1"/>
  <c r="R24" i="1"/>
  <c r="S23" i="1"/>
  <c r="V22" i="1"/>
  <c r="U22" i="1"/>
  <c r="T22" i="1"/>
  <c r="L20" i="1"/>
  <c r="F50" i="6" l="1"/>
  <c r="E6" i="3" s="1"/>
  <c r="V23" i="1"/>
  <c r="U23" i="1" s="1"/>
  <c r="T25" i="1"/>
  <c r="V24" i="1"/>
  <c r="U24" i="1" s="1"/>
  <c r="T24" i="1" s="1"/>
  <c r="H22" i="3" l="1"/>
  <c r="L22" i="3"/>
  <c r="K22" i="3"/>
  <c r="C21" i="3"/>
  <c r="K21" i="3"/>
  <c r="J21" i="3"/>
  <c r="H21" i="3"/>
  <c r="G21" i="3"/>
  <c r="I21" i="3"/>
  <c r="L21" i="3"/>
  <c r="C22" i="3"/>
  <c r="D22" i="3"/>
  <c r="E22" i="3"/>
  <c r="I22" i="3"/>
  <c r="J22" i="3"/>
  <c r="D21" i="3"/>
  <c r="F22" i="3"/>
  <c r="E21" i="3"/>
  <c r="G22" i="3"/>
  <c r="F21" i="3"/>
  <c r="T23" i="1"/>
  <c r="E28" i="1"/>
  <c r="E35" i="1" s="1"/>
  <c r="E39" i="1" s="1"/>
  <c r="E7" i="3" s="1"/>
  <c r="D33" i="5"/>
  <c r="C27" i="3" l="1"/>
  <c r="I27" i="3"/>
  <c r="H27" i="3"/>
  <c r="G27" i="3"/>
  <c r="F27" i="3"/>
  <c r="C26" i="3"/>
  <c r="L26" i="3"/>
  <c r="K26" i="3"/>
  <c r="L27" i="3"/>
  <c r="J26" i="3"/>
  <c r="K27" i="3"/>
  <c r="I26" i="3"/>
  <c r="J27" i="3"/>
  <c r="H26" i="3"/>
  <c r="G26" i="3"/>
  <c r="B6" i="5"/>
  <c r="F26" i="3"/>
  <c r="E26" i="3"/>
  <c r="D26" i="3"/>
  <c r="D27" i="3"/>
  <c r="E27" i="3"/>
  <c r="E44" i="1"/>
  <c r="D32" i="5"/>
  <c r="D35" i="5"/>
  <c r="D34" i="5"/>
  <c r="D31" i="5"/>
  <c r="D30" i="5"/>
  <c r="D15" i="5"/>
  <c r="D14" i="5"/>
  <c r="E19" i="5" s="1"/>
  <c r="E20" i="5" l="1"/>
  <c r="C37" i="3"/>
  <c r="D36" i="3"/>
  <c r="C36" i="3"/>
  <c r="F37" i="3"/>
  <c r="G37" i="3"/>
  <c r="F35" i="5"/>
  <c r="F34" i="5"/>
  <c r="F33" i="5"/>
  <c r="F32" i="5"/>
  <c r="F31" i="5"/>
  <c r="F30" i="5"/>
  <c r="D13" i="5"/>
  <c r="E18" i="5" s="1"/>
  <c r="F7" i="3"/>
  <c r="B4" i="5"/>
  <c r="I17" i="3"/>
  <c r="I32" i="3" s="1"/>
  <c r="H17" i="3"/>
  <c r="H32" i="3" s="1"/>
  <c r="G17" i="3"/>
  <c r="G32" i="3" s="1"/>
  <c r="F17" i="3"/>
  <c r="F32" i="3" s="1"/>
  <c r="E17" i="3"/>
  <c r="E32" i="3" s="1"/>
  <c r="D17" i="3"/>
  <c r="D32" i="3" s="1"/>
  <c r="C17" i="3"/>
  <c r="C32" i="3" s="1"/>
  <c r="C16" i="3"/>
  <c r="C31" i="3" s="1"/>
  <c r="I16" i="3"/>
  <c r="I31" i="3" s="1"/>
  <c r="H16" i="3"/>
  <c r="H31" i="3" s="1"/>
  <c r="G16" i="3"/>
  <c r="G31" i="3" s="1"/>
  <c r="F16" i="3"/>
  <c r="F31" i="3" s="1"/>
  <c r="E16" i="3"/>
  <c r="E31" i="3" s="1"/>
  <c r="D16" i="3"/>
  <c r="D31" i="3" s="1"/>
  <c r="H36" i="3" l="1"/>
  <c r="I37" i="3"/>
  <c r="E37" i="3"/>
  <c r="F36" i="3"/>
  <c r="H37" i="3"/>
  <c r="I36" i="3"/>
  <c r="E36" i="3"/>
  <c r="G36" i="3"/>
  <c r="D37" i="3"/>
  <c r="C5" i="5"/>
  <c r="C6" i="5"/>
  <c r="B5" i="5"/>
  <c r="E32" i="5" l="1"/>
  <c r="E13" i="5"/>
  <c r="E31" i="5"/>
  <c r="E35" i="5"/>
  <c r="E15" i="5"/>
  <c r="G15" i="5" s="1"/>
  <c r="H15" i="5" s="1"/>
  <c r="E33" i="5"/>
  <c r="E34" i="5"/>
  <c r="E14" i="5"/>
  <c r="E30" i="5"/>
  <c r="G20" i="5" l="1"/>
  <c r="H20" i="5" s="1"/>
  <c r="F20" i="5"/>
  <c r="F19" i="5"/>
  <c r="G19" i="5"/>
  <c r="H19" i="5" s="1"/>
  <c r="G18" i="5"/>
  <c r="H18" i="5" s="1"/>
  <c r="F18" i="5"/>
  <c r="F15" i="5"/>
  <c r="F13" i="5"/>
  <c r="G13" i="5"/>
  <c r="H13" i="5" s="1"/>
  <c r="G14" i="5"/>
  <c r="H14" i="5" s="1"/>
  <c r="F14" i="5"/>
</calcChain>
</file>

<file path=xl/sharedStrings.xml><?xml version="1.0" encoding="utf-8"?>
<sst xmlns="http://schemas.openxmlformats.org/spreadsheetml/2006/main" count="357" uniqueCount="259">
  <si>
    <t>RADIATION SAFETY CERTIFICATE</t>
  </si>
  <si>
    <t>To whom it may concern</t>
  </si>
  <si>
    <t>Name:</t>
  </si>
  <si>
    <t>Date of birth:</t>
  </si>
  <si>
    <t>Radiation level at discharge from the hospital:</t>
  </si>
  <si>
    <t>Date of public transport (flight):</t>
  </si>
  <si>
    <t>Half-life of isotope:</t>
  </si>
  <si>
    <t>Radiation level at start of journey:</t>
  </si>
  <si>
    <t>Estimated dose to neighbouring passenger:</t>
  </si>
  <si>
    <t>The Netherlands</t>
  </si>
  <si>
    <t>Signature:</t>
  </si>
  <si>
    <t>mSv/h</t>
  </si>
  <si>
    <t>(at 1 m distance from this person)</t>
  </si>
  <si>
    <t>(N.B.! 1 mSv/h ~ 100 mR/h)</t>
  </si>
  <si>
    <t>days</t>
  </si>
  <si>
    <t>(dd-mm-yyyy)</t>
  </si>
  <si>
    <t>of the public:</t>
  </si>
  <si>
    <t xml:space="preserve">International dose limit for members </t>
  </si>
  <si>
    <t>mSv</t>
  </si>
  <si>
    <t>Duration of journey:</t>
  </si>
  <si>
    <t>hours</t>
  </si>
  <si>
    <t>since discharge from hospital</t>
  </si>
  <si>
    <t>(assuming that the passenger will sit next to this person during the whole journey)</t>
  </si>
  <si>
    <t>Date of discharge from the hospital:</t>
  </si>
  <si>
    <t>For Calculation purposes</t>
  </si>
  <si>
    <r>
      <t>G</t>
    </r>
    <r>
      <rPr>
        <vertAlign val="subscript"/>
        <sz val="10"/>
        <rFont val="Symbol"/>
        <family val="1"/>
        <charset val="2"/>
      </rPr>
      <t>d</t>
    </r>
  </si>
  <si>
    <r>
      <t>µGy h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MBq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</si>
  <si>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E/K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</si>
  <si>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t>cm</t>
  </si>
  <si>
    <t>r =</t>
  </si>
  <si>
    <t>effective dose at distance/hour
outside patient</t>
  </si>
  <si>
    <t>MBq</t>
  </si>
  <si>
    <r>
      <t>m</t>
    </r>
    <r>
      <rPr>
        <sz val="10"/>
        <rFont val="Arial"/>
        <family val="2"/>
      </rPr>
      <t>Gy h</t>
    </r>
    <r>
      <rPr>
        <vertAlign val="superscript"/>
        <sz val="10"/>
        <rFont val="Arial"/>
        <family val="2"/>
      </rPr>
      <t>-1</t>
    </r>
  </si>
  <si>
    <t>Assumptions</t>
  </si>
  <si>
    <t>gamma air kerma factor I-125</t>
  </si>
  <si>
    <r>
      <t>Correction gamma air kerma factor (K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) </t>
    </r>
  </si>
  <si>
    <t>To Effective dose (E):</t>
  </si>
  <si>
    <t>Half value thickness of tissue</t>
  </si>
  <si>
    <t>Assumed thickness of tisse</t>
  </si>
  <si>
    <t>fill in for calculation</t>
  </si>
  <si>
    <t xml:space="preserve">Result </t>
  </si>
  <si>
    <t>light blue</t>
  </si>
  <si>
    <t>given</t>
  </si>
  <si>
    <t>air kerma rate/source</t>
  </si>
  <si>
    <t># sources</t>
  </si>
  <si>
    <t>apparent activity/source</t>
  </si>
  <si>
    <t>air kerma rate/ source @1.0 m</t>
  </si>
  <si>
    <t>absorption patient</t>
  </si>
  <si>
    <t>fill in for documentation</t>
  </si>
  <si>
    <t>light purple</t>
  </si>
  <si>
    <t>Distances used for calculation</t>
  </si>
  <si>
    <t xml:space="preserve">The bearer of this certificate has recently undergone </t>
  </si>
  <si>
    <t xml:space="preserve">This data sheet is to certify that the radiation dose to any neighbouring </t>
  </si>
  <si>
    <t xml:space="preserve">passenger  from the remaining radioactivity in the person named below is </t>
  </si>
  <si>
    <t xml:space="preserve">well within International dose limits and will in no case cause harm </t>
  </si>
  <si>
    <t xml:space="preserve">to a passenger sitting next to this person </t>
  </si>
  <si>
    <t>Radiation dose to be expected from the person treated with an 125-Iodine-pharmaceutical</t>
  </si>
  <si>
    <t>radionuclide therapy using an 125-Iodine pharmaceutical</t>
  </si>
  <si>
    <t>Please fill in all yellow fields;  then print in duplicate.</t>
  </si>
  <si>
    <t>Half-life</t>
  </si>
  <si>
    <t>Radiation Safety Officer</t>
  </si>
  <si>
    <t>Approved by the NCS</t>
  </si>
  <si>
    <t>password is NCS</t>
  </si>
  <si>
    <t>0 - 9</t>
  </si>
  <si>
    <t>10 - 19</t>
  </si>
  <si>
    <t>20 - 29</t>
  </si>
  <si>
    <t>30 - 39</t>
  </si>
  <si>
    <t>40 - 49</t>
  </si>
  <si>
    <t>50-59</t>
  </si>
  <si>
    <t>60 - 69</t>
  </si>
  <si>
    <t>70 -79</t>
  </si>
  <si>
    <t>80 - 89</t>
  </si>
  <si>
    <t>90 - 99</t>
  </si>
  <si>
    <t>Men</t>
  </si>
  <si>
    <t>Women</t>
  </si>
  <si>
    <t>Additional lifetime risk (%/Gy)</t>
  </si>
  <si>
    <t>49,38</t>
  </si>
  <si>
    <t>49,59</t>
  </si>
  <si>
    <t>2,2</t>
  </si>
  <si>
    <t>49,55</t>
  </si>
  <si>
    <t>49,77</t>
  </si>
  <si>
    <t>49,57</t>
  </si>
  <si>
    <t>49,78</t>
  </si>
  <si>
    <t>49,56</t>
  </si>
  <si>
    <t>49,79</t>
  </si>
  <si>
    <t>49,54</t>
  </si>
  <si>
    <t>49,76</t>
  </si>
  <si>
    <t>49,49</t>
  </si>
  <si>
    <t>49,71</t>
  </si>
  <si>
    <t>49,44</t>
  </si>
  <si>
    <t>49,66</t>
  </si>
  <si>
    <t>49,36</t>
  </si>
  <si>
    <t>49,58</t>
  </si>
  <si>
    <t>49,15</t>
  </si>
  <si>
    <t>49,37</t>
  </si>
  <si>
    <t>48,61</t>
  </si>
  <si>
    <t>48,84</t>
  </si>
  <si>
    <t>2,3</t>
  </si>
  <si>
    <t>47,40</t>
  </si>
  <si>
    <t>47,65</t>
  </si>
  <si>
    <t>2,4</t>
  </si>
  <si>
    <t>45,01</t>
  </si>
  <si>
    <t>45,28</t>
  </si>
  <si>
    <t>2,5</t>
  </si>
  <si>
    <t>41,08</t>
  </si>
  <si>
    <t>41,40</t>
  </si>
  <si>
    <t>2,9</t>
  </si>
  <si>
    <t>35,46</t>
  </si>
  <si>
    <t>35,86</t>
  </si>
  <si>
    <t>3,6</t>
  </si>
  <si>
    <t>28,31</t>
  </si>
  <si>
    <t>28,90</t>
  </si>
  <si>
    <t>6,0</t>
  </si>
  <si>
    <t>20,49</t>
  </si>
  <si>
    <t>21,52</t>
  </si>
  <si>
    <t>11,95</t>
  </si>
  <si>
    <t>14,43</t>
  </si>
  <si>
    <t>9,44</t>
  </si>
  <si>
    <t>Tot leeftijd</t>
  </si>
  <si>
    <t>Van leeftijd</t>
  </si>
  <si>
    <t>95+</t>
  </si>
  <si>
    <t>Dataset</t>
  </si>
  <si>
    <t>bewerk</t>
  </si>
  <si>
    <t>Kans | Alle tumoren</t>
  </si>
  <si>
    <t>Regio</t>
  </si>
  <si>
    <t>Landelijk</t>
  </si>
  <si>
    <t>kans op</t>
  </si>
  <si>
    <t>Diagnose kanker</t>
  </si>
  <si>
    <t>Periode</t>
  </si>
  <si>
    <t>2005-2009</t>
  </si>
  <si>
    <t>Geslacht</t>
  </si>
  <si>
    <t>Man / Vrouw</t>
  </si>
  <si>
    <t>https://www.cijfersoverkanker.nl/</t>
  </si>
  <si>
    <t>mannen</t>
  </si>
  <si>
    <t>Lifetime risico (tot leeftijd 85)</t>
  </si>
  <si>
    <t>Vrouwen</t>
  </si>
  <si>
    <t>Nominale risico op kanker tot 75 (risico blijft stijgen dus 75 is conservatiever dan 80)</t>
  </si>
  <si>
    <t>Extra achtergrondstraling</t>
  </si>
  <si>
    <t>Spanje</t>
  </si>
  <si>
    <t>maanden</t>
  </si>
  <si>
    <t>dagen</t>
  </si>
  <si>
    <t>uren</t>
  </si>
  <si>
    <t>mSy/yr</t>
  </si>
  <si>
    <t>achtergrondstraling</t>
  </si>
  <si>
    <t>Frankrijk</t>
  </si>
  <si>
    <t>Basis NL</t>
  </si>
  <si>
    <t xml:space="preserve">Guarapari beach, Brazil </t>
  </si>
  <si>
    <t>jaren</t>
  </si>
  <si>
    <t>Diff with NL</t>
  </si>
  <si>
    <t>mSv/yr</t>
  </si>
  <si>
    <t>Equivalente blootstelling bereikt in</t>
  </si>
  <si>
    <t>Vliegreizen</t>
  </si>
  <si>
    <t>nSv/h</t>
  </si>
  <si>
    <t>Bestemming</t>
  </si>
  <si>
    <t>dosis (mSv)</t>
  </si>
  <si>
    <t>Bali</t>
  </si>
  <si>
    <t>Vliegduur enkele reis (uren)</t>
  </si>
  <si>
    <t>VS New York</t>
  </si>
  <si>
    <t>VS San Fransisco</t>
  </si>
  <si>
    <t>Australië Melboure</t>
  </si>
  <si>
    <t>Tokio</t>
  </si>
  <si>
    <t>Website</t>
  </si>
  <si>
    <t>https://www.rivm.nl/stralingsbelasting-in-nederland/invloed-van-menselijk-handelen/vliegverkeer</t>
  </si>
  <si>
    <t>https://www.rivm.nl/publicaties/cosmic-radiation-during-air-travel-trends-in-exposure-of-aircrews-and-airline</t>
  </si>
  <si>
    <t>vluchten naar Noord-Amerika is de dosis per enkele reis zo'n 0,04-0,05 mSv millisievert .</t>
  </si>
  <si>
    <t>Vliegduur via klm.nl</t>
  </si>
  <si>
    <t>Vliegen</t>
  </si>
  <si>
    <t>Vakantie</t>
  </si>
  <si>
    <t>Rio de Janeiro</t>
  </si>
  <si>
    <t>(om naar Guarapari Beach te kunnen)</t>
  </si>
  <si>
    <t>half life I-125</t>
  </si>
  <si>
    <r>
      <t>T</t>
    </r>
    <r>
      <rPr>
        <vertAlign val="subscript"/>
        <sz val="10"/>
        <rFont val="Arial"/>
        <family val="2"/>
      </rPr>
      <t>1/2</t>
    </r>
  </si>
  <si>
    <t>(distance from centre prostaat untill skin on belly)</t>
  </si>
  <si>
    <t>meter (reference distance)</t>
  </si>
  <si>
    <t xml:space="preserve">Mutable default values </t>
  </si>
  <si>
    <t>licht green</t>
  </si>
  <si>
    <t>yellow</t>
  </si>
  <si>
    <t xml:space="preserve">Calculation </t>
  </si>
  <si>
    <t>measured doserate</t>
  </si>
  <si>
    <t>Note: both "air kerma" and "apparent activity" and the "measured doserate" can be given</t>
  </si>
  <si>
    <t>If all three are given, the "air kerma" will be used in cell E28</t>
  </si>
  <si>
    <t>If both "appatent activety" and "measured doserate" are given, the "apparent activety" will be used</t>
  </si>
  <si>
    <t>If only one is given, that one will be used</t>
  </si>
  <si>
    <t>% of limit</t>
  </si>
  <si>
    <t>may be received by a neigbouring passenger</t>
  </si>
  <si>
    <t>Department of Nuclear Medicine</t>
  </si>
  <si>
    <t>University Hospital</t>
  </si>
  <si>
    <t>Tel: + 31        (cell phone: +31 6        )</t>
  </si>
  <si>
    <t>Piet Puk</t>
  </si>
  <si>
    <t>Berekening blootstelling klein kind op schoot</t>
  </si>
  <si>
    <t>Aaname is dat gedurende de eerste periode er een lichte restrictie is, daarna niet meer</t>
  </si>
  <si>
    <t>Totale blootstelling = totale fysische dosis * verblijftijd * effectiviteitsfactor</t>
  </si>
  <si>
    <t>Wettelijke limiet:</t>
  </si>
  <si>
    <t>mSv/jr</t>
  </si>
  <si>
    <t>Sv/Gy</t>
  </si>
  <si>
    <t>Aannames uit tabblad I-125 vliegbrief:</t>
  </si>
  <si>
    <t>Halfwaardetijd</t>
  </si>
  <si>
    <t>Duur v.e. jaar</t>
  </si>
  <si>
    <t>Aantal zaadjes</t>
  </si>
  <si>
    <t>gebruikt</t>
  </si>
  <si>
    <t>Halfwaarde dikte weefsel</t>
  </si>
  <si>
    <t>Bronsterkte</t>
  </si>
  <si>
    <t>uGy/(h m^2)</t>
  </si>
  <si>
    <t>uGy/h</t>
  </si>
  <si>
    <t>correcties</t>
  </si>
  <si>
    <t>sum</t>
  </si>
  <si>
    <t>fys dosis1</t>
  </si>
  <si>
    <t>verblijf</t>
  </si>
  <si>
    <t>biologisch</t>
  </si>
  <si>
    <t>eerste periode</t>
  </si>
  <si>
    <t>tweede periode</t>
  </si>
  <si>
    <t>Blootstelling</t>
  </si>
  <si>
    <t>totale fysische dosis = - initiele dose rate * halfwaardetijd/ln(2) * [exp(-t-eind * ln(2)/halfwaardetijd) - exp(-t-begin * ln(2)/halfwaardetijd)]</t>
  </si>
  <si>
    <t>in de buurt</t>
  </si>
  <si>
    <t>Activiteit op schoot</t>
  </si>
  <si>
    <t>Activiteit in de buurt</t>
  </si>
  <si>
    <t>Verblijfduur op schoot</t>
  </si>
  <si>
    <t>Verblijfduur in de buurt</t>
  </si>
  <si>
    <t>h/dag</t>
  </si>
  <si>
    <t>Afstand prostaat - huid</t>
  </si>
  <si>
    <t>conversion Gy --&gt; Sv</t>
  </si>
  <si>
    <t>Afstand 'op schoot'</t>
  </si>
  <si>
    <t>Afstand 'in de buurt'</t>
  </si>
  <si>
    <t>periode 1 (dagen)</t>
  </si>
  <si>
    <t>periode 2 (dagen)</t>
  </si>
  <si>
    <t>t-start (dag)</t>
  </si>
  <si>
    <t>t-eind (dag)</t>
  </si>
  <si>
    <t>Verblijfduur per dag</t>
  </si>
  <si>
    <t>(hele periode)</t>
  </si>
  <si>
    <t>uSv/h</t>
  </si>
  <si>
    <t>meter (e.g. person sitting next to patient ~0.5; on lap: 0.4)</t>
  </si>
  <si>
    <t>versie 2/05/2020</t>
  </si>
  <si>
    <t>Siegersma, D., 2019. Potentiële stralingsbelasting na het overlijden van patiënten behandeld met radioactieve stoffen, RIVM. doi:10.21945/RIVM-2019-0165</t>
  </si>
  <si>
    <t>lineair geinterpoleerd van ICRP</t>
  </si>
  <si>
    <t>doi.org/10.1016/0146-6453(81)90127-5</t>
  </si>
  <si>
    <t>uit tabblad blootstelling familie etc</t>
  </si>
  <si>
    <t>Verdere aannames</t>
  </si>
  <si>
    <t>(=30cm entrale as kind tot huid patiënt + 10 cm prostaat tot huid)</t>
  </si>
  <si>
    <t xml:space="preserve">Zie o.a. </t>
  </si>
  <si>
    <t xml:space="preserve">Dauer, L.T., Kollmeier, M.A., Williamson, M.J., St. Germain, J., Altamirano, J., Yamada, Y., Zelefsky, M.J., 2010. 
</t>
  </si>
  <si>
    <t>Less-restrictive, patient-specific radiation safety precautions can be safely prescribed after permanent seed implantation. Brachytherapy 9, 101–111. https://doi.org/10.1016/j.brachy.2009.06.006</t>
  </si>
  <si>
    <t>Vliegbrief</t>
  </si>
  <si>
    <t xml:space="preserve">Totale dosis zoals berekend voor </t>
  </si>
  <si>
    <t>familie + vrienden 'in de buurt'</t>
  </si>
  <si>
    <t>Additional lifetime risk for flight in airplane</t>
  </si>
  <si>
    <t>Additional lifetime risk for family and friends nearby</t>
  </si>
  <si>
    <t>Total risk before 75 for family and friends nearby</t>
  </si>
  <si>
    <t>Family &amp; firnends nearby</t>
  </si>
  <si>
    <t>airplane</t>
  </si>
  <si>
    <t>Famiy</t>
  </si>
  <si>
    <t>Airplane</t>
  </si>
  <si>
    <t>Family</t>
  </si>
  <si>
    <t>aantal vluchten  met gelijke blootstelling</t>
  </si>
  <si>
    <t>Vul de groene cellen in omzowel de activiteit aan te passen als de verblijfsduren</t>
  </si>
  <si>
    <t>https://doi.org/10.25030/ncs-026</t>
  </si>
  <si>
    <t>Table 2 (p12) van NCS rapport 26</t>
  </si>
  <si>
    <t>De dosis wordt berekend a la NCS 20, maar met een nieuwe conversiefactor:</t>
  </si>
  <si>
    <t>Waarbij de conversie Gy --&gt; Sv komt uit NCS communicatie "Leefregels na I-125 Therapie; Patiëntinformatiebrief", https://radiationdosimetry.org/ncs/documents/leefregels-na-i-125-therapie</t>
  </si>
  <si>
    <t>Noot: voor verzorgenden en familie/vrienden zijn ruimere limieten (zie RIVM rapport: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</si>
</sst>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"/>
    <numFmt numFmtId="165" formatCode="0.0000"/>
    <numFmt numFmtId="166" formatCode="0.0"/>
    <numFmt numFmtId="167" formatCode="0.00000"/>
    <numFmt numFmtId="168" formatCode="0.0\ &quot;m&quot;"/>
    <numFmt numFmtId="169" formatCode="&quot;at &quot;0.0&quot;m&quot;"/>
    <numFmt numFmtId="170" formatCode="0.00\ &quot;uSv/h&quot;"/>
    <numFmt numFmtId="171" formatCode="0.00\ &quot;uGy/h&quot;"/>
    <numFmt numFmtId="172" formatCode="&quot;at &quot;0.0&quot;m distance from this person&quot;"/>
    <numFmt numFmtId="173" formatCode="0.000%"/>
  </numFmts>
  <fonts count="27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24"/>
      <color indexed="10"/>
      <name val="Arial Black"/>
      <family val="2"/>
    </font>
    <font>
      <b/>
      <sz val="24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color indexed="9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0" fontId="0" fillId="0" borderId="2" xfId="0" applyFill="1" applyBorder="1"/>
    <xf numFmtId="169" fontId="0" fillId="0" borderId="2" xfId="0" applyNumberFormat="1" applyFill="1" applyBorder="1"/>
    <xf numFmtId="0" fontId="1" fillId="0" borderId="3" xfId="0" applyFont="1" applyBorder="1"/>
    <xf numFmtId="0" fontId="0" fillId="0" borderId="3" xfId="0" applyBorder="1"/>
    <xf numFmtId="0" fontId="6" fillId="0" borderId="3" xfId="0" applyFont="1" applyBorder="1"/>
    <xf numFmtId="0" fontId="3" fillId="0" borderId="3" xfId="0" applyFont="1" applyBorder="1"/>
    <xf numFmtId="0" fontId="1" fillId="7" borderId="3" xfId="0" applyFont="1" applyFill="1" applyBorder="1"/>
    <xf numFmtId="0" fontId="0" fillId="7" borderId="0" xfId="0" applyFill="1"/>
    <xf numFmtId="0" fontId="0" fillId="0" borderId="6" xfId="0" applyFill="1" applyBorder="1"/>
    <xf numFmtId="0" fontId="0" fillId="0" borderId="5" xfId="0" applyFill="1" applyBorder="1"/>
    <xf numFmtId="170" fontId="0" fillId="3" borderId="0" xfId="0" applyNumberFormat="1" applyFill="1" applyBorder="1"/>
    <xf numFmtId="168" fontId="7" fillId="0" borderId="8" xfId="0" applyNumberFormat="1" applyFont="1" applyFill="1" applyBorder="1" applyAlignment="1">
      <alignment horizontal="left"/>
    </xf>
    <xf numFmtId="164" fontId="0" fillId="0" borderId="9" xfId="0" applyNumberFormat="1" applyFill="1" applyBorder="1"/>
    <xf numFmtId="168" fontId="0" fillId="0" borderId="6" xfId="0" applyNumberFormat="1" applyFill="1" applyBorder="1" applyAlignment="1">
      <alignment horizontal="left"/>
    </xf>
    <xf numFmtId="165" fontId="0" fillId="0" borderId="5" xfId="0" applyNumberFormat="1" applyFill="1" applyBorder="1"/>
    <xf numFmtId="0" fontId="23" fillId="0" borderId="10" xfId="0" applyFont="1" applyFill="1" applyBorder="1"/>
    <xf numFmtId="0" fontId="23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7" fillId="0" borderId="0" xfId="0" applyFont="1"/>
    <xf numFmtId="0" fontId="18" fillId="2" borderId="8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0" fillId="0" borderId="0" xfId="0" applyFont="1" applyProtection="1"/>
    <xf numFmtId="14" fontId="3" fillId="6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/>
    <xf numFmtId="0" fontId="22" fillId="0" borderId="0" xfId="0" applyFont="1" applyBorder="1"/>
    <xf numFmtId="0" fontId="21" fillId="0" borderId="0" xfId="0" applyFont="1" applyBorder="1"/>
    <xf numFmtId="0" fontId="4" fillId="0" borderId="0" xfId="0" applyFont="1"/>
    <xf numFmtId="49" fontId="0" fillId="0" borderId="0" xfId="0" applyNumberFormat="1"/>
    <xf numFmtId="0" fontId="0" fillId="0" borderId="0" xfId="0" quotePrefix="1"/>
    <xf numFmtId="2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1" applyAlignment="1">
      <alignment vertical="center" wrapText="1"/>
    </xf>
    <xf numFmtId="0" fontId="24" fillId="0" borderId="0" xfId="1"/>
    <xf numFmtId="0" fontId="3" fillId="0" borderId="0" xfId="0" applyFont="1" applyAlignment="1">
      <alignment horizontal="left" vertical="justify"/>
    </xf>
    <xf numFmtId="165" fontId="0" fillId="0" borderId="0" xfId="0" applyNumberFormat="1"/>
    <xf numFmtId="0" fontId="6" fillId="0" borderId="0" xfId="0" quotePrefix="1" applyFont="1"/>
    <xf numFmtId="166" fontId="6" fillId="0" borderId="0" xfId="0" quotePrefix="1" applyNumberFormat="1" applyFont="1"/>
    <xf numFmtId="0" fontId="6" fillId="0" borderId="0" xfId="0" applyFont="1" applyAlignment="1">
      <alignment vertical="top"/>
    </xf>
    <xf numFmtId="0" fontId="6" fillId="9" borderId="0" xfId="0" applyFont="1" applyFill="1" applyProtection="1">
      <protection locked="0"/>
    </xf>
    <xf numFmtId="0" fontId="6" fillId="0" borderId="0" xfId="0" applyFont="1" applyAlignment="1">
      <alignment horizontal="left"/>
    </xf>
    <xf numFmtId="0" fontId="6" fillId="10" borderId="0" xfId="0" applyFont="1" applyFill="1"/>
    <xf numFmtId="0" fontId="6" fillId="3" borderId="0" xfId="0" applyFont="1" applyFill="1"/>
    <xf numFmtId="0" fontId="3" fillId="9" borderId="0" xfId="0" applyFont="1" applyFill="1"/>
    <xf numFmtId="14" fontId="3" fillId="6" borderId="1" xfId="0" applyNumberFormat="1" applyFont="1" applyFill="1" applyBorder="1" applyAlignment="1">
      <alignment horizontal="right"/>
    </xf>
    <xf numFmtId="0" fontId="0" fillId="8" borderId="0" xfId="0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Fill="1"/>
    <xf numFmtId="0" fontId="6" fillId="0" borderId="5" xfId="0" applyFont="1" applyBorder="1" applyAlignment="1">
      <alignment wrapText="1"/>
    </xf>
    <xf numFmtId="49" fontId="6" fillId="0" borderId="7" xfId="0" applyNumberFormat="1" applyFont="1" applyFill="1" applyBorder="1" applyAlignment="1">
      <alignment horizontal="right" wrapText="1"/>
    </xf>
    <xf numFmtId="0" fontId="6" fillId="0" borderId="4" xfId="0" applyFont="1" applyFill="1" applyBorder="1"/>
    <xf numFmtId="0" fontId="0" fillId="10" borderId="0" xfId="0" applyFill="1" applyProtection="1">
      <protection locked="0"/>
    </xf>
    <xf numFmtId="164" fontId="0" fillId="10" borderId="8" xfId="0" applyNumberFormat="1" applyFill="1" applyBorder="1" applyProtection="1">
      <protection locked="0"/>
    </xf>
    <xf numFmtId="171" fontId="3" fillId="11" borderId="0" xfId="0" applyNumberFormat="1" applyFont="1" applyFill="1"/>
    <xf numFmtId="0" fontId="6" fillId="10" borderId="5" xfId="0" applyFont="1" applyFill="1" applyBorder="1" applyProtection="1">
      <protection locked="0"/>
    </xf>
    <xf numFmtId="0" fontId="0" fillId="0" borderId="0" xfId="0" applyFill="1" applyProtection="1">
      <protection locked="0"/>
    </xf>
    <xf numFmtId="171" fontId="3" fillId="10" borderId="5" xfId="0" applyNumberFormat="1" applyFont="1" applyFill="1" applyBorder="1" applyProtection="1">
      <protection locked="0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5" fontId="3" fillId="8" borderId="1" xfId="0" applyNumberFormat="1" applyFont="1" applyFill="1" applyBorder="1" applyAlignment="1">
      <alignment horizontal="right"/>
    </xf>
    <xf numFmtId="166" fontId="5" fillId="8" borderId="1" xfId="0" applyNumberFormat="1" applyFont="1" applyFill="1" applyBorder="1" applyAlignment="1">
      <alignment horizontal="right"/>
    </xf>
    <xf numFmtId="172" fontId="3" fillId="0" borderId="0" xfId="0" applyNumberFormat="1" applyFont="1" applyAlignment="1"/>
    <xf numFmtId="0" fontId="25" fillId="0" borderId="0" xfId="0" applyFont="1"/>
    <xf numFmtId="2" fontId="6" fillId="0" borderId="0" xfId="0" applyNumberFormat="1" applyFont="1"/>
    <xf numFmtId="0" fontId="0" fillId="0" borderId="0" xfId="0" applyAlignment="1"/>
    <xf numFmtId="164" fontId="0" fillId="0" borderId="0" xfId="0" applyNumberFormat="1"/>
    <xf numFmtId="165" fontId="5" fillId="0" borderId="22" xfId="0" applyNumberFormat="1" applyFont="1" applyFill="1" applyBorder="1" applyProtection="1"/>
    <xf numFmtId="173" fontId="0" fillId="0" borderId="0" xfId="0" applyNumberFormat="1"/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12" borderId="0" xfId="0" applyFill="1" applyProtection="1">
      <protection locked="0"/>
    </xf>
    <xf numFmtId="0" fontId="0" fillId="12" borderId="0" xfId="0" applyFill="1"/>
    <xf numFmtId="0" fontId="6" fillId="12" borderId="0" xfId="0" applyFont="1" applyFill="1"/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21" fillId="4" borderId="8" xfId="0" applyFont="1" applyFill="1" applyBorder="1" applyAlignment="1">
      <alignment horizontal="left"/>
    </xf>
    <xf numFmtId="0" fontId="22" fillId="4" borderId="19" xfId="0" applyFont="1" applyFill="1" applyBorder="1" applyAlignment="1">
      <alignment horizontal="left"/>
    </xf>
    <xf numFmtId="0" fontId="22" fillId="4" borderId="2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15" xfId="0" applyFont="1" applyFill="1" applyBorder="1"/>
    <xf numFmtId="0" fontId="14" fillId="3" borderId="1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left"/>
    </xf>
    <xf numFmtId="0" fontId="21" fillId="4" borderId="2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0" fillId="0" borderId="21" xfId="0" applyBorder="1" applyAlignment="1"/>
    <xf numFmtId="0" fontId="3" fillId="6" borderId="8" xfId="0" applyFont="1" applyFill="1" applyBorder="1" applyAlignment="1" applyProtection="1">
      <protection locked="0"/>
    </xf>
    <xf numFmtId="0" fontId="3" fillId="6" borderId="19" xfId="0" applyFont="1" applyFill="1" applyBorder="1" applyAlignment="1" applyProtection="1">
      <protection locked="0"/>
    </xf>
    <xf numFmtId="0" fontId="0" fillId="6" borderId="20" xfId="0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2"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55</xdr:row>
      <xdr:rowOff>85725</xdr:rowOff>
    </xdr:from>
    <xdr:to>
      <xdr:col>6</xdr:col>
      <xdr:colOff>180975</xdr:colOff>
      <xdr:row>61</xdr:row>
      <xdr:rowOff>152400</xdr:rowOff>
    </xdr:to>
    <xdr:pic>
      <xdr:nvPicPr>
        <xdr:cNvPr id="1028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168" y="11683813"/>
          <a:ext cx="3221131" cy="100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25030/ncs-02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jfersoverkanker.nl/selecties/dataset_1/img5d36ee74a3eee" TargetMode="External"/><Relationship Id="rId2" Type="http://schemas.openxmlformats.org/officeDocument/2006/relationships/hyperlink" Target="https://www.cijfersoverkanker.nl/selecties/dataset_1/img5d36ee74a3eee" TargetMode="External"/><Relationship Id="rId1" Type="http://schemas.openxmlformats.org/officeDocument/2006/relationships/hyperlink" Target="https://www.cijfersoverkanker.nl/selecties/dataset_1/img5d36ee74a3eee" TargetMode="External"/><Relationship Id="rId6" Type="http://schemas.openxmlformats.org/officeDocument/2006/relationships/hyperlink" Target="https://www.cijfersoverkanker.nl/" TargetMode="External"/><Relationship Id="rId5" Type="http://schemas.openxmlformats.org/officeDocument/2006/relationships/hyperlink" Target="https://www.cijfersoverkanker.nl/selecties/dataset_1/img5d36ee74a3eee" TargetMode="External"/><Relationship Id="rId4" Type="http://schemas.openxmlformats.org/officeDocument/2006/relationships/hyperlink" Target="https://www.cijfersoverkanker.nl/selecties/dataset_1/img5d36ee74a3ee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5"/>
  <sheetViews>
    <sheetView tabSelected="1" workbookViewId="0">
      <selection activeCell="A16" sqref="A16:XFD16"/>
    </sheetView>
  </sheetViews>
  <sheetFormatPr defaultRowHeight="12.75" x14ac:dyDescent="0.2"/>
  <cols>
    <col min="2" max="2" width="21.42578125" customWidth="1"/>
    <col min="3" max="3" width="12.140625" customWidth="1"/>
    <col min="4" max="4" width="10.85546875" customWidth="1"/>
    <col min="5" max="5" width="12.5703125" bestFit="1" customWidth="1"/>
    <col min="6" max="6" width="9.28515625" bestFit="1" customWidth="1"/>
    <col min="13" max="13" width="10.5703125" bestFit="1" customWidth="1"/>
    <col min="14" max="14" width="11.7109375" bestFit="1" customWidth="1"/>
  </cols>
  <sheetData>
    <row r="2" spans="2:6" ht="20.25" x14ac:dyDescent="0.3">
      <c r="B2" s="87" t="s">
        <v>189</v>
      </c>
    </row>
    <row r="3" spans="2:6" x14ac:dyDescent="0.2">
      <c r="B3" t="s">
        <v>190</v>
      </c>
    </row>
    <row r="4" spans="2:6" x14ac:dyDescent="0.2">
      <c r="B4" s="10" t="s">
        <v>231</v>
      </c>
    </row>
    <row r="5" spans="2:6" x14ac:dyDescent="0.2">
      <c r="B5" s="10"/>
    </row>
    <row r="6" spans="2:6" x14ac:dyDescent="0.2">
      <c r="B6" s="97" t="s">
        <v>253</v>
      </c>
      <c r="C6" s="96"/>
      <c r="D6" s="96"/>
      <c r="E6" s="96"/>
      <c r="F6" s="96"/>
    </row>
    <row r="9" spans="2:6" x14ac:dyDescent="0.2">
      <c r="B9" t="s">
        <v>256</v>
      </c>
    </row>
    <row r="10" spans="2:6" x14ac:dyDescent="0.2">
      <c r="C10" t="s">
        <v>212</v>
      </c>
    </row>
    <row r="11" spans="2:6" x14ac:dyDescent="0.2">
      <c r="C11" t="s">
        <v>191</v>
      </c>
    </row>
    <row r="12" spans="2:6" x14ac:dyDescent="0.2">
      <c r="C12" s="89" t="s">
        <v>257</v>
      </c>
    </row>
    <row r="13" spans="2:6" x14ac:dyDescent="0.2">
      <c r="D13" t="s">
        <v>238</v>
      </c>
    </row>
    <row r="14" spans="2:6" ht="15" x14ac:dyDescent="0.2">
      <c r="D14" s="93" t="s">
        <v>239</v>
      </c>
    </row>
    <row r="15" spans="2:6" x14ac:dyDescent="0.2">
      <c r="D15" t="s">
        <v>240</v>
      </c>
    </row>
    <row r="17" spans="2:5" x14ac:dyDescent="0.2">
      <c r="B17" s="10" t="s">
        <v>192</v>
      </c>
      <c r="C17">
        <v>1</v>
      </c>
      <c r="D17" s="10" t="s">
        <v>193</v>
      </c>
      <c r="E17" t="s">
        <v>258</v>
      </c>
    </row>
    <row r="18" spans="2:5" x14ac:dyDescent="0.2">
      <c r="B18" t="s">
        <v>197</v>
      </c>
      <c r="C18">
        <v>365.25</v>
      </c>
      <c r="D18" t="s">
        <v>140</v>
      </c>
      <c r="E18" t="s">
        <v>232</v>
      </c>
    </row>
    <row r="21" spans="2:5" x14ac:dyDescent="0.2">
      <c r="B21" t="s">
        <v>195</v>
      </c>
    </row>
    <row r="22" spans="2:5" x14ac:dyDescent="0.2">
      <c r="B22" t="s">
        <v>220</v>
      </c>
      <c r="C22" s="90">
        <v>0.17399999999999999</v>
      </c>
      <c r="D22" s="10" t="s">
        <v>194</v>
      </c>
      <c r="E22" t="s">
        <v>233</v>
      </c>
    </row>
    <row r="23" spans="2:5" x14ac:dyDescent="0.2">
      <c r="B23" t="s">
        <v>196</v>
      </c>
      <c r="C23">
        <v>60</v>
      </c>
      <c r="D23" t="str">
        <f>'Specifieke I-125 vliegbrief'!T4</f>
        <v>days</v>
      </c>
      <c r="E23" t="s">
        <v>234</v>
      </c>
    </row>
    <row r="24" spans="2:5" x14ac:dyDescent="0.2">
      <c r="B24" t="s">
        <v>200</v>
      </c>
      <c r="C24">
        <v>2</v>
      </c>
      <c r="D24" t="str">
        <f>'Specifieke I-125 vliegbrief'!S9</f>
        <v>cm</v>
      </c>
    </row>
    <row r="27" spans="2:5" x14ac:dyDescent="0.2">
      <c r="B27" t="s">
        <v>236</v>
      </c>
    </row>
    <row r="28" spans="2:5" ht="14.25" customHeight="1" x14ac:dyDescent="0.2">
      <c r="C28" t="s">
        <v>199</v>
      </c>
    </row>
    <row r="29" spans="2:5" x14ac:dyDescent="0.2">
      <c r="B29" t="s">
        <v>198</v>
      </c>
      <c r="C29" s="95">
        <v>100</v>
      </c>
    </row>
    <row r="30" spans="2:5" x14ac:dyDescent="0.2">
      <c r="B30" t="s">
        <v>201</v>
      </c>
      <c r="C30" s="95">
        <v>0.6</v>
      </c>
      <c r="D30" t="s">
        <v>202</v>
      </c>
    </row>
    <row r="31" spans="2:5" x14ac:dyDescent="0.2">
      <c r="B31" t="s">
        <v>219</v>
      </c>
      <c r="C31" s="95">
        <v>10</v>
      </c>
      <c r="D31" t="s">
        <v>28</v>
      </c>
    </row>
    <row r="32" spans="2:5" x14ac:dyDescent="0.2">
      <c r="B32" t="s">
        <v>221</v>
      </c>
      <c r="C32" s="95">
        <v>40</v>
      </c>
      <c r="D32" t="s">
        <v>28</v>
      </c>
      <c r="E32" t="s">
        <v>237</v>
      </c>
    </row>
    <row r="33" spans="1:11" x14ac:dyDescent="0.2">
      <c r="B33" s="10" t="s">
        <v>222</v>
      </c>
      <c r="C33" s="95">
        <v>100</v>
      </c>
      <c r="D33" s="10" t="s">
        <v>28</v>
      </c>
    </row>
    <row r="35" spans="1:11" x14ac:dyDescent="0.2">
      <c r="B35" s="10" t="s">
        <v>214</v>
      </c>
      <c r="C35" s="52">
        <f>C29*C30*(100/C32)^2 * 0.5^(C31/C24)</f>
        <v>11.71875</v>
      </c>
      <c r="D35" t="s">
        <v>203</v>
      </c>
      <c r="E35" s="51">
        <f>$C$22*C35</f>
        <v>2.0390625</v>
      </c>
      <c r="F35" s="10" t="s">
        <v>229</v>
      </c>
    </row>
    <row r="36" spans="1:11" x14ac:dyDescent="0.2">
      <c r="B36" s="10" t="s">
        <v>215</v>
      </c>
      <c r="C36" s="52">
        <f>C29*C30*(100/C33)^2 * 0.5^(C31/C24)</f>
        <v>1.875</v>
      </c>
      <c r="D36" t="s">
        <v>203</v>
      </c>
      <c r="E36" s="51">
        <f>$C$22*C36</f>
        <v>0.32624999999999998</v>
      </c>
      <c r="F36" s="10" t="s">
        <v>229</v>
      </c>
    </row>
    <row r="38" spans="1:11" x14ac:dyDescent="0.2">
      <c r="B38" t="s">
        <v>216</v>
      </c>
      <c r="D38" t="s">
        <v>225</v>
      </c>
      <c r="E38" t="s">
        <v>226</v>
      </c>
      <c r="F38" t="s">
        <v>227</v>
      </c>
    </row>
    <row r="39" spans="1:11" x14ac:dyDescent="0.2">
      <c r="C39" t="s">
        <v>223</v>
      </c>
      <c r="D39">
        <v>0</v>
      </c>
      <c r="E39" s="95">
        <f>7*8</f>
        <v>56</v>
      </c>
      <c r="F39" s="95">
        <v>1.5</v>
      </c>
      <c r="G39" t="s">
        <v>218</v>
      </c>
    </row>
    <row r="40" spans="1:11" x14ac:dyDescent="0.2">
      <c r="C40" t="s">
        <v>224</v>
      </c>
      <c r="D40">
        <f>E39</f>
        <v>56</v>
      </c>
      <c r="E40">
        <f>C18</f>
        <v>365.25</v>
      </c>
      <c r="F40" s="95">
        <v>4</v>
      </c>
      <c r="G40" t="s">
        <v>218</v>
      </c>
    </row>
    <row r="43" spans="1:11" x14ac:dyDescent="0.2">
      <c r="B43" s="10" t="s">
        <v>217</v>
      </c>
      <c r="C43" s="95">
        <v>10</v>
      </c>
      <c r="D43" s="10" t="s">
        <v>218</v>
      </c>
      <c r="E43" t="s">
        <v>228</v>
      </c>
    </row>
    <row r="45" spans="1:11" x14ac:dyDescent="0.2">
      <c r="B45" t="s">
        <v>211</v>
      </c>
      <c r="E45" t="s">
        <v>204</v>
      </c>
    </row>
    <row r="46" spans="1:11" x14ac:dyDescent="0.2">
      <c r="D46" t="s">
        <v>206</v>
      </c>
      <c r="E46" t="s">
        <v>207</v>
      </c>
      <c r="F46" t="s">
        <v>208</v>
      </c>
    </row>
    <row r="47" spans="1:11" x14ac:dyDescent="0.2">
      <c r="A47" s="10"/>
      <c r="C47" t="s">
        <v>209</v>
      </c>
      <c r="D47" s="52">
        <f>-($C$35*$C$23/LN(2))*(EXP(-E39*LN(2)/$C$23)-EXP(-D39*LN(2)/$C$23))</f>
        <v>483.21001562078379</v>
      </c>
      <c r="E47" s="52">
        <f>D47*F39</f>
        <v>724.81502343117563</v>
      </c>
      <c r="F47" s="51">
        <f>E47*$C$22/1000</f>
        <v>0.12611781407702455</v>
      </c>
      <c r="K47" s="10"/>
    </row>
    <row r="48" spans="1:11" x14ac:dyDescent="0.2">
      <c r="C48" t="s">
        <v>210</v>
      </c>
      <c r="D48" s="52">
        <f>-($C$35*$C$23/LN(2))*(EXP(-E40*LN(2)/$C$23)-EXP(-D40*LN(2)/$C$23))</f>
        <v>516.26774642021462</v>
      </c>
      <c r="E48" s="52">
        <f>D48*F40</f>
        <v>2065.0709856808585</v>
      </c>
      <c r="F48" s="51">
        <f>E48*$C$22/1000</f>
        <v>0.35932235150846936</v>
      </c>
      <c r="J48" s="10"/>
    </row>
    <row r="49" spans="1:15" x14ac:dyDescent="0.2">
      <c r="C49" s="10" t="s">
        <v>213</v>
      </c>
      <c r="D49" s="52">
        <f>-(C36*$C$23/LN(2))*(EXP(-E40*LN(2)/$C$23)-EXP(-D39*LN(2)/$C$23))</f>
        <v>159.91644192655977</v>
      </c>
      <c r="E49" s="52">
        <f>D49*C43</f>
        <v>1599.1644192655976</v>
      </c>
      <c r="F49" s="51">
        <f>E49*$C$22/1000</f>
        <v>0.27825460895221399</v>
      </c>
      <c r="J49" s="10"/>
    </row>
    <row r="50" spans="1:15" x14ac:dyDescent="0.2">
      <c r="A50" s="10"/>
      <c r="C50" t="s">
        <v>205</v>
      </c>
      <c r="D50" s="88"/>
      <c r="E50" s="88"/>
      <c r="F50" s="51">
        <f>SUM(F47:F49)</f>
        <v>0.76369477453770784</v>
      </c>
      <c r="G50" t="s">
        <v>18</v>
      </c>
      <c r="J50" s="10"/>
    </row>
    <row r="51" spans="1:15" x14ac:dyDescent="0.2">
      <c r="D51" s="10"/>
      <c r="E51" s="10"/>
    </row>
    <row r="53" spans="1:15" x14ac:dyDescent="0.2">
      <c r="A53" s="10"/>
    </row>
    <row r="55" spans="1:15" x14ac:dyDescent="0.2">
      <c r="B55" s="52"/>
      <c r="C55" s="10"/>
    </row>
    <row r="57" spans="1:15" x14ac:dyDescent="0.2">
      <c r="A57" s="10"/>
      <c r="I57" s="10"/>
    </row>
    <row r="58" spans="1:15" x14ac:dyDescent="0.2">
      <c r="I58" s="10"/>
      <c r="L58" s="10"/>
      <c r="M58" s="62"/>
      <c r="N58" s="10"/>
    </row>
    <row r="59" spans="1:15" x14ac:dyDescent="0.2">
      <c r="A59" s="10"/>
      <c r="I59" s="10"/>
      <c r="L59" s="10"/>
      <c r="M59" s="62"/>
      <c r="N59" s="10"/>
    </row>
    <row r="60" spans="1:15" x14ac:dyDescent="0.2">
      <c r="A60" s="10"/>
      <c r="D60" s="10"/>
      <c r="E60" s="61"/>
      <c r="I60" s="10"/>
      <c r="L60" s="10"/>
    </row>
    <row r="62" spans="1:15" x14ac:dyDescent="0.2">
      <c r="C62" s="10"/>
      <c r="D62" s="10"/>
      <c r="K62" s="10"/>
      <c r="L62" s="10"/>
    </row>
    <row r="63" spans="1:15" x14ac:dyDescent="0.2">
      <c r="B63" s="10"/>
      <c r="C63" s="10"/>
      <c r="D63" s="10"/>
      <c r="E63" s="10"/>
      <c r="J63" s="10"/>
      <c r="K63" s="10"/>
      <c r="L63" s="10"/>
      <c r="M63" s="10"/>
      <c r="N63" s="10"/>
      <c r="O63" s="10"/>
    </row>
    <row r="64" spans="1:15" x14ac:dyDescent="0.2">
      <c r="C64" s="60"/>
      <c r="K64" s="60"/>
    </row>
    <row r="65" spans="3:11" x14ac:dyDescent="0.2">
      <c r="C65" s="60"/>
      <c r="K65" s="60"/>
    </row>
    <row r="66" spans="3:11" x14ac:dyDescent="0.2">
      <c r="C66" s="60"/>
      <c r="K66" s="60"/>
    </row>
    <row r="67" spans="3:11" x14ac:dyDescent="0.2">
      <c r="C67" s="60"/>
      <c r="K67" s="60"/>
    </row>
    <row r="68" spans="3:11" x14ac:dyDescent="0.2">
      <c r="C68" s="60"/>
      <c r="K68" s="60"/>
    </row>
    <row r="69" spans="3:11" x14ac:dyDescent="0.2">
      <c r="C69" s="60"/>
      <c r="K69" s="60"/>
    </row>
    <row r="70" spans="3:11" x14ac:dyDescent="0.2">
      <c r="C70" s="60"/>
      <c r="K70" s="60"/>
    </row>
    <row r="71" spans="3:11" x14ac:dyDescent="0.2">
      <c r="C71" s="60"/>
      <c r="K71" s="60"/>
    </row>
    <row r="72" spans="3:11" x14ac:dyDescent="0.2">
      <c r="C72" s="60"/>
      <c r="K72" s="60"/>
    </row>
    <row r="73" spans="3:11" x14ac:dyDescent="0.2">
      <c r="C73" s="60"/>
      <c r="K73" s="60"/>
    </row>
    <row r="74" spans="3:11" x14ac:dyDescent="0.2">
      <c r="C74" s="60"/>
      <c r="K74" s="60"/>
    </row>
    <row r="75" spans="3:11" x14ac:dyDescent="0.2">
      <c r="C75" s="60"/>
      <c r="K75" s="60"/>
    </row>
    <row r="76" spans="3:11" x14ac:dyDescent="0.2">
      <c r="C76" s="60"/>
      <c r="K76" s="60"/>
    </row>
    <row r="77" spans="3:11" x14ac:dyDescent="0.2">
      <c r="C77" s="60"/>
      <c r="K77" s="60"/>
    </row>
    <row r="78" spans="3:11" x14ac:dyDescent="0.2">
      <c r="C78" s="60"/>
      <c r="K78" s="60"/>
    </row>
    <row r="79" spans="3:11" x14ac:dyDescent="0.2">
      <c r="C79" s="60"/>
      <c r="K79" s="60"/>
    </row>
    <row r="80" spans="3:11" x14ac:dyDescent="0.2">
      <c r="C80" s="60"/>
      <c r="K80" s="60"/>
    </row>
    <row r="81" spans="3:11" x14ac:dyDescent="0.2">
      <c r="C81" s="60"/>
      <c r="K81" s="60"/>
    </row>
    <row r="82" spans="3:11" x14ac:dyDescent="0.2">
      <c r="C82" s="60"/>
      <c r="K82" s="60"/>
    </row>
    <row r="83" spans="3:11" x14ac:dyDescent="0.2">
      <c r="C83" s="60"/>
      <c r="K83" s="60"/>
    </row>
    <row r="84" spans="3:11" x14ac:dyDescent="0.2">
      <c r="C84" s="60"/>
      <c r="K84" s="60"/>
    </row>
    <row r="85" spans="3:11" x14ac:dyDescent="0.2">
      <c r="C85" s="60"/>
      <c r="K85" s="60"/>
    </row>
    <row r="86" spans="3:11" x14ac:dyDescent="0.2">
      <c r="C86" s="60"/>
      <c r="K86" s="60"/>
    </row>
    <row r="87" spans="3:11" x14ac:dyDescent="0.2">
      <c r="C87" s="60"/>
      <c r="K87" s="60"/>
    </row>
    <row r="88" spans="3:11" x14ac:dyDescent="0.2">
      <c r="C88" s="60"/>
      <c r="K88" s="60"/>
    </row>
    <row r="89" spans="3:11" x14ac:dyDescent="0.2">
      <c r="C89" s="60"/>
      <c r="K89" s="60"/>
    </row>
    <row r="90" spans="3:11" x14ac:dyDescent="0.2">
      <c r="C90" s="60"/>
      <c r="K90" s="60"/>
    </row>
    <row r="91" spans="3:11" x14ac:dyDescent="0.2">
      <c r="C91" s="60"/>
      <c r="K91" s="60"/>
    </row>
    <row r="92" spans="3:11" x14ac:dyDescent="0.2">
      <c r="C92" s="60"/>
      <c r="K92" s="60"/>
    </row>
    <row r="93" spans="3:11" x14ac:dyDescent="0.2">
      <c r="C93" s="60"/>
      <c r="K93" s="60"/>
    </row>
    <row r="94" spans="3:11" x14ac:dyDescent="0.2">
      <c r="C94" s="60"/>
      <c r="K94" s="60"/>
    </row>
    <row r="95" spans="3:11" x14ac:dyDescent="0.2">
      <c r="C95" s="60"/>
      <c r="K95" s="60"/>
    </row>
    <row r="96" spans="3:11" x14ac:dyDescent="0.2">
      <c r="C96" s="60"/>
      <c r="K96" s="60"/>
    </row>
    <row r="97" spans="3:11" x14ac:dyDescent="0.2">
      <c r="C97" s="60"/>
      <c r="K97" s="60"/>
    </row>
    <row r="98" spans="3:11" x14ac:dyDescent="0.2">
      <c r="C98" s="60"/>
      <c r="K98" s="60"/>
    </row>
    <row r="99" spans="3:11" x14ac:dyDescent="0.2">
      <c r="C99" s="60"/>
      <c r="K99" s="60"/>
    </row>
    <row r="100" spans="3:11" x14ac:dyDescent="0.2">
      <c r="C100" s="60"/>
      <c r="K100" s="60"/>
    </row>
    <row r="101" spans="3:11" x14ac:dyDescent="0.2">
      <c r="C101" s="60"/>
      <c r="K101" s="60"/>
    </row>
    <row r="102" spans="3:11" x14ac:dyDescent="0.2">
      <c r="C102" s="60"/>
      <c r="K102" s="60"/>
    </row>
    <row r="103" spans="3:11" x14ac:dyDescent="0.2">
      <c r="C103" s="60"/>
      <c r="K103" s="60"/>
    </row>
    <row r="104" spans="3:11" x14ac:dyDescent="0.2">
      <c r="C104" s="60"/>
      <c r="K104" s="60"/>
    </row>
    <row r="105" spans="3:11" x14ac:dyDescent="0.2">
      <c r="C105" s="60"/>
      <c r="K105" s="60"/>
    </row>
    <row r="106" spans="3:11" x14ac:dyDescent="0.2">
      <c r="C106" s="60"/>
      <c r="K106" s="60"/>
    </row>
    <row r="107" spans="3:11" x14ac:dyDescent="0.2">
      <c r="C107" s="60"/>
      <c r="K107" s="60"/>
    </row>
    <row r="108" spans="3:11" x14ac:dyDescent="0.2">
      <c r="C108" s="60"/>
      <c r="K108" s="60"/>
    </row>
    <row r="109" spans="3:11" x14ac:dyDescent="0.2">
      <c r="C109" s="60"/>
      <c r="K109" s="60"/>
    </row>
    <row r="110" spans="3:11" x14ac:dyDescent="0.2">
      <c r="C110" s="60"/>
      <c r="K110" s="60"/>
    </row>
    <row r="111" spans="3:11" x14ac:dyDescent="0.2">
      <c r="C111" s="60"/>
      <c r="K111" s="60"/>
    </row>
    <row r="112" spans="3:11" x14ac:dyDescent="0.2">
      <c r="C112" s="60"/>
      <c r="K112" s="60"/>
    </row>
    <row r="113" spans="3:11" x14ac:dyDescent="0.2">
      <c r="C113" s="60"/>
      <c r="K113" s="60"/>
    </row>
    <row r="114" spans="3:11" x14ac:dyDescent="0.2">
      <c r="C114" s="60"/>
      <c r="K114" s="60"/>
    </row>
    <row r="115" spans="3:11" x14ac:dyDescent="0.2">
      <c r="C115" s="60"/>
      <c r="K115" s="60"/>
    </row>
  </sheetData>
  <sheetProtection algorithmName="SHA-512" hashValue="m4sOZHObzbakiEL+fICk/vFIK9FeUBVZnRHBTqfvX+dV2vwTqZRbEjbF7/iE11+OM5lWD/JogEFVO0NcL8XYkw==" saltValue="/y8POgDIVnClWmmZKjoJr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workbookViewId="0"/>
  </sheetViews>
  <sheetFormatPr defaultRowHeight="12.75" x14ac:dyDescent="0.2"/>
  <cols>
    <col min="3" max="3" width="7.42578125" bestFit="1" customWidth="1"/>
    <col min="4" max="4" width="8.5703125" bestFit="1" customWidth="1"/>
    <col min="5" max="5" width="7.42578125" bestFit="1" customWidth="1"/>
    <col min="6" max="6" width="8.5703125" bestFit="1" customWidth="1"/>
    <col min="7" max="9" width="7.42578125" bestFit="1" customWidth="1"/>
    <col min="10" max="12" width="7.28515625" bestFit="1" customWidth="1"/>
  </cols>
  <sheetData>
    <row r="2" spans="2:12" x14ac:dyDescent="0.2">
      <c r="B2" t="s">
        <v>255</v>
      </c>
    </row>
    <row r="3" spans="2:12" x14ac:dyDescent="0.2">
      <c r="B3" s="58" t="s">
        <v>254</v>
      </c>
    </row>
    <row r="5" spans="2:12" x14ac:dyDescent="0.2">
      <c r="B5" t="s">
        <v>242</v>
      </c>
    </row>
    <row r="6" spans="2:12" x14ac:dyDescent="0.2">
      <c r="D6" s="94" t="s">
        <v>243</v>
      </c>
      <c r="E6" s="51">
        <f>'blootstelling familie etc'!F50</f>
        <v>0.76369477453770784</v>
      </c>
      <c r="F6" t="str">
        <f>'blootstelling familie etc'!G50</f>
        <v>mSv</v>
      </c>
    </row>
    <row r="7" spans="2:12" x14ac:dyDescent="0.2">
      <c r="D7" s="94" t="s">
        <v>241</v>
      </c>
      <c r="E7">
        <f>'Specifieke I-125 vliegbrief'!E39</f>
        <v>1.9710937499999994E-2</v>
      </c>
      <c r="F7" t="str">
        <f>'Specifieke I-125 vliegbrief'!F39</f>
        <v>mSv</v>
      </c>
    </row>
    <row r="9" spans="2:12" x14ac:dyDescent="0.2">
      <c r="B9" t="s">
        <v>75</v>
      </c>
    </row>
    <row r="10" spans="2:12" x14ac:dyDescent="0.2">
      <c r="C10" t="s">
        <v>63</v>
      </c>
      <c r="D10" s="49" t="s">
        <v>64</v>
      </c>
      <c r="E10" s="50" t="s">
        <v>65</v>
      </c>
      <c r="F10" s="50" t="s">
        <v>66</v>
      </c>
      <c r="G10" s="50" t="s">
        <v>67</v>
      </c>
      <c r="H10" s="50" t="s">
        <v>68</v>
      </c>
      <c r="I10" s="50" t="s">
        <v>69</v>
      </c>
      <c r="J10" s="50" t="s">
        <v>70</v>
      </c>
      <c r="K10" s="50" t="s">
        <v>71</v>
      </c>
      <c r="L10" s="50" t="s">
        <v>72</v>
      </c>
    </row>
    <row r="11" spans="2:12" x14ac:dyDescent="0.2">
      <c r="B11" t="s">
        <v>73</v>
      </c>
      <c r="C11" s="51">
        <v>9.98</v>
      </c>
      <c r="D11" s="51">
        <v>8</v>
      </c>
      <c r="E11" s="51">
        <v>6.22</v>
      </c>
      <c r="F11" s="51">
        <v>5.12</v>
      </c>
      <c r="G11" s="51">
        <v>4.22</v>
      </c>
      <c r="H11" s="51">
        <v>3.27</v>
      </c>
      <c r="I11" s="51">
        <v>2.23</v>
      </c>
      <c r="J11" s="51">
        <v>1.32</v>
      </c>
      <c r="K11" s="51">
        <v>0.55000000000000004</v>
      </c>
      <c r="L11" s="51">
        <v>0.04</v>
      </c>
    </row>
    <row r="12" spans="2:12" x14ac:dyDescent="0.2">
      <c r="B12" t="s">
        <v>74</v>
      </c>
      <c r="C12" s="52">
        <v>14.4</v>
      </c>
      <c r="D12" s="52">
        <v>11</v>
      </c>
      <c r="E12" s="51">
        <v>8.5399999999999991</v>
      </c>
      <c r="F12" s="51">
        <v>6.78</v>
      </c>
      <c r="G12" s="51">
        <v>5.76</v>
      </c>
      <c r="H12" s="51">
        <v>4.41</v>
      </c>
      <c r="I12" s="51">
        <v>3.1</v>
      </c>
      <c r="J12" s="51">
        <v>1.83</v>
      </c>
      <c r="K12" s="51">
        <v>0.7</v>
      </c>
      <c r="L12" s="51">
        <v>0.02</v>
      </c>
    </row>
    <row r="14" spans="2:12" x14ac:dyDescent="0.2">
      <c r="B14" s="10" t="s">
        <v>136</v>
      </c>
      <c r="C14" s="1"/>
    </row>
    <row r="15" spans="2:12" x14ac:dyDescent="0.2">
      <c r="C15" t="s">
        <v>63</v>
      </c>
      <c r="D15" s="49" t="s">
        <v>64</v>
      </c>
      <c r="E15" s="50" t="s">
        <v>65</v>
      </c>
      <c r="F15" s="50" t="s">
        <v>66</v>
      </c>
      <c r="G15" s="50" t="s">
        <v>67</v>
      </c>
      <c r="H15" s="50" t="s">
        <v>68</v>
      </c>
      <c r="I15" s="50" t="s">
        <v>69</v>
      </c>
      <c r="J15" s="50"/>
      <c r="K15" s="50"/>
      <c r="L15" s="50"/>
    </row>
    <row r="16" spans="2:12" x14ac:dyDescent="0.2">
      <c r="B16" t="s">
        <v>73</v>
      </c>
      <c r="C16" s="53">
        <f>'basisrisico op kanker'!T16/100</f>
        <v>0.30920000000000003</v>
      </c>
      <c r="D16" s="53">
        <f>'basisrisico op kanker'!T18/100</f>
        <v>0.30870000000000003</v>
      </c>
      <c r="E16" s="53">
        <f>'basisrisico op kanker'!T20/100</f>
        <v>0.30769999999999997</v>
      </c>
      <c r="F16" s="53">
        <f>'basisrisico op kanker'!T22/100</f>
        <v>0.30480000000000002</v>
      </c>
      <c r="G16" s="53">
        <f>'basisrisico op kanker'!T24/100</f>
        <v>0.29969999999999997</v>
      </c>
      <c r="H16" s="53">
        <f>'basisrisico op kanker'!T26/100</f>
        <v>0.28170000000000001</v>
      </c>
      <c r="I16" s="53">
        <f>'basisrisico op kanker'!T28/100</f>
        <v>0.2112</v>
      </c>
      <c r="J16" s="53"/>
      <c r="K16" s="53"/>
      <c r="L16" s="53"/>
    </row>
    <row r="17" spans="2:12" x14ac:dyDescent="0.2">
      <c r="B17" t="s">
        <v>74</v>
      </c>
      <c r="C17" s="53">
        <f>'basisrisico op kanker'!T40/100</f>
        <v>0.27529999999999999</v>
      </c>
      <c r="D17" s="53">
        <f>'basisrisico op kanker'!T42/100</f>
        <v>0.27479999999999999</v>
      </c>
      <c r="E17" s="53">
        <f>'basisrisico op kanker'!T44/100</f>
        <v>0.27329999999999999</v>
      </c>
      <c r="F17" s="53">
        <f>'basisrisico op kanker'!T46/100</f>
        <v>0.26780000000000004</v>
      </c>
      <c r="G17" s="53">
        <f>'basisrisico op kanker'!T48/100</f>
        <v>0.25170000000000003</v>
      </c>
      <c r="H17" s="53">
        <f>'basisrisico op kanker'!T50/100</f>
        <v>0.21149999999999999</v>
      </c>
      <c r="I17" s="53">
        <f>'basisrisico op kanker'!T52/100</f>
        <v>0.1363</v>
      </c>
      <c r="J17" s="53"/>
      <c r="K17" s="53"/>
      <c r="L17" s="53"/>
    </row>
    <row r="19" spans="2:12" x14ac:dyDescent="0.2">
      <c r="B19" t="s">
        <v>245</v>
      </c>
    </row>
    <row r="20" spans="2:12" x14ac:dyDescent="0.2">
      <c r="C20" t="s">
        <v>63</v>
      </c>
      <c r="D20" s="49" t="s">
        <v>64</v>
      </c>
      <c r="E20" s="50" t="s">
        <v>65</v>
      </c>
      <c r="F20" s="50" t="s">
        <v>66</v>
      </c>
      <c r="G20" s="50" t="s">
        <v>67</v>
      </c>
      <c r="H20" s="50" t="s">
        <v>68</v>
      </c>
      <c r="I20" s="50" t="s">
        <v>69</v>
      </c>
      <c r="J20" s="50" t="s">
        <v>70</v>
      </c>
      <c r="K20" s="50" t="s">
        <v>71</v>
      </c>
      <c r="L20" s="50" t="s">
        <v>72</v>
      </c>
    </row>
    <row r="21" spans="2:12" x14ac:dyDescent="0.2">
      <c r="B21" t="s">
        <v>73</v>
      </c>
      <c r="C21" s="92">
        <f>$E$6*C11/1000</f>
        <v>7.6216738498863243E-3</v>
      </c>
      <c r="D21" s="92">
        <f t="shared" ref="D21:L21" si="0">$E$6*D11/1000</f>
        <v>6.1095581963016626E-3</v>
      </c>
      <c r="E21" s="92">
        <f t="shared" si="0"/>
        <v>4.7501814976245432E-3</v>
      </c>
      <c r="F21" s="92">
        <f t="shared" si="0"/>
        <v>3.9101172456330645E-3</v>
      </c>
      <c r="G21" s="92">
        <f t="shared" si="0"/>
        <v>3.2227919485491269E-3</v>
      </c>
      <c r="H21" s="92">
        <f t="shared" si="0"/>
        <v>2.4972819127383047E-3</v>
      </c>
      <c r="I21" s="92">
        <f t="shared" si="0"/>
        <v>1.7030393472190885E-3</v>
      </c>
      <c r="J21" s="92">
        <f t="shared" si="0"/>
        <v>1.0080771023897744E-3</v>
      </c>
      <c r="K21" s="92">
        <f t="shared" si="0"/>
        <v>4.2003212599573937E-4</v>
      </c>
      <c r="L21" s="92">
        <f t="shared" si="0"/>
        <v>3.0547790981508317E-5</v>
      </c>
    </row>
    <row r="22" spans="2:12" x14ac:dyDescent="0.2">
      <c r="B22" t="s">
        <v>74</v>
      </c>
      <c r="C22" s="92">
        <f t="shared" ref="C22:L22" si="1">$E$6*C12/1000</f>
        <v>1.0997204753342994E-2</v>
      </c>
      <c r="D22" s="92">
        <f t="shared" si="1"/>
        <v>8.4006425199147864E-3</v>
      </c>
      <c r="E22" s="92">
        <f t="shared" si="1"/>
        <v>6.5219533745520235E-3</v>
      </c>
      <c r="F22" s="92">
        <f t="shared" si="1"/>
        <v>5.1778505713656591E-3</v>
      </c>
      <c r="G22" s="92">
        <f t="shared" si="1"/>
        <v>4.398881901337197E-3</v>
      </c>
      <c r="H22" s="92">
        <f t="shared" si="1"/>
        <v>3.3678939557112921E-3</v>
      </c>
      <c r="I22" s="92">
        <f t="shared" si="1"/>
        <v>2.3674538010668945E-3</v>
      </c>
      <c r="J22" s="92">
        <f t="shared" si="1"/>
        <v>1.3975614374040054E-3</v>
      </c>
      <c r="K22" s="92">
        <f t="shared" si="1"/>
        <v>5.3458634217639549E-4</v>
      </c>
      <c r="L22" s="92">
        <f t="shared" si="1"/>
        <v>1.5273895490754158E-5</v>
      </c>
    </row>
    <row r="24" spans="2:12" x14ac:dyDescent="0.2">
      <c r="B24" t="s">
        <v>244</v>
      </c>
    </row>
    <row r="25" spans="2:12" x14ac:dyDescent="0.2">
      <c r="C25" t="s">
        <v>63</v>
      </c>
      <c r="D25" s="49" t="s">
        <v>64</v>
      </c>
      <c r="E25" s="50" t="s">
        <v>65</v>
      </c>
      <c r="F25" s="50" t="s">
        <v>66</v>
      </c>
      <c r="G25" s="50" t="s">
        <v>67</v>
      </c>
      <c r="H25" s="50" t="s">
        <v>68</v>
      </c>
      <c r="I25" s="50" t="s">
        <v>69</v>
      </c>
      <c r="J25" s="50" t="s">
        <v>70</v>
      </c>
      <c r="K25" s="50" t="s">
        <v>71</v>
      </c>
      <c r="L25" s="50" t="s">
        <v>72</v>
      </c>
    </row>
    <row r="26" spans="2:12" x14ac:dyDescent="0.2">
      <c r="B26" t="s">
        <v>73</v>
      </c>
      <c r="C26" s="92">
        <f>$E$7*C11/1000</f>
        <v>1.9671515624999995E-4</v>
      </c>
      <c r="D26" s="92">
        <f t="shared" ref="D26:L26" si="2">$E$7*D11/1000</f>
        <v>1.5768749999999995E-4</v>
      </c>
      <c r="E26" s="92">
        <f t="shared" si="2"/>
        <v>1.2260203124999996E-4</v>
      </c>
      <c r="F26" s="92">
        <f t="shared" si="2"/>
        <v>1.0091999999999996E-4</v>
      </c>
      <c r="G26" s="92">
        <f t="shared" si="2"/>
        <v>8.3180156249999972E-5</v>
      </c>
      <c r="H26" s="92">
        <f t="shared" si="2"/>
        <v>6.445476562499998E-5</v>
      </c>
      <c r="I26" s="92">
        <f t="shared" si="2"/>
        <v>4.3955390624999986E-5</v>
      </c>
      <c r="J26" s="92">
        <f t="shared" si="2"/>
        <v>2.6018437499999994E-5</v>
      </c>
      <c r="K26" s="92">
        <f t="shared" si="2"/>
        <v>1.0841015624999997E-5</v>
      </c>
      <c r="L26" s="92">
        <f t="shared" si="2"/>
        <v>7.884374999999997E-7</v>
      </c>
    </row>
    <row r="27" spans="2:12" x14ac:dyDescent="0.2">
      <c r="B27" t="s">
        <v>74</v>
      </c>
      <c r="C27" s="92">
        <f t="shared" ref="C27:L27" si="3">$E$7*C12/1000</f>
        <v>2.838374999999999E-4</v>
      </c>
      <c r="D27" s="92">
        <f t="shared" si="3"/>
        <v>2.1682031249999994E-4</v>
      </c>
      <c r="E27" s="92">
        <f t="shared" si="3"/>
        <v>1.6833140624999992E-4</v>
      </c>
      <c r="F27" s="92">
        <f t="shared" si="3"/>
        <v>1.3364015624999997E-4</v>
      </c>
      <c r="G27" s="92">
        <f t="shared" si="3"/>
        <v>1.1353499999999995E-4</v>
      </c>
      <c r="H27" s="92">
        <f t="shared" si="3"/>
        <v>8.6925234374999984E-5</v>
      </c>
      <c r="I27" s="92">
        <f t="shared" si="3"/>
        <v>6.1103906249999985E-5</v>
      </c>
      <c r="J27" s="92">
        <f t="shared" si="3"/>
        <v>3.6071015624999986E-5</v>
      </c>
      <c r="K27" s="92">
        <f t="shared" si="3"/>
        <v>1.3797656249999995E-5</v>
      </c>
      <c r="L27" s="92">
        <f t="shared" si="3"/>
        <v>3.9421874999999985E-7</v>
      </c>
    </row>
    <row r="29" spans="2:12" x14ac:dyDescent="0.2">
      <c r="B29" s="10" t="s">
        <v>246</v>
      </c>
    </row>
    <row r="30" spans="2:12" x14ac:dyDescent="0.2">
      <c r="C30" t="s">
        <v>63</v>
      </c>
      <c r="D30" s="49" t="s">
        <v>64</v>
      </c>
      <c r="E30" s="50" t="s">
        <v>65</v>
      </c>
      <c r="F30" s="50" t="s">
        <v>66</v>
      </c>
      <c r="G30" s="50" t="s">
        <v>67</v>
      </c>
      <c r="H30" s="50" t="s">
        <v>68</v>
      </c>
      <c r="I30" s="50" t="s">
        <v>69</v>
      </c>
    </row>
    <row r="31" spans="2:12" x14ac:dyDescent="0.2">
      <c r="B31" t="s">
        <v>73</v>
      </c>
      <c r="C31" s="53">
        <f>C21+C16</f>
        <v>0.31682167384988635</v>
      </c>
      <c r="D31" s="53">
        <f t="shared" ref="D31:I31" si="4">D21+D16</f>
        <v>0.31480955819630169</v>
      </c>
      <c r="E31" s="53">
        <f t="shared" si="4"/>
        <v>0.31245018149762449</v>
      </c>
      <c r="F31" s="53">
        <f t="shared" si="4"/>
        <v>0.30871011724563308</v>
      </c>
      <c r="G31" s="53">
        <f t="shared" si="4"/>
        <v>0.3029227919485491</v>
      </c>
      <c r="H31" s="53">
        <f t="shared" si="4"/>
        <v>0.2841972819127383</v>
      </c>
      <c r="I31" s="53">
        <f t="shared" si="4"/>
        <v>0.21290303934721908</v>
      </c>
    </row>
    <row r="32" spans="2:12" x14ac:dyDescent="0.2">
      <c r="B32" t="s">
        <v>74</v>
      </c>
      <c r="C32" s="53">
        <f t="shared" ref="C32:I32" si="5">C22+C17</f>
        <v>0.28629720475334297</v>
      </c>
      <c r="D32" s="53">
        <f t="shared" si="5"/>
        <v>0.28320064251991478</v>
      </c>
      <c r="E32" s="53">
        <f t="shared" si="5"/>
        <v>0.27982195337455201</v>
      </c>
      <c r="F32" s="53">
        <f t="shared" si="5"/>
        <v>0.2729778505713657</v>
      </c>
      <c r="G32" s="53">
        <f t="shared" si="5"/>
        <v>0.25609888190133723</v>
      </c>
      <c r="H32" s="53">
        <f t="shared" si="5"/>
        <v>0.21486789395571129</v>
      </c>
      <c r="I32" s="53">
        <f t="shared" si="5"/>
        <v>0.1386674538010669</v>
      </c>
    </row>
    <row r="34" spans="2:9" x14ac:dyDescent="0.2">
      <c r="B34" s="10" t="s">
        <v>246</v>
      </c>
    </row>
    <row r="35" spans="2:9" x14ac:dyDescent="0.2">
      <c r="C35" t="s">
        <v>63</v>
      </c>
      <c r="D35" s="49" t="s">
        <v>64</v>
      </c>
      <c r="E35" s="50" t="s">
        <v>65</v>
      </c>
      <c r="F35" s="50" t="s">
        <v>66</v>
      </c>
      <c r="G35" s="50" t="s">
        <v>67</v>
      </c>
      <c r="H35" s="50" t="s">
        <v>68</v>
      </c>
      <c r="I35" s="50" t="s">
        <v>69</v>
      </c>
    </row>
    <row r="36" spans="2:9" x14ac:dyDescent="0.2">
      <c r="B36" t="s">
        <v>73</v>
      </c>
      <c r="C36" s="53">
        <f>C26+C16</f>
        <v>0.30939671515625006</v>
      </c>
      <c r="D36" s="53">
        <f t="shared" ref="D36:I36" si="6">D26+D16</f>
        <v>0.30885768750000003</v>
      </c>
      <c r="E36" s="53">
        <f t="shared" si="6"/>
        <v>0.30782260203124995</v>
      </c>
      <c r="F36" s="53">
        <f t="shared" si="6"/>
        <v>0.30490092000000002</v>
      </c>
      <c r="G36" s="53">
        <f t="shared" si="6"/>
        <v>0.29978318015624994</v>
      </c>
      <c r="H36" s="53">
        <f t="shared" si="6"/>
        <v>0.28176445476562501</v>
      </c>
      <c r="I36" s="53">
        <f t="shared" si="6"/>
        <v>0.21124395539062499</v>
      </c>
    </row>
    <row r="37" spans="2:9" x14ac:dyDescent="0.2">
      <c r="B37" t="s">
        <v>74</v>
      </c>
      <c r="C37" s="53">
        <f t="shared" ref="C37:I37" si="7">C27+C17</f>
        <v>0.27558383749999998</v>
      </c>
      <c r="D37" s="53">
        <f t="shared" si="7"/>
        <v>0.27501682031249997</v>
      </c>
      <c r="E37" s="53">
        <f t="shared" si="7"/>
        <v>0.27346833140624999</v>
      </c>
      <c r="F37" s="53">
        <f t="shared" si="7"/>
        <v>0.26793364015625004</v>
      </c>
      <c r="G37" s="53">
        <f t="shared" si="7"/>
        <v>0.25181353500000003</v>
      </c>
      <c r="H37" s="53">
        <f t="shared" si="7"/>
        <v>0.211586925234375</v>
      </c>
      <c r="I37" s="53">
        <f t="shared" si="7"/>
        <v>0.13636110390625</v>
      </c>
    </row>
  </sheetData>
  <hyperlinks>
    <hyperlink ref="B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3"/>
  <sheetViews>
    <sheetView workbookViewId="0"/>
  </sheetViews>
  <sheetFormatPr defaultRowHeight="12.75" x14ac:dyDescent="0.2"/>
  <cols>
    <col min="2" max="2" width="20.28515625" customWidth="1"/>
    <col min="3" max="3" width="24" bestFit="1" customWidth="1"/>
    <col min="4" max="4" width="10.28515625" bestFit="1" customWidth="1"/>
  </cols>
  <sheetData>
    <row r="4" spans="1:8" x14ac:dyDescent="0.2">
      <c r="B4" t="str">
        <f>'stochastische effecten'!B5</f>
        <v xml:space="preserve">Totale dosis zoals berekend voor </v>
      </c>
    </row>
    <row r="5" spans="1:8" x14ac:dyDescent="0.2">
      <c r="B5" s="90">
        <f>'stochastische effecten'!E6</f>
        <v>0.76369477453770784</v>
      </c>
      <c r="C5" t="str">
        <f>'stochastische effecten'!F7</f>
        <v>mSv</v>
      </c>
      <c r="D5" t="s">
        <v>247</v>
      </c>
    </row>
    <row r="6" spans="1:8" x14ac:dyDescent="0.2">
      <c r="B6" s="90">
        <f>'stochastische effecten'!E7</f>
        <v>1.9710937499999994E-2</v>
      </c>
      <c r="C6" t="str">
        <f>'stochastische effecten'!F7</f>
        <v>mSv</v>
      </c>
      <c r="D6" t="s">
        <v>248</v>
      </c>
    </row>
    <row r="8" spans="1:8" x14ac:dyDescent="0.2">
      <c r="B8" s="10" t="s">
        <v>137</v>
      </c>
    </row>
    <row r="10" spans="1:8" x14ac:dyDescent="0.2">
      <c r="C10" s="10" t="s">
        <v>143</v>
      </c>
      <c r="D10" s="10" t="s">
        <v>148</v>
      </c>
      <c r="E10" s="10" t="s">
        <v>150</v>
      </c>
    </row>
    <row r="11" spans="1:8" x14ac:dyDescent="0.2">
      <c r="A11" s="10" t="s">
        <v>167</v>
      </c>
      <c r="C11" s="10" t="s">
        <v>142</v>
      </c>
      <c r="D11" s="10" t="s">
        <v>149</v>
      </c>
      <c r="E11" s="10" t="s">
        <v>147</v>
      </c>
      <c r="F11" s="10" t="s">
        <v>139</v>
      </c>
      <c r="G11" s="10" t="s">
        <v>140</v>
      </c>
      <c r="H11" s="10" t="s">
        <v>141</v>
      </c>
    </row>
    <row r="12" spans="1:8" x14ac:dyDescent="0.2">
      <c r="A12" t="s">
        <v>249</v>
      </c>
      <c r="B12" s="10" t="s">
        <v>145</v>
      </c>
      <c r="C12">
        <v>1.6</v>
      </c>
      <c r="E12" s="52"/>
      <c r="F12" s="52"/>
      <c r="G12" s="52"/>
      <c r="H12" s="52"/>
    </row>
    <row r="13" spans="1:8" x14ac:dyDescent="0.2">
      <c r="B13" s="10" t="s">
        <v>144</v>
      </c>
      <c r="C13">
        <v>2.5</v>
      </c>
      <c r="D13">
        <f>(C13-$C$12)</f>
        <v>0.89999999999999991</v>
      </c>
      <c r="E13" s="52">
        <f>$B$5/D13</f>
        <v>0.8485497494863421</v>
      </c>
      <c r="F13" s="52">
        <f t="shared" ref="F13:F15" si="0">E13*12</f>
        <v>10.182596993836105</v>
      </c>
      <c r="G13" s="52">
        <f t="shared" ref="G13:G15" si="1">E13*365.25</f>
        <v>309.93279599988642</v>
      </c>
      <c r="H13" s="52">
        <f t="shared" ref="H13:H15" si="2">G13*24</f>
        <v>7438.3871039972746</v>
      </c>
    </row>
    <row r="14" spans="1:8" x14ac:dyDescent="0.2">
      <c r="B14" s="10" t="s">
        <v>138</v>
      </c>
      <c r="C14">
        <v>10</v>
      </c>
      <c r="D14">
        <f>(C14-$C$12)</f>
        <v>8.4</v>
      </c>
      <c r="E14" s="52">
        <f>$B$5/D14</f>
        <v>9.0916044587822362E-2</v>
      </c>
      <c r="F14" s="52">
        <f t="shared" si="0"/>
        <v>1.0909925350538683</v>
      </c>
      <c r="G14" s="52">
        <f t="shared" si="1"/>
        <v>33.207085285702121</v>
      </c>
      <c r="H14" s="52">
        <f t="shared" si="2"/>
        <v>796.9700468568509</v>
      </c>
    </row>
    <row r="15" spans="1:8" x14ac:dyDescent="0.2">
      <c r="B15" s="10" t="s">
        <v>146</v>
      </c>
      <c r="C15">
        <v>175</v>
      </c>
      <c r="D15">
        <f>(C15-$C$12)</f>
        <v>173.4</v>
      </c>
      <c r="E15" s="52">
        <f>$B$5/D15</f>
        <v>4.4042374540813603E-3</v>
      </c>
      <c r="F15" s="52">
        <f t="shared" si="0"/>
        <v>5.285084944897632E-2</v>
      </c>
      <c r="G15" s="52">
        <f t="shared" si="1"/>
        <v>1.6086477301032169</v>
      </c>
      <c r="H15" s="52">
        <f t="shared" si="2"/>
        <v>38.60754552247721</v>
      </c>
    </row>
    <row r="16" spans="1:8" ht="6" customHeight="1" x14ac:dyDescent="0.2"/>
    <row r="17" spans="1:8" x14ac:dyDescent="0.2">
      <c r="A17" t="s">
        <v>250</v>
      </c>
      <c r="B17" s="10" t="s">
        <v>145</v>
      </c>
      <c r="E17" s="52"/>
      <c r="F17" s="52"/>
      <c r="G17" s="52"/>
      <c r="H17" s="52"/>
    </row>
    <row r="18" spans="1:8" x14ac:dyDescent="0.2">
      <c r="B18" s="10" t="s">
        <v>144</v>
      </c>
      <c r="E18" s="52">
        <f>$B$6/D13</f>
        <v>2.1901041666666662E-2</v>
      </c>
      <c r="F18" s="52">
        <f t="shared" ref="F18:F20" si="3">E18*12</f>
        <v>0.26281249999999995</v>
      </c>
      <c r="G18" s="52">
        <f t="shared" ref="G18:G20" si="4">E18*365.25</f>
        <v>7.9993554687499984</v>
      </c>
      <c r="H18" s="52">
        <f t="shared" ref="H18:H20" si="5">G18*24</f>
        <v>191.98453124999997</v>
      </c>
    </row>
    <row r="19" spans="1:8" x14ac:dyDescent="0.2">
      <c r="B19" s="10" t="s">
        <v>138</v>
      </c>
      <c r="E19" s="52">
        <f>$B$6/D14</f>
        <v>2.3465401785714279E-3</v>
      </c>
      <c r="F19" s="52">
        <f t="shared" si="3"/>
        <v>2.8158482142857134E-2</v>
      </c>
      <c r="G19" s="52">
        <f t="shared" si="4"/>
        <v>0.857073800223214</v>
      </c>
      <c r="H19" s="52">
        <f t="shared" si="5"/>
        <v>20.569771205357135</v>
      </c>
    </row>
    <row r="20" spans="1:8" x14ac:dyDescent="0.2">
      <c r="B20" s="10" t="s">
        <v>146</v>
      </c>
      <c r="E20" s="52">
        <f>$B$6/D15</f>
        <v>1.1367322664359858E-4</v>
      </c>
      <c r="F20" s="52">
        <f t="shared" si="3"/>
        <v>1.3640787197231829E-3</v>
      </c>
      <c r="G20" s="52">
        <f t="shared" si="4"/>
        <v>4.1519146031574382E-2</v>
      </c>
      <c r="H20" s="52">
        <f t="shared" si="5"/>
        <v>0.99645950475778511</v>
      </c>
    </row>
    <row r="21" spans="1:8" x14ac:dyDescent="0.2">
      <c r="B21" s="10"/>
      <c r="E21" s="52"/>
      <c r="F21" s="52"/>
      <c r="G21" s="52"/>
      <c r="H21" s="52"/>
    </row>
    <row r="22" spans="1:8" x14ac:dyDescent="0.2">
      <c r="A22" s="10" t="s">
        <v>166</v>
      </c>
      <c r="B22" t="s">
        <v>161</v>
      </c>
    </row>
    <row r="23" spans="1:8" x14ac:dyDescent="0.2">
      <c r="B23" t="s">
        <v>162</v>
      </c>
    </row>
    <row r="24" spans="1:8" x14ac:dyDescent="0.2">
      <c r="B24" s="10" t="s">
        <v>165</v>
      </c>
    </row>
    <row r="26" spans="1:8" x14ac:dyDescent="0.2">
      <c r="C26" s="10" t="s">
        <v>152</v>
      </c>
    </row>
    <row r="27" spans="1:8" x14ac:dyDescent="0.2">
      <c r="B27" s="10" t="s">
        <v>151</v>
      </c>
      <c r="C27">
        <v>4000</v>
      </c>
    </row>
    <row r="28" spans="1:8" x14ac:dyDescent="0.2">
      <c r="E28" s="10" t="s">
        <v>252</v>
      </c>
    </row>
    <row r="29" spans="1:8" x14ac:dyDescent="0.2">
      <c r="B29" s="10" t="s">
        <v>153</v>
      </c>
      <c r="C29" s="10" t="s">
        <v>156</v>
      </c>
      <c r="D29" s="10" t="s">
        <v>154</v>
      </c>
      <c r="E29" s="10" t="s">
        <v>251</v>
      </c>
      <c r="F29" s="10" t="s">
        <v>250</v>
      </c>
    </row>
    <row r="30" spans="1:8" x14ac:dyDescent="0.2">
      <c r="B30" s="10" t="s">
        <v>157</v>
      </c>
      <c r="C30">
        <v>8.5</v>
      </c>
      <c r="D30">
        <f t="shared" ref="D30:D35" si="6">$C$27*C30/10^6</f>
        <v>3.4000000000000002E-2</v>
      </c>
      <c r="E30" s="52">
        <f t="shared" ref="E30:E35" si="7">$B$5/D30</f>
        <v>22.461611015814935</v>
      </c>
      <c r="F30" s="52">
        <f>$B$6/D30</f>
        <v>0.5797334558823527</v>
      </c>
    </row>
    <row r="31" spans="1:8" x14ac:dyDescent="0.2">
      <c r="B31" s="10" t="s">
        <v>158</v>
      </c>
      <c r="C31">
        <v>11</v>
      </c>
      <c r="D31">
        <f t="shared" si="6"/>
        <v>4.3999999999999997E-2</v>
      </c>
      <c r="E31" s="52">
        <f t="shared" si="7"/>
        <v>17.356699421311543</v>
      </c>
      <c r="F31" s="52">
        <f t="shared" ref="F31:F35" si="8">$B$6/D31</f>
        <v>0.44797585227272718</v>
      </c>
    </row>
    <row r="32" spans="1:8" x14ac:dyDescent="0.2">
      <c r="B32" s="10" t="s">
        <v>160</v>
      </c>
      <c r="C32">
        <v>11</v>
      </c>
      <c r="D32">
        <f t="shared" si="6"/>
        <v>4.3999999999999997E-2</v>
      </c>
      <c r="E32" s="52">
        <f t="shared" si="7"/>
        <v>17.356699421311543</v>
      </c>
      <c r="F32" s="52">
        <f t="shared" si="8"/>
        <v>0.44797585227272718</v>
      </c>
    </row>
    <row r="33" spans="2:7" x14ac:dyDescent="0.2">
      <c r="B33" s="10" t="s">
        <v>168</v>
      </c>
      <c r="C33">
        <v>12</v>
      </c>
      <c r="D33">
        <f t="shared" si="6"/>
        <v>4.8000000000000001E-2</v>
      </c>
      <c r="E33" s="52">
        <f t="shared" si="7"/>
        <v>15.910307802868912</v>
      </c>
      <c r="F33" s="52">
        <f t="shared" si="8"/>
        <v>0.41064453124999989</v>
      </c>
      <c r="G33" s="10" t="s">
        <v>169</v>
      </c>
    </row>
    <row r="34" spans="2:7" x14ac:dyDescent="0.2">
      <c r="B34" s="10" t="s">
        <v>155</v>
      </c>
      <c r="C34">
        <v>16</v>
      </c>
      <c r="D34">
        <f t="shared" si="6"/>
        <v>6.4000000000000001E-2</v>
      </c>
      <c r="E34" s="52">
        <f t="shared" si="7"/>
        <v>11.932730852151685</v>
      </c>
      <c r="F34" s="52">
        <f t="shared" si="8"/>
        <v>0.30798339843749989</v>
      </c>
    </row>
    <row r="35" spans="2:7" x14ac:dyDescent="0.2">
      <c r="B35" s="10" t="s">
        <v>159</v>
      </c>
      <c r="C35">
        <v>20</v>
      </c>
      <c r="D35">
        <f t="shared" si="6"/>
        <v>0.08</v>
      </c>
      <c r="E35" s="52">
        <f t="shared" si="7"/>
        <v>9.546184681721348</v>
      </c>
      <c r="F35" s="52">
        <f t="shared" si="8"/>
        <v>0.24638671874999993</v>
      </c>
    </row>
    <row r="42" spans="2:7" x14ac:dyDescent="0.2">
      <c r="B42" t="s">
        <v>163</v>
      </c>
    </row>
    <row r="43" spans="2:7" x14ac:dyDescent="0.2">
      <c r="B43" t="s">
        <v>164</v>
      </c>
    </row>
  </sheetData>
  <sheetProtection algorithmName="SHA-512" hashValue="1qqa8H3cKCcLrbjmBn+S0kutmKYcYWjrPnzZ/w12LhwV+Imk57FXVUtYKPhC6dsMEcdPx8mJg4n3a7Tpqsr6/Q==" saltValue="dEqeK7uIbR8Fle/ei1ONw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Z58"/>
  <sheetViews>
    <sheetView zoomScaleNormal="100" workbookViewId="0"/>
  </sheetViews>
  <sheetFormatPr defaultRowHeight="12.75" x14ac:dyDescent="0.2"/>
  <sheetData>
    <row r="3" spans="5:26" x14ac:dyDescent="0.2">
      <c r="E3" s="58" t="s">
        <v>132</v>
      </c>
    </row>
    <row r="4" spans="5:26" ht="38.25" x14ac:dyDescent="0.2">
      <c r="E4" s="54" t="s">
        <v>121</v>
      </c>
      <c r="F4" s="57" t="s">
        <v>122</v>
      </c>
      <c r="G4" s="54" t="s">
        <v>123</v>
      </c>
    </row>
    <row r="5" spans="5:26" x14ac:dyDescent="0.2">
      <c r="E5" s="54" t="s">
        <v>124</v>
      </c>
      <c r="F5" s="57" t="s">
        <v>122</v>
      </c>
      <c r="G5" s="54" t="s">
        <v>125</v>
      </c>
    </row>
    <row r="6" spans="5:26" ht="25.5" x14ac:dyDescent="0.2">
      <c r="E6" s="54" t="s">
        <v>126</v>
      </c>
      <c r="F6" s="57" t="s">
        <v>122</v>
      </c>
      <c r="G6" s="54" t="s">
        <v>127</v>
      </c>
    </row>
    <row r="7" spans="5:26" ht="25.5" x14ac:dyDescent="0.2">
      <c r="E7" s="54" t="s">
        <v>128</v>
      </c>
      <c r="F7" s="57" t="s">
        <v>122</v>
      </c>
      <c r="G7" s="54" t="s">
        <v>129</v>
      </c>
    </row>
    <row r="8" spans="5:26" ht="25.5" x14ac:dyDescent="0.2">
      <c r="E8" s="54" t="s">
        <v>130</v>
      </c>
      <c r="F8" s="57" t="s">
        <v>122</v>
      </c>
      <c r="G8" s="54" t="s">
        <v>131</v>
      </c>
    </row>
    <row r="12" spans="5:26" x14ac:dyDescent="0.2">
      <c r="E12" s="10" t="s">
        <v>133</v>
      </c>
    </row>
    <row r="13" spans="5:26" ht="25.5" x14ac:dyDescent="0.2">
      <c r="E13" s="55" t="s">
        <v>118</v>
      </c>
      <c r="F13" s="98">
        <v>5</v>
      </c>
      <c r="G13" s="98">
        <v>10</v>
      </c>
      <c r="H13" s="98">
        <v>15</v>
      </c>
      <c r="I13" s="98">
        <v>20</v>
      </c>
      <c r="J13" s="98">
        <v>25</v>
      </c>
      <c r="K13" s="98">
        <v>30</v>
      </c>
      <c r="L13" s="98">
        <v>35</v>
      </c>
      <c r="M13" s="98">
        <v>40</v>
      </c>
      <c r="N13" s="98">
        <v>45</v>
      </c>
      <c r="O13" s="98">
        <v>50</v>
      </c>
      <c r="P13" s="98">
        <v>55</v>
      </c>
      <c r="Q13" s="98">
        <v>60</v>
      </c>
      <c r="R13" s="98">
        <v>65</v>
      </c>
      <c r="S13" s="98">
        <v>70</v>
      </c>
      <c r="T13" s="98">
        <v>75</v>
      </c>
      <c r="U13" s="98">
        <v>80</v>
      </c>
      <c r="V13" s="98">
        <v>85</v>
      </c>
      <c r="W13" s="98">
        <v>90</v>
      </c>
      <c r="X13" s="98">
        <v>95</v>
      </c>
      <c r="Y13" s="98" t="s">
        <v>120</v>
      </c>
      <c r="Z13" s="98" t="s">
        <v>134</v>
      </c>
    </row>
    <row r="14" spans="5:26" ht="25.5" customHeight="1" x14ac:dyDescent="0.2">
      <c r="E14" s="56" t="s">
        <v>119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</row>
    <row r="15" spans="5:26" x14ac:dyDescent="0.2">
      <c r="E15" s="54">
        <v>0</v>
      </c>
      <c r="F15" s="54">
        <v>0.1</v>
      </c>
      <c r="G15" s="54">
        <v>0.16</v>
      </c>
      <c r="H15" s="54">
        <v>0.23</v>
      </c>
      <c r="I15" s="54">
        <v>0.34</v>
      </c>
      <c r="J15" s="54">
        <v>0.53</v>
      </c>
      <c r="K15" s="54">
        <v>0.8</v>
      </c>
      <c r="L15" s="54">
        <v>1.1399999999999999</v>
      </c>
      <c r="M15" s="54">
        <v>1.57</v>
      </c>
      <c r="N15" s="54">
        <v>2.2000000000000002</v>
      </c>
      <c r="O15" s="54">
        <v>3.29</v>
      </c>
      <c r="P15" s="54">
        <v>5.3</v>
      </c>
      <c r="Q15" s="54">
        <v>8.81</v>
      </c>
      <c r="R15" s="54">
        <v>14.46</v>
      </c>
      <c r="S15" s="54">
        <v>22.09</v>
      </c>
      <c r="T15" s="54">
        <v>30.85</v>
      </c>
      <c r="U15" s="54">
        <v>39.17</v>
      </c>
      <c r="V15" s="54">
        <v>45.19</v>
      </c>
      <c r="W15" s="54">
        <v>48.36</v>
      </c>
      <c r="X15" s="54" t="s">
        <v>76</v>
      </c>
      <c r="Y15" s="54" t="s">
        <v>77</v>
      </c>
      <c r="Z15" s="99"/>
    </row>
    <row r="16" spans="5:26" x14ac:dyDescent="0.2">
      <c r="E16" s="54">
        <v>5</v>
      </c>
      <c r="F16" s="54"/>
      <c r="G16" s="54">
        <v>7.0000000000000007E-2</v>
      </c>
      <c r="H16" s="54">
        <v>0.13</v>
      </c>
      <c r="I16" s="54">
        <v>0.25</v>
      </c>
      <c r="J16" s="54">
        <v>0.43</v>
      </c>
      <c r="K16" s="54">
        <v>0.71</v>
      </c>
      <c r="L16" s="54">
        <v>1.05</v>
      </c>
      <c r="M16" s="54">
        <v>1.48</v>
      </c>
      <c r="N16" s="54">
        <v>2.12</v>
      </c>
      <c r="O16" s="54">
        <v>3.21</v>
      </c>
      <c r="P16" s="54">
        <v>5.23</v>
      </c>
      <c r="Q16" s="54">
        <v>8.76</v>
      </c>
      <c r="R16" s="54">
        <v>14.44</v>
      </c>
      <c r="S16" s="54">
        <v>22.11</v>
      </c>
      <c r="T16" s="54">
        <v>30.92</v>
      </c>
      <c r="U16" s="54">
        <v>39.29</v>
      </c>
      <c r="V16" s="54">
        <v>45.34</v>
      </c>
      <c r="W16" s="54">
        <v>48.53</v>
      </c>
      <c r="X16" s="54" t="s">
        <v>79</v>
      </c>
      <c r="Y16" s="54" t="s">
        <v>80</v>
      </c>
      <c r="Z16" s="54" t="s">
        <v>78</v>
      </c>
    </row>
    <row r="17" spans="5:26" x14ac:dyDescent="0.2">
      <c r="E17" s="54">
        <v>10</v>
      </c>
      <c r="F17" s="54"/>
      <c r="G17" s="54"/>
      <c r="H17" s="54">
        <v>7.0000000000000007E-2</v>
      </c>
      <c r="I17" s="54">
        <v>0.18</v>
      </c>
      <c r="J17" s="54">
        <v>0.37</v>
      </c>
      <c r="K17" s="54">
        <v>0.64</v>
      </c>
      <c r="L17" s="54">
        <v>0.98</v>
      </c>
      <c r="M17" s="54">
        <v>1.41</v>
      </c>
      <c r="N17" s="54">
        <v>2.0499999999999998</v>
      </c>
      <c r="O17" s="54">
        <v>3.15</v>
      </c>
      <c r="P17" s="54">
        <v>5.17</v>
      </c>
      <c r="Q17" s="54">
        <v>8.7100000000000009</v>
      </c>
      <c r="R17" s="54">
        <v>14.39</v>
      </c>
      <c r="S17" s="54">
        <v>22.08</v>
      </c>
      <c r="T17" s="54">
        <v>30.9</v>
      </c>
      <c r="U17" s="54">
        <v>39.29</v>
      </c>
      <c r="V17" s="54">
        <v>45.35</v>
      </c>
      <c r="W17" s="54">
        <v>48.54</v>
      </c>
      <c r="X17" s="54" t="s">
        <v>81</v>
      </c>
      <c r="Y17" s="54" t="s">
        <v>82</v>
      </c>
      <c r="Z17" s="54" t="s">
        <v>78</v>
      </c>
    </row>
    <row r="18" spans="5:26" x14ac:dyDescent="0.2">
      <c r="E18" s="54">
        <v>15</v>
      </c>
      <c r="F18" s="54"/>
      <c r="G18" s="54"/>
      <c r="H18" s="54"/>
      <c r="I18" s="54">
        <v>0.12</v>
      </c>
      <c r="J18" s="54">
        <v>0.3</v>
      </c>
      <c r="K18" s="54">
        <v>0.57999999999999996</v>
      </c>
      <c r="L18" s="54">
        <v>0.92</v>
      </c>
      <c r="M18" s="54">
        <v>1.35</v>
      </c>
      <c r="N18" s="54">
        <v>1.99</v>
      </c>
      <c r="O18" s="54">
        <v>3.09</v>
      </c>
      <c r="P18" s="54">
        <v>5.1100000000000003</v>
      </c>
      <c r="Q18" s="54">
        <v>8.65</v>
      </c>
      <c r="R18" s="54">
        <v>14.35</v>
      </c>
      <c r="S18" s="54">
        <v>22.04</v>
      </c>
      <c r="T18" s="54">
        <v>30.87</v>
      </c>
      <c r="U18" s="54">
        <v>39.270000000000003</v>
      </c>
      <c r="V18" s="54">
        <v>45.34</v>
      </c>
      <c r="W18" s="54">
        <v>48.54</v>
      </c>
      <c r="X18" s="54" t="s">
        <v>83</v>
      </c>
      <c r="Y18" s="54" t="s">
        <v>80</v>
      </c>
      <c r="Z18" s="54" t="s">
        <v>78</v>
      </c>
    </row>
    <row r="19" spans="5:26" x14ac:dyDescent="0.2">
      <c r="E19" s="54">
        <v>20</v>
      </c>
      <c r="F19" s="54"/>
      <c r="G19" s="54"/>
      <c r="H19" s="54"/>
      <c r="I19" s="54"/>
      <c r="J19" s="54">
        <v>0.19</v>
      </c>
      <c r="K19" s="54">
        <v>0.46</v>
      </c>
      <c r="L19" s="54">
        <v>0.8</v>
      </c>
      <c r="M19" s="54">
        <v>1.24</v>
      </c>
      <c r="N19" s="54">
        <v>1.88</v>
      </c>
      <c r="O19" s="54">
        <v>2.98</v>
      </c>
      <c r="P19" s="54">
        <v>5.01</v>
      </c>
      <c r="Q19" s="54">
        <v>8.56</v>
      </c>
      <c r="R19" s="54">
        <v>14.27</v>
      </c>
      <c r="S19" s="54">
        <v>21.98</v>
      </c>
      <c r="T19" s="54">
        <v>30.84</v>
      </c>
      <c r="U19" s="54">
        <v>39.25</v>
      </c>
      <c r="V19" s="54">
        <v>45.34</v>
      </c>
      <c r="W19" s="54">
        <v>48.54</v>
      </c>
      <c r="X19" s="54" t="s">
        <v>81</v>
      </c>
      <c r="Y19" s="54" t="s">
        <v>82</v>
      </c>
      <c r="Z19" s="54" t="s">
        <v>78</v>
      </c>
    </row>
    <row r="20" spans="5:26" x14ac:dyDescent="0.2">
      <c r="E20" s="54">
        <v>25</v>
      </c>
      <c r="F20" s="54"/>
      <c r="G20" s="54"/>
      <c r="H20" s="54"/>
      <c r="I20" s="54"/>
      <c r="J20" s="54"/>
      <c r="K20" s="54">
        <v>0.28000000000000003</v>
      </c>
      <c r="L20" s="54">
        <v>0.62</v>
      </c>
      <c r="M20" s="54">
        <v>1.05</v>
      </c>
      <c r="N20" s="54">
        <v>1.7</v>
      </c>
      <c r="O20" s="54">
        <v>2.8</v>
      </c>
      <c r="P20" s="54">
        <v>4.84</v>
      </c>
      <c r="Q20" s="54">
        <v>8.4</v>
      </c>
      <c r="R20" s="54">
        <v>14.13</v>
      </c>
      <c r="S20" s="54">
        <v>21.88</v>
      </c>
      <c r="T20" s="54">
        <v>30.77</v>
      </c>
      <c r="U20" s="54">
        <v>39.21</v>
      </c>
      <c r="V20" s="54">
        <v>45.32</v>
      </c>
      <c r="W20" s="54">
        <v>48.54</v>
      </c>
      <c r="X20" s="54" t="s">
        <v>81</v>
      </c>
      <c r="Y20" s="54" t="s">
        <v>84</v>
      </c>
      <c r="Z20" s="54" t="s">
        <v>78</v>
      </c>
    </row>
    <row r="21" spans="5:26" x14ac:dyDescent="0.2">
      <c r="E21" s="54">
        <v>30</v>
      </c>
      <c r="F21" s="54"/>
      <c r="G21" s="54"/>
      <c r="H21" s="54"/>
      <c r="I21" s="54"/>
      <c r="J21" s="54"/>
      <c r="K21" s="54"/>
      <c r="L21" s="54">
        <v>0.34</v>
      </c>
      <c r="M21" s="54">
        <v>0.78</v>
      </c>
      <c r="N21" s="54">
        <v>1.43</v>
      </c>
      <c r="O21" s="54">
        <v>2.54</v>
      </c>
      <c r="P21" s="54">
        <v>4.59</v>
      </c>
      <c r="Q21" s="54">
        <v>8.17</v>
      </c>
      <c r="R21" s="54">
        <v>13.93</v>
      </c>
      <c r="S21" s="54">
        <v>21.71</v>
      </c>
      <c r="T21" s="54">
        <v>30.64</v>
      </c>
      <c r="U21" s="54">
        <v>39.130000000000003</v>
      </c>
      <c r="V21" s="54">
        <v>45.27</v>
      </c>
      <c r="W21" s="54">
        <v>48.5</v>
      </c>
      <c r="X21" s="54" t="s">
        <v>85</v>
      </c>
      <c r="Y21" s="54" t="s">
        <v>86</v>
      </c>
      <c r="Z21" s="54" t="s">
        <v>78</v>
      </c>
    </row>
    <row r="22" spans="5:26" x14ac:dyDescent="0.2">
      <c r="E22" s="54">
        <v>35</v>
      </c>
      <c r="F22" s="54"/>
      <c r="G22" s="54"/>
      <c r="H22" s="54"/>
      <c r="I22" s="54"/>
      <c r="J22" s="54"/>
      <c r="K22" s="54"/>
      <c r="L22" s="54"/>
      <c r="M22" s="54">
        <v>0.44</v>
      </c>
      <c r="N22" s="54">
        <v>1.0900000000000001</v>
      </c>
      <c r="O22" s="54">
        <v>2.21</v>
      </c>
      <c r="P22" s="54">
        <v>4.2699999999999996</v>
      </c>
      <c r="Q22" s="54">
        <v>7.87</v>
      </c>
      <c r="R22" s="54">
        <v>13.67</v>
      </c>
      <c r="S22" s="54">
        <v>21.49</v>
      </c>
      <c r="T22" s="54">
        <v>30.48</v>
      </c>
      <c r="U22" s="54">
        <v>39.020000000000003</v>
      </c>
      <c r="V22" s="54">
        <v>45.2</v>
      </c>
      <c r="W22" s="54">
        <v>48.45</v>
      </c>
      <c r="X22" s="54" t="s">
        <v>87</v>
      </c>
      <c r="Y22" s="54" t="s">
        <v>88</v>
      </c>
      <c r="Z22" s="54" t="s">
        <v>78</v>
      </c>
    </row>
    <row r="23" spans="5:26" x14ac:dyDescent="0.2">
      <c r="E23" s="54">
        <v>40</v>
      </c>
      <c r="F23" s="54"/>
      <c r="G23" s="54"/>
      <c r="H23" s="54"/>
      <c r="I23" s="54"/>
      <c r="J23" s="54"/>
      <c r="K23" s="54"/>
      <c r="L23" s="54"/>
      <c r="M23" s="54"/>
      <c r="N23" s="54">
        <v>0.65</v>
      </c>
      <c r="O23" s="54">
        <v>1.78</v>
      </c>
      <c r="P23" s="54">
        <v>3.86</v>
      </c>
      <c r="Q23" s="54">
        <v>7.49</v>
      </c>
      <c r="R23" s="54">
        <v>13.33</v>
      </c>
      <c r="S23" s="54">
        <v>21.22</v>
      </c>
      <c r="T23" s="54">
        <v>30.28</v>
      </c>
      <c r="U23" s="54">
        <v>38.880000000000003</v>
      </c>
      <c r="V23" s="54">
        <v>45.11</v>
      </c>
      <c r="W23" s="54">
        <v>48.39</v>
      </c>
      <c r="X23" s="54" t="s">
        <v>89</v>
      </c>
      <c r="Y23" s="54" t="s">
        <v>90</v>
      </c>
      <c r="Z23" s="54" t="s">
        <v>78</v>
      </c>
    </row>
    <row r="24" spans="5:26" x14ac:dyDescent="0.2">
      <c r="E24" s="54">
        <v>45</v>
      </c>
      <c r="F24" s="54"/>
      <c r="G24" s="54"/>
      <c r="H24" s="54"/>
      <c r="I24" s="54"/>
      <c r="J24" s="54"/>
      <c r="K24" s="54"/>
      <c r="L24" s="54"/>
      <c r="M24" s="54"/>
      <c r="N24" s="54"/>
      <c r="O24" s="54">
        <v>1.1399999999999999</v>
      </c>
      <c r="P24" s="54">
        <v>3.24</v>
      </c>
      <c r="Q24" s="54">
        <v>6.91</v>
      </c>
      <c r="R24" s="54">
        <v>12.82</v>
      </c>
      <c r="S24" s="54">
        <v>20.8</v>
      </c>
      <c r="T24" s="54">
        <v>29.97</v>
      </c>
      <c r="U24" s="54">
        <v>38.68</v>
      </c>
      <c r="V24" s="54">
        <v>44.97</v>
      </c>
      <c r="W24" s="54">
        <v>48.29</v>
      </c>
      <c r="X24" s="54" t="s">
        <v>91</v>
      </c>
      <c r="Y24" s="54" t="s">
        <v>92</v>
      </c>
      <c r="Z24" s="54" t="s">
        <v>78</v>
      </c>
    </row>
    <row r="25" spans="5:26" x14ac:dyDescent="0.2">
      <c r="E25" s="54">
        <v>50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>
        <v>2.14</v>
      </c>
      <c r="Q25" s="54">
        <v>5.88</v>
      </c>
      <c r="R25" s="54">
        <v>11.91</v>
      </c>
      <c r="S25" s="54">
        <v>20.04</v>
      </c>
      <c r="T25" s="54">
        <v>29.39</v>
      </c>
      <c r="U25" s="54">
        <v>38.26</v>
      </c>
      <c r="V25" s="54">
        <v>44.68</v>
      </c>
      <c r="W25" s="54">
        <v>48.07</v>
      </c>
      <c r="X25" s="54" t="s">
        <v>93</v>
      </c>
      <c r="Y25" s="54" t="s">
        <v>94</v>
      </c>
      <c r="Z25" s="54" t="s">
        <v>78</v>
      </c>
    </row>
    <row r="26" spans="5:26" x14ac:dyDescent="0.2">
      <c r="E26" s="54">
        <v>55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>
        <v>3.87</v>
      </c>
      <c r="R26" s="54">
        <v>10.1</v>
      </c>
      <c r="S26" s="54">
        <v>18.510000000000002</v>
      </c>
      <c r="T26" s="54">
        <v>28.17</v>
      </c>
      <c r="U26" s="54">
        <v>37.35</v>
      </c>
      <c r="V26" s="54">
        <v>43.99</v>
      </c>
      <c r="W26" s="54">
        <v>47.49</v>
      </c>
      <c r="X26" s="54" t="s">
        <v>95</v>
      </c>
      <c r="Y26" s="54" t="s">
        <v>96</v>
      </c>
      <c r="Z26" s="54" t="s">
        <v>97</v>
      </c>
    </row>
    <row r="27" spans="5:26" x14ac:dyDescent="0.2">
      <c r="E27" s="54">
        <v>60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>
        <v>6.6</v>
      </c>
      <c r="S27" s="54">
        <v>15.51</v>
      </c>
      <c r="T27" s="54">
        <v>25.75</v>
      </c>
      <c r="U27" s="54">
        <v>35.47</v>
      </c>
      <c r="V27" s="54">
        <v>42.51</v>
      </c>
      <c r="W27" s="54">
        <v>46.21</v>
      </c>
      <c r="X27" s="54" t="s">
        <v>98</v>
      </c>
      <c r="Y27" s="54" t="s">
        <v>99</v>
      </c>
      <c r="Z27" s="54" t="s">
        <v>100</v>
      </c>
    </row>
    <row r="28" spans="5:26" x14ac:dyDescent="0.2">
      <c r="E28" s="54">
        <v>65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9.83</v>
      </c>
      <c r="T28" s="54">
        <v>21.12</v>
      </c>
      <c r="U28" s="54">
        <v>31.85</v>
      </c>
      <c r="V28" s="54">
        <v>39.61</v>
      </c>
      <c r="W28" s="54">
        <v>43.7</v>
      </c>
      <c r="X28" s="54" t="s">
        <v>101</v>
      </c>
      <c r="Y28" s="54" t="s">
        <v>102</v>
      </c>
      <c r="Z28" s="54" t="s">
        <v>103</v>
      </c>
    </row>
    <row r="29" spans="5:26" x14ac:dyDescent="0.2">
      <c r="E29" s="54">
        <v>70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>
        <v>13.19</v>
      </c>
      <c r="U29" s="54">
        <v>25.71</v>
      </c>
      <c r="V29" s="54">
        <v>34.770000000000003</v>
      </c>
      <c r="W29" s="54">
        <v>39.549999999999997</v>
      </c>
      <c r="X29" s="54" t="s">
        <v>104</v>
      </c>
      <c r="Y29" s="54" t="s">
        <v>105</v>
      </c>
      <c r="Z29" s="54" t="s">
        <v>106</v>
      </c>
    </row>
    <row r="30" spans="5:26" x14ac:dyDescent="0.2">
      <c r="E30" s="54">
        <v>75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>
        <v>15.93</v>
      </c>
      <c r="V30" s="54">
        <v>27.45</v>
      </c>
      <c r="W30" s="54">
        <v>33.520000000000003</v>
      </c>
      <c r="X30" s="54" t="s">
        <v>107</v>
      </c>
      <c r="Y30" s="54" t="s">
        <v>108</v>
      </c>
      <c r="Z30" s="54" t="s">
        <v>109</v>
      </c>
    </row>
    <row r="31" spans="5:26" x14ac:dyDescent="0.2">
      <c r="E31" s="54">
        <v>80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>
        <v>16.7</v>
      </c>
      <c r="W31" s="54">
        <v>25.49</v>
      </c>
      <c r="X31" s="54" t="s">
        <v>110</v>
      </c>
      <c r="Y31" s="54" t="s">
        <v>111</v>
      </c>
      <c r="Z31" s="54" t="s">
        <v>112</v>
      </c>
    </row>
    <row r="32" spans="5:26" x14ac:dyDescent="0.2">
      <c r="E32" s="54">
        <v>85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15.51</v>
      </c>
      <c r="X32" s="54" t="s">
        <v>113</v>
      </c>
      <c r="Y32" s="54" t="s">
        <v>114</v>
      </c>
      <c r="Z32" s="54"/>
    </row>
    <row r="33" spans="5:26" x14ac:dyDescent="0.2">
      <c r="E33" s="54">
        <v>90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 t="s">
        <v>115</v>
      </c>
      <c r="Y33" s="54" t="s">
        <v>116</v>
      </c>
      <c r="Z33" s="54"/>
    </row>
    <row r="34" spans="5:26" x14ac:dyDescent="0.2">
      <c r="E34" s="54">
        <v>95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 t="s">
        <v>117</v>
      </c>
    </row>
    <row r="36" spans="5:26" x14ac:dyDescent="0.2">
      <c r="E36" s="10" t="s">
        <v>135</v>
      </c>
    </row>
    <row r="37" spans="5:26" ht="25.5" customHeight="1" x14ac:dyDescent="0.2">
      <c r="E37" s="55" t="s">
        <v>118</v>
      </c>
      <c r="F37" s="98">
        <v>5</v>
      </c>
      <c r="G37" s="98">
        <v>10</v>
      </c>
      <c r="H37" s="98">
        <v>15</v>
      </c>
      <c r="I37" s="98">
        <v>20</v>
      </c>
      <c r="J37" s="98">
        <v>25</v>
      </c>
      <c r="K37" s="98">
        <v>30</v>
      </c>
      <c r="L37" s="98">
        <v>35</v>
      </c>
      <c r="M37" s="98">
        <v>40</v>
      </c>
      <c r="N37" s="98">
        <v>45</v>
      </c>
      <c r="O37" s="98">
        <v>50</v>
      </c>
      <c r="P37" s="98">
        <v>55</v>
      </c>
      <c r="Q37" s="98">
        <v>60</v>
      </c>
      <c r="R37" s="98">
        <v>65</v>
      </c>
      <c r="S37" s="98">
        <v>70</v>
      </c>
      <c r="T37" s="98">
        <v>75</v>
      </c>
      <c r="U37" s="98">
        <v>80</v>
      </c>
      <c r="V37" s="98">
        <v>85</v>
      </c>
      <c r="W37" s="98">
        <v>90</v>
      </c>
      <c r="X37" s="98">
        <v>95</v>
      </c>
      <c r="Y37" s="98" t="s">
        <v>120</v>
      </c>
      <c r="Z37" s="98" t="s">
        <v>134</v>
      </c>
    </row>
    <row r="38" spans="5:26" ht="25.5" x14ac:dyDescent="0.2">
      <c r="E38" s="56" t="s">
        <v>119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5:26" x14ac:dyDescent="0.2">
      <c r="E39" s="54">
        <v>0</v>
      </c>
      <c r="F39" s="54">
        <v>0.08</v>
      </c>
      <c r="G39" s="54">
        <v>0.14000000000000001</v>
      </c>
      <c r="H39" s="54">
        <v>0.19</v>
      </c>
      <c r="I39" s="54">
        <v>0.28999999999999998</v>
      </c>
      <c r="J39" s="54">
        <v>0.46</v>
      </c>
      <c r="K39" s="54">
        <v>0.75</v>
      </c>
      <c r="L39" s="54">
        <v>1.27</v>
      </c>
      <c r="M39" s="54">
        <v>2.12</v>
      </c>
      <c r="N39" s="54">
        <v>3.52</v>
      </c>
      <c r="O39" s="54">
        <v>5.67</v>
      </c>
      <c r="P39" s="54">
        <v>8.6300000000000008</v>
      </c>
      <c r="Q39" s="54">
        <v>12.22</v>
      </c>
      <c r="R39" s="54">
        <v>16.7</v>
      </c>
      <c r="S39" s="54">
        <v>21.87</v>
      </c>
      <c r="T39" s="54">
        <v>27.48</v>
      </c>
      <c r="U39" s="54">
        <v>32.89</v>
      </c>
      <c r="V39" s="54">
        <v>37.700000000000003</v>
      </c>
      <c r="W39" s="54">
        <v>40.97</v>
      </c>
      <c r="X39" s="54">
        <v>42.32</v>
      </c>
      <c r="Y39" s="54">
        <v>42.68</v>
      </c>
      <c r="Z39" s="54">
        <v>2.7</v>
      </c>
    </row>
    <row r="40" spans="5:26" x14ac:dyDescent="0.2">
      <c r="E40" s="54">
        <v>5</v>
      </c>
      <c r="F40" s="54"/>
      <c r="G40" s="54">
        <v>0.05</v>
      </c>
      <c r="H40" s="54">
        <v>0.11</v>
      </c>
      <c r="I40" s="54">
        <v>0.21</v>
      </c>
      <c r="J40" s="54">
        <v>0.37</v>
      </c>
      <c r="K40" s="54">
        <v>0.67</v>
      </c>
      <c r="L40" s="54">
        <v>1.2</v>
      </c>
      <c r="M40" s="54">
        <v>2.0499999999999998</v>
      </c>
      <c r="N40" s="54">
        <v>3.45</v>
      </c>
      <c r="O40" s="54">
        <v>5.62</v>
      </c>
      <c r="P40" s="54">
        <v>8.59</v>
      </c>
      <c r="Q40" s="54">
        <v>12.19</v>
      </c>
      <c r="R40" s="54">
        <v>16.7</v>
      </c>
      <c r="S40" s="54">
        <v>21.88</v>
      </c>
      <c r="T40" s="54">
        <v>27.53</v>
      </c>
      <c r="U40" s="54">
        <v>32.96</v>
      </c>
      <c r="V40" s="54">
        <v>37.79</v>
      </c>
      <c r="W40" s="54">
        <v>41.08</v>
      </c>
      <c r="X40" s="54">
        <v>42.43</v>
      </c>
      <c r="Y40" s="54">
        <v>42.79</v>
      </c>
      <c r="Z40" s="54">
        <v>2.6</v>
      </c>
    </row>
    <row r="41" spans="5:26" x14ac:dyDescent="0.2">
      <c r="E41" s="54">
        <v>10</v>
      </c>
      <c r="F41" s="54"/>
      <c r="G41" s="54"/>
      <c r="H41" s="54">
        <v>0.06</v>
      </c>
      <c r="I41" s="54">
        <v>0.16</v>
      </c>
      <c r="J41" s="54">
        <v>0.32</v>
      </c>
      <c r="K41" s="54">
        <v>0.62</v>
      </c>
      <c r="L41" s="54">
        <v>1.1499999999999999</v>
      </c>
      <c r="M41" s="54">
        <v>2</v>
      </c>
      <c r="N41" s="54">
        <v>3.4</v>
      </c>
      <c r="O41" s="54">
        <v>5.57</v>
      </c>
      <c r="P41" s="54">
        <v>8.5399999999999991</v>
      </c>
      <c r="Q41" s="54">
        <v>12.15</v>
      </c>
      <c r="R41" s="54">
        <v>16.66</v>
      </c>
      <c r="S41" s="54">
        <v>21.86</v>
      </c>
      <c r="T41" s="54">
        <v>27.51</v>
      </c>
      <c r="U41" s="54">
        <v>32.950000000000003</v>
      </c>
      <c r="V41" s="54">
        <v>37.79</v>
      </c>
      <c r="W41" s="54">
        <v>41.08</v>
      </c>
      <c r="X41" s="54">
        <v>42.43</v>
      </c>
      <c r="Y41" s="54">
        <v>42.79</v>
      </c>
      <c r="Z41" s="54">
        <v>2.6</v>
      </c>
    </row>
    <row r="42" spans="5:26" x14ac:dyDescent="0.2">
      <c r="E42" s="54">
        <v>15</v>
      </c>
      <c r="F42" s="54"/>
      <c r="G42" s="54"/>
      <c r="H42" s="54"/>
      <c r="I42" s="54">
        <v>0.1</v>
      </c>
      <c r="J42" s="54">
        <v>0.26</v>
      </c>
      <c r="K42" s="54">
        <v>0.56000000000000005</v>
      </c>
      <c r="L42" s="54">
        <v>1.0900000000000001</v>
      </c>
      <c r="M42" s="54">
        <v>1.94</v>
      </c>
      <c r="N42" s="54">
        <v>3.35</v>
      </c>
      <c r="O42" s="54">
        <v>5.52</v>
      </c>
      <c r="P42" s="54">
        <v>8.49</v>
      </c>
      <c r="Q42" s="54">
        <v>12.11</v>
      </c>
      <c r="R42" s="54">
        <v>16.62</v>
      </c>
      <c r="S42" s="54">
        <v>21.82</v>
      </c>
      <c r="T42" s="54">
        <v>27.48</v>
      </c>
      <c r="U42" s="54">
        <v>32.92</v>
      </c>
      <c r="V42" s="54">
        <v>37.770000000000003</v>
      </c>
      <c r="W42" s="54">
        <v>41.06</v>
      </c>
      <c r="X42" s="54">
        <v>42.42</v>
      </c>
      <c r="Y42" s="54">
        <v>42.78</v>
      </c>
      <c r="Z42" s="54">
        <v>2.6</v>
      </c>
    </row>
    <row r="43" spans="5:26" x14ac:dyDescent="0.2">
      <c r="E43" s="54">
        <v>20</v>
      </c>
      <c r="F43" s="54"/>
      <c r="G43" s="54"/>
      <c r="H43" s="54"/>
      <c r="I43" s="54"/>
      <c r="J43" s="54">
        <v>0.16</v>
      </c>
      <c r="K43" s="54">
        <v>0.46</v>
      </c>
      <c r="L43" s="54">
        <v>0.99</v>
      </c>
      <c r="M43" s="54">
        <v>1.85</v>
      </c>
      <c r="N43" s="54">
        <v>3.25</v>
      </c>
      <c r="O43" s="54">
        <v>5.43</v>
      </c>
      <c r="P43" s="54">
        <v>8.41</v>
      </c>
      <c r="Q43" s="54">
        <v>12.03</v>
      </c>
      <c r="R43" s="54">
        <v>16.55</v>
      </c>
      <c r="S43" s="54">
        <v>21.76</v>
      </c>
      <c r="T43" s="54">
        <v>27.43</v>
      </c>
      <c r="U43" s="54">
        <v>32.880000000000003</v>
      </c>
      <c r="V43" s="54">
        <v>37.729999999999997</v>
      </c>
      <c r="W43" s="54">
        <v>41.03</v>
      </c>
      <c r="X43" s="54">
        <v>42.39</v>
      </c>
      <c r="Y43" s="54">
        <v>42.75</v>
      </c>
      <c r="Z43" s="54">
        <v>2.7</v>
      </c>
    </row>
    <row r="44" spans="5:26" x14ac:dyDescent="0.2">
      <c r="E44" s="54">
        <v>25</v>
      </c>
      <c r="F44" s="54"/>
      <c r="G44" s="54"/>
      <c r="H44" s="54"/>
      <c r="I44" s="54"/>
      <c r="J44" s="54"/>
      <c r="K44" s="54">
        <v>0.3</v>
      </c>
      <c r="L44" s="54">
        <v>0.83</v>
      </c>
      <c r="M44" s="54">
        <v>1.69</v>
      </c>
      <c r="N44" s="54">
        <v>3.1</v>
      </c>
      <c r="O44" s="54">
        <v>5.28</v>
      </c>
      <c r="P44" s="54">
        <v>8.27</v>
      </c>
      <c r="Q44" s="54">
        <v>11.89</v>
      </c>
      <c r="R44" s="54">
        <v>16.43</v>
      </c>
      <c r="S44" s="54">
        <v>21.65</v>
      </c>
      <c r="T44" s="54">
        <v>27.33</v>
      </c>
      <c r="U44" s="54">
        <v>32.799999999999997</v>
      </c>
      <c r="V44" s="54">
        <v>37.659999999999997</v>
      </c>
      <c r="W44" s="54">
        <v>40.97</v>
      </c>
      <c r="X44" s="54">
        <v>42.33</v>
      </c>
      <c r="Y44" s="54">
        <v>42.69</v>
      </c>
      <c r="Z44" s="54">
        <v>2.7</v>
      </c>
    </row>
    <row r="45" spans="5:26" x14ac:dyDescent="0.2">
      <c r="E45" s="54">
        <v>30</v>
      </c>
      <c r="F45" s="54"/>
      <c r="G45" s="54"/>
      <c r="H45" s="54"/>
      <c r="I45" s="54"/>
      <c r="J45" s="54"/>
      <c r="K45" s="54"/>
      <c r="L45" s="54">
        <v>0.53</v>
      </c>
      <c r="M45" s="54">
        <v>1.39</v>
      </c>
      <c r="N45" s="54">
        <v>2.81</v>
      </c>
      <c r="O45" s="54">
        <v>5</v>
      </c>
      <c r="P45" s="54">
        <v>8</v>
      </c>
      <c r="Q45" s="54">
        <v>11.64</v>
      </c>
      <c r="R45" s="54">
        <v>16.190000000000001</v>
      </c>
      <c r="S45" s="54">
        <v>21.44</v>
      </c>
      <c r="T45" s="54">
        <v>27.14</v>
      </c>
      <c r="U45" s="54">
        <v>32.630000000000003</v>
      </c>
      <c r="V45" s="54">
        <v>37.51</v>
      </c>
      <c r="W45" s="54">
        <v>40.83</v>
      </c>
      <c r="X45" s="54">
        <v>42.2</v>
      </c>
      <c r="Y45" s="54">
        <v>42.56</v>
      </c>
      <c r="Z45" s="54">
        <v>2.7</v>
      </c>
    </row>
    <row r="46" spans="5:26" x14ac:dyDescent="0.2">
      <c r="E46" s="54">
        <v>35</v>
      </c>
      <c r="F46" s="54"/>
      <c r="G46" s="54"/>
      <c r="H46" s="54"/>
      <c r="I46" s="54"/>
      <c r="J46" s="54"/>
      <c r="K46" s="54"/>
      <c r="L46" s="54"/>
      <c r="M46" s="54">
        <v>0.87</v>
      </c>
      <c r="N46" s="54">
        <v>2.29</v>
      </c>
      <c r="O46" s="54">
        <v>4.5</v>
      </c>
      <c r="P46" s="54">
        <v>7.52</v>
      </c>
      <c r="Q46" s="54">
        <v>11.18</v>
      </c>
      <c r="R46" s="54">
        <v>15.76</v>
      </c>
      <c r="S46" s="54">
        <v>21.04</v>
      </c>
      <c r="T46" s="54">
        <v>26.78</v>
      </c>
      <c r="U46" s="54">
        <v>32.31</v>
      </c>
      <c r="V46" s="54">
        <v>37.229999999999997</v>
      </c>
      <c r="W46" s="54">
        <v>40.56</v>
      </c>
      <c r="X46" s="54">
        <v>41.94</v>
      </c>
      <c r="Y46" s="54">
        <v>42.3</v>
      </c>
      <c r="Z46" s="54">
        <v>2.7</v>
      </c>
    </row>
    <row r="47" spans="5:26" x14ac:dyDescent="0.2">
      <c r="E47" s="54">
        <v>40</v>
      </c>
      <c r="F47" s="54"/>
      <c r="G47" s="54"/>
      <c r="H47" s="54"/>
      <c r="I47" s="54"/>
      <c r="J47" s="54"/>
      <c r="K47" s="54"/>
      <c r="L47" s="54"/>
      <c r="M47" s="54"/>
      <c r="N47" s="54">
        <v>1.44</v>
      </c>
      <c r="O47" s="54">
        <v>3.66</v>
      </c>
      <c r="P47" s="54">
        <v>6.72</v>
      </c>
      <c r="Q47" s="54">
        <v>10.42</v>
      </c>
      <c r="R47" s="54">
        <v>15.05</v>
      </c>
      <c r="S47" s="54">
        <v>20.39</v>
      </c>
      <c r="T47" s="54">
        <v>26.18</v>
      </c>
      <c r="U47" s="54">
        <v>31.77</v>
      </c>
      <c r="V47" s="54">
        <v>36.74</v>
      </c>
      <c r="W47" s="54">
        <v>40.11</v>
      </c>
      <c r="X47" s="54">
        <v>41.5</v>
      </c>
      <c r="Y47" s="54">
        <v>41.87</v>
      </c>
      <c r="Z47" s="54">
        <v>2.7</v>
      </c>
    </row>
    <row r="48" spans="5:26" x14ac:dyDescent="0.2">
      <c r="E48" s="54">
        <v>45</v>
      </c>
      <c r="F48" s="54"/>
      <c r="G48" s="54"/>
      <c r="H48" s="54"/>
      <c r="I48" s="54"/>
      <c r="J48" s="54"/>
      <c r="K48" s="54"/>
      <c r="L48" s="54"/>
      <c r="M48" s="54"/>
      <c r="N48" s="54"/>
      <c r="O48" s="54">
        <v>2.27</v>
      </c>
      <c r="P48" s="54">
        <v>5.37</v>
      </c>
      <c r="Q48" s="54">
        <v>9.14</v>
      </c>
      <c r="R48" s="54">
        <v>13.85</v>
      </c>
      <c r="S48" s="54">
        <v>19.27</v>
      </c>
      <c r="T48" s="54">
        <v>25.17</v>
      </c>
      <c r="U48" s="54">
        <v>30.85</v>
      </c>
      <c r="V48" s="54">
        <v>35.909999999999997</v>
      </c>
      <c r="W48" s="54">
        <v>39.340000000000003</v>
      </c>
      <c r="X48" s="54">
        <v>40.76</v>
      </c>
      <c r="Y48" s="54">
        <v>41.13</v>
      </c>
      <c r="Z48" s="54">
        <v>2.8</v>
      </c>
    </row>
    <row r="49" spans="5:26" x14ac:dyDescent="0.2">
      <c r="E49" s="54">
        <v>50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3.19</v>
      </c>
      <c r="Q49" s="54">
        <v>7.06</v>
      </c>
      <c r="R49" s="54">
        <v>11.9</v>
      </c>
      <c r="S49" s="54">
        <v>17.48</v>
      </c>
      <c r="T49" s="54">
        <v>23.54</v>
      </c>
      <c r="U49" s="54">
        <v>29.38</v>
      </c>
      <c r="V49" s="54">
        <v>34.57</v>
      </c>
      <c r="W49" s="54">
        <v>38.1</v>
      </c>
      <c r="X49" s="54">
        <v>39.549999999999997</v>
      </c>
      <c r="Y49" s="54">
        <v>39.93</v>
      </c>
      <c r="Z49" s="54">
        <v>2.9</v>
      </c>
    </row>
    <row r="50" spans="5:26" x14ac:dyDescent="0.2">
      <c r="E50" s="54">
        <v>55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>
        <v>4.03</v>
      </c>
      <c r="R50" s="54">
        <v>9.06</v>
      </c>
      <c r="S50" s="54">
        <v>14.85</v>
      </c>
      <c r="T50" s="54">
        <v>21.15</v>
      </c>
      <c r="U50" s="54">
        <v>27.22</v>
      </c>
      <c r="V50" s="54">
        <v>32.619999999999997</v>
      </c>
      <c r="W50" s="54">
        <v>36.28</v>
      </c>
      <c r="X50" s="54">
        <v>37.799999999999997</v>
      </c>
      <c r="Y50" s="54">
        <v>38.200000000000003</v>
      </c>
      <c r="Z50" s="54">
        <v>3.1</v>
      </c>
    </row>
    <row r="51" spans="5:26" x14ac:dyDescent="0.2">
      <c r="E51" s="54">
        <v>60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>
        <v>5.29</v>
      </c>
      <c r="S51" s="54">
        <v>11.38</v>
      </c>
      <c r="T51" s="54">
        <v>18.010000000000002</v>
      </c>
      <c r="U51" s="54">
        <v>24.39</v>
      </c>
      <c r="V51" s="54">
        <v>30.07</v>
      </c>
      <c r="W51" s="54">
        <v>33.92</v>
      </c>
      <c r="X51" s="54">
        <v>35.520000000000003</v>
      </c>
      <c r="Y51" s="54">
        <v>35.93</v>
      </c>
      <c r="Z51" s="54">
        <v>3.3</v>
      </c>
    </row>
    <row r="52" spans="5:26" x14ac:dyDescent="0.2">
      <c r="E52" s="54">
        <v>65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>
        <v>6.53</v>
      </c>
      <c r="T52" s="54">
        <v>13.63</v>
      </c>
      <c r="U52" s="54">
        <v>20.47</v>
      </c>
      <c r="V52" s="54">
        <v>26.56</v>
      </c>
      <c r="W52" s="54">
        <v>30.69</v>
      </c>
      <c r="X52" s="54">
        <v>32.4</v>
      </c>
      <c r="Y52" s="54">
        <v>32.85</v>
      </c>
      <c r="Z52" s="54">
        <v>3.8</v>
      </c>
    </row>
    <row r="53" spans="5:26" x14ac:dyDescent="0.2">
      <c r="E53" s="54">
        <v>70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7.81</v>
      </c>
      <c r="U53" s="54">
        <v>15.32</v>
      </c>
      <c r="V53" s="54">
        <v>22.01</v>
      </c>
      <c r="W53" s="54">
        <v>26.55</v>
      </c>
      <c r="X53" s="54">
        <v>28.43</v>
      </c>
      <c r="Y53" s="54">
        <v>28.92</v>
      </c>
      <c r="Z53" s="54">
        <v>4.5</v>
      </c>
    </row>
    <row r="54" spans="5:26" x14ac:dyDescent="0.2">
      <c r="E54" s="54">
        <v>75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>
        <v>8.61</v>
      </c>
      <c r="V54" s="54">
        <v>16.28</v>
      </c>
      <c r="W54" s="54">
        <v>21.48</v>
      </c>
      <c r="X54" s="54">
        <v>23.63</v>
      </c>
      <c r="Y54" s="54">
        <v>24.19</v>
      </c>
      <c r="Z54" s="54">
        <v>6.1</v>
      </c>
    </row>
    <row r="55" spans="5:26" x14ac:dyDescent="0.2">
      <c r="E55" s="54">
        <v>80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9.44</v>
      </c>
      <c r="W55" s="54">
        <v>15.85</v>
      </c>
      <c r="X55" s="54">
        <v>18.5</v>
      </c>
      <c r="Y55" s="54">
        <v>19.190000000000001</v>
      </c>
      <c r="Z55" s="54">
        <v>11</v>
      </c>
    </row>
    <row r="56" spans="5:26" x14ac:dyDescent="0.2">
      <c r="E56" s="54">
        <v>85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>
        <v>9.14</v>
      </c>
      <c r="X56" s="54">
        <v>12.92</v>
      </c>
      <c r="Y56" s="54">
        <v>13.91</v>
      </c>
      <c r="Z56" s="54"/>
    </row>
    <row r="57" spans="5:26" x14ac:dyDescent="0.2">
      <c r="E57" s="54">
        <v>90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>
        <v>7.04</v>
      </c>
      <c r="Y57" s="54">
        <v>8.89</v>
      </c>
      <c r="Z57" s="54"/>
    </row>
    <row r="58" spans="5:26" x14ac:dyDescent="0.2">
      <c r="E58" s="54">
        <v>95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>
        <v>5.32</v>
      </c>
      <c r="Z58" s="54"/>
    </row>
  </sheetData>
  <sheetProtection algorithmName="SHA-512" hashValue="2O/3uW/DnIGbwvEGqGFxFLq6de631T6nx51QA8mFO2Tmxf37pTbkVVgE6jbGNMleU3mdrutTm9im9PxjiVb1Lw==" saltValue="MdYuyt2w8gD+5mzfKm+iTA==" spinCount="100000" sheet="1" objects="1" scenarios="1"/>
  <mergeCells count="42">
    <mergeCell ref="Z37:Z38"/>
    <mergeCell ref="Z13:Z15"/>
    <mergeCell ref="T37:T38"/>
    <mergeCell ref="U37:U38"/>
    <mergeCell ref="V37:V38"/>
    <mergeCell ref="W37:W38"/>
    <mergeCell ref="X37:X38"/>
    <mergeCell ref="Y37:Y38"/>
    <mergeCell ref="W13:W14"/>
    <mergeCell ref="N37:N38"/>
    <mergeCell ref="O37:O38"/>
    <mergeCell ref="P37:P38"/>
    <mergeCell ref="Q37:Q38"/>
    <mergeCell ref="R37:R38"/>
    <mergeCell ref="S37:S38"/>
    <mergeCell ref="X13:X14"/>
    <mergeCell ref="Y13:Y14"/>
    <mergeCell ref="F37:F38"/>
    <mergeCell ref="G37:G38"/>
    <mergeCell ref="H37:H38"/>
    <mergeCell ref="I37:I38"/>
    <mergeCell ref="J37:J38"/>
    <mergeCell ref="K37:K38"/>
    <mergeCell ref="L37:L38"/>
    <mergeCell ref="M37:M38"/>
    <mergeCell ref="R13:R14"/>
    <mergeCell ref="S13:S14"/>
    <mergeCell ref="T13:T14"/>
    <mergeCell ref="U13:U14"/>
    <mergeCell ref="V13:V14"/>
    <mergeCell ref="Q13:Q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</mergeCells>
  <hyperlinks>
    <hyperlink ref="F4" r:id="rId1" tooltip="Wijzig selectiecriteria" display="https://www.cijfersoverkanker.nl/selecties/dataset_1/img5d36ee74a3eee"/>
    <hyperlink ref="F5" r:id="rId2" tooltip="Wijzig selectiecriteria" display="https://www.cijfersoverkanker.nl/selecties/dataset_1/img5d36ee74a3eee"/>
    <hyperlink ref="F6" r:id="rId3" tooltip="Wijzig selectiecriteria" display="https://www.cijfersoverkanker.nl/selecties/dataset_1/img5d36ee74a3eee"/>
    <hyperlink ref="F7" r:id="rId4" tooltip="Wijzig selectiecriteria" display="https://www.cijfersoverkanker.nl/selecties/dataset_1/img5d36ee74a3eee"/>
    <hyperlink ref="F8" r:id="rId5" tooltip="Wijzig selectiecriteria" display="https://www.cijfersoverkanker.nl/selecties/dataset_1/img5d36ee74a3eee"/>
    <hyperlink ref="E3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5"/>
  <sheetViews>
    <sheetView zoomScale="85" zoomScaleNormal="85" workbookViewId="0"/>
  </sheetViews>
  <sheetFormatPr defaultRowHeight="12.75" x14ac:dyDescent="0.2"/>
  <cols>
    <col min="5" max="5" width="10.140625" bestFit="1" customWidth="1"/>
    <col min="6" max="6" width="8.5703125" customWidth="1"/>
    <col min="7" max="7" width="26.85546875" customWidth="1"/>
    <col min="10" max="10" width="9.140625" customWidth="1"/>
    <col min="15" max="15" width="19.85546875" style="16" customWidth="1"/>
    <col min="17" max="17" width="13.28515625" customWidth="1"/>
    <col min="19" max="19" width="9.42578125" customWidth="1"/>
    <col min="20" max="20" width="9.85546875" customWidth="1"/>
    <col min="21" max="21" width="10" customWidth="1"/>
    <col min="22" max="22" width="12.5703125" customWidth="1"/>
  </cols>
  <sheetData>
    <row r="2" spans="1:21" s="2" customFormat="1" ht="36.75" x14ac:dyDescent="0.7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5" t="s">
        <v>24</v>
      </c>
      <c r="P2" s="1"/>
      <c r="Q2" s="1"/>
      <c r="R2" s="1"/>
      <c r="S2" s="1"/>
      <c r="T2" s="1"/>
      <c r="U2" s="1"/>
    </row>
    <row r="3" spans="1:21" x14ac:dyDescent="0.2">
      <c r="O3" s="19" t="s">
        <v>33</v>
      </c>
      <c r="P3" s="20"/>
      <c r="Q3" s="20"/>
      <c r="R3" s="20"/>
      <c r="S3" s="20"/>
      <c r="T3" s="20"/>
      <c r="U3" s="20"/>
    </row>
    <row r="4" spans="1:21" s="1" customFormat="1" ht="30" x14ac:dyDescent="0.3">
      <c r="A4"/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/>
      <c r="L4"/>
      <c r="M4"/>
      <c r="N4"/>
      <c r="O4" s="17" t="s">
        <v>170</v>
      </c>
      <c r="P4"/>
      <c r="Q4"/>
      <c r="R4" s="11" t="s">
        <v>171</v>
      </c>
      <c r="S4">
        <f>'blootstelling familie etc'!C23</f>
        <v>60</v>
      </c>
      <c r="T4" s="10" t="s">
        <v>14</v>
      </c>
      <c r="U4" s="10" t="s">
        <v>235</v>
      </c>
    </row>
    <row r="5" spans="1:21" ht="15" x14ac:dyDescent="0.25">
      <c r="O5" s="17" t="s">
        <v>34</v>
      </c>
      <c r="R5" s="9" t="s">
        <v>25</v>
      </c>
      <c r="S5">
        <v>3.4000000000000002E-2</v>
      </c>
      <c r="T5" t="s">
        <v>26</v>
      </c>
    </row>
    <row r="6" spans="1:21" ht="15.75" customHeight="1" x14ac:dyDescent="0.35">
      <c r="B6" s="33"/>
      <c r="C6" s="33"/>
      <c r="D6" s="33"/>
      <c r="E6" s="33"/>
      <c r="F6" s="33"/>
      <c r="G6" s="33"/>
      <c r="H6" s="33"/>
      <c r="I6" s="33"/>
      <c r="J6" s="33"/>
      <c r="O6" s="17" t="s">
        <v>35</v>
      </c>
      <c r="P6" s="10"/>
      <c r="Q6" s="10"/>
      <c r="R6" s="10"/>
      <c r="S6" s="10"/>
      <c r="T6" s="10"/>
      <c r="U6" s="10"/>
    </row>
    <row r="7" spans="1:21" ht="16.5" thickBot="1" x14ac:dyDescent="0.35">
      <c r="P7" s="10" t="s">
        <v>36</v>
      </c>
      <c r="Q7" s="10"/>
      <c r="R7" s="11" t="s">
        <v>27</v>
      </c>
      <c r="S7" s="10">
        <f>'blootstelling familie etc'!C22</f>
        <v>0.17399999999999999</v>
      </c>
      <c r="T7" s="10" t="s">
        <v>235</v>
      </c>
      <c r="U7" s="10"/>
    </row>
    <row r="8" spans="1:21" ht="30" x14ac:dyDescent="0.4">
      <c r="A8" s="105" t="s">
        <v>51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P8" s="10"/>
      <c r="Q8" s="10"/>
      <c r="R8" s="10"/>
      <c r="S8" s="10"/>
      <c r="T8" s="63"/>
      <c r="U8" s="10"/>
    </row>
    <row r="9" spans="1:21" ht="30" x14ac:dyDescent="0.4">
      <c r="A9" s="108" t="s">
        <v>57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17" t="s">
        <v>37</v>
      </c>
      <c r="P9" s="10"/>
      <c r="Q9" s="10"/>
      <c r="R9" s="10">
        <f>'blootstelling familie etc'!C24</f>
        <v>2</v>
      </c>
      <c r="S9" s="10" t="s">
        <v>28</v>
      </c>
      <c r="T9" s="10" t="s">
        <v>235</v>
      </c>
      <c r="U9" s="10"/>
    </row>
    <row r="10" spans="1:21" ht="18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17" t="s">
        <v>38</v>
      </c>
      <c r="P10" s="10"/>
      <c r="Q10" s="10"/>
      <c r="R10" s="64">
        <v>10</v>
      </c>
      <c r="S10" s="10" t="s">
        <v>28</v>
      </c>
      <c r="T10" s="65" t="s">
        <v>172</v>
      </c>
      <c r="U10" s="10"/>
    </row>
    <row r="11" spans="1:21" ht="25.5" x14ac:dyDescent="0.35">
      <c r="A11" s="111" t="s">
        <v>52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7"/>
      <c r="P11" s="10"/>
      <c r="Q11" s="10"/>
      <c r="R11" s="10"/>
      <c r="S11" s="10"/>
      <c r="T11" s="11"/>
      <c r="U11" s="10"/>
    </row>
    <row r="12" spans="1:21" ht="25.5" x14ac:dyDescent="0.35">
      <c r="A12" s="114" t="s">
        <v>53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17" t="s">
        <v>50</v>
      </c>
      <c r="P12" s="10"/>
      <c r="Q12" s="10"/>
      <c r="R12" s="11" t="s">
        <v>29</v>
      </c>
      <c r="S12" s="64">
        <v>0.4</v>
      </c>
      <c r="T12" s="10" t="s">
        <v>230</v>
      </c>
      <c r="U12" s="10"/>
    </row>
    <row r="13" spans="1:21" ht="25.5" x14ac:dyDescent="0.35">
      <c r="A13" s="115" t="s">
        <v>54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  <c r="O13" s="17"/>
      <c r="P13" s="10"/>
      <c r="Q13" s="10"/>
      <c r="R13" s="10"/>
      <c r="S13" s="12">
        <v>1</v>
      </c>
      <c r="T13" s="10" t="s">
        <v>173</v>
      </c>
      <c r="U13" s="10"/>
    </row>
    <row r="14" spans="1:21" ht="26.25" thickBot="1" x14ac:dyDescent="0.4">
      <c r="A14" s="116" t="s">
        <v>55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  <c r="O14" s="17" t="s">
        <v>39</v>
      </c>
      <c r="P14" s="66" t="s">
        <v>49</v>
      </c>
    </row>
    <row r="15" spans="1:21" s="3" customFormat="1" ht="13.5" thickBo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7" t="s">
        <v>40</v>
      </c>
      <c r="P15" s="67" t="s">
        <v>41</v>
      </c>
      <c r="Q15"/>
      <c r="R15"/>
      <c r="S15"/>
      <c r="T15"/>
      <c r="U15"/>
    </row>
    <row r="16" spans="1:21" s="3" customFormat="1" ht="12.75" customHeight="1" x14ac:dyDescent="0.2">
      <c r="A16" s="121" t="s">
        <v>56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8" t="s">
        <v>174</v>
      </c>
      <c r="P16" s="68" t="s">
        <v>175</v>
      </c>
      <c r="S16"/>
      <c r="T16"/>
      <c r="U16"/>
    </row>
    <row r="17" spans="1:22" s="3" customFormat="1" ht="12.75" customHeight="1" thickBot="1" x14ac:dyDescent="0.2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7" t="s">
        <v>48</v>
      </c>
      <c r="P17" s="69" t="s">
        <v>176</v>
      </c>
    </row>
    <row r="18" spans="1:22" s="3" customFormat="1" ht="12" x14ac:dyDescent="0.2">
      <c r="O18" s="18"/>
    </row>
    <row r="19" spans="1:22" s="3" customFormat="1" ht="12.75" customHeight="1" x14ac:dyDescent="0.2">
      <c r="O19" s="19" t="s">
        <v>177</v>
      </c>
      <c r="P19" s="20"/>
      <c r="Q19" s="20"/>
      <c r="R19" s="20"/>
      <c r="S19" s="20"/>
      <c r="T19" s="20"/>
      <c r="U19" s="20"/>
    </row>
    <row r="20" spans="1:22" s="3" customFormat="1" ht="17.25" customHeight="1" x14ac:dyDescent="0.2">
      <c r="A20" s="37"/>
      <c r="B20" s="37"/>
      <c r="C20" s="37"/>
      <c r="D20" s="38" t="s">
        <v>58</v>
      </c>
      <c r="E20" s="39"/>
      <c r="F20" s="40"/>
      <c r="G20" s="41"/>
      <c r="H20" s="70"/>
      <c r="I20"/>
      <c r="J20" s="37"/>
      <c r="K20" s="42" t="s">
        <v>59</v>
      </c>
      <c r="L20" s="42">
        <f>I19*24</f>
        <v>0</v>
      </c>
      <c r="M20" s="42" t="s">
        <v>20</v>
      </c>
      <c r="N20"/>
      <c r="O20" s="71"/>
      <c r="P20" s="72"/>
      <c r="Q20" s="72"/>
      <c r="R20" s="72"/>
      <c r="S20" s="72"/>
      <c r="T20"/>
      <c r="U20"/>
    </row>
    <row r="21" spans="1:22" s="3" customFormat="1" ht="56.25" customHeight="1" x14ac:dyDescent="0.2">
      <c r="O21" s="16"/>
      <c r="P21" s="17" t="s">
        <v>44</v>
      </c>
      <c r="Q21" s="73" t="s">
        <v>45</v>
      </c>
      <c r="R21" s="74" t="s">
        <v>46</v>
      </c>
      <c r="S21" s="73" t="s">
        <v>47</v>
      </c>
      <c r="T21" s="30" t="s">
        <v>30</v>
      </c>
      <c r="U21" s="31"/>
    </row>
    <row r="22" spans="1:22" s="3" customFormat="1" ht="15" thickBot="1" x14ac:dyDescent="0.25">
      <c r="A22" s="3" t="s">
        <v>2</v>
      </c>
      <c r="E22" s="129" t="s">
        <v>188</v>
      </c>
      <c r="F22" s="130"/>
      <c r="G22" s="130"/>
      <c r="H22" s="131"/>
      <c r="O22" s="75" t="s">
        <v>42</v>
      </c>
      <c r="P22" s="13"/>
      <c r="Q22" s="21" t="s">
        <v>31</v>
      </c>
      <c r="R22" s="24" t="s">
        <v>32</v>
      </c>
      <c r="S22" s="26"/>
      <c r="T22" s="14">
        <f>S12</f>
        <v>0.4</v>
      </c>
      <c r="U22" s="14">
        <f>S13</f>
        <v>1</v>
      </c>
      <c r="V22" s="14">
        <f>S13</f>
        <v>1</v>
      </c>
    </row>
    <row r="23" spans="1:22" s="3" customFormat="1" ht="13.5" thickTop="1" x14ac:dyDescent="0.2">
      <c r="O23" s="28" t="s">
        <v>43</v>
      </c>
      <c r="P23" s="76">
        <v>100</v>
      </c>
      <c r="Q23" s="22"/>
      <c r="R23" s="77">
        <v>0.57999999999999996</v>
      </c>
      <c r="S23" s="27">
        <f>(0.5)^($R$10/$R$9)</f>
        <v>3.125E-2</v>
      </c>
      <c r="T23" s="23">
        <f>IF(COUNT($U$23)&lt;&gt;1,"",U23*($U$22/$T$22)^2)</f>
        <v>1.9710937499999996</v>
      </c>
      <c r="U23" s="23">
        <f>IF(OR(ISBLANK(R23),ISBLANK(P23)),"",V23*$S$7)</f>
        <v>0.31537499999999996</v>
      </c>
      <c r="V23" s="78">
        <f>IF(ISBLANK(R23),"",P23*R23*S23)</f>
        <v>1.8124999999999998</v>
      </c>
    </row>
    <row r="24" spans="1:22" s="3" customFormat="1" ht="12" customHeight="1" x14ac:dyDescent="0.2">
      <c r="A24" s="3" t="s">
        <v>3</v>
      </c>
      <c r="E24" s="43">
        <v>25569</v>
      </c>
      <c r="F24" s="3" t="s">
        <v>15</v>
      </c>
      <c r="O24" s="29" t="s">
        <v>45</v>
      </c>
      <c r="P24" s="76"/>
      <c r="Q24" s="79"/>
      <c r="R24" s="25">
        <f>Q24*$S$5</f>
        <v>0</v>
      </c>
      <c r="S24" s="27">
        <f>(0.5)^($R$10/$R$9)</f>
        <v>3.125E-2</v>
      </c>
      <c r="T24" s="23" t="str">
        <f>IF(COUNT($U$24)&lt;&gt;1,"",U24*($U$22/$T$22)^2)</f>
        <v/>
      </c>
      <c r="U24" s="23" t="str">
        <f>IF(OR(ISBLANK($Q$24),ISBLANK(P24)),"",V24*$S$7)</f>
        <v/>
      </c>
      <c r="V24" s="78" t="str">
        <f>IF(ISBLANK($Q$24),"",P24*R24*S24)</f>
        <v/>
      </c>
    </row>
    <row r="25" spans="1:22" s="3" customFormat="1" x14ac:dyDescent="0.2">
      <c r="E25" s="6"/>
      <c r="O25" s="29" t="s">
        <v>178</v>
      </c>
      <c r="P25" s="80"/>
      <c r="T25" s="23" t="str">
        <f>IF(COUNT($Q$24)&lt;&gt;1,"",U25*($U$22/$T$22)^2)</f>
        <v/>
      </c>
      <c r="U25" s="23"/>
      <c r="V25" s="81">
        <v>0.5</v>
      </c>
    </row>
    <row r="26" spans="1:22" s="3" customFormat="1" ht="12" x14ac:dyDescent="0.2">
      <c r="A26" s="3" t="s">
        <v>23</v>
      </c>
      <c r="E26" s="43">
        <v>43666</v>
      </c>
      <c r="F26" s="3" t="s">
        <v>15</v>
      </c>
      <c r="O26" s="18"/>
    </row>
    <row r="27" spans="1:22" s="3" customFormat="1" ht="12" x14ac:dyDescent="0.2">
      <c r="E27" s="6"/>
      <c r="O27" s="18" t="s">
        <v>179</v>
      </c>
    </row>
    <row r="28" spans="1:22" s="3" customFormat="1" ht="12" x14ac:dyDescent="0.2">
      <c r="A28" s="3" t="s">
        <v>4</v>
      </c>
      <c r="E28" s="82">
        <f>IF(OR(ISBLANK(R23),ISBLANK(P23)),(IF(OR(ISBLANK(Q24),ISBLANK(P24)),IF(ISBLANK(V25),"",U25/1000),U24/1000)),U23/1000)</f>
        <v>3.1537499999999995E-4</v>
      </c>
      <c r="F28" s="3" t="s">
        <v>11</v>
      </c>
      <c r="G28" s="3" t="s">
        <v>12</v>
      </c>
      <c r="O28" s="18" t="s">
        <v>180</v>
      </c>
    </row>
    <row r="29" spans="1:22" s="3" customFormat="1" ht="12" x14ac:dyDescent="0.2">
      <c r="E29" s="6"/>
      <c r="G29" s="3" t="s">
        <v>13</v>
      </c>
      <c r="O29" s="18" t="s">
        <v>181</v>
      </c>
    </row>
    <row r="30" spans="1:22" s="3" customFormat="1" ht="12" x14ac:dyDescent="0.2">
      <c r="A30" s="3" t="s">
        <v>6</v>
      </c>
      <c r="E30" s="7">
        <f>S4</f>
        <v>60</v>
      </c>
      <c r="F30" s="83" t="str">
        <f>T4</f>
        <v>days</v>
      </c>
      <c r="O30" s="18" t="s">
        <v>182</v>
      </c>
    </row>
    <row r="31" spans="1:22" s="3" customFormat="1" ht="12" x14ac:dyDescent="0.2">
      <c r="E31" s="6"/>
      <c r="O31" s="18"/>
    </row>
    <row r="32" spans="1:22" s="3" customFormat="1" ht="12" x14ac:dyDescent="0.2">
      <c r="A32" s="3" t="s">
        <v>5</v>
      </c>
      <c r="E32" s="43">
        <v>43666</v>
      </c>
      <c r="F32" s="3" t="s">
        <v>15</v>
      </c>
      <c r="O32" s="18"/>
    </row>
    <row r="33" spans="1:15" s="3" customFormat="1" ht="12" customHeight="1" x14ac:dyDescent="0.2">
      <c r="E33" s="5">
        <f>IF(ISBLANK(E32),"",E32-E26)</f>
        <v>0</v>
      </c>
      <c r="F33" s="3" t="s">
        <v>14</v>
      </c>
      <c r="G33" s="3" t="s">
        <v>21</v>
      </c>
      <c r="O33" s="18"/>
    </row>
    <row r="34" spans="1:15" s="3" customFormat="1" ht="12" x14ac:dyDescent="0.2">
      <c r="E34" s="6"/>
      <c r="O34" s="18"/>
    </row>
    <row r="35" spans="1:15" s="3" customFormat="1" ht="12" x14ac:dyDescent="0.2">
      <c r="A35" s="3" t="s">
        <v>7</v>
      </c>
      <c r="E35" s="84">
        <f>IF(ISBLANK(E32),"",E28*EXP(-LN(2)/E30*E33)*S13/S12^2)</f>
        <v>1.9710937499999993E-3</v>
      </c>
      <c r="F35" s="3" t="s">
        <v>11</v>
      </c>
      <c r="G35" s="86">
        <f>S12</f>
        <v>0.4</v>
      </c>
      <c r="O35" s="18"/>
    </row>
    <row r="36" spans="1:15" s="3" customFormat="1" ht="12" x14ac:dyDescent="0.2">
      <c r="E36" s="7"/>
      <c r="O36" s="18"/>
    </row>
    <row r="37" spans="1:15" s="3" customFormat="1" ht="12" x14ac:dyDescent="0.2">
      <c r="A37" s="3" t="s">
        <v>19</v>
      </c>
      <c r="E37" s="44">
        <v>10</v>
      </c>
      <c r="F37" s="3" t="s">
        <v>20</v>
      </c>
      <c r="O37" s="18"/>
    </row>
    <row r="38" spans="1:15" s="3" customFormat="1" thickBot="1" x14ac:dyDescent="0.25">
      <c r="E38" s="6"/>
      <c r="O38" s="18"/>
    </row>
    <row r="39" spans="1:15" s="3" customFormat="1" ht="13.5" customHeight="1" thickBot="1" x14ac:dyDescent="0.25">
      <c r="A39" s="3" t="s">
        <v>8</v>
      </c>
      <c r="E39" s="91">
        <f>IF(ISBLANK(E32),"",(E37*E35))</f>
        <v>1.9710937499999994E-2</v>
      </c>
      <c r="F39" s="3" t="s">
        <v>18</v>
      </c>
      <c r="G39" s="127" t="s">
        <v>22</v>
      </c>
      <c r="H39" s="99"/>
      <c r="I39" s="99"/>
      <c r="J39" s="99"/>
      <c r="K39" s="99"/>
      <c r="L39" s="99"/>
      <c r="M39" s="99"/>
      <c r="N39" s="128"/>
      <c r="O39" s="18"/>
    </row>
    <row r="40" spans="1:15" x14ac:dyDescent="0.2">
      <c r="A40" s="3"/>
      <c r="B40" s="3"/>
      <c r="C40" s="3"/>
      <c r="D40" s="3"/>
      <c r="E40" s="6"/>
      <c r="F40" s="3"/>
      <c r="G40" s="59"/>
      <c r="H40" s="59"/>
      <c r="I40" s="59"/>
      <c r="J40" s="32"/>
      <c r="K40" s="3"/>
      <c r="L40" s="3"/>
      <c r="M40" s="3"/>
      <c r="N40" s="3"/>
    </row>
    <row r="41" spans="1:15" x14ac:dyDescent="0.2">
      <c r="A41" s="3" t="s">
        <v>17</v>
      </c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</row>
    <row r="42" spans="1:15" x14ac:dyDescent="0.2">
      <c r="A42" s="3" t="s">
        <v>16</v>
      </c>
      <c r="B42" s="3"/>
      <c r="C42" s="3"/>
      <c r="D42" s="3"/>
      <c r="E42" s="8">
        <v>1</v>
      </c>
      <c r="F42" s="3" t="s">
        <v>18</v>
      </c>
      <c r="G42" s="3"/>
      <c r="H42" s="3"/>
      <c r="I42" s="3"/>
      <c r="J42" s="3"/>
      <c r="K42" s="3"/>
      <c r="L42" s="3"/>
      <c r="M42" s="3"/>
      <c r="N42" s="3"/>
    </row>
    <row r="43" spans="1:15" x14ac:dyDescent="0.2">
      <c r="A43" s="3"/>
      <c r="B43" s="3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</row>
    <row r="44" spans="1:15" x14ac:dyDescent="0.2">
      <c r="A44" s="4"/>
      <c r="B44" s="3"/>
      <c r="C44" s="3"/>
      <c r="D44" s="3"/>
      <c r="E44" s="85">
        <f>IF(ISBLANK(E32),"",(E39/E42)*100)</f>
        <v>1.9710937499999994</v>
      </c>
      <c r="F44" s="4" t="s">
        <v>183</v>
      </c>
      <c r="G44" s="4" t="s">
        <v>184</v>
      </c>
      <c r="H44" s="3"/>
      <c r="I44" s="3"/>
      <c r="J44" s="3"/>
      <c r="K44" s="3"/>
      <c r="L44" s="3"/>
      <c r="M44" s="3"/>
      <c r="N44" s="3"/>
    </row>
    <row r="45" spans="1: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7" spans="1:15" ht="20.25" x14ac:dyDescent="0.3">
      <c r="A47" s="100"/>
      <c r="B47" s="119"/>
      <c r="C47" s="119"/>
      <c r="D47" s="119"/>
      <c r="E47" s="120"/>
      <c r="F47" t="s">
        <v>10</v>
      </c>
    </row>
    <row r="48" spans="1:15" ht="20.25" x14ac:dyDescent="0.3">
      <c r="A48" s="45" t="s">
        <v>60</v>
      </c>
      <c r="B48" s="45"/>
      <c r="C48" s="45"/>
      <c r="D48" s="46"/>
      <c r="E48" s="46"/>
    </row>
    <row r="49" spans="1:6" ht="20.25" x14ac:dyDescent="0.3">
      <c r="A49" s="46" t="s">
        <v>185</v>
      </c>
      <c r="B49" s="46"/>
      <c r="C49" s="46"/>
      <c r="D49" s="46"/>
      <c r="E49" s="46"/>
    </row>
    <row r="50" spans="1:6" ht="20.25" x14ac:dyDescent="0.3">
      <c r="A50" s="100" t="s">
        <v>186</v>
      </c>
      <c r="B50" s="119"/>
      <c r="C50" s="119"/>
      <c r="D50" s="119"/>
      <c r="E50" s="120"/>
      <c r="F50" t="s">
        <v>10</v>
      </c>
    </row>
    <row r="51" spans="1:6" ht="20.25" x14ac:dyDescent="0.3">
      <c r="A51" s="100"/>
      <c r="B51" s="119"/>
      <c r="C51" s="119"/>
      <c r="D51" s="119"/>
      <c r="E51" s="120"/>
    </row>
    <row r="52" spans="1:6" ht="20.25" x14ac:dyDescent="0.3">
      <c r="A52" s="47" t="s">
        <v>9</v>
      </c>
      <c r="B52" s="47"/>
      <c r="C52" s="47"/>
      <c r="D52" s="46"/>
      <c r="E52" s="46"/>
    </row>
    <row r="53" spans="1:6" ht="20.25" x14ac:dyDescent="0.3">
      <c r="A53" s="100" t="s">
        <v>187</v>
      </c>
      <c r="B53" s="101"/>
      <c r="C53" s="101"/>
      <c r="D53" s="101"/>
      <c r="E53" s="102"/>
    </row>
    <row r="54" spans="1:6" ht="15" x14ac:dyDescent="0.2">
      <c r="A54" s="37"/>
      <c r="B54" s="37"/>
      <c r="C54" s="37"/>
      <c r="D54" s="37"/>
      <c r="E54" s="37"/>
    </row>
    <row r="65" spans="2:2" x14ac:dyDescent="0.2">
      <c r="B65" s="48" t="s">
        <v>61</v>
      </c>
    </row>
  </sheetData>
  <sheetProtection algorithmName="SHA-512" hashValue="kJQVM+Zt7k8O1SKPtIcLWwxVmXZYWJ7YTs8B1G5RcFnCutQa31ByQOmOZppITzN8McWdqz+hPh5S7PPLOG4tBQ==" saltValue="l/KH4v/YPwjU3CwtmNOsvA==" spinCount="100000" sheet="1" objects="1" scenarios="1"/>
  <mergeCells count="15">
    <mergeCell ref="A53:E53"/>
    <mergeCell ref="A2:N2"/>
    <mergeCell ref="B4:J4"/>
    <mergeCell ref="A8:N8"/>
    <mergeCell ref="A9:N9"/>
    <mergeCell ref="A11:N11"/>
    <mergeCell ref="A12:N12"/>
    <mergeCell ref="A13:N13"/>
    <mergeCell ref="A14:N14"/>
    <mergeCell ref="A51:E51"/>
    <mergeCell ref="A16:N17"/>
    <mergeCell ref="G39:N39"/>
    <mergeCell ref="A47:E47"/>
    <mergeCell ref="E22:H22"/>
    <mergeCell ref="A50:E50"/>
  </mergeCells>
  <phoneticPr fontId="0" type="noConversion"/>
  <conditionalFormatting sqref="E44">
    <cfRule type="cellIs" dxfId="1" priority="1" operator="greaterThan">
      <formula>100.01</formula>
    </cfRule>
    <cfRule type="cellIs" dxfId="0" priority="2" operator="lessThan">
      <formula>100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10" t="s">
        <v>62</v>
      </c>
    </row>
  </sheetData>
  <sheetProtection algorithmName="SHA-512" hashValue="2tP3DI9Yc5gKPAO+FCdbtfpDtThLASg9sG/oksqjyIXKzQqw0juPjSWlLVZN25EYSVMidwvsR4fPDt3pQ78hxQ==" saltValue="CMWY1wlWzBUMolU5VEQa0g==" spinCount="100000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blootstelling familie etc</vt:lpstr>
      <vt:lpstr>stochastische effecten</vt:lpstr>
      <vt:lpstr>De effecten vergeleken</vt:lpstr>
      <vt:lpstr>basisrisico op kanker</vt:lpstr>
      <vt:lpstr>Specifieke I-125 vliegbrief</vt:lpstr>
      <vt:lpstr>pwd</vt:lpstr>
      <vt:lpstr>'Specifieke I-125 vliegbrief'!Print_Area</vt:lpstr>
    </vt:vector>
  </TitlesOfParts>
  <Company>NKI / AvL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j.vd.kamer@nki.nl</dc:creator>
  <cp:lastModifiedBy>Jeroen van de Kamer</cp:lastModifiedBy>
  <cp:lastPrinted>2019-05-08T13:03:58Z</cp:lastPrinted>
  <dcterms:created xsi:type="dcterms:W3CDTF">2006-05-08T07:39:23Z</dcterms:created>
  <dcterms:modified xsi:type="dcterms:W3CDTF">2020-08-14T14:59:04Z</dcterms:modified>
</cp:coreProperties>
</file>