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9.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j\surfdrive\werk\societies\NCS\platform\RIAS\RIAS-RT\"/>
    </mc:Choice>
  </mc:AlternateContent>
  <bookViews>
    <workbookView xWindow="0" yWindow="0" windowWidth="28800" windowHeight="13635" tabRatio="678"/>
  </bookViews>
  <sheets>
    <sheet name="Disclaimer" sheetId="47" r:id="rId1"/>
    <sheet name="Invullen Rekensheet" sheetId="40" r:id="rId2"/>
    <sheet name="Samenvatting" sheetId="32" r:id="rId3"/>
    <sheet name="Overzicht tbv RI&amp;E" sheetId="14" r:id="rId4"/>
    <sheet name="Linac 1" sheetId="42" r:id="rId5"/>
    <sheet name="Linac 2" sheetId="49" r:id="rId6"/>
    <sheet name="Linac 3" sheetId="50" r:id="rId7"/>
    <sheet name="Linac 4" sheetId="51" r:id="rId8"/>
    <sheet name="Linac 5" sheetId="52" r:id="rId9"/>
    <sheet name="Linac 6" sheetId="53" r:id="rId10"/>
    <sheet name="Linac 7" sheetId="54" r:id="rId11"/>
    <sheet name="Linac 8" sheetId="55" r:id="rId12"/>
    <sheet name="Linac 9" sheetId="56" r:id="rId13"/>
    <sheet name="Linac 10" sheetId="57" r:id="rId14"/>
    <sheet name="plattegronden Linac " sheetId="58" r:id="rId15"/>
    <sheet name="CT" sheetId="15" r:id="rId16"/>
    <sheet name="Orthovolt" sheetId="23" r:id="rId17"/>
    <sheet name="Brachy HDR" sheetId="29" r:id="rId18"/>
    <sheet name="Brachy PDR" sheetId="30" r:id="rId19"/>
    <sheet name="I-125 implantatie" sheetId="21" r:id="rId20"/>
    <sheet name="PET-CT " sheetId="27" r:id="rId21"/>
    <sheet name="TVT's afscherming" sheetId="16" r:id="rId22"/>
    <sheet name="reflectiecoefficienten" sheetId="20" r:id="rId23"/>
    <sheet name="patientscatterfactoren" sheetId="39" r:id="rId24"/>
    <sheet name="Geschiedenis" sheetId="12" r:id="rId25"/>
  </sheets>
  <definedNames>
    <definedName name="_Toc19106398" localSheetId="1">'Invullen Rekensheet'!$A$1</definedName>
  </definedNames>
  <calcPr calcId="152511"/>
</workbook>
</file>

<file path=xl/calcChain.xml><?xml version="1.0" encoding="utf-8"?>
<calcChain xmlns="http://schemas.openxmlformats.org/spreadsheetml/2006/main">
  <c r="B32" i="27" l="1"/>
  <c r="G42" i="30"/>
  <c r="G41" i="30"/>
  <c r="I36" i="15"/>
  <c r="K37" i="15"/>
  <c r="J37" i="15"/>
  <c r="I37" i="15"/>
  <c r="G173" i="57"/>
  <c r="F173" i="57"/>
  <c r="E173" i="57"/>
  <c r="G173" i="56"/>
  <c r="F173" i="56"/>
  <c r="E173" i="56"/>
  <c r="G173" i="55"/>
  <c r="F173" i="55"/>
  <c r="E173" i="55"/>
  <c r="G173" i="54"/>
  <c r="F173" i="54"/>
  <c r="E173" i="54"/>
  <c r="G173" i="53"/>
  <c r="F173" i="53"/>
  <c r="E173" i="53"/>
  <c r="G173" i="52"/>
  <c r="F173" i="52"/>
  <c r="E173" i="52"/>
  <c r="G173" i="51"/>
  <c r="F173" i="51"/>
  <c r="E173" i="51"/>
  <c r="G173" i="50"/>
  <c r="F173" i="50"/>
  <c r="E173" i="50"/>
  <c r="G173" i="49"/>
  <c r="F173" i="49"/>
  <c r="E173" i="49"/>
  <c r="E162" i="57"/>
  <c r="F161" i="57"/>
  <c r="E161" i="57"/>
  <c r="E157" i="57"/>
  <c r="F156" i="57"/>
  <c r="E156" i="57"/>
  <c r="E152" i="57"/>
  <c r="F151" i="57"/>
  <c r="E151" i="57"/>
  <c r="F146" i="57"/>
  <c r="E162" i="56"/>
  <c r="F161" i="56"/>
  <c r="E161" i="56"/>
  <c r="E157" i="56"/>
  <c r="F156" i="56"/>
  <c r="E156" i="56"/>
  <c r="E152" i="56"/>
  <c r="F151" i="56"/>
  <c r="E151" i="56"/>
  <c r="F146" i="56"/>
  <c r="E162" i="55"/>
  <c r="F161" i="55"/>
  <c r="E161" i="55"/>
  <c r="E157" i="55"/>
  <c r="F156" i="55"/>
  <c r="E156" i="55"/>
  <c r="E152" i="55"/>
  <c r="F151" i="55"/>
  <c r="E151" i="55"/>
  <c r="F146" i="55"/>
  <c r="E162" i="54"/>
  <c r="F161" i="54"/>
  <c r="E161" i="54"/>
  <c r="E157" i="54"/>
  <c r="F156" i="54"/>
  <c r="E156" i="54"/>
  <c r="E152" i="54"/>
  <c r="F151" i="54"/>
  <c r="E151" i="54"/>
  <c r="F146" i="54"/>
  <c r="E162" i="53"/>
  <c r="F161" i="53"/>
  <c r="E161" i="53"/>
  <c r="E157" i="53"/>
  <c r="F156" i="53"/>
  <c r="E156" i="53"/>
  <c r="E152" i="53"/>
  <c r="F151" i="53"/>
  <c r="E151" i="53"/>
  <c r="F146" i="53"/>
  <c r="E162" i="52"/>
  <c r="F161" i="52"/>
  <c r="E161" i="52"/>
  <c r="E157" i="52"/>
  <c r="F156" i="52"/>
  <c r="E156" i="52"/>
  <c r="E152" i="52"/>
  <c r="F151" i="52"/>
  <c r="E151" i="52"/>
  <c r="F146" i="52"/>
  <c r="E162" i="51"/>
  <c r="F161" i="51"/>
  <c r="E161" i="51"/>
  <c r="E157" i="51"/>
  <c r="F156" i="51"/>
  <c r="E156" i="51"/>
  <c r="E152" i="51"/>
  <c r="F151" i="51"/>
  <c r="E151" i="51"/>
  <c r="F146" i="51"/>
  <c r="E162" i="50"/>
  <c r="F161" i="50"/>
  <c r="E161" i="50"/>
  <c r="E157" i="50"/>
  <c r="F156" i="50"/>
  <c r="E156" i="50"/>
  <c r="E152" i="50"/>
  <c r="F151" i="50"/>
  <c r="E151" i="50"/>
  <c r="F146" i="50"/>
  <c r="E162" i="49"/>
  <c r="F161" i="49"/>
  <c r="E161" i="49"/>
  <c r="E157" i="49"/>
  <c r="F156" i="49"/>
  <c r="E156" i="49"/>
  <c r="E152" i="49"/>
  <c r="F151" i="49"/>
  <c r="E151" i="49"/>
  <c r="F146" i="49"/>
  <c r="V133" i="57"/>
  <c r="V133" i="56"/>
  <c r="V133" i="55"/>
  <c r="V133" i="54"/>
  <c r="V133" i="53"/>
  <c r="V133" i="52"/>
  <c r="V133" i="51"/>
  <c r="V133" i="50"/>
  <c r="V133" i="49"/>
  <c r="G10" i="57"/>
  <c r="F10" i="57"/>
  <c r="E10" i="57"/>
  <c r="D10" i="57"/>
  <c r="C10" i="57"/>
  <c r="C7" i="57"/>
  <c r="G10" i="56"/>
  <c r="F10" i="56"/>
  <c r="E10" i="56"/>
  <c r="D10" i="56"/>
  <c r="C10" i="56"/>
  <c r="C7" i="56"/>
  <c r="G10" i="55"/>
  <c r="F10" i="55"/>
  <c r="E10" i="55"/>
  <c r="D10" i="55"/>
  <c r="C10" i="55"/>
  <c r="C7" i="55"/>
  <c r="G10" i="54"/>
  <c r="F10" i="54"/>
  <c r="E10" i="54"/>
  <c r="D10" i="54"/>
  <c r="C10" i="54"/>
  <c r="C7" i="54"/>
  <c r="G10" i="53"/>
  <c r="F10" i="53"/>
  <c r="E10" i="53"/>
  <c r="D10" i="53"/>
  <c r="C10" i="53"/>
  <c r="C7" i="53"/>
  <c r="G10" i="52"/>
  <c r="F10" i="52"/>
  <c r="E10" i="52"/>
  <c r="D10" i="52"/>
  <c r="C10" i="52"/>
  <c r="C7" i="52"/>
  <c r="G10" i="51"/>
  <c r="F10" i="51"/>
  <c r="E10" i="51"/>
  <c r="D10" i="51"/>
  <c r="C10" i="51"/>
  <c r="C7" i="51"/>
  <c r="G10" i="50"/>
  <c r="F10" i="50"/>
  <c r="E10" i="50"/>
  <c r="D10" i="50"/>
  <c r="C10" i="50"/>
  <c r="C7" i="50"/>
  <c r="G10" i="49"/>
  <c r="F10" i="49"/>
  <c r="E10" i="49"/>
  <c r="D10" i="49"/>
  <c r="C10" i="49"/>
  <c r="C7" i="49"/>
  <c r="F28" i="42" l="1"/>
  <c r="C10" i="42" l="1"/>
  <c r="AT130" i="42"/>
  <c r="G173" i="42"/>
  <c r="F173" i="42"/>
  <c r="O144" i="42"/>
  <c r="AE130" i="57" l="1"/>
  <c r="AQ134" i="57"/>
  <c r="AR134" i="57" s="1"/>
  <c r="AS134" i="57" s="1"/>
  <c r="AN134" i="57"/>
  <c r="AO134" i="57" s="1"/>
  <c r="AP134" i="57" s="1"/>
  <c r="AL134" i="57"/>
  <c r="AM134" i="57" s="1"/>
  <c r="AK134" i="57"/>
  <c r="AH134" i="57"/>
  <c r="AI134" i="57" s="1"/>
  <c r="AJ134" i="57" s="1"/>
  <c r="AE134" i="57"/>
  <c r="AF134" i="57" s="1"/>
  <c r="AG134" i="57" s="1"/>
  <c r="AQ134" i="56"/>
  <c r="AR134" i="56" s="1"/>
  <c r="AS134" i="56" s="1"/>
  <c r="AN134" i="56"/>
  <c r="AO134" i="56" s="1"/>
  <c r="AP134" i="56" s="1"/>
  <c r="AK134" i="56"/>
  <c r="AL134" i="56" s="1"/>
  <c r="AM134" i="56" s="1"/>
  <c r="AH134" i="56"/>
  <c r="AI134" i="56" s="1"/>
  <c r="AJ134" i="56" s="1"/>
  <c r="AE134" i="56"/>
  <c r="AF134" i="56" s="1"/>
  <c r="AG134" i="56" s="1"/>
  <c r="AQ134" i="55"/>
  <c r="AR134" i="55" s="1"/>
  <c r="AS134" i="55" s="1"/>
  <c r="AN134" i="55"/>
  <c r="AO134" i="55" s="1"/>
  <c r="AP134" i="55" s="1"/>
  <c r="AK134" i="55"/>
  <c r="AL134" i="55" s="1"/>
  <c r="AM134" i="55" s="1"/>
  <c r="AH134" i="55"/>
  <c r="AI134" i="55" s="1"/>
  <c r="AJ134" i="55" s="1"/>
  <c r="AE134" i="55"/>
  <c r="AF134" i="55" s="1"/>
  <c r="AG134" i="55" s="1"/>
  <c r="AQ134" i="54"/>
  <c r="AR134" i="54" s="1"/>
  <c r="AS134" i="54" s="1"/>
  <c r="AN134" i="54"/>
  <c r="AO134" i="54" s="1"/>
  <c r="AP134" i="54" s="1"/>
  <c r="AK134" i="54"/>
  <c r="AL134" i="54" s="1"/>
  <c r="AM134" i="54" s="1"/>
  <c r="AH134" i="54"/>
  <c r="AI134" i="54" s="1"/>
  <c r="AJ134" i="54" s="1"/>
  <c r="AE134" i="54"/>
  <c r="AF134" i="54" s="1"/>
  <c r="AG134" i="54" s="1"/>
  <c r="AQ134" i="53"/>
  <c r="AR134" i="53" s="1"/>
  <c r="AS134" i="53" s="1"/>
  <c r="AN134" i="53"/>
  <c r="AO134" i="53" s="1"/>
  <c r="AP134" i="53" s="1"/>
  <c r="AK134" i="53"/>
  <c r="AL134" i="53" s="1"/>
  <c r="AM134" i="53" s="1"/>
  <c r="AH134" i="53"/>
  <c r="AI134" i="53" s="1"/>
  <c r="AJ134" i="53" s="1"/>
  <c r="AE134" i="53"/>
  <c r="AF134" i="53" s="1"/>
  <c r="AG134" i="53" s="1"/>
  <c r="AQ134" i="52"/>
  <c r="AR134" i="52" s="1"/>
  <c r="AS134" i="52" s="1"/>
  <c r="AN134" i="52"/>
  <c r="AO134" i="52" s="1"/>
  <c r="AP134" i="52" s="1"/>
  <c r="AK134" i="52"/>
  <c r="AL134" i="52" s="1"/>
  <c r="AM134" i="52" s="1"/>
  <c r="AH134" i="52"/>
  <c r="AI134" i="52" s="1"/>
  <c r="AJ134" i="52" s="1"/>
  <c r="AE134" i="52"/>
  <c r="AF134" i="52" s="1"/>
  <c r="AG134" i="52" s="1"/>
  <c r="AQ134" i="51"/>
  <c r="AR134" i="51" s="1"/>
  <c r="AS134" i="51" s="1"/>
  <c r="AN134" i="51"/>
  <c r="AO134" i="51" s="1"/>
  <c r="AP134" i="51" s="1"/>
  <c r="AK134" i="51"/>
  <c r="AL134" i="51" s="1"/>
  <c r="AM134" i="51" s="1"/>
  <c r="AH134" i="51"/>
  <c r="AI134" i="51" s="1"/>
  <c r="AJ134" i="51" s="1"/>
  <c r="AE134" i="51"/>
  <c r="AF134" i="51" s="1"/>
  <c r="AG134" i="51" s="1"/>
  <c r="AQ134" i="50"/>
  <c r="AR134" i="50" s="1"/>
  <c r="AS134" i="50" s="1"/>
  <c r="AN134" i="50"/>
  <c r="AO134" i="50" s="1"/>
  <c r="AP134" i="50" s="1"/>
  <c r="AK134" i="50"/>
  <c r="AL134" i="50" s="1"/>
  <c r="AM134" i="50" s="1"/>
  <c r="AH134" i="50"/>
  <c r="AI134" i="50" s="1"/>
  <c r="AJ134" i="50" s="1"/>
  <c r="AE134" i="50"/>
  <c r="AF134" i="50" s="1"/>
  <c r="AG134" i="50" s="1"/>
  <c r="AQ135" i="42"/>
  <c r="AR135" i="42" s="1"/>
  <c r="AS135" i="42" s="1"/>
  <c r="AN135" i="42"/>
  <c r="AO135" i="42" s="1"/>
  <c r="AP135" i="42" s="1"/>
  <c r="AK135" i="42"/>
  <c r="AL135" i="42" s="1"/>
  <c r="AM135" i="42" s="1"/>
  <c r="AI135" i="42"/>
  <c r="AJ135" i="42" s="1"/>
  <c r="AH135" i="42"/>
  <c r="AE135" i="42"/>
  <c r="AF135" i="42" s="1"/>
  <c r="AG135" i="42" s="1"/>
  <c r="AQ134" i="42"/>
  <c r="AR134" i="42" s="1"/>
  <c r="AS134" i="42" s="1"/>
  <c r="AN134" i="42"/>
  <c r="AO134" i="42" s="1"/>
  <c r="AP134" i="42" s="1"/>
  <c r="AL134" i="42"/>
  <c r="AM134" i="42" s="1"/>
  <c r="AK134" i="42"/>
  <c r="AH134" i="42"/>
  <c r="AI134" i="42" s="1"/>
  <c r="AJ134" i="42" s="1"/>
  <c r="AE134" i="42"/>
  <c r="AF134" i="42" s="1"/>
  <c r="AG134" i="42" s="1"/>
  <c r="H51" i="23" l="1"/>
  <c r="H50" i="23"/>
  <c r="C325" i="32" l="1"/>
  <c r="D325" i="32"/>
  <c r="E325" i="32"/>
  <c r="I19" i="23" l="1"/>
  <c r="I18" i="23"/>
  <c r="I17" i="23"/>
  <c r="H19" i="23"/>
  <c r="H18" i="23"/>
  <c r="H17" i="23"/>
  <c r="G19" i="23"/>
  <c r="G18" i="23"/>
  <c r="G17" i="23"/>
  <c r="F19" i="23"/>
  <c r="F18" i="23"/>
  <c r="F17" i="23"/>
  <c r="E19" i="23"/>
  <c r="E18" i="23"/>
  <c r="E17" i="23"/>
  <c r="D19" i="23"/>
  <c r="D18" i="23"/>
  <c r="D17" i="23"/>
  <c r="D52" i="16"/>
  <c r="C52" i="16"/>
  <c r="B52" i="16"/>
  <c r="I25" i="23"/>
  <c r="H25" i="23"/>
  <c r="G25" i="23"/>
  <c r="F25" i="23"/>
  <c r="E25" i="23"/>
  <c r="D25" i="23"/>
  <c r="X37" i="23" l="1"/>
  <c r="O37" i="23"/>
  <c r="F21" i="42"/>
  <c r="F22" i="42"/>
  <c r="E312" i="32"/>
  <c r="O115" i="57" l="1"/>
  <c r="O115" i="56"/>
  <c r="O115" i="55"/>
  <c r="O115" i="54"/>
  <c r="O115" i="53"/>
  <c r="O115" i="52"/>
  <c r="O115" i="51"/>
  <c r="O115" i="50"/>
  <c r="O115" i="49"/>
  <c r="G24" i="21"/>
  <c r="AQ135" i="57" l="1"/>
  <c r="AR135" i="57" s="1"/>
  <c r="AS135" i="57" s="1"/>
  <c r="AH135" i="57"/>
  <c r="AI135" i="57" s="1"/>
  <c r="AJ135" i="57" s="1"/>
  <c r="AN135" i="57"/>
  <c r="AO135" i="57" s="1"/>
  <c r="AP135" i="57" s="1"/>
  <c r="AE135" i="57"/>
  <c r="AF135" i="57" s="1"/>
  <c r="AG135" i="57" s="1"/>
  <c r="AK135" i="57"/>
  <c r="AL135" i="57" s="1"/>
  <c r="AM135" i="57" s="1"/>
  <c r="AQ135" i="56"/>
  <c r="AR135" i="56" s="1"/>
  <c r="AS135" i="56" s="1"/>
  <c r="AH135" i="56"/>
  <c r="AI135" i="56" s="1"/>
  <c r="AJ135" i="56" s="1"/>
  <c r="AN135" i="56"/>
  <c r="AO135" i="56" s="1"/>
  <c r="AP135" i="56" s="1"/>
  <c r="AE135" i="56"/>
  <c r="AF135" i="56" s="1"/>
  <c r="AG135" i="56" s="1"/>
  <c r="AK135" i="56"/>
  <c r="AL135" i="56" s="1"/>
  <c r="AM135" i="56" s="1"/>
  <c r="AK135" i="55"/>
  <c r="AL135" i="55" s="1"/>
  <c r="AM135" i="55" s="1"/>
  <c r="AH135" i="55"/>
  <c r="AI135" i="55" s="1"/>
  <c r="AJ135" i="55" s="1"/>
  <c r="AE135" i="55"/>
  <c r="AF135" i="55" s="1"/>
  <c r="AG135" i="55" s="1"/>
  <c r="AQ135" i="55"/>
  <c r="AR135" i="55" s="1"/>
  <c r="AS135" i="55" s="1"/>
  <c r="AN135" i="55"/>
  <c r="AO135" i="55" s="1"/>
  <c r="AP135" i="55" s="1"/>
  <c r="AN135" i="54"/>
  <c r="AO135" i="54" s="1"/>
  <c r="AP135" i="54" s="1"/>
  <c r="AE135" i="54"/>
  <c r="AF135" i="54" s="1"/>
  <c r="AG135" i="54" s="1"/>
  <c r="AH135" i="54"/>
  <c r="AI135" i="54" s="1"/>
  <c r="AJ135" i="54" s="1"/>
  <c r="AQ135" i="54"/>
  <c r="AR135" i="54" s="1"/>
  <c r="AS135" i="54" s="1"/>
  <c r="AK135" i="54"/>
  <c r="AL135" i="54" s="1"/>
  <c r="AM135" i="54" s="1"/>
  <c r="AN135" i="53"/>
  <c r="AO135" i="53" s="1"/>
  <c r="AP135" i="53" s="1"/>
  <c r="AE135" i="53"/>
  <c r="AF135" i="53" s="1"/>
  <c r="AG135" i="53" s="1"/>
  <c r="AH135" i="53"/>
  <c r="AI135" i="53" s="1"/>
  <c r="AJ135" i="53" s="1"/>
  <c r="AK135" i="53"/>
  <c r="AL135" i="53" s="1"/>
  <c r="AM135" i="53" s="1"/>
  <c r="AQ135" i="53"/>
  <c r="AR135" i="53" s="1"/>
  <c r="AS135" i="53" s="1"/>
  <c r="AN135" i="52"/>
  <c r="AO135" i="52" s="1"/>
  <c r="AP135" i="52" s="1"/>
  <c r="AE135" i="52"/>
  <c r="AF135" i="52" s="1"/>
  <c r="AG135" i="52" s="1"/>
  <c r="AH135" i="52"/>
  <c r="AI135" i="52" s="1"/>
  <c r="AJ135" i="52" s="1"/>
  <c r="AK135" i="52"/>
  <c r="AL135" i="52" s="1"/>
  <c r="AM135" i="52" s="1"/>
  <c r="AQ135" i="52"/>
  <c r="AR135" i="52" s="1"/>
  <c r="AS135" i="52" s="1"/>
  <c r="AQ135" i="51"/>
  <c r="AR135" i="51" s="1"/>
  <c r="AS135" i="51" s="1"/>
  <c r="AH135" i="51"/>
  <c r="AI135" i="51" s="1"/>
  <c r="AJ135" i="51" s="1"/>
  <c r="AN135" i="51"/>
  <c r="AO135" i="51" s="1"/>
  <c r="AP135" i="51" s="1"/>
  <c r="AE135" i="51"/>
  <c r="AF135" i="51" s="1"/>
  <c r="AG135" i="51" s="1"/>
  <c r="AK135" i="51"/>
  <c r="AL135" i="51" s="1"/>
  <c r="AM135" i="51" s="1"/>
  <c r="AH135" i="50"/>
  <c r="AI135" i="50" s="1"/>
  <c r="AJ135" i="50" s="1"/>
  <c r="AQ135" i="50"/>
  <c r="AR135" i="50" s="1"/>
  <c r="AS135" i="50" s="1"/>
  <c r="AN135" i="50"/>
  <c r="AO135" i="50" s="1"/>
  <c r="AP135" i="50" s="1"/>
  <c r="AE135" i="50"/>
  <c r="AF135" i="50" s="1"/>
  <c r="AG135" i="50" s="1"/>
  <c r="AK135" i="50"/>
  <c r="AL135" i="50" s="1"/>
  <c r="AM135" i="50" s="1"/>
  <c r="J111" i="57"/>
  <c r="I111" i="57"/>
  <c r="H111" i="57"/>
  <c r="G111" i="57"/>
  <c r="F111" i="57"/>
  <c r="J111" i="56"/>
  <c r="I111" i="56"/>
  <c r="H111" i="56"/>
  <c r="G111" i="56"/>
  <c r="F111" i="56"/>
  <c r="J111" i="55"/>
  <c r="I111" i="55"/>
  <c r="H111" i="55"/>
  <c r="G111" i="55"/>
  <c r="F111" i="55"/>
  <c r="J111" i="54"/>
  <c r="I111" i="54"/>
  <c r="H111" i="54"/>
  <c r="G111" i="54"/>
  <c r="F111" i="54"/>
  <c r="J111" i="53"/>
  <c r="I111" i="53"/>
  <c r="H111" i="53"/>
  <c r="G111" i="53"/>
  <c r="F111" i="53"/>
  <c r="J111" i="52"/>
  <c r="I111" i="52"/>
  <c r="H111" i="52"/>
  <c r="G111" i="52"/>
  <c r="F111" i="52"/>
  <c r="J111" i="51"/>
  <c r="I111" i="51"/>
  <c r="H111" i="51"/>
  <c r="G111" i="51"/>
  <c r="F111" i="51"/>
  <c r="J111" i="50"/>
  <c r="I111" i="50"/>
  <c r="H111" i="50"/>
  <c r="G111" i="50"/>
  <c r="F111" i="50"/>
  <c r="J111" i="49"/>
  <c r="I111" i="49"/>
  <c r="H111" i="49"/>
  <c r="G111" i="49"/>
  <c r="F111" i="49"/>
  <c r="B160" i="57" l="1"/>
  <c r="A160" i="57"/>
  <c r="B155" i="57"/>
  <c r="A155" i="57"/>
  <c r="B150" i="57"/>
  <c r="A150" i="57"/>
  <c r="B145" i="57"/>
  <c r="A145" i="57"/>
  <c r="B160" i="56"/>
  <c r="A160" i="56"/>
  <c r="B155" i="56"/>
  <c r="A155" i="56"/>
  <c r="B150" i="56"/>
  <c r="A150" i="56"/>
  <c r="B145" i="56"/>
  <c r="A145" i="56"/>
  <c r="B160" i="55"/>
  <c r="A160" i="55"/>
  <c r="B155" i="55"/>
  <c r="A155" i="55"/>
  <c r="B150" i="55"/>
  <c r="A150" i="55"/>
  <c r="B145" i="55"/>
  <c r="A145" i="55"/>
  <c r="B160" i="54"/>
  <c r="A160" i="54"/>
  <c r="B155" i="54"/>
  <c r="A155" i="54"/>
  <c r="B150" i="54"/>
  <c r="A150" i="54"/>
  <c r="B145" i="54"/>
  <c r="A145" i="54"/>
  <c r="B160" i="53"/>
  <c r="A160" i="53"/>
  <c r="B155" i="53"/>
  <c r="A155" i="53"/>
  <c r="B150" i="53"/>
  <c r="A150" i="53"/>
  <c r="B145" i="53"/>
  <c r="A145" i="53"/>
  <c r="B160" i="52"/>
  <c r="A160" i="52"/>
  <c r="B155" i="52"/>
  <c r="A155" i="52"/>
  <c r="B150" i="52"/>
  <c r="A150" i="52"/>
  <c r="B145" i="52"/>
  <c r="A145" i="52"/>
  <c r="B160" i="51"/>
  <c r="A160" i="51"/>
  <c r="B155" i="51"/>
  <c r="A155" i="51"/>
  <c r="B150" i="51"/>
  <c r="A150" i="51"/>
  <c r="B145" i="51"/>
  <c r="A145" i="51"/>
  <c r="B160" i="50"/>
  <c r="A160" i="50"/>
  <c r="B155" i="50"/>
  <c r="A155" i="50"/>
  <c r="B150" i="50"/>
  <c r="A150" i="50"/>
  <c r="B145" i="50"/>
  <c r="A145" i="50"/>
  <c r="B160" i="49"/>
  <c r="A160" i="49"/>
  <c r="B155" i="49"/>
  <c r="A155" i="49"/>
  <c r="B150" i="49"/>
  <c r="A150" i="49"/>
  <c r="B145" i="49"/>
  <c r="A145" i="49"/>
  <c r="B94" i="57" l="1"/>
  <c r="A94" i="57"/>
  <c r="B91" i="57"/>
  <c r="A91" i="57"/>
  <c r="B88" i="57"/>
  <c r="A88" i="57"/>
  <c r="B85" i="57"/>
  <c r="A85" i="57"/>
  <c r="B82" i="57"/>
  <c r="A82" i="57"/>
  <c r="B79" i="57"/>
  <c r="A79" i="57"/>
  <c r="B76" i="57"/>
  <c r="A76" i="57"/>
  <c r="B73" i="57"/>
  <c r="A73" i="57"/>
  <c r="B70" i="57"/>
  <c r="A70" i="57"/>
  <c r="B94" i="56"/>
  <c r="B130" i="56" s="1"/>
  <c r="A94" i="56"/>
  <c r="A130" i="56" s="1"/>
  <c r="B101" i="56"/>
  <c r="A101" i="56"/>
  <c r="B98" i="56"/>
  <c r="A98" i="56"/>
  <c r="B91" i="56"/>
  <c r="A91" i="56"/>
  <c r="B88" i="56"/>
  <c r="A88" i="56"/>
  <c r="B85" i="56"/>
  <c r="A85" i="56"/>
  <c r="B82" i="56"/>
  <c r="A82" i="56"/>
  <c r="B79" i="56"/>
  <c r="A79" i="56"/>
  <c r="B76" i="56"/>
  <c r="A76" i="56"/>
  <c r="B73" i="56"/>
  <c r="A73" i="56"/>
  <c r="B70" i="56"/>
  <c r="A70" i="56"/>
  <c r="B101" i="55"/>
  <c r="A101" i="55"/>
  <c r="B98" i="55"/>
  <c r="A98" i="55"/>
  <c r="B95" i="55"/>
  <c r="A95" i="55"/>
  <c r="B88" i="55"/>
  <c r="A88" i="55"/>
  <c r="B85" i="55"/>
  <c r="A85" i="55"/>
  <c r="B82" i="55"/>
  <c r="A82" i="55"/>
  <c r="B79" i="55"/>
  <c r="A79" i="55"/>
  <c r="B76" i="55"/>
  <c r="A76" i="55"/>
  <c r="B73" i="55"/>
  <c r="A73" i="55"/>
  <c r="B70" i="55"/>
  <c r="A70" i="55"/>
  <c r="B101" i="54"/>
  <c r="A101" i="54"/>
  <c r="B98" i="54"/>
  <c r="A98" i="54"/>
  <c r="B95" i="54"/>
  <c r="A95" i="54"/>
  <c r="B92" i="54"/>
  <c r="A92" i="54"/>
  <c r="B85" i="54"/>
  <c r="A85" i="54"/>
  <c r="B82" i="54"/>
  <c r="A82" i="54"/>
  <c r="B79" i="54"/>
  <c r="A79" i="54"/>
  <c r="B76" i="54"/>
  <c r="A76" i="54"/>
  <c r="B73" i="54"/>
  <c r="A73" i="54"/>
  <c r="B70" i="54"/>
  <c r="A70" i="54"/>
  <c r="B101" i="53"/>
  <c r="A101" i="53"/>
  <c r="B98" i="53"/>
  <c r="A98" i="53"/>
  <c r="B95" i="53"/>
  <c r="A95" i="53"/>
  <c r="B92" i="53"/>
  <c r="A92" i="53"/>
  <c r="B89" i="53"/>
  <c r="A89" i="53"/>
  <c r="B82" i="53"/>
  <c r="A82" i="53"/>
  <c r="B79" i="53"/>
  <c r="A79" i="53"/>
  <c r="B76" i="53"/>
  <c r="A76" i="53"/>
  <c r="B73" i="53"/>
  <c r="A73" i="53"/>
  <c r="B70" i="53"/>
  <c r="A70" i="53"/>
  <c r="B101" i="52"/>
  <c r="A101" i="52"/>
  <c r="B98" i="52"/>
  <c r="A98" i="52"/>
  <c r="B95" i="52"/>
  <c r="A95" i="52"/>
  <c r="B92" i="52"/>
  <c r="A92" i="52"/>
  <c r="B89" i="52"/>
  <c r="A89" i="52"/>
  <c r="B86" i="52"/>
  <c r="A86" i="52"/>
  <c r="B79" i="52"/>
  <c r="A79" i="52"/>
  <c r="B76" i="52"/>
  <c r="A76" i="52"/>
  <c r="B73" i="52"/>
  <c r="A73" i="52"/>
  <c r="B70" i="52"/>
  <c r="A70" i="52"/>
  <c r="B101" i="51"/>
  <c r="A101" i="51"/>
  <c r="B98" i="51"/>
  <c r="A98" i="51"/>
  <c r="B95" i="51"/>
  <c r="A95" i="51"/>
  <c r="B92" i="51"/>
  <c r="A92" i="51"/>
  <c r="B89" i="51"/>
  <c r="A89" i="51"/>
  <c r="B86" i="51"/>
  <c r="A86" i="51"/>
  <c r="B83" i="51"/>
  <c r="A83" i="51"/>
  <c r="B76" i="51"/>
  <c r="A76" i="51"/>
  <c r="B73" i="51"/>
  <c r="A73" i="51"/>
  <c r="B70" i="51"/>
  <c r="A70" i="51"/>
  <c r="B101" i="50"/>
  <c r="A101" i="50"/>
  <c r="B98" i="50"/>
  <c r="A98" i="50"/>
  <c r="B95" i="50"/>
  <c r="A95" i="50"/>
  <c r="B92" i="50"/>
  <c r="A92" i="50"/>
  <c r="B89" i="50"/>
  <c r="A89" i="50"/>
  <c r="B86" i="50"/>
  <c r="A86" i="50"/>
  <c r="B83" i="50"/>
  <c r="A83" i="50"/>
  <c r="B80" i="50"/>
  <c r="A80" i="50"/>
  <c r="B76" i="50"/>
  <c r="B130" i="50" s="1"/>
  <c r="A76" i="50"/>
  <c r="A130" i="50" s="1"/>
  <c r="B73" i="50"/>
  <c r="A73" i="50"/>
  <c r="B70" i="50"/>
  <c r="A70" i="50"/>
  <c r="B101" i="49"/>
  <c r="A101" i="49"/>
  <c r="B98" i="49"/>
  <c r="A98" i="49"/>
  <c r="B95" i="49"/>
  <c r="A95" i="49"/>
  <c r="B92" i="49"/>
  <c r="A92" i="49"/>
  <c r="B89" i="49"/>
  <c r="A89" i="49"/>
  <c r="B86" i="49"/>
  <c r="A86" i="49"/>
  <c r="B83" i="49"/>
  <c r="A83" i="49"/>
  <c r="B80" i="49"/>
  <c r="A80" i="49"/>
  <c r="B77" i="49"/>
  <c r="A77" i="49"/>
  <c r="B67" i="57"/>
  <c r="A67" i="57"/>
  <c r="B64" i="57"/>
  <c r="A64" i="57"/>
  <c r="B61" i="57"/>
  <c r="A61" i="57"/>
  <c r="B58" i="57"/>
  <c r="A58" i="57"/>
  <c r="B55" i="57"/>
  <c r="A55" i="57"/>
  <c r="B52" i="57"/>
  <c r="A52" i="57"/>
  <c r="B49" i="57"/>
  <c r="A49" i="57"/>
  <c r="B46" i="57"/>
  <c r="A46" i="57"/>
  <c r="B43" i="57"/>
  <c r="A43" i="57"/>
  <c r="B40" i="57"/>
  <c r="A40" i="57"/>
  <c r="B67" i="56"/>
  <c r="A67" i="56"/>
  <c r="B64" i="56"/>
  <c r="A64" i="56"/>
  <c r="B61" i="56"/>
  <c r="A61" i="56"/>
  <c r="B58" i="56"/>
  <c r="A58" i="56"/>
  <c r="B55" i="56"/>
  <c r="A55" i="56"/>
  <c r="B52" i="56"/>
  <c r="A52" i="56"/>
  <c r="B49" i="56"/>
  <c r="A49" i="56"/>
  <c r="B46" i="56"/>
  <c r="A46" i="56"/>
  <c r="B43" i="56"/>
  <c r="A43" i="56"/>
  <c r="B40" i="56"/>
  <c r="A40" i="56"/>
  <c r="B67" i="55"/>
  <c r="A67" i="55"/>
  <c r="B64" i="55"/>
  <c r="A64" i="55"/>
  <c r="B61" i="55"/>
  <c r="A61" i="55"/>
  <c r="B58" i="55"/>
  <c r="A58" i="55"/>
  <c r="B55" i="55"/>
  <c r="A55" i="55"/>
  <c r="B52" i="55"/>
  <c r="A52" i="55"/>
  <c r="B49" i="55"/>
  <c r="A49" i="55"/>
  <c r="B46" i="55"/>
  <c r="A46" i="55"/>
  <c r="B43" i="55"/>
  <c r="A43" i="55"/>
  <c r="B40" i="55"/>
  <c r="A40" i="55"/>
  <c r="B67" i="54"/>
  <c r="A67" i="54"/>
  <c r="B64" i="54"/>
  <c r="A64" i="54"/>
  <c r="B61" i="54"/>
  <c r="A61" i="54"/>
  <c r="B58" i="54"/>
  <c r="A58" i="54"/>
  <c r="B55" i="54"/>
  <c r="A55" i="54"/>
  <c r="B52" i="54"/>
  <c r="A52" i="54"/>
  <c r="B49" i="54"/>
  <c r="A49" i="54"/>
  <c r="B46" i="54"/>
  <c r="A46" i="54"/>
  <c r="B43" i="54"/>
  <c r="A43" i="54"/>
  <c r="B40" i="54"/>
  <c r="A40" i="54"/>
  <c r="B67" i="53"/>
  <c r="A67" i="53"/>
  <c r="B64" i="53"/>
  <c r="A64" i="53"/>
  <c r="B61" i="53"/>
  <c r="A61" i="53"/>
  <c r="B58" i="53"/>
  <c r="A58" i="53"/>
  <c r="B55" i="53"/>
  <c r="A55" i="53"/>
  <c r="B52" i="53"/>
  <c r="A52" i="53"/>
  <c r="B49" i="53"/>
  <c r="A49" i="53"/>
  <c r="B46" i="53"/>
  <c r="A46" i="53"/>
  <c r="B43" i="53"/>
  <c r="A43" i="53"/>
  <c r="B40" i="53"/>
  <c r="A40" i="53"/>
  <c r="B67" i="52"/>
  <c r="A67" i="52"/>
  <c r="B64" i="52"/>
  <c r="A64" i="52"/>
  <c r="B61" i="52"/>
  <c r="A61" i="52"/>
  <c r="B58" i="52"/>
  <c r="A58" i="52"/>
  <c r="B55" i="52"/>
  <c r="A55" i="52"/>
  <c r="B52" i="52"/>
  <c r="A52" i="52"/>
  <c r="B49" i="52"/>
  <c r="A49" i="52"/>
  <c r="B46" i="52"/>
  <c r="A46" i="52"/>
  <c r="B43" i="52"/>
  <c r="A43" i="52"/>
  <c r="B40" i="52"/>
  <c r="A40" i="52"/>
  <c r="B67" i="51"/>
  <c r="A67" i="51"/>
  <c r="B64" i="51"/>
  <c r="A64" i="51"/>
  <c r="B61" i="51"/>
  <c r="A61" i="51"/>
  <c r="B58" i="51"/>
  <c r="A58" i="51"/>
  <c r="B55" i="51"/>
  <c r="A55" i="51"/>
  <c r="B52" i="51"/>
  <c r="A52" i="51"/>
  <c r="B49" i="51"/>
  <c r="A49" i="51"/>
  <c r="B46" i="51"/>
  <c r="A46" i="51"/>
  <c r="B43" i="51"/>
  <c r="A43" i="51"/>
  <c r="B40" i="51"/>
  <c r="A40" i="51"/>
  <c r="B67" i="50"/>
  <c r="A67" i="50"/>
  <c r="B64" i="50"/>
  <c r="A64" i="50"/>
  <c r="B61" i="50"/>
  <c r="A61" i="50"/>
  <c r="B58" i="50"/>
  <c r="A58" i="50"/>
  <c r="B55" i="50"/>
  <c r="A55" i="50"/>
  <c r="B52" i="50"/>
  <c r="A52" i="50"/>
  <c r="B49" i="50"/>
  <c r="A49" i="50"/>
  <c r="B46" i="50"/>
  <c r="A46" i="50"/>
  <c r="B43" i="50"/>
  <c r="A43" i="50"/>
  <c r="B40" i="50"/>
  <c r="A40" i="50"/>
  <c r="B67" i="49"/>
  <c r="A67" i="49"/>
  <c r="B64" i="49"/>
  <c r="A64" i="49"/>
  <c r="B61" i="49"/>
  <c r="A61" i="49"/>
  <c r="B58" i="49"/>
  <c r="A58" i="49"/>
  <c r="B55" i="49"/>
  <c r="A55" i="49"/>
  <c r="B52" i="49"/>
  <c r="A52" i="49"/>
  <c r="B49" i="49"/>
  <c r="A49" i="49"/>
  <c r="B46" i="49"/>
  <c r="A46" i="49"/>
  <c r="B43" i="49"/>
  <c r="A43" i="49"/>
  <c r="B40" i="49"/>
  <c r="A40" i="49"/>
  <c r="C24" i="32" l="1"/>
  <c r="A40" i="42"/>
  <c r="B40" i="42"/>
  <c r="A46" i="42" l="1"/>
  <c r="B46" i="42"/>
  <c r="Y140" i="42" l="1"/>
  <c r="Z21" i="16" l="1"/>
  <c r="Z18" i="16"/>
  <c r="Z14" i="16"/>
  <c r="B38" i="23" l="1"/>
  <c r="A38" i="23"/>
  <c r="C250" i="32"/>
  <c r="C7" i="42"/>
  <c r="F32" i="27" l="1"/>
  <c r="H24" i="27"/>
  <c r="G39" i="21"/>
  <c r="G34" i="21"/>
  <c r="E23" i="21"/>
  <c r="E14" i="21"/>
  <c r="E25" i="21" s="1"/>
  <c r="F185" i="57"/>
  <c r="F179" i="57"/>
  <c r="F185" i="56"/>
  <c r="F179" i="56"/>
  <c r="F185" i="55"/>
  <c r="F179" i="55"/>
  <c r="F185" i="54"/>
  <c r="F179" i="54"/>
  <c r="F185" i="53"/>
  <c r="F179" i="53"/>
  <c r="F185" i="52"/>
  <c r="F179" i="52"/>
  <c r="F185" i="51"/>
  <c r="F179" i="51"/>
  <c r="F185" i="50"/>
  <c r="F179" i="50"/>
  <c r="F185" i="49"/>
  <c r="F179" i="49"/>
  <c r="F185" i="42"/>
  <c r="F179" i="42"/>
  <c r="P140" i="42"/>
  <c r="E33" i="20" l="1"/>
  <c r="C33" i="20"/>
  <c r="B33" i="20"/>
  <c r="E16" i="20"/>
  <c r="C16" i="20"/>
  <c r="B16" i="20"/>
  <c r="E115" i="57" l="1"/>
  <c r="E115" i="56"/>
  <c r="E115" i="55"/>
  <c r="E115" i="54"/>
  <c r="E115" i="53"/>
  <c r="E115" i="52"/>
  <c r="E115" i="51"/>
  <c r="E115" i="50"/>
  <c r="E115" i="49"/>
  <c r="C114" i="57"/>
  <c r="B114" i="57"/>
  <c r="C112" i="57"/>
  <c r="C114" i="56"/>
  <c r="B114" i="56"/>
  <c r="C112" i="56"/>
  <c r="C114" i="55"/>
  <c r="B114" i="55"/>
  <c r="C112" i="55"/>
  <c r="C114" i="54"/>
  <c r="B114" i="54"/>
  <c r="C112" i="54"/>
  <c r="C114" i="53"/>
  <c r="B114" i="53"/>
  <c r="C112" i="53"/>
  <c r="C114" i="52"/>
  <c r="B114" i="52"/>
  <c r="C112" i="52"/>
  <c r="C114" i="51"/>
  <c r="B114" i="51"/>
  <c r="C112" i="51"/>
  <c r="C114" i="50"/>
  <c r="B114" i="50"/>
  <c r="C112" i="50"/>
  <c r="C114" i="49"/>
  <c r="B114" i="49"/>
  <c r="C112" i="49"/>
  <c r="E115" i="42"/>
  <c r="B114" i="42"/>
  <c r="C112" i="42"/>
  <c r="I172" i="57" l="1"/>
  <c r="I172" i="56"/>
  <c r="I172" i="55"/>
  <c r="I172" i="54"/>
  <c r="I172" i="53"/>
  <c r="I172" i="52"/>
  <c r="I172" i="51"/>
  <c r="I172" i="50"/>
  <c r="I172" i="49"/>
  <c r="I172" i="42"/>
  <c r="E162" i="42" l="1"/>
  <c r="E157" i="42"/>
  <c r="E152" i="42"/>
  <c r="E161" i="42"/>
  <c r="E156" i="42"/>
  <c r="E151" i="42"/>
  <c r="H119" i="42" l="1"/>
  <c r="H111" i="42"/>
  <c r="I29" i="16" l="1"/>
  <c r="G29" i="16"/>
  <c r="E29" i="16"/>
  <c r="R47" i="14" l="1"/>
  <c r="B37" i="14" l="1"/>
  <c r="C265" i="32"/>
  <c r="C266" i="32"/>
  <c r="C267" i="32"/>
  <c r="C268" i="32"/>
  <c r="C269" i="32"/>
  <c r="C270" i="32"/>
  <c r="C271" i="32"/>
  <c r="C272" i="32"/>
  <c r="C273" i="32"/>
  <c r="C274" i="32"/>
  <c r="C276" i="32"/>
  <c r="C277" i="32"/>
  <c r="C278" i="32"/>
  <c r="C279" i="32"/>
  <c r="C280" i="32"/>
  <c r="C281" i="32"/>
  <c r="C282" i="32"/>
  <c r="C283" i="32"/>
  <c r="C284" i="32"/>
  <c r="C285" i="32"/>
  <c r="C287" i="32"/>
  <c r="C288" i="32"/>
  <c r="C289" i="32"/>
  <c r="C290" i="32"/>
  <c r="C291" i="32"/>
  <c r="C292" i="32"/>
  <c r="C293" i="32"/>
  <c r="C294" i="32"/>
  <c r="C295" i="32"/>
  <c r="C296" i="32"/>
  <c r="C298" i="32"/>
  <c r="C299" i="32"/>
  <c r="C300" i="32"/>
  <c r="C301" i="32"/>
  <c r="C302" i="32"/>
  <c r="C303" i="32"/>
  <c r="C304" i="32"/>
  <c r="C305" i="32"/>
  <c r="C306" i="32"/>
  <c r="C307" i="32"/>
  <c r="C312" i="32"/>
  <c r="D312" i="32"/>
  <c r="G38" i="14" s="1"/>
  <c r="J38" i="14" s="1"/>
  <c r="C314" i="32"/>
  <c r="C316" i="32"/>
  <c r="C319" i="32"/>
  <c r="C322" i="32"/>
  <c r="D322" i="32"/>
  <c r="G44" i="14" s="1"/>
  <c r="D323" i="32"/>
  <c r="G45" i="14" s="1"/>
  <c r="G46" i="14"/>
  <c r="B34" i="14"/>
  <c r="B35" i="14"/>
  <c r="B36" i="14"/>
  <c r="K46" i="14" l="1"/>
  <c r="O46" i="14"/>
  <c r="Q45" i="14"/>
  <c r="K45" i="14"/>
  <c r="N45" i="14"/>
  <c r="B24" i="27"/>
  <c r="A24" i="27"/>
  <c r="J47" i="14" l="1"/>
  <c r="G30" i="57"/>
  <c r="F30" i="57"/>
  <c r="E30" i="57"/>
  <c r="D30" i="57"/>
  <c r="C30" i="57"/>
  <c r="G29" i="57"/>
  <c r="F29" i="57"/>
  <c r="E29" i="57"/>
  <c r="D29" i="57"/>
  <c r="C29" i="57"/>
  <c r="G28" i="57"/>
  <c r="F28" i="57"/>
  <c r="E28" i="57"/>
  <c r="D28" i="57"/>
  <c r="C28" i="57"/>
  <c r="G27" i="57"/>
  <c r="F27" i="57"/>
  <c r="E27" i="57"/>
  <c r="D27" i="57"/>
  <c r="C27" i="57"/>
  <c r="G25" i="57"/>
  <c r="F25" i="57"/>
  <c r="E25" i="57"/>
  <c r="D25" i="57"/>
  <c r="C25" i="57"/>
  <c r="G24" i="57"/>
  <c r="F24" i="57"/>
  <c r="E24" i="57"/>
  <c r="D24" i="57"/>
  <c r="C24" i="57"/>
  <c r="G23" i="57"/>
  <c r="F23" i="57"/>
  <c r="E23" i="57"/>
  <c r="D23" i="57"/>
  <c r="C23" i="57"/>
  <c r="G22" i="57"/>
  <c r="F22" i="57"/>
  <c r="E22" i="57"/>
  <c r="D22" i="57"/>
  <c r="C22" i="57"/>
  <c r="G21" i="57"/>
  <c r="F21" i="57"/>
  <c r="E21" i="57"/>
  <c r="D21" i="57"/>
  <c r="C21" i="57"/>
  <c r="G30" i="56"/>
  <c r="F30" i="56"/>
  <c r="E30" i="56"/>
  <c r="D30" i="56"/>
  <c r="C30" i="56"/>
  <c r="G29" i="56"/>
  <c r="F29" i="56"/>
  <c r="E29" i="56"/>
  <c r="D29" i="56"/>
  <c r="C29" i="56"/>
  <c r="G28" i="56"/>
  <c r="F28" i="56"/>
  <c r="E28" i="56"/>
  <c r="D28" i="56"/>
  <c r="C28" i="56"/>
  <c r="G27" i="56"/>
  <c r="F27" i="56"/>
  <c r="E27" i="56"/>
  <c r="D27" i="56"/>
  <c r="C27" i="56"/>
  <c r="G25" i="56"/>
  <c r="F25" i="56"/>
  <c r="E25" i="56"/>
  <c r="D25" i="56"/>
  <c r="C25" i="56"/>
  <c r="G24" i="56"/>
  <c r="F24" i="56"/>
  <c r="E24" i="56"/>
  <c r="D24" i="56"/>
  <c r="C24" i="56"/>
  <c r="G23" i="56"/>
  <c r="F23" i="56"/>
  <c r="E23" i="56"/>
  <c r="D23" i="56"/>
  <c r="C23" i="56"/>
  <c r="G22" i="56"/>
  <c r="F22" i="56"/>
  <c r="E22" i="56"/>
  <c r="D22" i="56"/>
  <c r="C22" i="56"/>
  <c r="G21" i="56"/>
  <c r="F21" i="56"/>
  <c r="E21" i="56"/>
  <c r="D21" i="56"/>
  <c r="C21" i="56"/>
  <c r="G30" i="55"/>
  <c r="F30" i="55"/>
  <c r="E30" i="55"/>
  <c r="D30" i="55"/>
  <c r="C30" i="55"/>
  <c r="G29" i="55"/>
  <c r="F29" i="55"/>
  <c r="E29" i="55"/>
  <c r="D29" i="55"/>
  <c r="C29" i="55"/>
  <c r="G28" i="55"/>
  <c r="F28" i="55"/>
  <c r="E28" i="55"/>
  <c r="D28" i="55"/>
  <c r="C28" i="55"/>
  <c r="G27" i="55"/>
  <c r="F27" i="55"/>
  <c r="E27" i="55"/>
  <c r="D27" i="55"/>
  <c r="C27" i="55"/>
  <c r="G25" i="55"/>
  <c r="F25" i="55"/>
  <c r="E25" i="55"/>
  <c r="D25" i="55"/>
  <c r="C25" i="55"/>
  <c r="G24" i="55"/>
  <c r="F24" i="55"/>
  <c r="E24" i="55"/>
  <c r="D24" i="55"/>
  <c r="C24" i="55"/>
  <c r="G23" i="55"/>
  <c r="F23" i="55"/>
  <c r="E23" i="55"/>
  <c r="D23" i="55"/>
  <c r="C23" i="55"/>
  <c r="G22" i="55"/>
  <c r="F22" i="55"/>
  <c r="E22" i="55"/>
  <c r="D22" i="55"/>
  <c r="C22" i="55"/>
  <c r="G21" i="55"/>
  <c r="F21" i="55"/>
  <c r="E21" i="55"/>
  <c r="D21" i="55"/>
  <c r="C21" i="55"/>
  <c r="G30" i="54"/>
  <c r="F30" i="54"/>
  <c r="E30" i="54"/>
  <c r="D30" i="54"/>
  <c r="C30" i="54"/>
  <c r="G29" i="54"/>
  <c r="F29" i="54"/>
  <c r="E29" i="54"/>
  <c r="D29" i="54"/>
  <c r="C29" i="54"/>
  <c r="G28" i="54"/>
  <c r="F28" i="54"/>
  <c r="E28" i="54"/>
  <c r="D28" i="54"/>
  <c r="C28" i="54"/>
  <c r="G27" i="54"/>
  <c r="F27" i="54"/>
  <c r="E27" i="54"/>
  <c r="D27" i="54"/>
  <c r="C27" i="54"/>
  <c r="G25" i="54"/>
  <c r="F25" i="54"/>
  <c r="E25" i="54"/>
  <c r="D25" i="54"/>
  <c r="C25" i="54"/>
  <c r="G24" i="54"/>
  <c r="F24" i="54"/>
  <c r="E24" i="54"/>
  <c r="D24" i="54"/>
  <c r="C24" i="54"/>
  <c r="G23" i="54"/>
  <c r="F23" i="54"/>
  <c r="E23" i="54"/>
  <c r="D23" i="54"/>
  <c r="C23" i="54"/>
  <c r="G22" i="54"/>
  <c r="F22" i="54"/>
  <c r="E22" i="54"/>
  <c r="D22" i="54"/>
  <c r="C22" i="54"/>
  <c r="G21" i="54"/>
  <c r="F21" i="54"/>
  <c r="E21" i="54"/>
  <c r="D21" i="54"/>
  <c r="C21" i="54"/>
  <c r="G30" i="53"/>
  <c r="F30" i="53"/>
  <c r="E30" i="53"/>
  <c r="D30" i="53"/>
  <c r="C30" i="53"/>
  <c r="G29" i="53"/>
  <c r="F29" i="53"/>
  <c r="E29" i="53"/>
  <c r="D29" i="53"/>
  <c r="C29" i="53"/>
  <c r="G28" i="53"/>
  <c r="F28" i="53"/>
  <c r="E28" i="53"/>
  <c r="D28" i="53"/>
  <c r="C28" i="53"/>
  <c r="G27" i="53"/>
  <c r="F27" i="53"/>
  <c r="E27" i="53"/>
  <c r="D27" i="53"/>
  <c r="C27" i="53"/>
  <c r="G25" i="53"/>
  <c r="F25" i="53"/>
  <c r="E25" i="53"/>
  <c r="D25" i="53"/>
  <c r="C25" i="53"/>
  <c r="G24" i="53"/>
  <c r="F24" i="53"/>
  <c r="E24" i="53"/>
  <c r="D24" i="53"/>
  <c r="C24" i="53"/>
  <c r="G23" i="53"/>
  <c r="F23" i="53"/>
  <c r="E23" i="53"/>
  <c r="D23" i="53"/>
  <c r="C23" i="53"/>
  <c r="G22" i="53"/>
  <c r="F22" i="53"/>
  <c r="E22" i="53"/>
  <c r="D22" i="53"/>
  <c r="C22" i="53"/>
  <c r="G21" i="53"/>
  <c r="F21" i="53"/>
  <c r="E21" i="53"/>
  <c r="D21" i="53"/>
  <c r="C21" i="53"/>
  <c r="G30" i="52"/>
  <c r="F30" i="52"/>
  <c r="E30" i="52"/>
  <c r="D30" i="52"/>
  <c r="C30" i="52"/>
  <c r="G29" i="52"/>
  <c r="F29" i="52"/>
  <c r="E29" i="52"/>
  <c r="D29" i="52"/>
  <c r="C29" i="52"/>
  <c r="G28" i="52"/>
  <c r="F28" i="52"/>
  <c r="E28" i="52"/>
  <c r="D28" i="52"/>
  <c r="C28" i="52"/>
  <c r="G27" i="52"/>
  <c r="F27" i="52"/>
  <c r="E27" i="52"/>
  <c r="D27" i="52"/>
  <c r="C27" i="52"/>
  <c r="G25" i="52"/>
  <c r="F25" i="52"/>
  <c r="E25" i="52"/>
  <c r="D25" i="52"/>
  <c r="C25" i="52"/>
  <c r="G24" i="52"/>
  <c r="F24" i="52"/>
  <c r="E24" i="52"/>
  <c r="D24" i="52"/>
  <c r="C24" i="52"/>
  <c r="G23" i="52"/>
  <c r="F23" i="52"/>
  <c r="E23" i="52"/>
  <c r="D23" i="52"/>
  <c r="C23" i="52"/>
  <c r="G22" i="52"/>
  <c r="F22" i="52"/>
  <c r="E22" i="52"/>
  <c r="D22" i="52"/>
  <c r="C22" i="52"/>
  <c r="G21" i="52"/>
  <c r="F21" i="52"/>
  <c r="E21" i="52"/>
  <c r="D21" i="52"/>
  <c r="C21" i="52"/>
  <c r="G30" i="51"/>
  <c r="F30" i="51"/>
  <c r="E30" i="51"/>
  <c r="D30" i="51"/>
  <c r="C30" i="51"/>
  <c r="G29" i="51"/>
  <c r="F29" i="51"/>
  <c r="E29" i="51"/>
  <c r="D29" i="51"/>
  <c r="C29" i="51"/>
  <c r="G28" i="51"/>
  <c r="F28" i="51"/>
  <c r="E28" i="51"/>
  <c r="D28" i="51"/>
  <c r="C28" i="51"/>
  <c r="G27" i="51"/>
  <c r="F27" i="51"/>
  <c r="E27" i="51"/>
  <c r="D27" i="51"/>
  <c r="C27" i="51"/>
  <c r="G25" i="51"/>
  <c r="F25" i="51"/>
  <c r="E25" i="51"/>
  <c r="D25" i="51"/>
  <c r="C25" i="51"/>
  <c r="G24" i="51"/>
  <c r="F24" i="51"/>
  <c r="E24" i="51"/>
  <c r="D24" i="51"/>
  <c r="C24" i="51"/>
  <c r="G23" i="51"/>
  <c r="F23" i="51"/>
  <c r="E23" i="51"/>
  <c r="D23" i="51"/>
  <c r="C23" i="51"/>
  <c r="G22" i="51"/>
  <c r="F22" i="51"/>
  <c r="E22" i="51"/>
  <c r="D22" i="51"/>
  <c r="C22" i="51"/>
  <c r="G21" i="51"/>
  <c r="F21" i="51"/>
  <c r="E21" i="51"/>
  <c r="D21" i="51"/>
  <c r="C21" i="51"/>
  <c r="G30" i="50"/>
  <c r="F30" i="50"/>
  <c r="E30" i="50"/>
  <c r="D30" i="50"/>
  <c r="C30" i="50"/>
  <c r="G29" i="50"/>
  <c r="F29" i="50"/>
  <c r="E29" i="50"/>
  <c r="D29" i="50"/>
  <c r="C29" i="50"/>
  <c r="G28" i="50"/>
  <c r="F28" i="50"/>
  <c r="E28" i="50"/>
  <c r="D28" i="50"/>
  <c r="C28" i="50"/>
  <c r="G27" i="50"/>
  <c r="F27" i="50"/>
  <c r="E27" i="50"/>
  <c r="D27" i="50"/>
  <c r="C27" i="50"/>
  <c r="G25" i="50"/>
  <c r="F25" i="50"/>
  <c r="E25" i="50"/>
  <c r="D25" i="50"/>
  <c r="C25" i="50"/>
  <c r="G24" i="50"/>
  <c r="F24" i="50"/>
  <c r="E24" i="50"/>
  <c r="D24" i="50"/>
  <c r="C24" i="50"/>
  <c r="G23" i="50"/>
  <c r="F23" i="50"/>
  <c r="E23" i="50"/>
  <c r="D23" i="50"/>
  <c r="C23" i="50"/>
  <c r="G22" i="50"/>
  <c r="F22" i="50"/>
  <c r="E22" i="50"/>
  <c r="D22" i="50"/>
  <c r="C22" i="50"/>
  <c r="G21" i="50"/>
  <c r="F21" i="50"/>
  <c r="E21" i="50"/>
  <c r="D21" i="50"/>
  <c r="C21" i="50"/>
  <c r="P151" i="56" l="1"/>
  <c r="Q151" i="56" s="1"/>
  <c r="R151" i="56" s="1"/>
  <c r="P156" i="56"/>
  <c r="Q156" i="56" s="1"/>
  <c r="R156" i="56" s="1"/>
  <c r="P146" i="56"/>
  <c r="Q146" i="56" s="1"/>
  <c r="R146" i="56" s="1"/>
  <c r="P159" i="56"/>
  <c r="Q159" i="56" s="1"/>
  <c r="R159" i="56" s="1"/>
  <c r="P154" i="56"/>
  <c r="Q154" i="56" s="1"/>
  <c r="R154" i="56" s="1"/>
  <c r="P144" i="56"/>
  <c r="Q144" i="56" s="1"/>
  <c r="R144" i="56" s="1"/>
  <c r="P161" i="56"/>
  <c r="Q161" i="56" s="1"/>
  <c r="R161" i="56" s="1"/>
  <c r="P149" i="56"/>
  <c r="Q149" i="56" s="1"/>
  <c r="R149" i="56" s="1"/>
  <c r="S162" i="56"/>
  <c r="T162" i="56" s="1"/>
  <c r="S152" i="56"/>
  <c r="T152" i="56" s="1"/>
  <c r="S147" i="56"/>
  <c r="T147" i="56" s="1"/>
  <c r="S160" i="56"/>
  <c r="T160" i="56" s="1"/>
  <c r="S157" i="56"/>
  <c r="T157" i="56" s="1"/>
  <c r="S145" i="56"/>
  <c r="T145" i="56" s="1"/>
  <c r="S155" i="56"/>
  <c r="T155" i="56" s="1"/>
  <c r="S150" i="56"/>
  <c r="T150" i="56" s="1"/>
  <c r="S156" i="56"/>
  <c r="T156" i="56" s="1"/>
  <c r="U156" i="56" s="1"/>
  <c r="S149" i="56"/>
  <c r="T149" i="56" s="1"/>
  <c r="U149" i="56" s="1"/>
  <c r="S151" i="56"/>
  <c r="T151" i="56" s="1"/>
  <c r="U151" i="56" s="1"/>
  <c r="S144" i="56"/>
  <c r="T144" i="56" s="1"/>
  <c r="U144" i="56" s="1"/>
  <c r="S146" i="56"/>
  <c r="T146" i="56" s="1"/>
  <c r="U146" i="56" s="1"/>
  <c r="S159" i="56"/>
  <c r="T159" i="56" s="1"/>
  <c r="U159" i="56" s="1"/>
  <c r="S154" i="56"/>
  <c r="T154" i="56" s="1"/>
  <c r="U154" i="56" s="1"/>
  <c r="S161" i="56"/>
  <c r="T161" i="56" s="1"/>
  <c r="U161" i="56" s="1"/>
  <c r="V147" i="56"/>
  <c r="W147" i="56" s="1"/>
  <c r="V160" i="56"/>
  <c r="W160" i="56" s="1"/>
  <c r="V152" i="56"/>
  <c r="W152" i="56" s="1"/>
  <c r="V155" i="56"/>
  <c r="W155" i="56" s="1"/>
  <c r="V162" i="56"/>
  <c r="W162" i="56" s="1"/>
  <c r="V150" i="56"/>
  <c r="W150" i="56" s="1"/>
  <c r="V157" i="56"/>
  <c r="W157" i="56" s="1"/>
  <c r="V145" i="56"/>
  <c r="W145" i="56" s="1"/>
  <c r="V161" i="56"/>
  <c r="W161" i="56" s="1"/>
  <c r="X161" i="56" s="1"/>
  <c r="V146" i="56"/>
  <c r="W146" i="56" s="1"/>
  <c r="X146" i="56" s="1"/>
  <c r="V159" i="56"/>
  <c r="W159" i="56" s="1"/>
  <c r="X159" i="56" s="1"/>
  <c r="V154" i="56"/>
  <c r="W154" i="56" s="1"/>
  <c r="X154" i="56" s="1"/>
  <c r="V156" i="56"/>
  <c r="W156" i="56" s="1"/>
  <c r="X156" i="56" s="1"/>
  <c r="V144" i="56"/>
  <c r="W144" i="56" s="1"/>
  <c r="X144" i="56" s="1"/>
  <c r="V149" i="56"/>
  <c r="W149" i="56" s="1"/>
  <c r="X149" i="56" s="1"/>
  <c r="V151" i="56"/>
  <c r="W151" i="56" s="1"/>
  <c r="X151" i="56" s="1"/>
  <c r="M160" i="56"/>
  <c r="N160" i="56" s="1"/>
  <c r="M157" i="56"/>
  <c r="N157" i="56" s="1"/>
  <c r="M150" i="56"/>
  <c r="N150" i="56" s="1"/>
  <c r="M162" i="56"/>
  <c r="N162" i="56" s="1"/>
  <c r="M147" i="56"/>
  <c r="N147" i="56" s="1"/>
  <c r="M155" i="56"/>
  <c r="N155" i="56" s="1"/>
  <c r="M152" i="56"/>
  <c r="N152" i="56" s="1"/>
  <c r="M145" i="56"/>
  <c r="N145" i="56" s="1"/>
  <c r="Y155" i="56"/>
  <c r="Z155" i="56" s="1"/>
  <c r="Y152" i="56"/>
  <c r="Z152" i="56" s="1"/>
  <c r="Y145" i="56"/>
  <c r="Z145" i="56" s="1"/>
  <c r="Y160" i="56"/>
  <c r="Z160" i="56" s="1"/>
  <c r="Y157" i="56"/>
  <c r="Z157" i="56" s="1"/>
  <c r="Y162" i="56"/>
  <c r="Z162" i="56" s="1"/>
  <c r="Y150" i="56"/>
  <c r="Z150" i="56" s="1"/>
  <c r="Y147" i="56"/>
  <c r="Z147" i="56" s="1"/>
  <c r="M161" i="56"/>
  <c r="N161" i="56" s="1"/>
  <c r="O161" i="56" s="1"/>
  <c r="M159" i="56"/>
  <c r="N159" i="56" s="1"/>
  <c r="O159" i="56" s="1"/>
  <c r="M149" i="56"/>
  <c r="N149" i="56" s="1"/>
  <c r="O149" i="56" s="1"/>
  <c r="M156" i="56"/>
  <c r="N156" i="56" s="1"/>
  <c r="O156" i="56" s="1"/>
  <c r="M154" i="56"/>
  <c r="N154" i="56" s="1"/>
  <c r="O154" i="56" s="1"/>
  <c r="M151" i="56"/>
  <c r="N151" i="56" s="1"/>
  <c r="O151" i="56" s="1"/>
  <c r="M146" i="56"/>
  <c r="N146" i="56" s="1"/>
  <c r="O146" i="56" s="1"/>
  <c r="M144" i="56"/>
  <c r="N144" i="56" s="1"/>
  <c r="O144" i="56" s="1"/>
  <c r="AB144" i="56" s="1"/>
  <c r="Y151" i="56"/>
  <c r="Z151" i="56" s="1"/>
  <c r="AA151" i="56" s="1"/>
  <c r="Y146" i="56"/>
  <c r="Z146" i="56" s="1"/>
  <c r="AA146" i="56" s="1"/>
  <c r="Y144" i="56"/>
  <c r="Z144" i="56" s="1"/>
  <c r="AA144" i="56" s="1"/>
  <c r="Y159" i="56"/>
  <c r="Z159" i="56" s="1"/>
  <c r="AA159" i="56" s="1"/>
  <c r="Y154" i="56"/>
  <c r="Z154" i="56" s="1"/>
  <c r="AA154" i="56" s="1"/>
  <c r="Y149" i="56"/>
  <c r="Z149" i="56" s="1"/>
  <c r="AA149" i="56" s="1"/>
  <c r="Y161" i="56"/>
  <c r="Z161" i="56" s="1"/>
  <c r="AA161" i="56" s="1"/>
  <c r="Y156" i="56"/>
  <c r="Z156" i="56" s="1"/>
  <c r="AA156" i="56" s="1"/>
  <c r="P155" i="56"/>
  <c r="Q155" i="56" s="1"/>
  <c r="P147" i="56"/>
  <c r="Q147" i="56" s="1"/>
  <c r="P152" i="56"/>
  <c r="Q152" i="56" s="1"/>
  <c r="P162" i="56"/>
  <c r="Q162" i="56" s="1"/>
  <c r="P160" i="56"/>
  <c r="Q160" i="56" s="1"/>
  <c r="P157" i="56"/>
  <c r="Q157" i="56" s="1"/>
  <c r="P150" i="56"/>
  <c r="Q150" i="56" s="1"/>
  <c r="P145" i="56"/>
  <c r="Q145" i="56" s="1"/>
  <c r="S149" i="55"/>
  <c r="T149" i="55" s="1"/>
  <c r="U149" i="55" s="1"/>
  <c r="S146" i="55"/>
  <c r="T146" i="55" s="1"/>
  <c r="U146" i="55" s="1"/>
  <c r="S144" i="55"/>
  <c r="T144" i="55" s="1"/>
  <c r="U144" i="55" s="1"/>
  <c r="S159" i="55"/>
  <c r="T159" i="55" s="1"/>
  <c r="U159" i="55" s="1"/>
  <c r="S156" i="55"/>
  <c r="T156" i="55" s="1"/>
  <c r="U156" i="55" s="1"/>
  <c r="S154" i="55"/>
  <c r="T154" i="55" s="1"/>
  <c r="U154" i="55" s="1"/>
  <c r="S151" i="55"/>
  <c r="T151" i="55" s="1"/>
  <c r="U151" i="55" s="1"/>
  <c r="S161" i="55"/>
  <c r="T161" i="55" s="1"/>
  <c r="U161" i="55" s="1"/>
  <c r="V161" i="55"/>
  <c r="W161" i="55" s="1"/>
  <c r="X161" i="55" s="1"/>
  <c r="V154" i="55"/>
  <c r="W154" i="55" s="1"/>
  <c r="X154" i="55" s="1"/>
  <c r="V151" i="55"/>
  <c r="W151" i="55" s="1"/>
  <c r="X151" i="55" s="1"/>
  <c r="V156" i="55"/>
  <c r="W156" i="55" s="1"/>
  <c r="X156" i="55" s="1"/>
  <c r="V159" i="55"/>
  <c r="W159" i="55" s="1"/>
  <c r="X159" i="55" s="1"/>
  <c r="V144" i="55"/>
  <c r="W144" i="55" s="1"/>
  <c r="X144" i="55" s="1"/>
  <c r="V149" i="55"/>
  <c r="W149" i="55" s="1"/>
  <c r="X149" i="55" s="1"/>
  <c r="V146" i="55"/>
  <c r="W146" i="55" s="1"/>
  <c r="X146" i="55" s="1"/>
  <c r="Y160" i="55"/>
  <c r="Z160" i="55" s="1"/>
  <c r="Y157" i="55"/>
  <c r="Z157" i="55" s="1"/>
  <c r="Y150" i="55"/>
  <c r="Z150" i="55" s="1"/>
  <c r="Y145" i="55"/>
  <c r="Z145" i="55" s="1"/>
  <c r="Y147" i="55"/>
  <c r="Z147" i="55" s="1"/>
  <c r="Y155" i="55"/>
  <c r="Z155" i="55" s="1"/>
  <c r="Y152" i="55"/>
  <c r="Z152" i="55" s="1"/>
  <c r="Y162" i="55"/>
  <c r="Z162" i="55" s="1"/>
  <c r="M149" i="55"/>
  <c r="N149" i="55" s="1"/>
  <c r="O149" i="55" s="1"/>
  <c r="M146" i="55"/>
  <c r="N146" i="55" s="1"/>
  <c r="O146" i="55" s="1"/>
  <c r="M144" i="55"/>
  <c r="N144" i="55" s="1"/>
  <c r="O144" i="55" s="1"/>
  <c r="M159" i="55"/>
  <c r="N159" i="55" s="1"/>
  <c r="O159" i="55" s="1"/>
  <c r="M161" i="55"/>
  <c r="N161" i="55" s="1"/>
  <c r="O161" i="55" s="1"/>
  <c r="M156" i="55"/>
  <c r="N156" i="55" s="1"/>
  <c r="O156" i="55" s="1"/>
  <c r="M154" i="55"/>
  <c r="N154" i="55" s="1"/>
  <c r="O154" i="55" s="1"/>
  <c r="M151" i="55"/>
  <c r="N151" i="55" s="1"/>
  <c r="O151" i="55" s="1"/>
  <c r="Y151" i="55"/>
  <c r="Z151" i="55" s="1"/>
  <c r="AA151" i="55" s="1"/>
  <c r="Y149" i="55"/>
  <c r="Z149" i="55" s="1"/>
  <c r="AA149" i="55" s="1"/>
  <c r="Y146" i="55"/>
  <c r="Z146" i="55" s="1"/>
  <c r="AA146" i="55" s="1"/>
  <c r="Y144" i="55"/>
  <c r="Z144" i="55" s="1"/>
  <c r="AA144" i="55" s="1"/>
  <c r="Y161" i="55"/>
  <c r="Z161" i="55" s="1"/>
  <c r="AA161" i="55" s="1"/>
  <c r="Y159" i="55"/>
  <c r="Z159" i="55" s="1"/>
  <c r="AA159" i="55" s="1"/>
  <c r="Y156" i="55"/>
  <c r="Z156" i="55" s="1"/>
  <c r="AA156" i="55" s="1"/>
  <c r="Y154" i="55"/>
  <c r="Z154" i="55" s="1"/>
  <c r="AA154" i="55" s="1"/>
  <c r="P162" i="55"/>
  <c r="Q162" i="55" s="1"/>
  <c r="P157" i="55"/>
  <c r="Q157" i="55" s="1"/>
  <c r="P160" i="55"/>
  <c r="Q160" i="55" s="1"/>
  <c r="P155" i="55"/>
  <c r="Q155" i="55" s="1"/>
  <c r="P150" i="55"/>
  <c r="Q150" i="55" s="1"/>
  <c r="P145" i="55"/>
  <c r="Q145" i="55" s="1"/>
  <c r="P147" i="55"/>
  <c r="Q147" i="55" s="1"/>
  <c r="P152" i="55"/>
  <c r="Q152" i="55" s="1"/>
  <c r="V162" i="55"/>
  <c r="W162" i="55" s="1"/>
  <c r="V155" i="55"/>
  <c r="W155" i="55" s="1"/>
  <c r="V152" i="55"/>
  <c r="W152" i="55" s="1"/>
  <c r="V147" i="55"/>
  <c r="W147" i="55" s="1"/>
  <c r="V160" i="55"/>
  <c r="W160" i="55" s="1"/>
  <c r="V157" i="55"/>
  <c r="W157" i="55" s="1"/>
  <c r="V145" i="55"/>
  <c r="W145" i="55" s="1"/>
  <c r="V150" i="55"/>
  <c r="W150" i="55" s="1"/>
  <c r="M160" i="55"/>
  <c r="N160" i="55" s="1"/>
  <c r="M157" i="55"/>
  <c r="N157" i="55" s="1"/>
  <c r="M152" i="55"/>
  <c r="N152" i="55" s="1"/>
  <c r="M145" i="55"/>
  <c r="N145" i="55" s="1"/>
  <c r="M162" i="55"/>
  <c r="N162" i="55" s="1"/>
  <c r="M155" i="55"/>
  <c r="N155" i="55" s="1"/>
  <c r="M150" i="55"/>
  <c r="N150" i="55" s="1"/>
  <c r="M147" i="55"/>
  <c r="N147" i="55" s="1"/>
  <c r="P154" i="55"/>
  <c r="Q154" i="55" s="1"/>
  <c r="R154" i="55" s="1"/>
  <c r="P146" i="55"/>
  <c r="Q146" i="55" s="1"/>
  <c r="R146" i="55" s="1"/>
  <c r="P161" i="55"/>
  <c r="Q161" i="55" s="1"/>
  <c r="R161" i="55" s="1"/>
  <c r="P151" i="55"/>
  <c r="Q151" i="55" s="1"/>
  <c r="R151" i="55" s="1"/>
  <c r="P149" i="55"/>
  <c r="Q149" i="55" s="1"/>
  <c r="R149" i="55" s="1"/>
  <c r="P156" i="55"/>
  <c r="Q156" i="55" s="1"/>
  <c r="R156" i="55" s="1"/>
  <c r="P144" i="55"/>
  <c r="Q144" i="55" s="1"/>
  <c r="R144" i="55" s="1"/>
  <c r="P159" i="55"/>
  <c r="Q159" i="55" s="1"/>
  <c r="R159" i="55" s="1"/>
  <c r="S160" i="55"/>
  <c r="T160" i="55" s="1"/>
  <c r="S157" i="55"/>
  <c r="T157" i="55" s="1"/>
  <c r="S150" i="55"/>
  <c r="T150" i="55" s="1"/>
  <c r="S152" i="55"/>
  <c r="T152" i="55" s="1"/>
  <c r="S145" i="55"/>
  <c r="T145" i="55" s="1"/>
  <c r="S162" i="55"/>
  <c r="T162" i="55" s="1"/>
  <c r="S147" i="55"/>
  <c r="T147" i="55" s="1"/>
  <c r="S155" i="55"/>
  <c r="T155" i="55" s="1"/>
  <c r="K192" i="54"/>
  <c r="L192" i="54" s="1"/>
  <c r="Y160" i="54"/>
  <c r="Z160" i="54" s="1"/>
  <c r="Y157" i="54"/>
  <c r="Z157" i="54" s="1"/>
  <c r="Y150" i="54"/>
  <c r="Z150" i="54" s="1"/>
  <c r="Y155" i="54"/>
  <c r="Z155" i="54" s="1"/>
  <c r="Y162" i="54"/>
  <c r="Z162" i="54" s="1"/>
  <c r="Y147" i="54"/>
  <c r="Z147" i="54" s="1"/>
  <c r="Y145" i="54"/>
  <c r="Z145" i="54" s="1"/>
  <c r="Y152" i="54"/>
  <c r="Z152" i="54" s="1"/>
  <c r="M156" i="54"/>
  <c r="N156" i="54" s="1"/>
  <c r="O156" i="54" s="1"/>
  <c r="M151" i="54"/>
  <c r="N151" i="54" s="1"/>
  <c r="O151" i="54" s="1"/>
  <c r="M154" i="54"/>
  <c r="N154" i="54" s="1"/>
  <c r="O154" i="54" s="1"/>
  <c r="M149" i="54"/>
  <c r="N149" i="54" s="1"/>
  <c r="O149" i="54" s="1"/>
  <c r="M146" i="54"/>
  <c r="N146" i="54" s="1"/>
  <c r="O146" i="54" s="1"/>
  <c r="M144" i="54"/>
  <c r="N144" i="54" s="1"/>
  <c r="O144" i="54" s="1"/>
  <c r="M161" i="54"/>
  <c r="N161" i="54" s="1"/>
  <c r="O161" i="54" s="1"/>
  <c r="M159" i="54"/>
  <c r="N159" i="54" s="1"/>
  <c r="O159" i="54" s="1"/>
  <c r="P160" i="54"/>
  <c r="Q160" i="54" s="1"/>
  <c r="P157" i="54"/>
  <c r="Q157" i="54" s="1"/>
  <c r="P155" i="54"/>
  <c r="Q155" i="54" s="1"/>
  <c r="P150" i="54"/>
  <c r="Q150" i="54" s="1"/>
  <c r="P147" i="54"/>
  <c r="Q147" i="54" s="1"/>
  <c r="P152" i="54"/>
  <c r="Q152" i="54" s="1"/>
  <c r="P145" i="54"/>
  <c r="Q145" i="54" s="1"/>
  <c r="P162" i="54"/>
  <c r="Q162" i="54" s="1"/>
  <c r="P151" i="54"/>
  <c r="Q151" i="54" s="1"/>
  <c r="R151" i="54" s="1"/>
  <c r="P149" i="54"/>
  <c r="Q149" i="54" s="1"/>
  <c r="R149" i="54" s="1"/>
  <c r="P146" i="54"/>
  <c r="Q146" i="54" s="1"/>
  <c r="R146" i="54" s="1"/>
  <c r="P144" i="54"/>
  <c r="Q144" i="54" s="1"/>
  <c r="R144" i="54" s="1"/>
  <c r="P156" i="54"/>
  <c r="Q156" i="54" s="1"/>
  <c r="R156" i="54" s="1"/>
  <c r="P154" i="54"/>
  <c r="Q154" i="54" s="1"/>
  <c r="R154" i="54" s="1"/>
  <c r="P161" i="54"/>
  <c r="Q161" i="54" s="1"/>
  <c r="R161" i="54" s="1"/>
  <c r="P159" i="54"/>
  <c r="Q159" i="54" s="1"/>
  <c r="R159" i="54" s="1"/>
  <c r="S162" i="54"/>
  <c r="T162" i="54" s="1"/>
  <c r="S150" i="54"/>
  <c r="T150" i="54" s="1"/>
  <c r="S147" i="54"/>
  <c r="T147" i="54" s="1"/>
  <c r="S157" i="54"/>
  <c r="T157" i="54" s="1"/>
  <c r="S155" i="54"/>
  <c r="T155" i="54" s="1"/>
  <c r="S152" i="54"/>
  <c r="T152" i="54" s="1"/>
  <c r="S145" i="54"/>
  <c r="T145" i="54" s="1"/>
  <c r="S160" i="54"/>
  <c r="T160" i="54" s="1"/>
  <c r="V161" i="54"/>
  <c r="W161" i="54" s="1"/>
  <c r="X161" i="54" s="1"/>
  <c r="V151" i="54"/>
  <c r="W151" i="54" s="1"/>
  <c r="X151" i="54" s="1"/>
  <c r="V159" i="54"/>
  <c r="W159" i="54" s="1"/>
  <c r="X159" i="54" s="1"/>
  <c r="V149" i="54"/>
  <c r="W149" i="54" s="1"/>
  <c r="X149" i="54" s="1"/>
  <c r="V146" i="54"/>
  <c r="W146" i="54" s="1"/>
  <c r="X146" i="54" s="1"/>
  <c r="V154" i="54"/>
  <c r="W154" i="54" s="1"/>
  <c r="X154" i="54" s="1"/>
  <c r="V144" i="54"/>
  <c r="W144" i="54" s="1"/>
  <c r="X144" i="54" s="1"/>
  <c r="V156" i="54"/>
  <c r="W156" i="54" s="1"/>
  <c r="X156" i="54" s="1"/>
  <c r="M162" i="54"/>
  <c r="N162" i="54" s="1"/>
  <c r="M155" i="54"/>
  <c r="N155" i="54" s="1"/>
  <c r="M160" i="54"/>
  <c r="N160" i="54" s="1"/>
  <c r="M157" i="54"/>
  <c r="N157" i="54" s="1"/>
  <c r="M152" i="54"/>
  <c r="N152" i="54" s="1"/>
  <c r="M150" i="54"/>
  <c r="N150" i="54" s="1"/>
  <c r="M147" i="54"/>
  <c r="N147" i="54" s="1"/>
  <c r="M145" i="54"/>
  <c r="N145" i="54" s="1"/>
  <c r="Y154" i="54"/>
  <c r="Z154" i="54" s="1"/>
  <c r="AA154" i="54" s="1"/>
  <c r="Y151" i="54"/>
  <c r="Z151" i="54" s="1"/>
  <c r="AA151" i="54" s="1"/>
  <c r="Y144" i="54"/>
  <c r="Z144" i="54" s="1"/>
  <c r="AA144" i="54" s="1"/>
  <c r="Y159" i="54"/>
  <c r="Z159" i="54" s="1"/>
  <c r="AA159" i="54" s="1"/>
  <c r="Y156" i="54"/>
  <c r="Z156" i="54" s="1"/>
  <c r="AA156" i="54" s="1"/>
  <c r="Y161" i="54"/>
  <c r="Z161" i="54" s="1"/>
  <c r="AA161" i="54" s="1"/>
  <c r="Y149" i="54"/>
  <c r="Z149" i="54" s="1"/>
  <c r="AA149" i="54" s="1"/>
  <c r="Y146" i="54"/>
  <c r="Z146" i="54" s="1"/>
  <c r="AA146" i="54" s="1"/>
  <c r="S149" i="54"/>
  <c r="T149" i="54" s="1"/>
  <c r="U149" i="54" s="1"/>
  <c r="S146" i="54"/>
  <c r="T146" i="54" s="1"/>
  <c r="U146" i="54" s="1"/>
  <c r="S151" i="54"/>
  <c r="T151" i="54" s="1"/>
  <c r="U151" i="54" s="1"/>
  <c r="S144" i="54"/>
  <c r="T144" i="54" s="1"/>
  <c r="U144" i="54" s="1"/>
  <c r="S161" i="54"/>
  <c r="T161" i="54" s="1"/>
  <c r="U161" i="54" s="1"/>
  <c r="S159" i="54"/>
  <c r="T159" i="54" s="1"/>
  <c r="U159" i="54" s="1"/>
  <c r="S156" i="54"/>
  <c r="T156" i="54" s="1"/>
  <c r="U156" i="54" s="1"/>
  <c r="S154" i="54"/>
  <c r="T154" i="54" s="1"/>
  <c r="U154" i="54" s="1"/>
  <c r="V152" i="54"/>
  <c r="W152" i="54" s="1"/>
  <c r="V145" i="54"/>
  <c r="W145" i="54" s="1"/>
  <c r="V147" i="54"/>
  <c r="W147" i="54" s="1"/>
  <c r="V160" i="54"/>
  <c r="W160" i="54" s="1"/>
  <c r="V157" i="54"/>
  <c r="W157" i="54" s="1"/>
  <c r="V150" i="54"/>
  <c r="W150" i="54" s="1"/>
  <c r="V155" i="54"/>
  <c r="W155" i="54" s="1"/>
  <c r="V162" i="54"/>
  <c r="W162" i="54" s="1"/>
  <c r="P154" i="53"/>
  <c r="Q154" i="53" s="1"/>
  <c r="R154" i="53" s="1"/>
  <c r="P144" i="53"/>
  <c r="Q144" i="53" s="1"/>
  <c r="R144" i="53" s="1"/>
  <c r="P161" i="53"/>
  <c r="Q161" i="53" s="1"/>
  <c r="R161" i="53" s="1"/>
  <c r="P156" i="53"/>
  <c r="Q156" i="53" s="1"/>
  <c r="R156" i="53" s="1"/>
  <c r="P151" i="53"/>
  <c r="Q151" i="53" s="1"/>
  <c r="R151" i="53" s="1"/>
  <c r="P146" i="53"/>
  <c r="Q146" i="53" s="1"/>
  <c r="R146" i="53" s="1"/>
  <c r="P159" i="53"/>
  <c r="Q159" i="53" s="1"/>
  <c r="R159" i="53" s="1"/>
  <c r="P149" i="53"/>
  <c r="Q149" i="53" s="1"/>
  <c r="R149" i="53" s="1"/>
  <c r="S157" i="53"/>
  <c r="T157" i="53" s="1"/>
  <c r="S152" i="53"/>
  <c r="T152" i="53" s="1"/>
  <c r="S147" i="53"/>
  <c r="T147" i="53" s="1"/>
  <c r="S160" i="53"/>
  <c r="T160" i="53" s="1"/>
  <c r="S155" i="53"/>
  <c r="T155" i="53" s="1"/>
  <c r="S150" i="53"/>
  <c r="T150" i="53" s="1"/>
  <c r="S162" i="53"/>
  <c r="T162" i="53" s="1"/>
  <c r="S145" i="53"/>
  <c r="T145" i="53" s="1"/>
  <c r="S161" i="53"/>
  <c r="T161" i="53" s="1"/>
  <c r="U161" i="53" s="1"/>
  <c r="S156" i="53"/>
  <c r="T156" i="53" s="1"/>
  <c r="U156" i="53" s="1"/>
  <c r="S146" i="53"/>
  <c r="T146" i="53" s="1"/>
  <c r="U146" i="53" s="1"/>
  <c r="S159" i="53"/>
  <c r="T159" i="53" s="1"/>
  <c r="U159" i="53" s="1"/>
  <c r="S154" i="53"/>
  <c r="T154" i="53" s="1"/>
  <c r="U154" i="53" s="1"/>
  <c r="S149" i="53"/>
  <c r="T149" i="53" s="1"/>
  <c r="U149" i="53" s="1"/>
  <c r="S144" i="53"/>
  <c r="T144" i="53" s="1"/>
  <c r="U144" i="53" s="1"/>
  <c r="S151" i="53"/>
  <c r="T151" i="53" s="1"/>
  <c r="U151" i="53" s="1"/>
  <c r="V162" i="53"/>
  <c r="W162" i="53" s="1"/>
  <c r="V157" i="53"/>
  <c r="W157" i="53" s="1"/>
  <c r="V147" i="53"/>
  <c r="W147" i="53" s="1"/>
  <c r="V160" i="53"/>
  <c r="W160" i="53" s="1"/>
  <c r="V155" i="53"/>
  <c r="W155" i="53" s="1"/>
  <c r="V150" i="53"/>
  <c r="W150" i="53" s="1"/>
  <c r="V145" i="53"/>
  <c r="W145" i="53" s="1"/>
  <c r="V152" i="53"/>
  <c r="W152" i="53" s="1"/>
  <c r="V159" i="53"/>
  <c r="W159" i="53" s="1"/>
  <c r="X159" i="53" s="1"/>
  <c r="V154" i="53"/>
  <c r="W154" i="53" s="1"/>
  <c r="X154" i="53" s="1"/>
  <c r="V149" i="53"/>
  <c r="W149" i="53" s="1"/>
  <c r="X149" i="53" s="1"/>
  <c r="V144" i="53"/>
  <c r="W144" i="53" s="1"/>
  <c r="X144" i="53" s="1"/>
  <c r="V161" i="53"/>
  <c r="W161" i="53" s="1"/>
  <c r="X161" i="53" s="1"/>
  <c r="V156" i="53"/>
  <c r="W156" i="53" s="1"/>
  <c r="X156" i="53" s="1"/>
  <c r="V151" i="53"/>
  <c r="W151" i="53" s="1"/>
  <c r="X151" i="53" s="1"/>
  <c r="V146" i="53"/>
  <c r="W146" i="53" s="1"/>
  <c r="X146" i="53" s="1"/>
  <c r="M162" i="53"/>
  <c r="N162" i="53" s="1"/>
  <c r="M152" i="53"/>
  <c r="N152" i="53" s="1"/>
  <c r="M160" i="53"/>
  <c r="N160" i="53" s="1"/>
  <c r="M155" i="53"/>
  <c r="N155" i="53" s="1"/>
  <c r="M150" i="53"/>
  <c r="N150" i="53" s="1"/>
  <c r="M145" i="53"/>
  <c r="N145" i="53" s="1"/>
  <c r="M157" i="53"/>
  <c r="N157" i="53" s="1"/>
  <c r="M147" i="53"/>
  <c r="N147" i="53" s="1"/>
  <c r="Y162" i="53"/>
  <c r="Z162" i="53" s="1"/>
  <c r="Y150" i="53"/>
  <c r="Z150" i="53" s="1"/>
  <c r="Y157" i="53"/>
  <c r="Z157" i="53" s="1"/>
  <c r="Y152" i="53"/>
  <c r="Z152" i="53" s="1"/>
  <c r="Y147" i="53"/>
  <c r="Z147" i="53" s="1"/>
  <c r="Y160" i="53"/>
  <c r="Z160" i="53" s="1"/>
  <c r="Y155" i="53"/>
  <c r="Z155" i="53" s="1"/>
  <c r="Y145" i="53"/>
  <c r="Z145" i="53" s="1"/>
  <c r="M159" i="53"/>
  <c r="N159" i="53" s="1"/>
  <c r="O159" i="53" s="1"/>
  <c r="M154" i="53"/>
  <c r="N154" i="53" s="1"/>
  <c r="O154" i="53" s="1"/>
  <c r="M149" i="53"/>
  <c r="N149" i="53" s="1"/>
  <c r="O149" i="53" s="1"/>
  <c r="M144" i="53"/>
  <c r="N144" i="53" s="1"/>
  <c r="O144" i="53" s="1"/>
  <c r="M146" i="53"/>
  <c r="N146" i="53" s="1"/>
  <c r="O146" i="53" s="1"/>
  <c r="M161" i="53"/>
  <c r="N161" i="53" s="1"/>
  <c r="O161" i="53" s="1"/>
  <c r="M156" i="53"/>
  <c r="N156" i="53" s="1"/>
  <c r="O156" i="53" s="1"/>
  <c r="M151" i="53"/>
  <c r="N151" i="53" s="1"/>
  <c r="O151" i="53" s="1"/>
  <c r="Y156" i="53"/>
  <c r="Z156" i="53" s="1"/>
  <c r="AA156" i="53" s="1"/>
  <c r="Y151" i="53"/>
  <c r="Z151" i="53" s="1"/>
  <c r="AA151" i="53" s="1"/>
  <c r="Y146" i="53"/>
  <c r="Z146" i="53" s="1"/>
  <c r="AA146" i="53" s="1"/>
  <c r="Y154" i="53"/>
  <c r="Z154" i="53" s="1"/>
  <c r="AA154" i="53" s="1"/>
  <c r="Y144" i="53"/>
  <c r="Z144" i="53" s="1"/>
  <c r="AA144" i="53" s="1"/>
  <c r="Y161" i="53"/>
  <c r="Z161" i="53" s="1"/>
  <c r="AA161" i="53" s="1"/>
  <c r="Y159" i="53"/>
  <c r="Z159" i="53" s="1"/>
  <c r="AA159" i="53" s="1"/>
  <c r="Y149" i="53"/>
  <c r="Z149" i="53" s="1"/>
  <c r="AA149" i="53" s="1"/>
  <c r="P160" i="53"/>
  <c r="Q160" i="53" s="1"/>
  <c r="P155" i="53"/>
  <c r="Q155" i="53" s="1"/>
  <c r="P150" i="53"/>
  <c r="Q150" i="53" s="1"/>
  <c r="P145" i="53"/>
  <c r="Q145" i="53" s="1"/>
  <c r="P147" i="53"/>
  <c r="Q147" i="53" s="1"/>
  <c r="P157" i="53"/>
  <c r="Q157" i="53" s="1"/>
  <c r="P152" i="53"/>
  <c r="Q152" i="53" s="1"/>
  <c r="P162" i="53"/>
  <c r="Q162" i="53" s="1"/>
  <c r="S159" i="52"/>
  <c r="T159" i="52" s="1"/>
  <c r="U159" i="52" s="1"/>
  <c r="S156" i="52"/>
  <c r="T156" i="52" s="1"/>
  <c r="U156" i="52" s="1"/>
  <c r="S149" i="52"/>
  <c r="T149" i="52" s="1"/>
  <c r="U149" i="52" s="1"/>
  <c r="S146" i="52"/>
  <c r="T146" i="52" s="1"/>
  <c r="U146" i="52" s="1"/>
  <c r="S161" i="52"/>
  <c r="T161" i="52" s="1"/>
  <c r="U161" i="52" s="1"/>
  <c r="S144" i="52"/>
  <c r="T144" i="52" s="1"/>
  <c r="U144" i="52" s="1"/>
  <c r="S154" i="52"/>
  <c r="T154" i="52" s="1"/>
  <c r="U154" i="52" s="1"/>
  <c r="S151" i="52"/>
  <c r="T151" i="52" s="1"/>
  <c r="U151" i="52" s="1"/>
  <c r="V162" i="52"/>
  <c r="W162" i="52" s="1"/>
  <c r="V155" i="52"/>
  <c r="W155" i="52" s="1"/>
  <c r="V152" i="52"/>
  <c r="W152" i="52" s="1"/>
  <c r="V160" i="52"/>
  <c r="W160" i="52" s="1"/>
  <c r="V157" i="52"/>
  <c r="W157" i="52" s="1"/>
  <c r="V150" i="52"/>
  <c r="W150" i="52" s="1"/>
  <c r="V145" i="52"/>
  <c r="W145" i="52" s="1"/>
  <c r="V147" i="52"/>
  <c r="W147" i="52" s="1"/>
  <c r="P161" i="52"/>
  <c r="Q161" i="52" s="1"/>
  <c r="R161" i="52" s="1"/>
  <c r="P159" i="52"/>
  <c r="Q159" i="52" s="1"/>
  <c r="R159" i="52" s="1"/>
  <c r="P156" i="52"/>
  <c r="Q156" i="52" s="1"/>
  <c r="R156" i="52" s="1"/>
  <c r="P154" i="52"/>
  <c r="Q154" i="52" s="1"/>
  <c r="R154" i="52" s="1"/>
  <c r="P151" i="52"/>
  <c r="Q151" i="52" s="1"/>
  <c r="R151" i="52" s="1"/>
  <c r="P149" i="52"/>
  <c r="Q149" i="52" s="1"/>
  <c r="R149" i="52" s="1"/>
  <c r="P146" i="52"/>
  <c r="Q146" i="52" s="1"/>
  <c r="R146" i="52" s="1"/>
  <c r="P144" i="52"/>
  <c r="Q144" i="52" s="1"/>
  <c r="R144" i="52" s="1"/>
  <c r="S147" i="52"/>
  <c r="T147" i="52" s="1"/>
  <c r="S157" i="52"/>
  <c r="T157" i="52" s="1"/>
  <c r="S150" i="52"/>
  <c r="T150" i="52" s="1"/>
  <c r="S145" i="52"/>
  <c r="T145" i="52" s="1"/>
  <c r="S162" i="52"/>
  <c r="T162" i="52" s="1"/>
  <c r="S155" i="52"/>
  <c r="T155" i="52" s="1"/>
  <c r="S152" i="52"/>
  <c r="T152" i="52" s="1"/>
  <c r="S160" i="52"/>
  <c r="T160" i="52" s="1"/>
  <c r="V161" i="52"/>
  <c r="W161" i="52" s="1"/>
  <c r="X161" i="52" s="1"/>
  <c r="V151" i="52"/>
  <c r="W151" i="52" s="1"/>
  <c r="X151" i="52" s="1"/>
  <c r="V159" i="52"/>
  <c r="W159" i="52" s="1"/>
  <c r="X159" i="52" s="1"/>
  <c r="V156" i="52"/>
  <c r="W156" i="52" s="1"/>
  <c r="X156" i="52" s="1"/>
  <c r="V154" i="52"/>
  <c r="W154" i="52" s="1"/>
  <c r="X154" i="52" s="1"/>
  <c r="V149" i="52"/>
  <c r="W149" i="52" s="1"/>
  <c r="X149" i="52" s="1"/>
  <c r="V144" i="52"/>
  <c r="W144" i="52" s="1"/>
  <c r="X144" i="52" s="1"/>
  <c r="V146" i="52"/>
  <c r="W146" i="52" s="1"/>
  <c r="X146" i="52" s="1"/>
  <c r="M162" i="52"/>
  <c r="N162" i="52" s="1"/>
  <c r="M160" i="52"/>
  <c r="N160" i="52" s="1"/>
  <c r="M157" i="52"/>
  <c r="N157" i="52" s="1"/>
  <c r="M155" i="52"/>
  <c r="N155" i="52" s="1"/>
  <c r="M152" i="52"/>
  <c r="N152" i="52" s="1"/>
  <c r="M150" i="52"/>
  <c r="N150" i="52" s="1"/>
  <c r="M145" i="52"/>
  <c r="N145" i="52" s="1"/>
  <c r="M147" i="52"/>
  <c r="N147" i="52" s="1"/>
  <c r="Y145" i="52"/>
  <c r="Z145" i="52" s="1"/>
  <c r="Y152" i="52"/>
  <c r="Z152" i="52" s="1"/>
  <c r="Y150" i="52"/>
  <c r="Z150" i="52" s="1"/>
  <c r="Y147" i="52"/>
  <c r="Z147" i="52" s="1"/>
  <c r="Y162" i="52"/>
  <c r="Z162" i="52" s="1"/>
  <c r="Y160" i="52"/>
  <c r="Z160" i="52" s="1"/>
  <c r="Y157" i="52"/>
  <c r="Z157" i="52" s="1"/>
  <c r="Y155" i="52"/>
  <c r="Z155" i="52" s="1"/>
  <c r="M144" i="52"/>
  <c r="N144" i="52" s="1"/>
  <c r="O144" i="52" s="1"/>
  <c r="M161" i="52"/>
  <c r="N161" i="52" s="1"/>
  <c r="O161" i="52" s="1"/>
  <c r="M154" i="52"/>
  <c r="N154" i="52" s="1"/>
  <c r="O154" i="52" s="1"/>
  <c r="M149" i="52"/>
  <c r="N149" i="52" s="1"/>
  <c r="O149" i="52" s="1"/>
  <c r="M159" i="52"/>
  <c r="N159" i="52" s="1"/>
  <c r="O159" i="52" s="1"/>
  <c r="M156" i="52"/>
  <c r="N156" i="52" s="1"/>
  <c r="O156" i="52" s="1"/>
  <c r="M151" i="52"/>
  <c r="N151" i="52" s="1"/>
  <c r="O151" i="52" s="1"/>
  <c r="M146" i="52"/>
  <c r="N146" i="52" s="1"/>
  <c r="O146" i="52" s="1"/>
  <c r="Y144" i="52"/>
  <c r="Z144" i="52" s="1"/>
  <c r="AA144" i="52" s="1"/>
  <c r="Y161" i="52"/>
  <c r="Z161" i="52" s="1"/>
  <c r="AA161" i="52" s="1"/>
  <c r="Y159" i="52"/>
  <c r="Z159" i="52" s="1"/>
  <c r="AA159" i="52" s="1"/>
  <c r="Y156" i="52"/>
  <c r="Z156" i="52" s="1"/>
  <c r="AA156" i="52" s="1"/>
  <c r="Y154" i="52"/>
  <c r="Z154" i="52" s="1"/>
  <c r="AA154" i="52" s="1"/>
  <c r="Y151" i="52"/>
  <c r="Z151" i="52" s="1"/>
  <c r="AA151" i="52" s="1"/>
  <c r="Y149" i="52"/>
  <c r="Z149" i="52" s="1"/>
  <c r="AA149" i="52" s="1"/>
  <c r="Y146" i="52"/>
  <c r="Z146" i="52" s="1"/>
  <c r="AA146" i="52" s="1"/>
  <c r="P145" i="52"/>
  <c r="Q145" i="52" s="1"/>
  <c r="P162" i="52"/>
  <c r="Q162" i="52" s="1"/>
  <c r="P155" i="52"/>
  <c r="Q155" i="52" s="1"/>
  <c r="P152" i="52"/>
  <c r="Q152" i="52" s="1"/>
  <c r="P150" i="52"/>
  <c r="Q150" i="52" s="1"/>
  <c r="P147" i="52"/>
  <c r="Q147" i="52" s="1"/>
  <c r="P160" i="52"/>
  <c r="Q160" i="52" s="1"/>
  <c r="P157" i="52"/>
  <c r="Q157" i="52" s="1"/>
  <c r="V159" i="51"/>
  <c r="W159" i="51" s="1"/>
  <c r="X159" i="51" s="1"/>
  <c r="V154" i="51"/>
  <c r="W154" i="51" s="1"/>
  <c r="X154" i="51" s="1"/>
  <c r="V149" i="51"/>
  <c r="W149" i="51" s="1"/>
  <c r="X149" i="51" s="1"/>
  <c r="V144" i="51"/>
  <c r="W144" i="51" s="1"/>
  <c r="X144" i="51" s="1"/>
  <c r="V161" i="51"/>
  <c r="W161" i="51" s="1"/>
  <c r="X161" i="51" s="1"/>
  <c r="V146" i="51"/>
  <c r="W146" i="51" s="1"/>
  <c r="X146" i="51" s="1"/>
  <c r="V151" i="51"/>
  <c r="W151" i="51" s="1"/>
  <c r="X151" i="51" s="1"/>
  <c r="V156" i="51"/>
  <c r="W156" i="51" s="1"/>
  <c r="X156" i="51" s="1"/>
  <c r="M157" i="51"/>
  <c r="N157" i="51" s="1"/>
  <c r="M152" i="51"/>
  <c r="N152" i="51" s="1"/>
  <c r="M147" i="51"/>
  <c r="N147" i="51" s="1"/>
  <c r="M160" i="51"/>
  <c r="N160" i="51" s="1"/>
  <c r="M155" i="51"/>
  <c r="N155" i="51" s="1"/>
  <c r="M150" i="51"/>
  <c r="N150" i="51" s="1"/>
  <c r="M145" i="51"/>
  <c r="N145" i="51" s="1"/>
  <c r="M162" i="51"/>
  <c r="N162" i="51" s="1"/>
  <c r="Y162" i="51"/>
  <c r="Z162" i="51" s="1"/>
  <c r="Y160" i="51"/>
  <c r="Z160" i="51" s="1"/>
  <c r="Y155" i="51"/>
  <c r="Z155" i="51" s="1"/>
  <c r="Y150" i="51"/>
  <c r="Z150" i="51" s="1"/>
  <c r="Y145" i="51"/>
  <c r="Z145" i="51" s="1"/>
  <c r="Y157" i="51"/>
  <c r="Z157" i="51" s="1"/>
  <c r="Y152" i="51"/>
  <c r="Z152" i="51" s="1"/>
  <c r="Y147" i="51"/>
  <c r="Z147" i="51" s="1"/>
  <c r="M159" i="51"/>
  <c r="N159" i="51" s="1"/>
  <c r="O159" i="51" s="1"/>
  <c r="M154" i="51"/>
  <c r="N154" i="51" s="1"/>
  <c r="O154" i="51" s="1"/>
  <c r="M149" i="51"/>
  <c r="N149" i="51" s="1"/>
  <c r="O149" i="51" s="1"/>
  <c r="M144" i="51"/>
  <c r="N144" i="51" s="1"/>
  <c r="O144" i="51" s="1"/>
  <c r="M156" i="51"/>
  <c r="N156" i="51" s="1"/>
  <c r="O156" i="51" s="1"/>
  <c r="M161" i="51"/>
  <c r="N161" i="51" s="1"/>
  <c r="O161" i="51" s="1"/>
  <c r="M146" i="51"/>
  <c r="N146" i="51" s="1"/>
  <c r="O146" i="51" s="1"/>
  <c r="M151" i="51"/>
  <c r="N151" i="51" s="1"/>
  <c r="O151" i="51" s="1"/>
  <c r="Y161" i="51"/>
  <c r="Z161" i="51" s="1"/>
  <c r="AA161" i="51" s="1"/>
  <c r="Y156" i="51"/>
  <c r="Z156" i="51" s="1"/>
  <c r="AA156" i="51" s="1"/>
  <c r="Y151" i="51"/>
  <c r="Z151" i="51" s="1"/>
  <c r="AA151" i="51" s="1"/>
  <c r="Y146" i="51"/>
  <c r="Z146" i="51" s="1"/>
  <c r="AA146" i="51" s="1"/>
  <c r="Y144" i="51"/>
  <c r="Z144" i="51" s="1"/>
  <c r="AA144" i="51" s="1"/>
  <c r="Y149" i="51"/>
  <c r="Z149" i="51" s="1"/>
  <c r="AA149" i="51" s="1"/>
  <c r="Y154" i="51"/>
  <c r="Z154" i="51" s="1"/>
  <c r="AA154" i="51" s="1"/>
  <c r="Y159" i="51"/>
  <c r="Z159" i="51" s="1"/>
  <c r="AA159" i="51" s="1"/>
  <c r="P162" i="51"/>
  <c r="Q162" i="51" s="1"/>
  <c r="P160" i="51"/>
  <c r="Q160" i="51" s="1"/>
  <c r="P155" i="51"/>
  <c r="Q155" i="51" s="1"/>
  <c r="P150" i="51"/>
  <c r="Q150" i="51" s="1"/>
  <c r="P145" i="51"/>
  <c r="Q145" i="51" s="1"/>
  <c r="P147" i="51"/>
  <c r="Q147" i="51" s="1"/>
  <c r="P152" i="51"/>
  <c r="Q152" i="51" s="1"/>
  <c r="P157" i="51"/>
  <c r="Q157" i="51" s="1"/>
  <c r="P159" i="51"/>
  <c r="Q159" i="51" s="1"/>
  <c r="R159" i="51" s="1"/>
  <c r="P154" i="51"/>
  <c r="Q154" i="51" s="1"/>
  <c r="R154" i="51" s="1"/>
  <c r="P149" i="51"/>
  <c r="Q149" i="51" s="1"/>
  <c r="R149" i="51" s="1"/>
  <c r="P144" i="51"/>
  <c r="Q144" i="51" s="1"/>
  <c r="R144" i="51" s="1"/>
  <c r="P161" i="51"/>
  <c r="Q161" i="51" s="1"/>
  <c r="R161" i="51" s="1"/>
  <c r="P156" i="51"/>
  <c r="Q156" i="51" s="1"/>
  <c r="R156" i="51" s="1"/>
  <c r="P151" i="51"/>
  <c r="Q151" i="51" s="1"/>
  <c r="R151" i="51" s="1"/>
  <c r="P146" i="51"/>
  <c r="Q146" i="51" s="1"/>
  <c r="R146" i="51" s="1"/>
  <c r="S162" i="51"/>
  <c r="T162" i="51" s="1"/>
  <c r="S157" i="51"/>
  <c r="T157" i="51" s="1"/>
  <c r="S152" i="51"/>
  <c r="T152" i="51" s="1"/>
  <c r="S147" i="51"/>
  <c r="T147" i="51" s="1"/>
  <c r="S150" i="51"/>
  <c r="T150" i="51" s="1"/>
  <c r="S155" i="51"/>
  <c r="T155" i="51" s="1"/>
  <c r="S160" i="51"/>
  <c r="T160" i="51" s="1"/>
  <c r="S145" i="51"/>
  <c r="T145" i="51" s="1"/>
  <c r="K191" i="51"/>
  <c r="L191" i="51" s="1"/>
  <c r="M191" i="51" s="1"/>
  <c r="S161" i="51"/>
  <c r="T161" i="51" s="1"/>
  <c r="U161" i="51" s="1"/>
  <c r="S156" i="51"/>
  <c r="T156" i="51" s="1"/>
  <c r="U156" i="51" s="1"/>
  <c r="S151" i="51"/>
  <c r="T151" i="51" s="1"/>
  <c r="U151" i="51" s="1"/>
  <c r="S146" i="51"/>
  <c r="T146" i="51" s="1"/>
  <c r="U146" i="51" s="1"/>
  <c r="S159" i="51"/>
  <c r="T159" i="51" s="1"/>
  <c r="U159" i="51" s="1"/>
  <c r="S154" i="51"/>
  <c r="T154" i="51" s="1"/>
  <c r="U154" i="51" s="1"/>
  <c r="S149" i="51"/>
  <c r="T149" i="51" s="1"/>
  <c r="U149" i="51" s="1"/>
  <c r="S144" i="51"/>
  <c r="T144" i="51" s="1"/>
  <c r="U144" i="51" s="1"/>
  <c r="V157" i="51"/>
  <c r="W157" i="51" s="1"/>
  <c r="V152" i="51"/>
  <c r="W152" i="51" s="1"/>
  <c r="V147" i="51"/>
  <c r="W147" i="51" s="1"/>
  <c r="V160" i="51"/>
  <c r="W160" i="51" s="1"/>
  <c r="V155" i="51"/>
  <c r="W155" i="51" s="1"/>
  <c r="V150" i="51"/>
  <c r="W150" i="51" s="1"/>
  <c r="V145" i="51"/>
  <c r="W145" i="51" s="1"/>
  <c r="V162" i="51"/>
  <c r="W162" i="51" s="1"/>
  <c r="V159" i="50"/>
  <c r="W159" i="50" s="1"/>
  <c r="X159" i="50" s="1"/>
  <c r="V156" i="50"/>
  <c r="W156" i="50" s="1"/>
  <c r="X156" i="50" s="1"/>
  <c r="V146" i="50"/>
  <c r="W146" i="50" s="1"/>
  <c r="X146" i="50" s="1"/>
  <c r="V144" i="50"/>
  <c r="W144" i="50" s="1"/>
  <c r="X144" i="50" s="1"/>
  <c r="V161" i="50"/>
  <c r="W161" i="50" s="1"/>
  <c r="X161" i="50" s="1"/>
  <c r="V154" i="50"/>
  <c r="W154" i="50" s="1"/>
  <c r="X154" i="50" s="1"/>
  <c r="V151" i="50"/>
  <c r="W151" i="50" s="1"/>
  <c r="X151" i="50" s="1"/>
  <c r="V149" i="50"/>
  <c r="W149" i="50" s="1"/>
  <c r="X149" i="50" s="1"/>
  <c r="M150" i="50"/>
  <c r="N150" i="50" s="1"/>
  <c r="M160" i="50"/>
  <c r="N160" i="50" s="1"/>
  <c r="M162" i="50"/>
  <c r="N162" i="50" s="1"/>
  <c r="M157" i="50"/>
  <c r="N157" i="50" s="1"/>
  <c r="M155" i="50"/>
  <c r="N155" i="50" s="1"/>
  <c r="M152" i="50"/>
  <c r="N152" i="50" s="1"/>
  <c r="M147" i="50"/>
  <c r="N147" i="50" s="1"/>
  <c r="M145" i="50"/>
  <c r="N145" i="50" s="1"/>
  <c r="K192" i="50"/>
  <c r="L192" i="50" s="1"/>
  <c r="Y162" i="50"/>
  <c r="Z162" i="50" s="1"/>
  <c r="Y155" i="50"/>
  <c r="Z155" i="50" s="1"/>
  <c r="Y152" i="50"/>
  <c r="Z152" i="50" s="1"/>
  <c r="Y145" i="50"/>
  <c r="Z145" i="50" s="1"/>
  <c r="Y160" i="50"/>
  <c r="Z160" i="50" s="1"/>
  <c r="Y150" i="50"/>
  <c r="Z150" i="50" s="1"/>
  <c r="Y157" i="50"/>
  <c r="Z157" i="50" s="1"/>
  <c r="Y147" i="50"/>
  <c r="Z147" i="50" s="1"/>
  <c r="P146" i="50"/>
  <c r="Q146" i="50" s="1"/>
  <c r="R146" i="50" s="1"/>
  <c r="P161" i="50"/>
  <c r="Q161" i="50" s="1"/>
  <c r="R161" i="50" s="1"/>
  <c r="P154" i="50"/>
  <c r="Q154" i="50" s="1"/>
  <c r="R154" i="50" s="1"/>
  <c r="P151" i="50"/>
  <c r="Q151" i="50" s="1"/>
  <c r="R151" i="50" s="1"/>
  <c r="P156" i="50"/>
  <c r="Q156" i="50" s="1"/>
  <c r="R156" i="50" s="1"/>
  <c r="P149" i="50"/>
  <c r="Q149" i="50" s="1"/>
  <c r="R149" i="50" s="1"/>
  <c r="P159" i="50"/>
  <c r="Q159" i="50" s="1"/>
  <c r="R159" i="50" s="1"/>
  <c r="P144" i="50"/>
  <c r="Q144" i="50" s="1"/>
  <c r="R144" i="50" s="1"/>
  <c r="S145" i="50"/>
  <c r="T145" i="50" s="1"/>
  <c r="S157" i="50"/>
  <c r="T157" i="50" s="1"/>
  <c r="S155" i="50"/>
  <c r="T155" i="50" s="1"/>
  <c r="S152" i="50"/>
  <c r="T152" i="50" s="1"/>
  <c r="S147" i="50"/>
  <c r="T147" i="50" s="1"/>
  <c r="S160" i="50"/>
  <c r="T160" i="50" s="1"/>
  <c r="S150" i="50"/>
  <c r="T150" i="50" s="1"/>
  <c r="S162" i="50"/>
  <c r="T162" i="50" s="1"/>
  <c r="M159" i="50"/>
  <c r="N159" i="50" s="1"/>
  <c r="O159" i="50" s="1"/>
  <c r="M149" i="50"/>
  <c r="N149" i="50" s="1"/>
  <c r="O149" i="50" s="1"/>
  <c r="M161" i="50"/>
  <c r="N161" i="50" s="1"/>
  <c r="O161" i="50" s="1"/>
  <c r="M156" i="50"/>
  <c r="N156" i="50" s="1"/>
  <c r="O156" i="50" s="1"/>
  <c r="M154" i="50"/>
  <c r="N154" i="50" s="1"/>
  <c r="O154" i="50" s="1"/>
  <c r="M151" i="50"/>
  <c r="N151" i="50" s="1"/>
  <c r="O151" i="50" s="1"/>
  <c r="M146" i="50"/>
  <c r="N146" i="50" s="1"/>
  <c r="O146" i="50" s="1"/>
  <c r="M144" i="50"/>
  <c r="N144" i="50" s="1"/>
  <c r="O144" i="50" s="1"/>
  <c r="Y159" i="50"/>
  <c r="Z159" i="50" s="1"/>
  <c r="AA159" i="50" s="1"/>
  <c r="Y156" i="50"/>
  <c r="Z156" i="50" s="1"/>
  <c r="AA156" i="50" s="1"/>
  <c r="Y154" i="50"/>
  <c r="Z154" i="50" s="1"/>
  <c r="AA154" i="50" s="1"/>
  <c r="Y151" i="50"/>
  <c r="Z151" i="50" s="1"/>
  <c r="AA151" i="50" s="1"/>
  <c r="Y146" i="50"/>
  <c r="Z146" i="50" s="1"/>
  <c r="AA146" i="50" s="1"/>
  <c r="Y144" i="50"/>
  <c r="Z144" i="50" s="1"/>
  <c r="AA144" i="50" s="1"/>
  <c r="Y161" i="50"/>
  <c r="Z161" i="50" s="1"/>
  <c r="AA161" i="50" s="1"/>
  <c r="Y149" i="50"/>
  <c r="Z149" i="50" s="1"/>
  <c r="AA149" i="50" s="1"/>
  <c r="P162" i="50"/>
  <c r="Q162" i="50" s="1"/>
  <c r="P160" i="50"/>
  <c r="Q160" i="50" s="1"/>
  <c r="P157" i="50"/>
  <c r="Q157" i="50" s="1"/>
  <c r="P147" i="50"/>
  <c r="Q147" i="50" s="1"/>
  <c r="P152" i="50"/>
  <c r="Q152" i="50" s="1"/>
  <c r="P150" i="50"/>
  <c r="Q150" i="50" s="1"/>
  <c r="P155" i="50"/>
  <c r="Q155" i="50" s="1"/>
  <c r="P145" i="50"/>
  <c r="Q145" i="50" s="1"/>
  <c r="S149" i="50"/>
  <c r="T149" i="50" s="1"/>
  <c r="U149" i="50" s="1"/>
  <c r="S144" i="50"/>
  <c r="T144" i="50" s="1"/>
  <c r="U144" i="50" s="1"/>
  <c r="S161" i="50"/>
  <c r="T161" i="50" s="1"/>
  <c r="U161" i="50" s="1"/>
  <c r="S154" i="50"/>
  <c r="T154" i="50" s="1"/>
  <c r="U154" i="50" s="1"/>
  <c r="S151" i="50"/>
  <c r="T151" i="50" s="1"/>
  <c r="U151" i="50" s="1"/>
  <c r="S159" i="50"/>
  <c r="T159" i="50" s="1"/>
  <c r="U159" i="50" s="1"/>
  <c r="S156" i="50"/>
  <c r="T156" i="50" s="1"/>
  <c r="U156" i="50" s="1"/>
  <c r="S146" i="50"/>
  <c r="T146" i="50" s="1"/>
  <c r="U146" i="50" s="1"/>
  <c r="V157" i="50"/>
  <c r="W157" i="50" s="1"/>
  <c r="V147" i="50"/>
  <c r="W147" i="50" s="1"/>
  <c r="V150" i="50"/>
  <c r="W150" i="50" s="1"/>
  <c r="V162" i="50"/>
  <c r="W162" i="50" s="1"/>
  <c r="V160" i="50"/>
  <c r="W160" i="50" s="1"/>
  <c r="V155" i="50"/>
  <c r="W155" i="50" s="1"/>
  <c r="V152" i="50"/>
  <c r="W152" i="50" s="1"/>
  <c r="V145" i="50"/>
  <c r="W145" i="50" s="1"/>
  <c r="K191" i="55"/>
  <c r="L191" i="55" s="1"/>
  <c r="M191" i="55" s="1"/>
  <c r="K192" i="55"/>
  <c r="L192" i="55" s="1"/>
  <c r="K192" i="53"/>
  <c r="L192" i="53" s="1"/>
  <c r="K191" i="57"/>
  <c r="L191" i="57" s="1"/>
  <c r="M191" i="57" s="1"/>
  <c r="K192" i="57"/>
  <c r="L192" i="57" s="1"/>
  <c r="K191" i="56"/>
  <c r="L191" i="56" s="1"/>
  <c r="M191" i="56" s="1"/>
  <c r="K192" i="56"/>
  <c r="L192" i="56" s="1"/>
  <c r="K191" i="54"/>
  <c r="L191" i="54" s="1"/>
  <c r="M191" i="54" s="1"/>
  <c r="K191" i="53"/>
  <c r="L191" i="53" s="1"/>
  <c r="M191" i="53" s="1"/>
  <c r="K191" i="52"/>
  <c r="L191" i="52" s="1"/>
  <c r="M191" i="52" s="1"/>
  <c r="K192" i="52"/>
  <c r="L192" i="52" s="1"/>
  <c r="K192" i="51"/>
  <c r="L192" i="51" s="1"/>
  <c r="K191" i="50"/>
  <c r="L191" i="50" s="1"/>
  <c r="M191" i="50" s="1"/>
  <c r="P159" i="57"/>
  <c r="Q159" i="57" s="1"/>
  <c r="R159" i="57" s="1"/>
  <c r="P156" i="57"/>
  <c r="Q156" i="57" s="1"/>
  <c r="R156" i="57" s="1"/>
  <c r="M84" i="57"/>
  <c r="N84" i="57" s="1"/>
  <c r="O84" i="57" s="1"/>
  <c r="M60" i="57"/>
  <c r="N60" i="57" s="1"/>
  <c r="O60" i="57" s="1"/>
  <c r="P154" i="57"/>
  <c r="Q154" i="57" s="1"/>
  <c r="R154" i="57" s="1"/>
  <c r="P151" i="57"/>
  <c r="Q151" i="57" s="1"/>
  <c r="R151" i="57" s="1"/>
  <c r="M93" i="57"/>
  <c r="N93" i="57" s="1"/>
  <c r="O93" i="57" s="1"/>
  <c r="M78" i="57"/>
  <c r="N78" i="57" s="1"/>
  <c r="O78" i="57" s="1"/>
  <c r="M69" i="57"/>
  <c r="N69" i="57" s="1"/>
  <c r="O69" i="57" s="1"/>
  <c r="M54" i="57"/>
  <c r="N54" i="57" s="1"/>
  <c r="O54" i="57" s="1"/>
  <c r="M48" i="57"/>
  <c r="N48" i="57" s="1"/>
  <c r="O48" i="57" s="1"/>
  <c r="P146" i="57"/>
  <c r="Q146" i="57" s="1"/>
  <c r="R146" i="57" s="1"/>
  <c r="M81" i="57"/>
  <c r="N81" i="57" s="1"/>
  <c r="O81" i="57" s="1"/>
  <c r="M66" i="57"/>
  <c r="N66" i="57" s="1"/>
  <c r="O66" i="57" s="1"/>
  <c r="M51" i="57"/>
  <c r="N51" i="57" s="1"/>
  <c r="O51" i="57" s="1"/>
  <c r="M42" i="57"/>
  <c r="N42" i="57" s="1"/>
  <c r="O42" i="57" s="1"/>
  <c r="P149" i="57"/>
  <c r="Q149" i="57" s="1"/>
  <c r="R149" i="57" s="1"/>
  <c r="M87" i="57"/>
  <c r="N87" i="57" s="1"/>
  <c r="O87" i="57" s="1"/>
  <c r="M72" i="57"/>
  <c r="N72" i="57" s="1"/>
  <c r="O72" i="57" s="1"/>
  <c r="M75" i="57"/>
  <c r="N75" i="57" s="1"/>
  <c r="O75" i="57" s="1"/>
  <c r="M57" i="57"/>
  <c r="N57" i="57" s="1"/>
  <c r="O57" i="57" s="1"/>
  <c r="P144" i="57"/>
  <c r="Q144" i="57" s="1"/>
  <c r="R144" i="57" s="1"/>
  <c r="P161" i="57"/>
  <c r="Q161" i="57" s="1"/>
  <c r="R161" i="57" s="1"/>
  <c r="M90" i="57"/>
  <c r="N90" i="57" s="1"/>
  <c r="O90" i="57" s="1"/>
  <c r="M63" i="57"/>
  <c r="N63" i="57" s="1"/>
  <c r="O63" i="57" s="1"/>
  <c r="M45" i="57"/>
  <c r="N45" i="57" s="1"/>
  <c r="O45" i="57" s="1"/>
  <c r="M39" i="57"/>
  <c r="N39" i="57" s="1"/>
  <c r="O39" i="57" s="1"/>
  <c r="M100" i="57"/>
  <c r="N100" i="57" s="1"/>
  <c r="O100" i="57" s="1"/>
  <c r="M96" i="57"/>
  <c r="N96" i="57" s="1"/>
  <c r="O96" i="57" s="1"/>
  <c r="P91" i="57"/>
  <c r="Q91" i="57" s="1"/>
  <c r="P85" i="57"/>
  <c r="Q85" i="57" s="1"/>
  <c r="P73" i="57"/>
  <c r="Q73" i="57" s="1"/>
  <c r="P67" i="57"/>
  <c r="Q67" i="57" s="1"/>
  <c r="P61" i="57"/>
  <c r="Q61" i="57" s="1"/>
  <c r="P55" i="57"/>
  <c r="Q55" i="57" s="1"/>
  <c r="P49" i="57"/>
  <c r="Q49" i="57" s="1"/>
  <c r="P43" i="57"/>
  <c r="Q43" i="57" s="1"/>
  <c r="P88" i="57"/>
  <c r="Q88" i="57" s="1"/>
  <c r="P76" i="57"/>
  <c r="Q76" i="57" s="1"/>
  <c r="P64" i="57"/>
  <c r="Q64" i="57" s="1"/>
  <c r="P52" i="57"/>
  <c r="Q52" i="57" s="1"/>
  <c r="P79" i="57"/>
  <c r="Q79" i="57" s="1"/>
  <c r="P94" i="57"/>
  <c r="Q94" i="57" s="1"/>
  <c r="P82" i="57"/>
  <c r="Q82" i="57" s="1"/>
  <c r="P70" i="57"/>
  <c r="Q70" i="57" s="1"/>
  <c r="P58" i="57"/>
  <c r="Q58" i="57" s="1"/>
  <c r="P46" i="57"/>
  <c r="Q46" i="57" s="1"/>
  <c r="P40" i="57"/>
  <c r="Q40" i="57" s="1"/>
  <c r="S162" i="57"/>
  <c r="T162" i="57" s="1"/>
  <c r="S160" i="57"/>
  <c r="T160" i="57" s="1"/>
  <c r="S157" i="57"/>
  <c r="T157" i="57" s="1"/>
  <c r="S155" i="57"/>
  <c r="T155" i="57" s="1"/>
  <c r="P101" i="57"/>
  <c r="Q101" i="57" s="1"/>
  <c r="S152" i="57"/>
  <c r="T152" i="57" s="1"/>
  <c r="S147" i="57"/>
  <c r="T147" i="57" s="1"/>
  <c r="P97" i="57"/>
  <c r="Q97" i="57" s="1"/>
  <c r="S150" i="57"/>
  <c r="T150" i="57" s="1"/>
  <c r="S145" i="57"/>
  <c r="T145" i="57" s="1"/>
  <c r="P93" i="57"/>
  <c r="Q93" i="57" s="1"/>
  <c r="R93" i="57" s="1"/>
  <c r="P87" i="57"/>
  <c r="Q87" i="57" s="1"/>
  <c r="R87" i="57" s="1"/>
  <c r="P81" i="57"/>
  <c r="Q81" i="57" s="1"/>
  <c r="R81" i="57" s="1"/>
  <c r="P75" i="57"/>
  <c r="Q75" i="57" s="1"/>
  <c r="R75" i="57" s="1"/>
  <c r="P69" i="57"/>
  <c r="Q69" i="57" s="1"/>
  <c r="R69" i="57" s="1"/>
  <c r="P63" i="57"/>
  <c r="Q63" i="57" s="1"/>
  <c r="R63" i="57" s="1"/>
  <c r="P57" i="57"/>
  <c r="Q57" i="57" s="1"/>
  <c r="R57" i="57" s="1"/>
  <c r="P51" i="57"/>
  <c r="Q51" i="57" s="1"/>
  <c r="R51" i="57" s="1"/>
  <c r="P45" i="57"/>
  <c r="Q45" i="57" s="1"/>
  <c r="R45" i="57" s="1"/>
  <c r="P39" i="57"/>
  <c r="Q39" i="57" s="1"/>
  <c r="R39" i="57" s="1"/>
  <c r="P100" i="57"/>
  <c r="Q100" i="57" s="1"/>
  <c r="R100" i="57" s="1"/>
  <c r="P96" i="57"/>
  <c r="Q96" i="57" s="1"/>
  <c r="R96" i="57" s="1"/>
  <c r="P90" i="57"/>
  <c r="Q90" i="57" s="1"/>
  <c r="R90" i="57" s="1"/>
  <c r="P78" i="57"/>
  <c r="Q78" i="57" s="1"/>
  <c r="R78" i="57" s="1"/>
  <c r="P66" i="57"/>
  <c r="Q66" i="57" s="1"/>
  <c r="R66" i="57" s="1"/>
  <c r="P60" i="57"/>
  <c r="Q60" i="57" s="1"/>
  <c r="R60" i="57" s="1"/>
  <c r="P48" i="57"/>
  <c r="Q48" i="57" s="1"/>
  <c r="R48" i="57" s="1"/>
  <c r="P84" i="57"/>
  <c r="Q84" i="57" s="1"/>
  <c r="R84" i="57" s="1"/>
  <c r="P72" i="57"/>
  <c r="Q72" i="57" s="1"/>
  <c r="R72" i="57" s="1"/>
  <c r="P54" i="57"/>
  <c r="Q54" i="57" s="1"/>
  <c r="R54" i="57" s="1"/>
  <c r="P42" i="57"/>
  <c r="Q42" i="57" s="1"/>
  <c r="R42" i="57" s="1"/>
  <c r="S151" i="57"/>
  <c r="T151" i="57" s="1"/>
  <c r="U151" i="57" s="1"/>
  <c r="S149" i="57"/>
  <c r="T149" i="57" s="1"/>
  <c r="U149" i="57" s="1"/>
  <c r="S146" i="57"/>
  <c r="T146" i="57" s="1"/>
  <c r="U146" i="57" s="1"/>
  <c r="S144" i="57"/>
  <c r="T144" i="57" s="1"/>
  <c r="U144" i="57" s="1"/>
  <c r="S159" i="57"/>
  <c r="T159" i="57" s="1"/>
  <c r="U159" i="57" s="1"/>
  <c r="S154" i="57"/>
  <c r="T154" i="57" s="1"/>
  <c r="U154" i="57" s="1"/>
  <c r="S161" i="57"/>
  <c r="T161" i="57" s="1"/>
  <c r="U161" i="57" s="1"/>
  <c r="S156" i="57"/>
  <c r="T156" i="57" s="1"/>
  <c r="U156" i="57" s="1"/>
  <c r="V155" i="57"/>
  <c r="W155" i="57" s="1"/>
  <c r="V152" i="57"/>
  <c r="W152" i="57" s="1"/>
  <c r="S88" i="57"/>
  <c r="T88" i="57" s="1"/>
  <c r="S82" i="57"/>
  <c r="T82" i="57" s="1"/>
  <c r="S73" i="57"/>
  <c r="T73" i="57" s="1"/>
  <c r="S64" i="57"/>
  <c r="T64" i="57" s="1"/>
  <c r="S58" i="57"/>
  <c r="T58" i="57" s="1"/>
  <c r="V150" i="57"/>
  <c r="W150" i="57" s="1"/>
  <c r="V147" i="57"/>
  <c r="W147" i="57" s="1"/>
  <c r="S97" i="57"/>
  <c r="T97" i="57" s="1"/>
  <c r="S91" i="57"/>
  <c r="T91" i="57" s="1"/>
  <c r="S76" i="57"/>
  <c r="T76" i="57" s="1"/>
  <c r="S67" i="57"/>
  <c r="T67" i="57" s="1"/>
  <c r="S52" i="57"/>
  <c r="T52" i="57" s="1"/>
  <c r="S85" i="57"/>
  <c r="T85" i="57" s="1"/>
  <c r="V160" i="57"/>
  <c r="W160" i="57" s="1"/>
  <c r="S101" i="57"/>
  <c r="T101" i="57" s="1"/>
  <c r="V145" i="57"/>
  <c r="W145" i="57" s="1"/>
  <c r="S79" i="57"/>
  <c r="T79" i="57" s="1"/>
  <c r="S94" i="57"/>
  <c r="T94" i="57" s="1"/>
  <c r="S61" i="57"/>
  <c r="T61" i="57" s="1"/>
  <c r="S46" i="57"/>
  <c r="T46" i="57" s="1"/>
  <c r="V157" i="57"/>
  <c r="W157" i="57" s="1"/>
  <c r="V162" i="57"/>
  <c r="W162" i="57" s="1"/>
  <c r="S70" i="57"/>
  <c r="T70" i="57" s="1"/>
  <c r="S49" i="57"/>
  <c r="T49" i="57" s="1"/>
  <c r="S55" i="57"/>
  <c r="T55" i="57" s="1"/>
  <c r="S43" i="57"/>
  <c r="T43" i="57" s="1"/>
  <c r="S40" i="57"/>
  <c r="T40" i="57" s="1"/>
  <c r="V146" i="57"/>
  <c r="W146" i="57" s="1"/>
  <c r="X146" i="57" s="1"/>
  <c r="V144" i="57"/>
  <c r="W144" i="57" s="1"/>
  <c r="X144" i="57" s="1"/>
  <c r="S90" i="57"/>
  <c r="T90" i="57" s="1"/>
  <c r="U90" i="57" s="1"/>
  <c r="S75" i="57"/>
  <c r="T75" i="57" s="1"/>
  <c r="U75" i="57" s="1"/>
  <c r="S66" i="57"/>
  <c r="T66" i="57" s="1"/>
  <c r="U66" i="57" s="1"/>
  <c r="S51" i="57"/>
  <c r="T51" i="57" s="1"/>
  <c r="U51" i="57" s="1"/>
  <c r="V161" i="57"/>
  <c r="W161" i="57" s="1"/>
  <c r="X161" i="57" s="1"/>
  <c r="V159" i="57"/>
  <c r="W159" i="57" s="1"/>
  <c r="X159" i="57" s="1"/>
  <c r="S84" i="57"/>
  <c r="T84" i="57" s="1"/>
  <c r="U84" i="57" s="1"/>
  <c r="S60" i="57"/>
  <c r="T60" i="57" s="1"/>
  <c r="U60" i="57" s="1"/>
  <c r="V154" i="57"/>
  <c r="W154" i="57" s="1"/>
  <c r="X154" i="57" s="1"/>
  <c r="V149" i="57"/>
  <c r="W149" i="57" s="1"/>
  <c r="X149" i="57" s="1"/>
  <c r="S87" i="57"/>
  <c r="T87" i="57" s="1"/>
  <c r="U87" i="57" s="1"/>
  <c r="S72" i="57"/>
  <c r="T72" i="57" s="1"/>
  <c r="U72" i="57" s="1"/>
  <c r="S57" i="57"/>
  <c r="T57" i="57" s="1"/>
  <c r="U57" i="57" s="1"/>
  <c r="V156" i="57"/>
  <c r="W156" i="57" s="1"/>
  <c r="X156" i="57" s="1"/>
  <c r="S93" i="57"/>
  <c r="T93" i="57" s="1"/>
  <c r="U93" i="57" s="1"/>
  <c r="S78" i="57"/>
  <c r="T78" i="57" s="1"/>
  <c r="U78" i="57" s="1"/>
  <c r="S81" i="57"/>
  <c r="T81" i="57" s="1"/>
  <c r="U81" i="57" s="1"/>
  <c r="S69" i="57"/>
  <c r="T69" i="57" s="1"/>
  <c r="U69" i="57" s="1"/>
  <c r="S48" i="57"/>
  <c r="T48" i="57" s="1"/>
  <c r="U48" i="57" s="1"/>
  <c r="V151" i="57"/>
  <c r="W151" i="57" s="1"/>
  <c r="X151" i="57" s="1"/>
  <c r="S45" i="57"/>
  <c r="T45" i="57" s="1"/>
  <c r="U45" i="57" s="1"/>
  <c r="S42" i="57"/>
  <c r="T42" i="57" s="1"/>
  <c r="U42" i="57" s="1"/>
  <c r="S39" i="57"/>
  <c r="T39" i="57" s="1"/>
  <c r="U39" i="57" s="1"/>
  <c r="S63" i="57"/>
  <c r="T63" i="57" s="1"/>
  <c r="U63" i="57" s="1"/>
  <c r="S54" i="57"/>
  <c r="T54" i="57" s="1"/>
  <c r="U54" i="57" s="1"/>
  <c r="S96" i="57"/>
  <c r="T96" i="57" s="1"/>
  <c r="U96" i="57" s="1"/>
  <c r="S100" i="57"/>
  <c r="T100" i="57" s="1"/>
  <c r="U100" i="57" s="1"/>
  <c r="M155" i="57"/>
  <c r="N155" i="57" s="1"/>
  <c r="M152" i="57"/>
  <c r="N152" i="57" s="1"/>
  <c r="J88" i="57"/>
  <c r="K88" i="57" s="1"/>
  <c r="J82" i="57"/>
  <c r="K82" i="57" s="1"/>
  <c r="J73" i="57"/>
  <c r="K73" i="57" s="1"/>
  <c r="J64" i="57"/>
  <c r="K64" i="57" s="1"/>
  <c r="J58" i="57"/>
  <c r="K58" i="57" s="1"/>
  <c r="M150" i="57"/>
  <c r="N150" i="57" s="1"/>
  <c r="M147" i="57"/>
  <c r="N147" i="57" s="1"/>
  <c r="J97" i="57"/>
  <c r="K97" i="57" s="1"/>
  <c r="J91" i="57"/>
  <c r="K91" i="57" s="1"/>
  <c r="J76" i="57"/>
  <c r="K76" i="57" s="1"/>
  <c r="J67" i="57"/>
  <c r="K67" i="57" s="1"/>
  <c r="J52" i="57"/>
  <c r="K52" i="57" s="1"/>
  <c r="M162" i="57"/>
  <c r="N162" i="57" s="1"/>
  <c r="M145" i="57"/>
  <c r="N145" i="57" s="1"/>
  <c r="J94" i="57"/>
  <c r="K94" i="57" s="1"/>
  <c r="M157" i="57"/>
  <c r="N157" i="57" s="1"/>
  <c r="J79" i="57"/>
  <c r="K79" i="57" s="1"/>
  <c r="J49" i="57"/>
  <c r="K49" i="57" s="1"/>
  <c r="J40" i="57"/>
  <c r="K40" i="57" s="1"/>
  <c r="J85" i="57"/>
  <c r="K85" i="57" s="1"/>
  <c r="J70" i="57"/>
  <c r="K70" i="57" s="1"/>
  <c r="M160" i="57"/>
  <c r="N160" i="57" s="1"/>
  <c r="J43" i="57"/>
  <c r="K43" i="57" s="1"/>
  <c r="J55" i="57"/>
  <c r="K55" i="57" s="1"/>
  <c r="J61" i="57"/>
  <c r="K61" i="57" s="1"/>
  <c r="J101" i="57"/>
  <c r="K101" i="57" s="1"/>
  <c r="J46" i="57"/>
  <c r="K46" i="57" s="1"/>
  <c r="Y150" i="57"/>
  <c r="Z150" i="57" s="1"/>
  <c r="Y147" i="57"/>
  <c r="Z147" i="57" s="1"/>
  <c r="V97" i="57"/>
  <c r="W97" i="57" s="1"/>
  <c r="V91" i="57"/>
  <c r="W91" i="57" s="1"/>
  <c r="V76" i="57"/>
  <c r="W76" i="57" s="1"/>
  <c r="V67" i="57"/>
  <c r="W67" i="57" s="1"/>
  <c r="V52" i="57"/>
  <c r="W52" i="57" s="1"/>
  <c r="Y145" i="57"/>
  <c r="Z145" i="57" s="1"/>
  <c r="V101" i="57"/>
  <c r="W101" i="57" s="1"/>
  <c r="V85" i="57"/>
  <c r="W85" i="57" s="1"/>
  <c r="V79" i="57"/>
  <c r="W79" i="57" s="1"/>
  <c r="V70" i="57"/>
  <c r="W70" i="57" s="1"/>
  <c r="V61" i="57"/>
  <c r="W61" i="57" s="1"/>
  <c r="V55" i="57"/>
  <c r="W55" i="57" s="1"/>
  <c r="Y160" i="57"/>
  <c r="Z160" i="57" s="1"/>
  <c r="V88" i="57"/>
  <c r="W88" i="57" s="1"/>
  <c r="Y155" i="57"/>
  <c r="Z155" i="57" s="1"/>
  <c r="V73" i="57"/>
  <c r="W73" i="57" s="1"/>
  <c r="V58" i="57"/>
  <c r="W58" i="57" s="1"/>
  <c r="V43" i="57"/>
  <c r="W43" i="57" s="1"/>
  <c r="Y162" i="57"/>
  <c r="Z162" i="57" s="1"/>
  <c r="Y157" i="57"/>
  <c r="Z157" i="57" s="1"/>
  <c r="V94" i="57"/>
  <c r="W94" i="57" s="1"/>
  <c r="Y152" i="57"/>
  <c r="Z152" i="57" s="1"/>
  <c r="V49" i="57"/>
  <c r="W49" i="57" s="1"/>
  <c r="V40" i="57"/>
  <c r="W40" i="57" s="1"/>
  <c r="V64" i="57"/>
  <c r="W64" i="57" s="1"/>
  <c r="V82" i="57"/>
  <c r="W82" i="57" s="1"/>
  <c r="V46" i="57"/>
  <c r="W46" i="57" s="1"/>
  <c r="M161" i="57"/>
  <c r="N161" i="57" s="1"/>
  <c r="O161" i="57" s="1"/>
  <c r="M144" i="57"/>
  <c r="N144" i="57" s="1"/>
  <c r="O144" i="57" s="1"/>
  <c r="J90" i="57"/>
  <c r="K90" i="57" s="1"/>
  <c r="L90" i="57" s="1"/>
  <c r="J66" i="57"/>
  <c r="K66" i="57" s="1"/>
  <c r="L66" i="57" s="1"/>
  <c r="J51" i="57"/>
  <c r="K51" i="57" s="1"/>
  <c r="L51" i="57" s="1"/>
  <c r="M159" i="57"/>
  <c r="N159" i="57" s="1"/>
  <c r="O159" i="57" s="1"/>
  <c r="M156" i="57"/>
  <c r="N156" i="57" s="1"/>
  <c r="O156" i="57" s="1"/>
  <c r="J84" i="57"/>
  <c r="K84" i="57" s="1"/>
  <c r="L84" i="57" s="1"/>
  <c r="J75" i="57"/>
  <c r="K75" i="57" s="1"/>
  <c r="L75" i="57" s="1"/>
  <c r="J60" i="57"/>
  <c r="K60" i="57" s="1"/>
  <c r="L60" i="57" s="1"/>
  <c r="M151" i="57"/>
  <c r="N151" i="57" s="1"/>
  <c r="O151" i="57" s="1"/>
  <c r="J93" i="57"/>
  <c r="K93" i="57" s="1"/>
  <c r="L93" i="57" s="1"/>
  <c r="J78" i="57"/>
  <c r="K78" i="57" s="1"/>
  <c r="L78" i="57" s="1"/>
  <c r="M146" i="57"/>
  <c r="N146" i="57" s="1"/>
  <c r="O146" i="57" s="1"/>
  <c r="J81" i="57"/>
  <c r="K81" i="57" s="1"/>
  <c r="L81" i="57" s="1"/>
  <c r="J63" i="57"/>
  <c r="K63" i="57" s="1"/>
  <c r="L63" i="57" s="1"/>
  <c r="M154" i="57"/>
  <c r="N154" i="57" s="1"/>
  <c r="O154" i="57" s="1"/>
  <c r="J69" i="57"/>
  <c r="K69" i="57" s="1"/>
  <c r="L69" i="57" s="1"/>
  <c r="J42" i="57"/>
  <c r="K42" i="57" s="1"/>
  <c r="L42" i="57" s="1"/>
  <c r="J87" i="57"/>
  <c r="K87" i="57" s="1"/>
  <c r="L87" i="57" s="1"/>
  <c r="J72" i="57"/>
  <c r="K72" i="57" s="1"/>
  <c r="L72" i="57" s="1"/>
  <c r="J45" i="57"/>
  <c r="K45" i="57" s="1"/>
  <c r="L45" i="57" s="1"/>
  <c r="J39" i="57"/>
  <c r="K39" i="57" s="1"/>
  <c r="L39" i="57" s="1"/>
  <c r="J57" i="57"/>
  <c r="K57" i="57" s="1"/>
  <c r="L57" i="57" s="1"/>
  <c r="J48" i="57"/>
  <c r="K48" i="57" s="1"/>
  <c r="L48" i="57" s="1"/>
  <c r="M149" i="57"/>
  <c r="N149" i="57" s="1"/>
  <c r="O149" i="57" s="1"/>
  <c r="J54" i="57"/>
  <c r="K54" i="57" s="1"/>
  <c r="L54" i="57" s="1"/>
  <c r="J100" i="57"/>
  <c r="K100" i="57" s="1"/>
  <c r="L100" i="57" s="1"/>
  <c r="J96" i="57"/>
  <c r="K96" i="57" s="1"/>
  <c r="L96" i="57" s="1"/>
  <c r="Y159" i="57"/>
  <c r="Z159" i="57" s="1"/>
  <c r="AA159" i="57" s="1"/>
  <c r="Y156" i="57"/>
  <c r="Z156" i="57" s="1"/>
  <c r="AA156" i="57" s="1"/>
  <c r="V93" i="57"/>
  <c r="W93" i="57" s="1"/>
  <c r="X93" i="57" s="1"/>
  <c r="V78" i="57"/>
  <c r="W78" i="57" s="1"/>
  <c r="X78" i="57" s="1"/>
  <c r="V69" i="57"/>
  <c r="W69" i="57" s="1"/>
  <c r="X69" i="57" s="1"/>
  <c r="V54" i="57"/>
  <c r="W54" i="57" s="1"/>
  <c r="X54" i="57" s="1"/>
  <c r="V48" i="57"/>
  <c r="W48" i="57" s="1"/>
  <c r="X48" i="57" s="1"/>
  <c r="Y154" i="57"/>
  <c r="Z154" i="57" s="1"/>
  <c r="AA154" i="57" s="1"/>
  <c r="Y151" i="57"/>
  <c r="Z151" i="57" s="1"/>
  <c r="AA151" i="57" s="1"/>
  <c r="V87" i="57"/>
  <c r="W87" i="57" s="1"/>
  <c r="X87" i="57" s="1"/>
  <c r="V81" i="57"/>
  <c r="W81" i="57" s="1"/>
  <c r="X81" i="57" s="1"/>
  <c r="V72" i="57"/>
  <c r="W72" i="57" s="1"/>
  <c r="X72" i="57" s="1"/>
  <c r="V63" i="57"/>
  <c r="W63" i="57" s="1"/>
  <c r="X63" i="57" s="1"/>
  <c r="V57" i="57"/>
  <c r="W57" i="57" s="1"/>
  <c r="X57" i="57" s="1"/>
  <c r="Y149" i="57"/>
  <c r="Z149" i="57" s="1"/>
  <c r="AA149" i="57" s="1"/>
  <c r="V90" i="57"/>
  <c r="W90" i="57" s="1"/>
  <c r="X90" i="57" s="1"/>
  <c r="Y161" i="57"/>
  <c r="Z161" i="57" s="1"/>
  <c r="AA161" i="57" s="1"/>
  <c r="Y144" i="57"/>
  <c r="Z144" i="57" s="1"/>
  <c r="AA144" i="57" s="1"/>
  <c r="V60" i="57"/>
  <c r="W60" i="57" s="1"/>
  <c r="X60" i="57" s="1"/>
  <c r="V42" i="57"/>
  <c r="W42" i="57" s="1"/>
  <c r="X42" i="57" s="1"/>
  <c r="Y146" i="57"/>
  <c r="Z146" i="57" s="1"/>
  <c r="AA146" i="57" s="1"/>
  <c r="V75" i="57"/>
  <c r="W75" i="57" s="1"/>
  <c r="X75" i="57" s="1"/>
  <c r="V45" i="57"/>
  <c r="W45" i="57" s="1"/>
  <c r="X45" i="57" s="1"/>
  <c r="V39" i="57"/>
  <c r="W39" i="57" s="1"/>
  <c r="X39" i="57" s="1"/>
  <c r="V84" i="57"/>
  <c r="W84" i="57" s="1"/>
  <c r="X84" i="57" s="1"/>
  <c r="V51" i="57"/>
  <c r="W51" i="57" s="1"/>
  <c r="X51" i="57" s="1"/>
  <c r="V66" i="57"/>
  <c r="W66" i="57" s="1"/>
  <c r="X66" i="57" s="1"/>
  <c r="V100" i="57"/>
  <c r="W100" i="57" s="1"/>
  <c r="X100" i="57" s="1"/>
  <c r="V96" i="57"/>
  <c r="W96" i="57" s="1"/>
  <c r="X96" i="57" s="1"/>
  <c r="P162" i="57"/>
  <c r="Q162" i="57" s="1"/>
  <c r="P160" i="57"/>
  <c r="Q160" i="57" s="1"/>
  <c r="P147" i="57"/>
  <c r="Q147" i="57" s="1"/>
  <c r="P145" i="57"/>
  <c r="Q145" i="57" s="1"/>
  <c r="M97" i="57"/>
  <c r="N97" i="57" s="1"/>
  <c r="M85" i="57"/>
  <c r="N85" i="57" s="1"/>
  <c r="M70" i="57"/>
  <c r="N70" i="57" s="1"/>
  <c r="M61" i="57"/>
  <c r="N61" i="57" s="1"/>
  <c r="M94" i="57"/>
  <c r="N94" i="57" s="1"/>
  <c r="M79" i="57"/>
  <c r="N79" i="57" s="1"/>
  <c r="M55" i="57"/>
  <c r="N55" i="57" s="1"/>
  <c r="M49" i="57"/>
  <c r="N49" i="57" s="1"/>
  <c r="P157" i="57"/>
  <c r="Q157" i="57" s="1"/>
  <c r="M82" i="57"/>
  <c r="N82" i="57" s="1"/>
  <c r="P152" i="57"/>
  <c r="Q152" i="57" s="1"/>
  <c r="M67" i="57"/>
  <c r="N67" i="57" s="1"/>
  <c r="M52" i="57"/>
  <c r="N52" i="57" s="1"/>
  <c r="M46" i="57"/>
  <c r="N46" i="57" s="1"/>
  <c r="P155" i="57"/>
  <c r="Q155" i="57" s="1"/>
  <c r="M101" i="57"/>
  <c r="N101" i="57" s="1"/>
  <c r="M88" i="57"/>
  <c r="N88" i="57" s="1"/>
  <c r="M73" i="57"/>
  <c r="N73" i="57" s="1"/>
  <c r="M64" i="57"/>
  <c r="N64" i="57" s="1"/>
  <c r="M40" i="57"/>
  <c r="N40" i="57" s="1"/>
  <c r="P150" i="57"/>
  <c r="Q150" i="57" s="1"/>
  <c r="M91" i="57"/>
  <c r="N91" i="57" s="1"/>
  <c r="M58" i="57"/>
  <c r="N58" i="57" s="1"/>
  <c r="M43" i="57"/>
  <c r="N43" i="57" s="1"/>
  <c r="M76" i="57"/>
  <c r="N76" i="57" s="1"/>
  <c r="P91" i="56"/>
  <c r="Q91" i="56" s="1"/>
  <c r="P85" i="56"/>
  <c r="Q85" i="56" s="1"/>
  <c r="P79" i="56"/>
  <c r="Q79" i="56" s="1"/>
  <c r="P73" i="56"/>
  <c r="Q73" i="56" s="1"/>
  <c r="P67" i="56"/>
  <c r="Q67" i="56" s="1"/>
  <c r="P61" i="56"/>
  <c r="Q61" i="56" s="1"/>
  <c r="P55" i="56"/>
  <c r="Q55" i="56" s="1"/>
  <c r="P49" i="56"/>
  <c r="Q49" i="56" s="1"/>
  <c r="P43" i="56"/>
  <c r="Q43" i="56" s="1"/>
  <c r="P88" i="56"/>
  <c r="Q88" i="56" s="1"/>
  <c r="P76" i="56"/>
  <c r="Q76" i="56" s="1"/>
  <c r="P64" i="56"/>
  <c r="Q64" i="56" s="1"/>
  <c r="P52" i="56"/>
  <c r="Q52" i="56" s="1"/>
  <c r="P40" i="56"/>
  <c r="Q40" i="56" s="1"/>
  <c r="P82" i="56"/>
  <c r="Q82" i="56" s="1"/>
  <c r="P70" i="56"/>
  <c r="Q70" i="56" s="1"/>
  <c r="P58" i="56"/>
  <c r="Q58" i="56" s="1"/>
  <c r="P46" i="56"/>
  <c r="Q46" i="56" s="1"/>
  <c r="P98" i="56"/>
  <c r="Q98" i="56" s="1"/>
  <c r="P94" i="56"/>
  <c r="Q94" i="56" s="1"/>
  <c r="P101" i="56"/>
  <c r="Q101" i="56" s="1"/>
  <c r="P93" i="56"/>
  <c r="Q93" i="56" s="1"/>
  <c r="R93" i="56" s="1"/>
  <c r="P75" i="56"/>
  <c r="Q75" i="56" s="1"/>
  <c r="R75" i="56" s="1"/>
  <c r="P63" i="56"/>
  <c r="Q63" i="56" s="1"/>
  <c r="R63" i="56" s="1"/>
  <c r="P51" i="56"/>
  <c r="Q51" i="56" s="1"/>
  <c r="R51" i="56" s="1"/>
  <c r="P39" i="56"/>
  <c r="Q39" i="56" s="1"/>
  <c r="R39" i="56" s="1"/>
  <c r="P100" i="56"/>
  <c r="Q100" i="56" s="1"/>
  <c r="R100" i="56" s="1"/>
  <c r="P90" i="56"/>
  <c r="Q90" i="56" s="1"/>
  <c r="R90" i="56" s="1"/>
  <c r="P84" i="56"/>
  <c r="Q84" i="56" s="1"/>
  <c r="R84" i="56" s="1"/>
  <c r="P78" i="56"/>
  <c r="Q78" i="56" s="1"/>
  <c r="R78" i="56" s="1"/>
  <c r="P72" i="56"/>
  <c r="Q72" i="56" s="1"/>
  <c r="R72" i="56" s="1"/>
  <c r="P66" i="56"/>
  <c r="Q66" i="56" s="1"/>
  <c r="R66" i="56" s="1"/>
  <c r="P60" i="56"/>
  <c r="Q60" i="56" s="1"/>
  <c r="R60" i="56" s="1"/>
  <c r="P54" i="56"/>
  <c r="Q54" i="56" s="1"/>
  <c r="R54" i="56" s="1"/>
  <c r="P48" i="56"/>
  <c r="Q48" i="56" s="1"/>
  <c r="R48" i="56" s="1"/>
  <c r="P42" i="56"/>
  <c r="Q42" i="56" s="1"/>
  <c r="R42" i="56" s="1"/>
  <c r="P97" i="56"/>
  <c r="Q97" i="56" s="1"/>
  <c r="R97" i="56" s="1"/>
  <c r="P87" i="56"/>
  <c r="Q87" i="56" s="1"/>
  <c r="R87" i="56" s="1"/>
  <c r="P81" i="56"/>
  <c r="Q81" i="56" s="1"/>
  <c r="R81" i="56" s="1"/>
  <c r="P69" i="56"/>
  <c r="Q69" i="56" s="1"/>
  <c r="R69" i="56" s="1"/>
  <c r="P57" i="56"/>
  <c r="Q57" i="56" s="1"/>
  <c r="R57" i="56" s="1"/>
  <c r="P45" i="56"/>
  <c r="Q45" i="56" s="1"/>
  <c r="R45" i="56" s="1"/>
  <c r="S81" i="56"/>
  <c r="T81" i="56" s="1"/>
  <c r="U81" i="56" s="1"/>
  <c r="S57" i="56"/>
  <c r="T57" i="56" s="1"/>
  <c r="U57" i="56" s="1"/>
  <c r="S90" i="56"/>
  <c r="T90" i="56" s="1"/>
  <c r="U90" i="56" s="1"/>
  <c r="S69" i="56"/>
  <c r="T69" i="56" s="1"/>
  <c r="U69" i="56" s="1"/>
  <c r="S72" i="56"/>
  <c r="T72" i="56" s="1"/>
  <c r="U72" i="56" s="1"/>
  <c r="S60" i="56"/>
  <c r="T60" i="56" s="1"/>
  <c r="U60" i="56" s="1"/>
  <c r="S45" i="56"/>
  <c r="T45" i="56" s="1"/>
  <c r="U45" i="56" s="1"/>
  <c r="S42" i="56"/>
  <c r="T42" i="56" s="1"/>
  <c r="U42" i="56" s="1"/>
  <c r="S66" i="56"/>
  <c r="T66" i="56" s="1"/>
  <c r="U66" i="56" s="1"/>
  <c r="S51" i="56"/>
  <c r="T51" i="56" s="1"/>
  <c r="U51" i="56" s="1"/>
  <c r="S48" i="56"/>
  <c r="T48" i="56" s="1"/>
  <c r="U48" i="56" s="1"/>
  <c r="S39" i="56"/>
  <c r="T39" i="56" s="1"/>
  <c r="U39" i="56" s="1"/>
  <c r="S78" i="56"/>
  <c r="T78" i="56" s="1"/>
  <c r="U78" i="56" s="1"/>
  <c r="S54" i="56"/>
  <c r="T54" i="56" s="1"/>
  <c r="U54" i="56" s="1"/>
  <c r="S84" i="56"/>
  <c r="T84" i="56" s="1"/>
  <c r="U84" i="56" s="1"/>
  <c r="S75" i="56"/>
  <c r="T75" i="56" s="1"/>
  <c r="U75" i="56" s="1"/>
  <c r="S63" i="56"/>
  <c r="T63" i="56" s="1"/>
  <c r="U63" i="56" s="1"/>
  <c r="S87" i="56"/>
  <c r="T87" i="56" s="1"/>
  <c r="U87" i="56" s="1"/>
  <c r="S97" i="56"/>
  <c r="T97" i="56" s="1"/>
  <c r="U97" i="56" s="1"/>
  <c r="S100" i="56"/>
  <c r="T100" i="56" s="1"/>
  <c r="U100" i="56" s="1"/>
  <c r="S93" i="56"/>
  <c r="T93" i="56" s="1"/>
  <c r="U93" i="56" s="1"/>
  <c r="J101" i="56"/>
  <c r="K101" i="56" s="1"/>
  <c r="J94" i="56"/>
  <c r="K94" i="56" s="1"/>
  <c r="J88" i="56"/>
  <c r="K88" i="56" s="1"/>
  <c r="J73" i="56"/>
  <c r="K73" i="56" s="1"/>
  <c r="J64" i="56"/>
  <c r="K64" i="56" s="1"/>
  <c r="J55" i="56"/>
  <c r="K55" i="56" s="1"/>
  <c r="J52" i="56"/>
  <c r="K52" i="56" s="1"/>
  <c r="J85" i="56"/>
  <c r="K85" i="56" s="1"/>
  <c r="J76" i="56"/>
  <c r="K76" i="56" s="1"/>
  <c r="J67" i="56"/>
  <c r="K67" i="56" s="1"/>
  <c r="J98" i="56"/>
  <c r="K98" i="56" s="1"/>
  <c r="J91" i="56"/>
  <c r="K91" i="56" s="1"/>
  <c r="J79" i="56"/>
  <c r="K79" i="56" s="1"/>
  <c r="J58" i="56"/>
  <c r="K58" i="56" s="1"/>
  <c r="J43" i="56"/>
  <c r="K43" i="56" s="1"/>
  <c r="J49" i="56"/>
  <c r="K49" i="56" s="1"/>
  <c r="J40" i="56"/>
  <c r="K40" i="56" s="1"/>
  <c r="J46" i="56"/>
  <c r="K46" i="56" s="1"/>
  <c r="J70" i="56"/>
  <c r="K70" i="56" s="1"/>
  <c r="J61" i="56"/>
  <c r="K61" i="56" s="1"/>
  <c r="J82" i="56"/>
  <c r="K82" i="56" s="1"/>
  <c r="V82" i="56"/>
  <c r="W82" i="56" s="1"/>
  <c r="V76" i="56"/>
  <c r="W76" i="56" s="1"/>
  <c r="V67" i="56"/>
  <c r="W67" i="56" s="1"/>
  <c r="V58" i="56"/>
  <c r="W58" i="56" s="1"/>
  <c r="V64" i="56"/>
  <c r="W64" i="56" s="1"/>
  <c r="V52" i="56"/>
  <c r="W52" i="56" s="1"/>
  <c r="V98" i="56"/>
  <c r="W98" i="56" s="1"/>
  <c r="V88" i="56"/>
  <c r="W88" i="56" s="1"/>
  <c r="V79" i="56"/>
  <c r="W79" i="56" s="1"/>
  <c r="V55" i="56"/>
  <c r="W55" i="56" s="1"/>
  <c r="V85" i="56"/>
  <c r="W85" i="56" s="1"/>
  <c r="V46" i="56"/>
  <c r="W46" i="56" s="1"/>
  <c r="V43" i="56"/>
  <c r="W43" i="56" s="1"/>
  <c r="V40" i="56"/>
  <c r="W40" i="56" s="1"/>
  <c r="V73" i="56"/>
  <c r="W73" i="56" s="1"/>
  <c r="V49" i="56"/>
  <c r="W49" i="56" s="1"/>
  <c r="V94" i="56"/>
  <c r="W94" i="56" s="1"/>
  <c r="V61" i="56"/>
  <c r="W61" i="56" s="1"/>
  <c r="V101" i="56"/>
  <c r="W101" i="56" s="1"/>
  <c r="V91" i="56"/>
  <c r="W91" i="56" s="1"/>
  <c r="V70" i="56"/>
  <c r="W70" i="56" s="1"/>
  <c r="M90" i="56"/>
  <c r="N90" i="56" s="1"/>
  <c r="O90" i="56" s="1"/>
  <c r="M75" i="56"/>
  <c r="N75" i="56" s="1"/>
  <c r="O75" i="56" s="1"/>
  <c r="M66" i="56"/>
  <c r="N66" i="56" s="1"/>
  <c r="O66" i="56" s="1"/>
  <c r="M57" i="56"/>
  <c r="N57" i="56" s="1"/>
  <c r="O57" i="56" s="1"/>
  <c r="M45" i="56"/>
  <c r="N45" i="56" s="1"/>
  <c r="O45" i="56" s="1"/>
  <c r="M84" i="56"/>
  <c r="N84" i="56" s="1"/>
  <c r="O84" i="56" s="1"/>
  <c r="M63" i="56"/>
  <c r="N63" i="56" s="1"/>
  <c r="O63" i="56" s="1"/>
  <c r="M48" i="56"/>
  <c r="N48" i="56" s="1"/>
  <c r="O48" i="56" s="1"/>
  <c r="M42" i="56"/>
  <c r="N42" i="56" s="1"/>
  <c r="O42" i="56" s="1"/>
  <c r="M39" i="56"/>
  <c r="N39" i="56" s="1"/>
  <c r="O39" i="56" s="1"/>
  <c r="M87" i="56"/>
  <c r="N87" i="56" s="1"/>
  <c r="O87" i="56" s="1"/>
  <c r="M78" i="56"/>
  <c r="N78" i="56" s="1"/>
  <c r="O78" i="56" s="1"/>
  <c r="M54" i="56"/>
  <c r="N54" i="56" s="1"/>
  <c r="O54" i="56" s="1"/>
  <c r="M51" i="56"/>
  <c r="N51" i="56" s="1"/>
  <c r="O51" i="56" s="1"/>
  <c r="M60" i="56"/>
  <c r="N60" i="56" s="1"/>
  <c r="O60" i="56" s="1"/>
  <c r="M69" i="56"/>
  <c r="N69" i="56" s="1"/>
  <c r="O69" i="56" s="1"/>
  <c r="M81" i="56"/>
  <c r="N81" i="56" s="1"/>
  <c r="O81" i="56" s="1"/>
  <c r="M72" i="56"/>
  <c r="N72" i="56" s="1"/>
  <c r="O72" i="56" s="1"/>
  <c r="M100" i="56"/>
  <c r="N100" i="56" s="1"/>
  <c r="O100" i="56" s="1"/>
  <c r="M93" i="56"/>
  <c r="N93" i="56" s="1"/>
  <c r="O93" i="56" s="1"/>
  <c r="M97" i="56"/>
  <c r="N97" i="56" s="1"/>
  <c r="O97" i="56" s="1"/>
  <c r="S101" i="56"/>
  <c r="T101" i="56" s="1"/>
  <c r="S94" i="56"/>
  <c r="T94" i="56" s="1"/>
  <c r="S88" i="56"/>
  <c r="T88" i="56" s="1"/>
  <c r="S73" i="56"/>
  <c r="T73" i="56" s="1"/>
  <c r="S64" i="56"/>
  <c r="T64" i="56" s="1"/>
  <c r="S55" i="56"/>
  <c r="T55" i="56" s="1"/>
  <c r="S76" i="56"/>
  <c r="T76" i="56" s="1"/>
  <c r="S61" i="56"/>
  <c r="T61" i="56" s="1"/>
  <c r="S49" i="56"/>
  <c r="T49" i="56" s="1"/>
  <c r="S46" i="56"/>
  <c r="T46" i="56" s="1"/>
  <c r="S43" i="56"/>
  <c r="T43" i="56" s="1"/>
  <c r="S40" i="56"/>
  <c r="T40" i="56" s="1"/>
  <c r="S85" i="56"/>
  <c r="T85" i="56" s="1"/>
  <c r="S67" i="56"/>
  <c r="T67" i="56" s="1"/>
  <c r="S52" i="56"/>
  <c r="T52" i="56" s="1"/>
  <c r="S70" i="56"/>
  <c r="T70" i="56" s="1"/>
  <c r="S91" i="56"/>
  <c r="T91" i="56" s="1"/>
  <c r="S82" i="56"/>
  <c r="T82" i="56" s="1"/>
  <c r="S79" i="56"/>
  <c r="T79" i="56" s="1"/>
  <c r="S98" i="56"/>
  <c r="T98" i="56" s="1"/>
  <c r="S58" i="56"/>
  <c r="T58" i="56" s="1"/>
  <c r="J81" i="56"/>
  <c r="K81" i="56" s="1"/>
  <c r="L81" i="56" s="1"/>
  <c r="J72" i="56"/>
  <c r="K72" i="56" s="1"/>
  <c r="L72" i="56" s="1"/>
  <c r="J54" i="56"/>
  <c r="K54" i="56" s="1"/>
  <c r="L54" i="56" s="1"/>
  <c r="J60" i="56"/>
  <c r="K60" i="56" s="1"/>
  <c r="L60" i="56" s="1"/>
  <c r="J45" i="56"/>
  <c r="K45" i="56" s="1"/>
  <c r="L45" i="56" s="1"/>
  <c r="J84" i="56"/>
  <c r="K84" i="56" s="1"/>
  <c r="L84" i="56" s="1"/>
  <c r="J75" i="56"/>
  <c r="K75" i="56" s="1"/>
  <c r="L75" i="56" s="1"/>
  <c r="J63" i="56"/>
  <c r="K63" i="56" s="1"/>
  <c r="L63" i="56" s="1"/>
  <c r="J42" i="56"/>
  <c r="K42" i="56" s="1"/>
  <c r="L42" i="56" s="1"/>
  <c r="J69" i="56"/>
  <c r="K69" i="56" s="1"/>
  <c r="L69" i="56" s="1"/>
  <c r="J51" i="56"/>
  <c r="K51" i="56" s="1"/>
  <c r="L51" i="56" s="1"/>
  <c r="J90" i="56"/>
  <c r="K90" i="56" s="1"/>
  <c r="L90" i="56" s="1"/>
  <c r="J87" i="56"/>
  <c r="K87" i="56" s="1"/>
  <c r="L87" i="56" s="1"/>
  <c r="J48" i="56"/>
  <c r="K48" i="56" s="1"/>
  <c r="L48" i="56" s="1"/>
  <c r="J39" i="56"/>
  <c r="K39" i="56" s="1"/>
  <c r="L39" i="56" s="1"/>
  <c r="J66" i="56"/>
  <c r="K66" i="56" s="1"/>
  <c r="L66" i="56" s="1"/>
  <c r="J57" i="56"/>
  <c r="K57" i="56" s="1"/>
  <c r="L57" i="56" s="1"/>
  <c r="J78" i="56"/>
  <c r="K78" i="56" s="1"/>
  <c r="L78" i="56" s="1"/>
  <c r="J93" i="56"/>
  <c r="K93" i="56" s="1"/>
  <c r="L93" i="56" s="1"/>
  <c r="J100" i="56"/>
  <c r="K100" i="56" s="1"/>
  <c r="L100" i="56" s="1"/>
  <c r="J97" i="56"/>
  <c r="K97" i="56" s="1"/>
  <c r="L97" i="56" s="1"/>
  <c r="V84" i="56"/>
  <c r="W84" i="56" s="1"/>
  <c r="X84" i="56" s="1"/>
  <c r="V78" i="56"/>
  <c r="W78" i="56" s="1"/>
  <c r="X78" i="56" s="1"/>
  <c r="V69" i="56"/>
  <c r="W69" i="56" s="1"/>
  <c r="X69" i="56" s="1"/>
  <c r="V60" i="56"/>
  <c r="W60" i="56" s="1"/>
  <c r="X60" i="56" s="1"/>
  <c r="V48" i="56"/>
  <c r="W48" i="56" s="1"/>
  <c r="X48" i="56" s="1"/>
  <c r="V63" i="56"/>
  <c r="W63" i="56" s="1"/>
  <c r="X63" i="56" s="1"/>
  <c r="V45" i="56"/>
  <c r="W45" i="56" s="1"/>
  <c r="X45" i="56" s="1"/>
  <c r="V87" i="56"/>
  <c r="W87" i="56" s="1"/>
  <c r="X87" i="56" s="1"/>
  <c r="V75" i="56"/>
  <c r="W75" i="56" s="1"/>
  <c r="X75" i="56" s="1"/>
  <c r="V54" i="56"/>
  <c r="W54" i="56" s="1"/>
  <c r="X54" i="56" s="1"/>
  <c r="V51" i="56"/>
  <c r="W51" i="56" s="1"/>
  <c r="X51" i="56" s="1"/>
  <c r="V39" i="56"/>
  <c r="W39" i="56" s="1"/>
  <c r="X39" i="56" s="1"/>
  <c r="V90" i="56"/>
  <c r="W90" i="56" s="1"/>
  <c r="X90" i="56" s="1"/>
  <c r="V81" i="56"/>
  <c r="W81" i="56" s="1"/>
  <c r="X81" i="56" s="1"/>
  <c r="V72" i="56"/>
  <c r="W72" i="56" s="1"/>
  <c r="X72" i="56" s="1"/>
  <c r="V42" i="56"/>
  <c r="W42" i="56" s="1"/>
  <c r="X42" i="56" s="1"/>
  <c r="V66" i="56"/>
  <c r="W66" i="56" s="1"/>
  <c r="X66" i="56" s="1"/>
  <c r="V57" i="56"/>
  <c r="W57" i="56" s="1"/>
  <c r="X57" i="56" s="1"/>
  <c r="V100" i="56"/>
  <c r="W100" i="56" s="1"/>
  <c r="X100" i="56" s="1"/>
  <c r="V93" i="56"/>
  <c r="W93" i="56" s="1"/>
  <c r="X93" i="56" s="1"/>
  <c r="V97" i="56"/>
  <c r="W97" i="56" s="1"/>
  <c r="X97" i="56" s="1"/>
  <c r="M91" i="56"/>
  <c r="N91" i="56" s="1"/>
  <c r="M76" i="56"/>
  <c r="N76" i="56" s="1"/>
  <c r="M49" i="56"/>
  <c r="N49" i="56" s="1"/>
  <c r="M46" i="56"/>
  <c r="N46" i="56" s="1"/>
  <c r="M101" i="56"/>
  <c r="N101" i="56" s="1"/>
  <c r="M98" i="56"/>
  <c r="N98" i="56" s="1"/>
  <c r="M70" i="56"/>
  <c r="N70" i="56" s="1"/>
  <c r="M58" i="56"/>
  <c r="N58" i="56" s="1"/>
  <c r="M94" i="56"/>
  <c r="N94" i="56" s="1"/>
  <c r="M82" i="56"/>
  <c r="N82" i="56" s="1"/>
  <c r="M73" i="56"/>
  <c r="N73" i="56" s="1"/>
  <c r="M61" i="56"/>
  <c r="N61" i="56" s="1"/>
  <c r="M88" i="56"/>
  <c r="N88" i="56" s="1"/>
  <c r="M79" i="56"/>
  <c r="N79" i="56" s="1"/>
  <c r="M55" i="56"/>
  <c r="N55" i="56" s="1"/>
  <c r="M43" i="56"/>
  <c r="N43" i="56" s="1"/>
  <c r="M67" i="56"/>
  <c r="N67" i="56" s="1"/>
  <c r="M40" i="56"/>
  <c r="N40" i="56" s="1"/>
  <c r="M85" i="56"/>
  <c r="N85" i="56" s="1"/>
  <c r="M52" i="56"/>
  <c r="N52" i="56" s="1"/>
  <c r="M64" i="56"/>
  <c r="N64" i="56" s="1"/>
  <c r="S79" i="55"/>
  <c r="T79" i="55" s="1"/>
  <c r="S101" i="55"/>
  <c r="T101" i="55" s="1"/>
  <c r="S95" i="55"/>
  <c r="T95" i="55" s="1"/>
  <c r="S88" i="55"/>
  <c r="T88" i="55" s="1"/>
  <c r="S73" i="55"/>
  <c r="T73" i="55" s="1"/>
  <c r="S67" i="55"/>
  <c r="T67" i="55" s="1"/>
  <c r="S82" i="55"/>
  <c r="T82" i="55" s="1"/>
  <c r="S61" i="55"/>
  <c r="T61" i="55" s="1"/>
  <c r="S52" i="55"/>
  <c r="T52" i="55" s="1"/>
  <c r="S70" i="55"/>
  <c r="T70" i="55" s="1"/>
  <c r="S55" i="55"/>
  <c r="T55" i="55" s="1"/>
  <c r="S98" i="55"/>
  <c r="T98" i="55" s="1"/>
  <c r="S85" i="55"/>
  <c r="T85" i="55" s="1"/>
  <c r="S49" i="55"/>
  <c r="T49" i="55" s="1"/>
  <c r="S43" i="55"/>
  <c r="T43" i="55" s="1"/>
  <c r="S40" i="55"/>
  <c r="T40" i="55" s="1"/>
  <c r="S64" i="55"/>
  <c r="T64" i="55" s="1"/>
  <c r="S58" i="55"/>
  <c r="T58" i="55" s="1"/>
  <c r="S46" i="55"/>
  <c r="T46" i="55" s="1"/>
  <c r="S91" i="55"/>
  <c r="T91" i="55" s="1"/>
  <c r="S76" i="55"/>
  <c r="T76" i="55" s="1"/>
  <c r="V101" i="55"/>
  <c r="W101" i="55" s="1"/>
  <c r="V95" i="55"/>
  <c r="W95" i="55" s="1"/>
  <c r="V88" i="55"/>
  <c r="W88" i="55" s="1"/>
  <c r="V82" i="55"/>
  <c r="W82" i="55" s="1"/>
  <c r="V70" i="55"/>
  <c r="W70" i="55" s="1"/>
  <c r="V64" i="55"/>
  <c r="W64" i="55" s="1"/>
  <c r="V98" i="55"/>
  <c r="W98" i="55" s="1"/>
  <c r="V85" i="55"/>
  <c r="W85" i="55" s="1"/>
  <c r="V58" i="55"/>
  <c r="W58" i="55" s="1"/>
  <c r="V49" i="55"/>
  <c r="W49" i="55" s="1"/>
  <c r="V43" i="55"/>
  <c r="W43" i="55" s="1"/>
  <c r="V40" i="55"/>
  <c r="W40" i="55" s="1"/>
  <c r="V67" i="55"/>
  <c r="W67" i="55" s="1"/>
  <c r="V61" i="55"/>
  <c r="W61" i="55" s="1"/>
  <c r="V52" i="55"/>
  <c r="W52" i="55" s="1"/>
  <c r="V73" i="55"/>
  <c r="W73" i="55" s="1"/>
  <c r="V46" i="55"/>
  <c r="W46" i="55" s="1"/>
  <c r="V91" i="55"/>
  <c r="W91" i="55" s="1"/>
  <c r="V76" i="55"/>
  <c r="W76" i="55" s="1"/>
  <c r="V55" i="55"/>
  <c r="W55" i="55" s="1"/>
  <c r="V79" i="55"/>
  <c r="W79" i="55" s="1"/>
  <c r="J87" i="55"/>
  <c r="K87" i="55" s="1"/>
  <c r="L87" i="55" s="1"/>
  <c r="J78" i="55"/>
  <c r="K78" i="55" s="1"/>
  <c r="L78" i="55" s="1"/>
  <c r="J81" i="55"/>
  <c r="K81" i="55" s="1"/>
  <c r="L81" i="55" s="1"/>
  <c r="J69" i="55"/>
  <c r="K69" i="55" s="1"/>
  <c r="L69" i="55" s="1"/>
  <c r="J57" i="55"/>
  <c r="K57" i="55" s="1"/>
  <c r="L57" i="55" s="1"/>
  <c r="J51" i="55"/>
  <c r="K51" i="55" s="1"/>
  <c r="L51" i="55" s="1"/>
  <c r="J72" i="55"/>
  <c r="K72" i="55" s="1"/>
  <c r="L72" i="55" s="1"/>
  <c r="J48" i="55"/>
  <c r="K48" i="55" s="1"/>
  <c r="L48" i="55" s="1"/>
  <c r="J39" i="55"/>
  <c r="K39" i="55" s="1"/>
  <c r="L39" i="55" s="1"/>
  <c r="J63" i="55"/>
  <c r="K63" i="55" s="1"/>
  <c r="L63" i="55" s="1"/>
  <c r="J84" i="55"/>
  <c r="K84" i="55" s="1"/>
  <c r="L84" i="55" s="1"/>
  <c r="J54" i="55"/>
  <c r="K54" i="55" s="1"/>
  <c r="L54" i="55" s="1"/>
  <c r="J45" i="55"/>
  <c r="K45" i="55" s="1"/>
  <c r="L45" i="55" s="1"/>
  <c r="J75" i="55"/>
  <c r="K75" i="55" s="1"/>
  <c r="L75" i="55" s="1"/>
  <c r="J66" i="55"/>
  <c r="K66" i="55" s="1"/>
  <c r="L66" i="55" s="1"/>
  <c r="J60" i="55"/>
  <c r="K60" i="55" s="1"/>
  <c r="L60" i="55" s="1"/>
  <c r="J42" i="55"/>
  <c r="K42" i="55" s="1"/>
  <c r="L42" i="55" s="1"/>
  <c r="J100" i="55"/>
  <c r="K100" i="55" s="1"/>
  <c r="L100" i="55" s="1"/>
  <c r="J90" i="55"/>
  <c r="K90" i="55" s="1"/>
  <c r="L90" i="55" s="1"/>
  <c r="J94" i="55"/>
  <c r="K94" i="55" s="1"/>
  <c r="L94" i="55" s="1"/>
  <c r="J97" i="55"/>
  <c r="K97" i="55" s="1"/>
  <c r="L97" i="55" s="1"/>
  <c r="V84" i="55"/>
  <c r="W84" i="55" s="1"/>
  <c r="X84" i="55" s="1"/>
  <c r="V78" i="55"/>
  <c r="W78" i="55" s="1"/>
  <c r="X78" i="55" s="1"/>
  <c r="V60" i="55"/>
  <c r="W60" i="55" s="1"/>
  <c r="X60" i="55" s="1"/>
  <c r="V54" i="55"/>
  <c r="W54" i="55" s="1"/>
  <c r="X54" i="55" s="1"/>
  <c r="V48" i="55"/>
  <c r="W48" i="55" s="1"/>
  <c r="X48" i="55" s="1"/>
  <c r="V87" i="55"/>
  <c r="W87" i="55" s="1"/>
  <c r="X87" i="55" s="1"/>
  <c r="V69" i="55"/>
  <c r="W69" i="55" s="1"/>
  <c r="X69" i="55" s="1"/>
  <c r="V81" i="55"/>
  <c r="W81" i="55" s="1"/>
  <c r="X81" i="55" s="1"/>
  <c r="V75" i="55"/>
  <c r="W75" i="55" s="1"/>
  <c r="X75" i="55" s="1"/>
  <c r="V63" i="55"/>
  <c r="W63" i="55" s="1"/>
  <c r="X63" i="55" s="1"/>
  <c r="V51" i="55"/>
  <c r="W51" i="55" s="1"/>
  <c r="X51" i="55" s="1"/>
  <c r="V57" i="55"/>
  <c r="W57" i="55" s="1"/>
  <c r="X57" i="55" s="1"/>
  <c r="V45" i="55"/>
  <c r="W45" i="55" s="1"/>
  <c r="X45" i="55" s="1"/>
  <c r="V39" i="55"/>
  <c r="W39" i="55" s="1"/>
  <c r="X39" i="55" s="1"/>
  <c r="V66" i="55"/>
  <c r="W66" i="55" s="1"/>
  <c r="X66" i="55" s="1"/>
  <c r="V42" i="55"/>
  <c r="W42" i="55" s="1"/>
  <c r="X42" i="55" s="1"/>
  <c r="V72" i="55"/>
  <c r="W72" i="55" s="1"/>
  <c r="X72" i="55" s="1"/>
  <c r="V94" i="55"/>
  <c r="W94" i="55" s="1"/>
  <c r="X94" i="55" s="1"/>
  <c r="V90" i="55"/>
  <c r="W90" i="55" s="1"/>
  <c r="X90" i="55" s="1"/>
  <c r="V97" i="55"/>
  <c r="W97" i="55" s="1"/>
  <c r="X97" i="55" s="1"/>
  <c r="V100" i="55"/>
  <c r="W100" i="55" s="1"/>
  <c r="X100" i="55" s="1"/>
  <c r="M101" i="55"/>
  <c r="N101" i="55" s="1"/>
  <c r="M95" i="55"/>
  <c r="N95" i="55" s="1"/>
  <c r="M82" i="55"/>
  <c r="N82" i="55" s="1"/>
  <c r="M85" i="55"/>
  <c r="N85" i="55" s="1"/>
  <c r="M76" i="55"/>
  <c r="N76" i="55" s="1"/>
  <c r="M61" i="55"/>
  <c r="N61" i="55" s="1"/>
  <c r="M91" i="55"/>
  <c r="N91" i="55" s="1"/>
  <c r="M79" i="55"/>
  <c r="N79" i="55" s="1"/>
  <c r="M73" i="55"/>
  <c r="N73" i="55" s="1"/>
  <c r="M64" i="55"/>
  <c r="N64" i="55" s="1"/>
  <c r="M55" i="55"/>
  <c r="N55" i="55" s="1"/>
  <c r="M88" i="55"/>
  <c r="N88" i="55" s="1"/>
  <c r="M58" i="55"/>
  <c r="N58" i="55" s="1"/>
  <c r="M46" i="55"/>
  <c r="N46" i="55" s="1"/>
  <c r="M40" i="55"/>
  <c r="N40" i="55" s="1"/>
  <c r="M70" i="55"/>
  <c r="N70" i="55" s="1"/>
  <c r="M52" i="55"/>
  <c r="N52" i="55" s="1"/>
  <c r="M98" i="55"/>
  <c r="N98" i="55" s="1"/>
  <c r="M49" i="55"/>
  <c r="N49" i="55" s="1"/>
  <c r="M67" i="55"/>
  <c r="N67" i="55" s="1"/>
  <c r="M43" i="55"/>
  <c r="N43" i="55" s="1"/>
  <c r="P100" i="55"/>
  <c r="Q100" i="55" s="1"/>
  <c r="R100" i="55" s="1"/>
  <c r="P97" i="55"/>
  <c r="Q97" i="55" s="1"/>
  <c r="R97" i="55" s="1"/>
  <c r="P87" i="55"/>
  <c r="Q87" i="55" s="1"/>
  <c r="R87" i="55" s="1"/>
  <c r="P81" i="55"/>
  <c r="Q81" i="55" s="1"/>
  <c r="R81" i="55" s="1"/>
  <c r="P75" i="55"/>
  <c r="Q75" i="55" s="1"/>
  <c r="R75" i="55" s="1"/>
  <c r="P69" i="55"/>
  <c r="Q69" i="55" s="1"/>
  <c r="R69" i="55" s="1"/>
  <c r="P63" i="55"/>
  <c r="Q63" i="55" s="1"/>
  <c r="R63" i="55" s="1"/>
  <c r="P57" i="55"/>
  <c r="Q57" i="55" s="1"/>
  <c r="R57" i="55" s="1"/>
  <c r="P51" i="55"/>
  <c r="Q51" i="55" s="1"/>
  <c r="R51" i="55" s="1"/>
  <c r="P45" i="55"/>
  <c r="Q45" i="55" s="1"/>
  <c r="R45" i="55" s="1"/>
  <c r="P39" i="55"/>
  <c r="Q39" i="55" s="1"/>
  <c r="R39" i="55" s="1"/>
  <c r="P94" i="55"/>
  <c r="Q94" i="55" s="1"/>
  <c r="R94" i="55" s="1"/>
  <c r="P90" i="55"/>
  <c r="Q90" i="55" s="1"/>
  <c r="R90" i="55" s="1"/>
  <c r="P84" i="55"/>
  <c r="Q84" i="55" s="1"/>
  <c r="R84" i="55" s="1"/>
  <c r="P78" i="55"/>
  <c r="Q78" i="55" s="1"/>
  <c r="R78" i="55" s="1"/>
  <c r="P72" i="55"/>
  <c r="Q72" i="55" s="1"/>
  <c r="R72" i="55" s="1"/>
  <c r="P66" i="55"/>
  <c r="Q66" i="55" s="1"/>
  <c r="R66" i="55" s="1"/>
  <c r="P60" i="55"/>
  <c r="Q60" i="55" s="1"/>
  <c r="R60" i="55" s="1"/>
  <c r="P54" i="55"/>
  <c r="Q54" i="55" s="1"/>
  <c r="R54" i="55" s="1"/>
  <c r="P48" i="55"/>
  <c r="Q48" i="55" s="1"/>
  <c r="R48" i="55" s="1"/>
  <c r="P42" i="55"/>
  <c r="Q42" i="55" s="1"/>
  <c r="R42" i="55" s="1"/>
  <c r="S87" i="55"/>
  <c r="T87" i="55" s="1"/>
  <c r="U87" i="55" s="1"/>
  <c r="S81" i="55"/>
  <c r="T81" i="55" s="1"/>
  <c r="U81" i="55" s="1"/>
  <c r="S84" i="55"/>
  <c r="T84" i="55" s="1"/>
  <c r="U84" i="55" s="1"/>
  <c r="S75" i="55"/>
  <c r="T75" i="55" s="1"/>
  <c r="U75" i="55" s="1"/>
  <c r="S72" i="55"/>
  <c r="T72" i="55" s="1"/>
  <c r="U72" i="55" s="1"/>
  <c r="S51" i="55"/>
  <c r="T51" i="55" s="1"/>
  <c r="U51" i="55" s="1"/>
  <c r="S78" i="55"/>
  <c r="T78" i="55" s="1"/>
  <c r="U78" i="55" s="1"/>
  <c r="S66" i="55"/>
  <c r="T66" i="55" s="1"/>
  <c r="U66" i="55" s="1"/>
  <c r="S60" i="55"/>
  <c r="T60" i="55" s="1"/>
  <c r="U60" i="55" s="1"/>
  <c r="S42" i="55"/>
  <c r="T42" i="55" s="1"/>
  <c r="U42" i="55" s="1"/>
  <c r="S63" i="55"/>
  <c r="T63" i="55" s="1"/>
  <c r="U63" i="55" s="1"/>
  <c r="S48" i="55"/>
  <c r="T48" i="55" s="1"/>
  <c r="U48" i="55" s="1"/>
  <c r="S69" i="55"/>
  <c r="T69" i="55" s="1"/>
  <c r="U69" i="55" s="1"/>
  <c r="S57" i="55"/>
  <c r="T57" i="55" s="1"/>
  <c r="U57" i="55" s="1"/>
  <c r="S54" i="55"/>
  <c r="T54" i="55" s="1"/>
  <c r="U54" i="55" s="1"/>
  <c r="S45" i="55"/>
  <c r="T45" i="55" s="1"/>
  <c r="U45" i="55" s="1"/>
  <c r="S39" i="55"/>
  <c r="T39" i="55" s="1"/>
  <c r="U39" i="55" s="1"/>
  <c r="S100" i="55"/>
  <c r="T100" i="55" s="1"/>
  <c r="U100" i="55" s="1"/>
  <c r="S90" i="55"/>
  <c r="T90" i="55" s="1"/>
  <c r="U90" i="55" s="1"/>
  <c r="S97" i="55"/>
  <c r="T97" i="55" s="1"/>
  <c r="U97" i="55" s="1"/>
  <c r="S94" i="55"/>
  <c r="T94" i="55" s="1"/>
  <c r="U94" i="55" s="1"/>
  <c r="J88" i="55"/>
  <c r="K88" i="55" s="1"/>
  <c r="J79" i="55"/>
  <c r="K79" i="55" s="1"/>
  <c r="J101" i="55"/>
  <c r="K101" i="55" s="1"/>
  <c r="J95" i="55"/>
  <c r="K95" i="55" s="1"/>
  <c r="J67" i="55"/>
  <c r="K67" i="55" s="1"/>
  <c r="J61" i="55"/>
  <c r="K61" i="55" s="1"/>
  <c r="J58" i="55"/>
  <c r="K58" i="55" s="1"/>
  <c r="J49" i="55"/>
  <c r="K49" i="55" s="1"/>
  <c r="J46" i="55"/>
  <c r="K46" i="55" s="1"/>
  <c r="J40" i="55"/>
  <c r="K40" i="55" s="1"/>
  <c r="J98" i="55"/>
  <c r="K98" i="55" s="1"/>
  <c r="J85" i="55"/>
  <c r="K85" i="55" s="1"/>
  <c r="J70" i="55"/>
  <c r="K70" i="55" s="1"/>
  <c r="J91" i="55"/>
  <c r="K91" i="55" s="1"/>
  <c r="J73" i="55"/>
  <c r="K73" i="55" s="1"/>
  <c r="J43" i="55"/>
  <c r="K43" i="55" s="1"/>
  <c r="J82" i="55"/>
  <c r="K82" i="55" s="1"/>
  <c r="J76" i="55"/>
  <c r="K76" i="55" s="1"/>
  <c r="J64" i="55"/>
  <c r="K64" i="55" s="1"/>
  <c r="J55" i="55"/>
  <c r="K55" i="55" s="1"/>
  <c r="J52" i="55"/>
  <c r="K52" i="55" s="1"/>
  <c r="M81" i="55"/>
  <c r="N81" i="55" s="1"/>
  <c r="O81" i="55" s="1"/>
  <c r="M84" i="55"/>
  <c r="N84" i="55" s="1"/>
  <c r="O84" i="55" s="1"/>
  <c r="M75" i="55"/>
  <c r="N75" i="55" s="1"/>
  <c r="O75" i="55" s="1"/>
  <c r="M72" i="55"/>
  <c r="N72" i="55" s="1"/>
  <c r="O72" i="55" s="1"/>
  <c r="M66" i="55"/>
  <c r="N66" i="55" s="1"/>
  <c r="O66" i="55" s="1"/>
  <c r="M54" i="55"/>
  <c r="N54" i="55" s="1"/>
  <c r="O54" i="55" s="1"/>
  <c r="M48" i="55"/>
  <c r="N48" i="55" s="1"/>
  <c r="O48" i="55" s="1"/>
  <c r="M69" i="55"/>
  <c r="N69" i="55" s="1"/>
  <c r="O69" i="55" s="1"/>
  <c r="M63" i="55"/>
  <c r="N63" i="55" s="1"/>
  <c r="O63" i="55" s="1"/>
  <c r="M57" i="55"/>
  <c r="N57" i="55" s="1"/>
  <c r="O57" i="55" s="1"/>
  <c r="M78" i="55"/>
  <c r="N78" i="55" s="1"/>
  <c r="O78" i="55" s="1"/>
  <c r="M60" i="55"/>
  <c r="N60" i="55" s="1"/>
  <c r="O60" i="55" s="1"/>
  <c r="M45" i="55"/>
  <c r="N45" i="55" s="1"/>
  <c r="O45" i="55" s="1"/>
  <c r="M39" i="55"/>
  <c r="N39" i="55" s="1"/>
  <c r="O39" i="55" s="1"/>
  <c r="M51" i="55"/>
  <c r="N51" i="55" s="1"/>
  <c r="O51" i="55" s="1"/>
  <c r="M42" i="55"/>
  <c r="N42" i="55" s="1"/>
  <c r="O42" i="55" s="1"/>
  <c r="M87" i="55"/>
  <c r="N87" i="55" s="1"/>
  <c r="O87" i="55" s="1"/>
  <c r="M94" i="55"/>
  <c r="N94" i="55" s="1"/>
  <c r="O94" i="55" s="1"/>
  <c r="M97" i="55"/>
  <c r="N97" i="55" s="1"/>
  <c r="O97" i="55" s="1"/>
  <c r="M100" i="55"/>
  <c r="N100" i="55" s="1"/>
  <c r="O100" i="55" s="1"/>
  <c r="M90" i="55"/>
  <c r="N90" i="55" s="1"/>
  <c r="O90" i="55" s="1"/>
  <c r="P88" i="55"/>
  <c r="Q88" i="55" s="1"/>
  <c r="P82" i="55"/>
  <c r="Q82" i="55" s="1"/>
  <c r="P76" i="55"/>
  <c r="Q76" i="55" s="1"/>
  <c r="P70" i="55"/>
  <c r="Q70" i="55" s="1"/>
  <c r="P64" i="55"/>
  <c r="Q64" i="55" s="1"/>
  <c r="P58" i="55"/>
  <c r="Q58" i="55" s="1"/>
  <c r="P52" i="55"/>
  <c r="Q52" i="55" s="1"/>
  <c r="P46" i="55"/>
  <c r="Q46" i="55" s="1"/>
  <c r="P40" i="55"/>
  <c r="Q40" i="55" s="1"/>
  <c r="P85" i="55"/>
  <c r="Q85" i="55" s="1"/>
  <c r="P79" i="55"/>
  <c r="Q79" i="55" s="1"/>
  <c r="P73" i="55"/>
  <c r="Q73" i="55" s="1"/>
  <c r="P67" i="55"/>
  <c r="Q67" i="55" s="1"/>
  <c r="P61" i="55"/>
  <c r="Q61" i="55" s="1"/>
  <c r="P55" i="55"/>
  <c r="Q55" i="55" s="1"/>
  <c r="P49" i="55"/>
  <c r="Q49" i="55" s="1"/>
  <c r="P43" i="55"/>
  <c r="Q43" i="55" s="1"/>
  <c r="P98" i="55"/>
  <c r="Q98" i="55" s="1"/>
  <c r="P91" i="55"/>
  <c r="Q91" i="55" s="1"/>
  <c r="P95" i="55"/>
  <c r="Q95" i="55" s="1"/>
  <c r="P101" i="55"/>
  <c r="Q101" i="55" s="1"/>
  <c r="J81" i="54"/>
  <c r="K81" i="54" s="1"/>
  <c r="L81" i="54" s="1"/>
  <c r="J75" i="54"/>
  <c r="K75" i="54" s="1"/>
  <c r="L75" i="54" s="1"/>
  <c r="J69" i="54"/>
  <c r="K69" i="54" s="1"/>
  <c r="L69" i="54" s="1"/>
  <c r="J60" i="54"/>
  <c r="K60" i="54" s="1"/>
  <c r="L60" i="54" s="1"/>
  <c r="J54" i="54"/>
  <c r="K54" i="54" s="1"/>
  <c r="L54" i="54" s="1"/>
  <c r="J45" i="54"/>
  <c r="K45" i="54" s="1"/>
  <c r="L45" i="54" s="1"/>
  <c r="J84" i="54"/>
  <c r="K84" i="54" s="1"/>
  <c r="L84" i="54" s="1"/>
  <c r="J78" i="54"/>
  <c r="K78" i="54" s="1"/>
  <c r="L78" i="54" s="1"/>
  <c r="J63" i="54"/>
  <c r="K63" i="54" s="1"/>
  <c r="L63" i="54" s="1"/>
  <c r="J72" i="54"/>
  <c r="K72" i="54" s="1"/>
  <c r="L72" i="54" s="1"/>
  <c r="J57" i="54"/>
  <c r="K57" i="54" s="1"/>
  <c r="L57" i="54" s="1"/>
  <c r="J66" i="54"/>
  <c r="K66" i="54" s="1"/>
  <c r="L66" i="54" s="1"/>
  <c r="J51" i="54"/>
  <c r="K51" i="54" s="1"/>
  <c r="L51" i="54" s="1"/>
  <c r="J39" i="54"/>
  <c r="K39" i="54" s="1"/>
  <c r="L39" i="54" s="1"/>
  <c r="J42" i="54"/>
  <c r="K42" i="54" s="1"/>
  <c r="L42" i="54" s="1"/>
  <c r="J48" i="54"/>
  <c r="K48" i="54" s="1"/>
  <c r="L48" i="54" s="1"/>
  <c r="J87" i="54"/>
  <c r="K87" i="54" s="1"/>
  <c r="L87" i="54" s="1"/>
  <c r="J97" i="54"/>
  <c r="K97" i="54" s="1"/>
  <c r="L97" i="54" s="1"/>
  <c r="J91" i="54"/>
  <c r="K91" i="54" s="1"/>
  <c r="L91" i="54" s="1"/>
  <c r="J100" i="54"/>
  <c r="K100" i="54" s="1"/>
  <c r="L100" i="54" s="1"/>
  <c r="J94" i="54"/>
  <c r="K94" i="54" s="1"/>
  <c r="L94" i="54" s="1"/>
  <c r="V84" i="54"/>
  <c r="W84" i="54" s="1"/>
  <c r="X84" i="54" s="1"/>
  <c r="V78" i="54"/>
  <c r="W78" i="54" s="1"/>
  <c r="X78" i="54" s="1"/>
  <c r="V72" i="54"/>
  <c r="W72" i="54" s="1"/>
  <c r="X72" i="54" s="1"/>
  <c r="V57" i="54"/>
  <c r="W57" i="54" s="1"/>
  <c r="X57" i="54" s="1"/>
  <c r="V81" i="54"/>
  <c r="W81" i="54" s="1"/>
  <c r="X81" i="54" s="1"/>
  <c r="V75" i="54"/>
  <c r="W75" i="54" s="1"/>
  <c r="X75" i="54" s="1"/>
  <c r="V66" i="54"/>
  <c r="W66" i="54" s="1"/>
  <c r="X66" i="54" s="1"/>
  <c r="V51" i="54"/>
  <c r="W51" i="54" s="1"/>
  <c r="X51" i="54" s="1"/>
  <c r="V42" i="54"/>
  <c r="W42" i="54" s="1"/>
  <c r="X42" i="54" s="1"/>
  <c r="V69" i="54"/>
  <c r="W69" i="54" s="1"/>
  <c r="X69" i="54" s="1"/>
  <c r="V54" i="54"/>
  <c r="W54" i="54" s="1"/>
  <c r="X54" i="54" s="1"/>
  <c r="V39" i="54"/>
  <c r="W39" i="54" s="1"/>
  <c r="X39" i="54" s="1"/>
  <c r="V63" i="54"/>
  <c r="W63" i="54" s="1"/>
  <c r="X63" i="54" s="1"/>
  <c r="V60" i="54"/>
  <c r="W60" i="54" s="1"/>
  <c r="X60" i="54" s="1"/>
  <c r="V45" i="54"/>
  <c r="W45" i="54" s="1"/>
  <c r="X45" i="54" s="1"/>
  <c r="V48" i="54"/>
  <c r="W48" i="54" s="1"/>
  <c r="X48" i="54" s="1"/>
  <c r="V91" i="54"/>
  <c r="W91" i="54" s="1"/>
  <c r="X91" i="54" s="1"/>
  <c r="V87" i="54"/>
  <c r="W87" i="54" s="1"/>
  <c r="X87" i="54" s="1"/>
  <c r="V100" i="54"/>
  <c r="W100" i="54" s="1"/>
  <c r="X100" i="54" s="1"/>
  <c r="V94" i="54"/>
  <c r="W94" i="54" s="1"/>
  <c r="X94" i="54" s="1"/>
  <c r="V97" i="54"/>
  <c r="W97" i="54" s="1"/>
  <c r="X97" i="54" s="1"/>
  <c r="M101" i="54"/>
  <c r="N101" i="54" s="1"/>
  <c r="M95" i="54"/>
  <c r="N95" i="54" s="1"/>
  <c r="M88" i="54"/>
  <c r="N88" i="54" s="1"/>
  <c r="M79" i="54"/>
  <c r="N79" i="54" s="1"/>
  <c r="M73" i="54"/>
  <c r="N73" i="54" s="1"/>
  <c r="M64" i="54"/>
  <c r="N64" i="54" s="1"/>
  <c r="M49" i="54"/>
  <c r="N49" i="54" s="1"/>
  <c r="M85" i="54"/>
  <c r="N85" i="54" s="1"/>
  <c r="M67" i="54"/>
  <c r="N67" i="54" s="1"/>
  <c r="M58" i="54"/>
  <c r="N58" i="54" s="1"/>
  <c r="M43" i="54"/>
  <c r="N43" i="54" s="1"/>
  <c r="M92" i="54"/>
  <c r="N92" i="54" s="1"/>
  <c r="M98" i="54"/>
  <c r="N98" i="54" s="1"/>
  <c r="M76" i="54"/>
  <c r="N76" i="54" s="1"/>
  <c r="M61" i="54"/>
  <c r="N61" i="54" s="1"/>
  <c r="M46" i="54"/>
  <c r="N46" i="54" s="1"/>
  <c r="M82" i="54"/>
  <c r="N82" i="54" s="1"/>
  <c r="M52" i="54"/>
  <c r="N52" i="54" s="1"/>
  <c r="M40" i="54"/>
  <c r="N40" i="54" s="1"/>
  <c r="M70" i="54"/>
  <c r="N70" i="54" s="1"/>
  <c r="M55" i="54"/>
  <c r="N55" i="54" s="1"/>
  <c r="J101" i="54"/>
  <c r="K101" i="54" s="1"/>
  <c r="J98" i="54"/>
  <c r="K98" i="54" s="1"/>
  <c r="J92" i="54"/>
  <c r="K92" i="54" s="1"/>
  <c r="J82" i="54"/>
  <c r="K82" i="54" s="1"/>
  <c r="J76" i="54"/>
  <c r="K76" i="54" s="1"/>
  <c r="J52" i="54"/>
  <c r="K52" i="54" s="1"/>
  <c r="J95" i="54"/>
  <c r="K95" i="54" s="1"/>
  <c r="J88" i="54"/>
  <c r="K88" i="54" s="1"/>
  <c r="J70" i="54"/>
  <c r="K70" i="54" s="1"/>
  <c r="J61" i="54"/>
  <c r="K61" i="54" s="1"/>
  <c r="J55" i="54"/>
  <c r="K55" i="54" s="1"/>
  <c r="J46" i="54"/>
  <c r="K46" i="54" s="1"/>
  <c r="J40" i="54"/>
  <c r="K40" i="54" s="1"/>
  <c r="J67" i="54"/>
  <c r="K67" i="54" s="1"/>
  <c r="J73" i="54"/>
  <c r="K73" i="54" s="1"/>
  <c r="J58" i="54"/>
  <c r="K58" i="54" s="1"/>
  <c r="J43" i="54"/>
  <c r="K43" i="54" s="1"/>
  <c r="J79" i="54"/>
  <c r="K79" i="54" s="1"/>
  <c r="J64" i="54"/>
  <c r="K64" i="54" s="1"/>
  <c r="J49" i="54"/>
  <c r="K49" i="54" s="1"/>
  <c r="J85" i="54"/>
  <c r="K85" i="54" s="1"/>
  <c r="M84" i="54"/>
  <c r="N84" i="54" s="1"/>
  <c r="O84" i="54" s="1"/>
  <c r="M78" i="54"/>
  <c r="N78" i="54" s="1"/>
  <c r="O78" i="54" s="1"/>
  <c r="M72" i="54"/>
  <c r="N72" i="54" s="1"/>
  <c r="O72" i="54" s="1"/>
  <c r="M63" i="54"/>
  <c r="N63" i="54" s="1"/>
  <c r="O63" i="54" s="1"/>
  <c r="M48" i="54"/>
  <c r="N48" i="54" s="1"/>
  <c r="O48" i="54" s="1"/>
  <c r="M57" i="54"/>
  <c r="N57" i="54" s="1"/>
  <c r="O57" i="54" s="1"/>
  <c r="M81" i="54"/>
  <c r="N81" i="54" s="1"/>
  <c r="O81" i="54" s="1"/>
  <c r="M42" i="54"/>
  <c r="N42" i="54" s="1"/>
  <c r="O42" i="54" s="1"/>
  <c r="M60" i="54"/>
  <c r="N60" i="54" s="1"/>
  <c r="O60" i="54" s="1"/>
  <c r="M45" i="54"/>
  <c r="N45" i="54" s="1"/>
  <c r="O45" i="54" s="1"/>
  <c r="M75" i="54"/>
  <c r="N75" i="54" s="1"/>
  <c r="O75" i="54" s="1"/>
  <c r="M69" i="54"/>
  <c r="N69" i="54" s="1"/>
  <c r="O69" i="54" s="1"/>
  <c r="M54" i="54"/>
  <c r="N54" i="54" s="1"/>
  <c r="O54" i="54" s="1"/>
  <c r="M66" i="54"/>
  <c r="N66" i="54" s="1"/>
  <c r="O66" i="54" s="1"/>
  <c r="M51" i="54"/>
  <c r="N51" i="54" s="1"/>
  <c r="O51" i="54" s="1"/>
  <c r="M39" i="54"/>
  <c r="N39" i="54" s="1"/>
  <c r="O39" i="54" s="1"/>
  <c r="M97" i="54"/>
  <c r="N97" i="54" s="1"/>
  <c r="O97" i="54" s="1"/>
  <c r="M91" i="54"/>
  <c r="N91" i="54" s="1"/>
  <c r="O91" i="54" s="1"/>
  <c r="M100" i="54"/>
  <c r="N100" i="54" s="1"/>
  <c r="O100" i="54" s="1"/>
  <c r="M94" i="54"/>
  <c r="N94" i="54" s="1"/>
  <c r="O94" i="54" s="1"/>
  <c r="M87" i="54"/>
  <c r="N87" i="54" s="1"/>
  <c r="O87" i="54" s="1"/>
  <c r="P73" i="54"/>
  <c r="Q73" i="54" s="1"/>
  <c r="P61" i="54"/>
  <c r="Q61" i="54" s="1"/>
  <c r="P49" i="54"/>
  <c r="Q49" i="54" s="1"/>
  <c r="P82" i="54"/>
  <c r="Q82" i="54" s="1"/>
  <c r="P76" i="54"/>
  <c r="Q76" i="54" s="1"/>
  <c r="P70" i="54"/>
  <c r="Q70" i="54" s="1"/>
  <c r="P64" i="54"/>
  <c r="Q64" i="54" s="1"/>
  <c r="P58" i="54"/>
  <c r="Q58" i="54" s="1"/>
  <c r="P52" i="54"/>
  <c r="Q52" i="54" s="1"/>
  <c r="P46" i="54"/>
  <c r="Q46" i="54" s="1"/>
  <c r="P40" i="54"/>
  <c r="Q40" i="54" s="1"/>
  <c r="P85" i="54"/>
  <c r="Q85" i="54" s="1"/>
  <c r="P67" i="54"/>
  <c r="Q67" i="54" s="1"/>
  <c r="P55" i="54"/>
  <c r="Q55" i="54" s="1"/>
  <c r="P43" i="54"/>
  <c r="Q43" i="54" s="1"/>
  <c r="P79" i="54"/>
  <c r="Q79" i="54" s="1"/>
  <c r="P101" i="54"/>
  <c r="Q101" i="54" s="1"/>
  <c r="P95" i="54"/>
  <c r="Q95" i="54" s="1"/>
  <c r="P88" i="54"/>
  <c r="Q88" i="54" s="1"/>
  <c r="P98" i="54"/>
  <c r="Q98" i="54" s="1"/>
  <c r="P92" i="54"/>
  <c r="Q92" i="54" s="1"/>
  <c r="S81" i="54"/>
  <c r="T81" i="54" s="1"/>
  <c r="U81" i="54" s="1"/>
  <c r="S75" i="54"/>
  <c r="T75" i="54" s="1"/>
  <c r="U75" i="54" s="1"/>
  <c r="S69" i="54"/>
  <c r="T69" i="54" s="1"/>
  <c r="U69" i="54" s="1"/>
  <c r="S60" i="54"/>
  <c r="T60" i="54" s="1"/>
  <c r="U60" i="54" s="1"/>
  <c r="S54" i="54"/>
  <c r="T54" i="54" s="1"/>
  <c r="U54" i="54" s="1"/>
  <c r="S45" i="54"/>
  <c r="T45" i="54" s="1"/>
  <c r="U45" i="54" s="1"/>
  <c r="S84" i="54"/>
  <c r="T84" i="54" s="1"/>
  <c r="U84" i="54" s="1"/>
  <c r="S78" i="54"/>
  <c r="T78" i="54" s="1"/>
  <c r="U78" i="54" s="1"/>
  <c r="S72" i="54"/>
  <c r="T72" i="54" s="1"/>
  <c r="U72" i="54" s="1"/>
  <c r="S63" i="54"/>
  <c r="T63" i="54" s="1"/>
  <c r="U63" i="54" s="1"/>
  <c r="S48" i="54"/>
  <c r="T48" i="54" s="1"/>
  <c r="U48" i="54" s="1"/>
  <c r="S66" i="54"/>
  <c r="T66" i="54" s="1"/>
  <c r="U66" i="54" s="1"/>
  <c r="S51" i="54"/>
  <c r="T51" i="54" s="1"/>
  <c r="U51" i="54" s="1"/>
  <c r="S39" i="54"/>
  <c r="T39" i="54" s="1"/>
  <c r="U39" i="54" s="1"/>
  <c r="S57" i="54"/>
  <c r="T57" i="54" s="1"/>
  <c r="U57" i="54" s="1"/>
  <c r="S42" i="54"/>
  <c r="T42" i="54" s="1"/>
  <c r="U42" i="54" s="1"/>
  <c r="S94" i="54"/>
  <c r="T94" i="54" s="1"/>
  <c r="U94" i="54" s="1"/>
  <c r="S87" i="54"/>
  <c r="T87" i="54" s="1"/>
  <c r="U87" i="54" s="1"/>
  <c r="S97" i="54"/>
  <c r="T97" i="54" s="1"/>
  <c r="U97" i="54" s="1"/>
  <c r="S91" i="54"/>
  <c r="T91" i="54" s="1"/>
  <c r="U91" i="54" s="1"/>
  <c r="S100" i="54"/>
  <c r="T100" i="54" s="1"/>
  <c r="U100" i="54" s="1"/>
  <c r="V101" i="54"/>
  <c r="W101" i="54" s="1"/>
  <c r="V82" i="54"/>
  <c r="W82" i="54" s="1"/>
  <c r="V76" i="54"/>
  <c r="W76" i="54" s="1"/>
  <c r="V95" i="54"/>
  <c r="W95" i="54" s="1"/>
  <c r="V88" i="54"/>
  <c r="W88" i="54" s="1"/>
  <c r="V70" i="54"/>
  <c r="W70" i="54" s="1"/>
  <c r="V55" i="54"/>
  <c r="W55" i="54" s="1"/>
  <c r="V46" i="54"/>
  <c r="W46" i="54" s="1"/>
  <c r="V79" i="54"/>
  <c r="W79" i="54" s="1"/>
  <c r="V73" i="54"/>
  <c r="W73" i="54" s="1"/>
  <c r="V64" i="54"/>
  <c r="W64" i="54" s="1"/>
  <c r="V49" i="54"/>
  <c r="W49" i="54" s="1"/>
  <c r="V98" i="54"/>
  <c r="W98" i="54" s="1"/>
  <c r="V67" i="54"/>
  <c r="W67" i="54" s="1"/>
  <c r="V52" i="54"/>
  <c r="W52" i="54" s="1"/>
  <c r="V40" i="54"/>
  <c r="W40" i="54" s="1"/>
  <c r="V92" i="54"/>
  <c r="W92" i="54" s="1"/>
  <c r="V85" i="54"/>
  <c r="W85" i="54" s="1"/>
  <c r="V58" i="54"/>
  <c r="W58" i="54" s="1"/>
  <c r="V43" i="54"/>
  <c r="W43" i="54" s="1"/>
  <c r="V61" i="54"/>
  <c r="W61" i="54" s="1"/>
  <c r="P94" i="54"/>
  <c r="Q94" i="54" s="1"/>
  <c r="R94" i="54" s="1"/>
  <c r="P84" i="54"/>
  <c r="Q84" i="54" s="1"/>
  <c r="R84" i="54" s="1"/>
  <c r="P78" i="54"/>
  <c r="Q78" i="54" s="1"/>
  <c r="R78" i="54" s="1"/>
  <c r="P72" i="54"/>
  <c r="Q72" i="54" s="1"/>
  <c r="R72" i="54" s="1"/>
  <c r="P66" i="54"/>
  <c r="Q66" i="54" s="1"/>
  <c r="R66" i="54" s="1"/>
  <c r="P60" i="54"/>
  <c r="Q60" i="54" s="1"/>
  <c r="R60" i="54" s="1"/>
  <c r="P54" i="54"/>
  <c r="Q54" i="54" s="1"/>
  <c r="R54" i="54" s="1"/>
  <c r="P48" i="54"/>
  <c r="Q48" i="54" s="1"/>
  <c r="R48" i="54" s="1"/>
  <c r="P42" i="54"/>
  <c r="Q42" i="54" s="1"/>
  <c r="R42" i="54" s="1"/>
  <c r="P97" i="54"/>
  <c r="Q97" i="54" s="1"/>
  <c r="R97" i="54" s="1"/>
  <c r="P91" i="54"/>
  <c r="Q91" i="54" s="1"/>
  <c r="R91" i="54" s="1"/>
  <c r="P100" i="54"/>
  <c r="Q100" i="54" s="1"/>
  <c r="R100" i="54" s="1"/>
  <c r="P87" i="54"/>
  <c r="Q87" i="54" s="1"/>
  <c r="R87" i="54" s="1"/>
  <c r="P81" i="54"/>
  <c r="Q81" i="54" s="1"/>
  <c r="R81" i="54" s="1"/>
  <c r="P75" i="54"/>
  <c r="Q75" i="54" s="1"/>
  <c r="R75" i="54" s="1"/>
  <c r="P69" i="54"/>
  <c r="Q69" i="54" s="1"/>
  <c r="R69" i="54" s="1"/>
  <c r="P63" i="54"/>
  <c r="Q63" i="54" s="1"/>
  <c r="R63" i="54" s="1"/>
  <c r="P57" i="54"/>
  <c r="Q57" i="54" s="1"/>
  <c r="R57" i="54" s="1"/>
  <c r="P51" i="54"/>
  <c r="Q51" i="54" s="1"/>
  <c r="R51" i="54" s="1"/>
  <c r="P45" i="54"/>
  <c r="Q45" i="54" s="1"/>
  <c r="R45" i="54" s="1"/>
  <c r="P39" i="54"/>
  <c r="Q39" i="54" s="1"/>
  <c r="R39" i="54" s="1"/>
  <c r="S98" i="54"/>
  <c r="T98" i="54" s="1"/>
  <c r="S92" i="54"/>
  <c r="T92" i="54" s="1"/>
  <c r="S85" i="54"/>
  <c r="T85" i="54" s="1"/>
  <c r="S82" i="54"/>
  <c r="T82" i="54" s="1"/>
  <c r="S76" i="54"/>
  <c r="T76" i="54" s="1"/>
  <c r="S101" i="54"/>
  <c r="T101" i="54" s="1"/>
  <c r="S95" i="54"/>
  <c r="T95" i="54" s="1"/>
  <c r="S88" i="54"/>
  <c r="T88" i="54" s="1"/>
  <c r="S70" i="54"/>
  <c r="T70" i="54" s="1"/>
  <c r="S61" i="54"/>
  <c r="T61" i="54" s="1"/>
  <c r="S55" i="54"/>
  <c r="T55" i="54" s="1"/>
  <c r="S46" i="54"/>
  <c r="T46" i="54" s="1"/>
  <c r="S73" i="54"/>
  <c r="T73" i="54" s="1"/>
  <c r="S64" i="54"/>
  <c r="T64" i="54" s="1"/>
  <c r="S49" i="54"/>
  <c r="T49" i="54" s="1"/>
  <c r="S40" i="54"/>
  <c r="T40" i="54" s="1"/>
  <c r="S79" i="54"/>
  <c r="T79" i="54" s="1"/>
  <c r="S67" i="54"/>
  <c r="T67" i="54" s="1"/>
  <c r="S52" i="54"/>
  <c r="T52" i="54" s="1"/>
  <c r="S58" i="54"/>
  <c r="T58" i="54" s="1"/>
  <c r="S43" i="54"/>
  <c r="T43" i="54" s="1"/>
  <c r="J81" i="53"/>
  <c r="K81" i="53" s="1"/>
  <c r="L81" i="53" s="1"/>
  <c r="J75" i="53"/>
  <c r="K75" i="53" s="1"/>
  <c r="L75" i="53" s="1"/>
  <c r="J69" i="53"/>
  <c r="K69" i="53" s="1"/>
  <c r="L69" i="53" s="1"/>
  <c r="J63" i="53"/>
  <c r="K63" i="53" s="1"/>
  <c r="L63" i="53" s="1"/>
  <c r="J57" i="53"/>
  <c r="K57" i="53" s="1"/>
  <c r="L57" i="53" s="1"/>
  <c r="J48" i="53"/>
  <c r="K48" i="53" s="1"/>
  <c r="L48" i="53" s="1"/>
  <c r="J72" i="53"/>
  <c r="K72" i="53" s="1"/>
  <c r="L72" i="53" s="1"/>
  <c r="J42" i="53"/>
  <c r="K42" i="53" s="1"/>
  <c r="L42" i="53" s="1"/>
  <c r="J66" i="53"/>
  <c r="K66" i="53" s="1"/>
  <c r="L66" i="53" s="1"/>
  <c r="J45" i="53"/>
  <c r="K45" i="53" s="1"/>
  <c r="L45" i="53" s="1"/>
  <c r="J54" i="53"/>
  <c r="K54" i="53" s="1"/>
  <c r="L54" i="53" s="1"/>
  <c r="J60" i="53"/>
  <c r="K60" i="53" s="1"/>
  <c r="L60" i="53" s="1"/>
  <c r="J51" i="53"/>
  <c r="K51" i="53" s="1"/>
  <c r="L51" i="53" s="1"/>
  <c r="J39" i="53"/>
  <c r="K39" i="53" s="1"/>
  <c r="L39" i="53" s="1"/>
  <c r="J78" i="53"/>
  <c r="K78" i="53" s="1"/>
  <c r="L78" i="53" s="1"/>
  <c r="J91" i="53"/>
  <c r="K91" i="53" s="1"/>
  <c r="L91" i="53" s="1"/>
  <c r="J100" i="53"/>
  <c r="K100" i="53" s="1"/>
  <c r="L100" i="53" s="1"/>
  <c r="J84" i="53"/>
  <c r="K84" i="53" s="1"/>
  <c r="L84" i="53" s="1"/>
  <c r="J94" i="53"/>
  <c r="K94" i="53" s="1"/>
  <c r="L94" i="53" s="1"/>
  <c r="J88" i="53"/>
  <c r="K88" i="53" s="1"/>
  <c r="L88" i="53" s="1"/>
  <c r="J97" i="53"/>
  <c r="K97" i="53" s="1"/>
  <c r="L97" i="53" s="1"/>
  <c r="M82" i="53"/>
  <c r="N82" i="53" s="1"/>
  <c r="M40" i="53"/>
  <c r="N40" i="53" s="1"/>
  <c r="M101" i="53"/>
  <c r="N101" i="53" s="1"/>
  <c r="M79" i="53"/>
  <c r="N79" i="53" s="1"/>
  <c r="M70" i="53"/>
  <c r="N70" i="53" s="1"/>
  <c r="M55" i="53"/>
  <c r="N55" i="53" s="1"/>
  <c r="M43" i="53"/>
  <c r="N43" i="53" s="1"/>
  <c r="M98" i="53"/>
  <c r="N98" i="53" s="1"/>
  <c r="M95" i="53"/>
  <c r="N95" i="53" s="1"/>
  <c r="M73" i="53"/>
  <c r="N73" i="53" s="1"/>
  <c r="M64" i="53"/>
  <c r="N64" i="53" s="1"/>
  <c r="M46" i="53"/>
  <c r="N46" i="53" s="1"/>
  <c r="M92" i="53"/>
  <c r="N92" i="53" s="1"/>
  <c r="M67" i="53"/>
  <c r="N67" i="53" s="1"/>
  <c r="M58" i="53"/>
  <c r="N58" i="53" s="1"/>
  <c r="M49" i="53"/>
  <c r="N49" i="53" s="1"/>
  <c r="M85" i="53"/>
  <c r="N85" i="53" s="1"/>
  <c r="M76" i="53"/>
  <c r="N76" i="53" s="1"/>
  <c r="M89" i="53"/>
  <c r="N89" i="53" s="1"/>
  <c r="M61" i="53"/>
  <c r="N61" i="53" s="1"/>
  <c r="M52" i="53"/>
  <c r="N52" i="53" s="1"/>
  <c r="P73" i="53"/>
  <c r="Q73" i="53" s="1"/>
  <c r="P61" i="53"/>
  <c r="Q61" i="53" s="1"/>
  <c r="P49" i="53"/>
  <c r="Q49" i="53" s="1"/>
  <c r="P82" i="53"/>
  <c r="Q82" i="53" s="1"/>
  <c r="P76" i="53"/>
  <c r="Q76" i="53" s="1"/>
  <c r="P70" i="53"/>
  <c r="Q70" i="53" s="1"/>
  <c r="P64" i="53"/>
  <c r="Q64" i="53" s="1"/>
  <c r="P58" i="53"/>
  <c r="Q58" i="53" s="1"/>
  <c r="P52" i="53"/>
  <c r="Q52" i="53" s="1"/>
  <c r="P46" i="53"/>
  <c r="Q46" i="53" s="1"/>
  <c r="P40" i="53"/>
  <c r="Q40" i="53" s="1"/>
  <c r="P79" i="53"/>
  <c r="Q79" i="53" s="1"/>
  <c r="P67" i="53"/>
  <c r="Q67" i="53" s="1"/>
  <c r="P55" i="53"/>
  <c r="Q55" i="53" s="1"/>
  <c r="P43" i="53"/>
  <c r="Q43" i="53" s="1"/>
  <c r="P101" i="53"/>
  <c r="Q101" i="53" s="1"/>
  <c r="P95" i="53"/>
  <c r="Q95" i="53" s="1"/>
  <c r="P89" i="53"/>
  <c r="Q89" i="53" s="1"/>
  <c r="P98" i="53"/>
  <c r="Q98" i="53" s="1"/>
  <c r="P92" i="53"/>
  <c r="Q92" i="53" s="1"/>
  <c r="P85" i="53"/>
  <c r="Q85" i="53" s="1"/>
  <c r="P97" i="53"/>
  <c r="Q97" i="53" s="1"/>
  <c r="R97" i="53" s="1"/>
  <c r="P84" i="53"/>
  <c r="Q84" i="53" s="1"/>
  <c r="R84" i="53" s="1"/>
  <c r="P78" i="53"/>
  <c r="Q78" i="53" s="1"/>
  <c r="R78" i="53" s="1"/>
  <c r="P72" i="53"/>
  <c r="Q72" i="53" s="1"/>
  <c r="R72" i="53" s="1"/>
  <c r="P66" i="53"/>
  <c r="Q66" i="53" s="1"/>
  <c r="R66" i="53" s="1"/>
  <c r="P60" i="53"/>
  <c r="Q60" i="53" s="1"/>
  <c r="R60" i="53" s="1"/>
  <c r="P54" i="53"/>
  <c r="Q54" i="53" s="1"/>
  <c r="R54" i="53" s="1"/>
  <c r="P48" i="53"/>
  <c r="Q48" i="53" s="1"/>
  <c r="R48" i="53" s="1"/>
  <c r="P42" i="53"/>
  <c r="Q42" i="53" s="1"/>
  <c r="R42" i="53" s="1"/>
  <c r="P81" i="53"/>
  <c r="Q81" i="53" s="1"/>
  <c r="R81" i="53" s="1"/>
  <c r="P75" i="53"/>
  <c r="Q75" i="53" s="1"/>
  <c r="R75" i="53" s="1"/>
  <c r="P63" i="53"/>
  <c r="Q63" i="53" s="1"/>
  <c r="R63" i="53" s="1"/>
  <c r="P51" i="53"/>
  <c r="Q51" i="53" s="1"/>
  <c r="R51" i="53" s="1"/>
  <c r="P39" i="53"/>
  <c r="Q39" i="53" s="1"/>
  <c r="R39" i="53" s="1"/>
  <c r="P88" i="53"/>
  <c r="Q88" i="53" s="1"/>
  <c r="R88" i="53" s="1"/>
  <c r="P94" i="53"/>
  <c r="Q94" i="53" s="1"/>
  <c r="R94" i="53" s="1"/>
  <c r="P91" i="53"/>
  <c r="Q91" i="53" s="1"/>
  <c r="R91" i="53" s="1"/>
  <c r="P69" i="53"/>
  <c r="Q69" i="53" s="1"/>
  <c r="R69" i="53" s="1"/>
  <c r="P57" i="53"/>
  <c r="Q57" i="53" s="1"/>
  <c r="R57" i="53" s="1"/>
  <c r="P45" i="53"/>
  <c r="Q45" i="53" s="1"/>
  <c r="R45" i="53" s="1"/>
  <c r="P100" i="53"/>
  <c r="Q100" i="53" s="1"/>
  <c r="R100" i="53" s="1"/>
  <c r="S98" i="53"/>
  <c r="T98" i="53" s="1"/>
  <c r="S92" i="53"/>
  <c r="T92" i="53" s="1"/>
  <c r="S85" i="53"/>
  <c r="T85" i="53" s="1"/>
  <c r="S49" i="53"/>
  <c r="T49" i="53" s="1"/>
  <c r="S89" i="53"/>
  <c r="T89" i="53" s="1"/>
  <c r="S73" i="53"/>
  <c r="T73" i="53" s="1"/>
  <c r="S58" i="53"/>
  <c r="T58" i="53" s="1"/>
  <c r="S46" i="53"/>
  <c r="T46" i="53" s="1"/>
  <c r="S82" i="53"/>
  <c r="T82" i="53" s="1"/>
  <c r="S76" i="53"/>
  <c r="T76" i="53" s="1"/>
  <c r="S67" i="53"/>
  <c r="T67" i="53" s="1"/>
  <c r="S52" i="53"/>
  <c r="T52" i="53" s="1"/>
  <c r="S101" i="53"/>
  <c r="T101" i="53" s="1"/>
  <c r="S95" i="53"/>
  <c r="T95" i="53" s="1"/>
  <c r="S64" i="53"/>
  <c r="T64" i="53" s="1"/>
  <c r="S55" i="53"/>
  <c r="T55" i="53" s="1"/>
  <c r="S40" i="53"/>
  <c r="T40" i="53" s="1"/>
  <c r="S70" i="53"/>
  <c r="T70" i="53" s="1"/>
  <c r="S61" i="53"/>
  <c r="T61" i="53" s="1"/>
  <c r="S79" i="53"/>
  <c r="T79" i="53" s="1"/>
  <c r="S43" i="53"/>
  <c r="T43" i="53" s="1"/>
  <c r="V78" i="53"/>
  <c r="W78" i="53" s="1"/>
  <c r="X78" i="53" s="1"/>
  <c r="V72" i="53"/>
  <c r="W72" i="53" s="1"/>
  <c r="X72" i="53" s="1"/>
  <c r="V66" i="53"/>
  <c r="W66" i="53" s="1"/>
  <c r="X66" i="53" s="1"/>
  <c r="V60" i="53"/>
  <c r="W60" i="53" s="1"/>
  <c r="X60" i="53" s="1"/>
  <c r="V54" i="53"/>
  <c r="W54" i="53" s="1"/>
  <c r="X54" i="53" s="1"/>
  <c r="V42" i="53"/>
  <c r="W42" i="53" s="1"/>
  <c r="X42" i="53" s="1"/>
  <c r="V81" i="53"/>
  <c r="W81" i="53" s="1"/>
  <c r="X81" i="53" s="1"/>
  <c r="V57" i="53"/>
  <c r="W57" i="53" s="1"/>
  <c r="X57" i="53" s="1"/>
  <c r="V48" i="53"/>
  <c r="W48" i="53" s="1"/>
  <c r="X48" i="53" s="1"/>
  <c r="V45" i="53"/>
  <c r="W45" i="53" s="1"/>
  <c r="X45" i="53" s="1"/>
  <c r="V75" i="53"/>
  <c r="W75" i="53" s="1"/>
  <c r="X75" i="53" s="1"/>
  <c r="V51" i="53"/>
  <c r="W51" i="53" s="1"/>
  <c r="X51" i="53" s="1"/>
  <c r="V69" i="53"/>
  <c r="W69" i="53" s="1"/>
  <c r="X69" i="53" s="1"/>
  <c r="V63" i="53"/>
  <c r="W63" i="53" s="1"/>
  <c r="X63" i="53" s="1"/>
  <c r="V39" i="53"/>
  <c r="W39" i="53" s="1"/>
  <c r="X39" i="53" s="1"/>
  <c r="V100" i="53"/>
  <c r="W100" i="53" s="1"/>
  <c r="X100" i="53" s="1"/>
  <c r="V94" i="53"/>
  <c r="W94" i="53" s="1"/>
  <c r="X94" i="53" s="1"/>
  <c r="V88" i="53"/>
  <c r="W88" i="53" s="1"/>
  <c r="X88" i="53" s="1"/>
  <c r="V97" i="53"/>
  <c r="W97" i="53" s="1"/>
  <c r="X97" i="53" s="1"/>
  <c r="V91" i="53"/>
  <c r="W91" i="53" s="1"/>
  <c r="X91" i="53" s="1"/>
  <c r="V84" i="53"/>
  <c r="W84" i="53" s="1"/>
  <c r="X84" i="53" s="1"/>
  <c r="M81" i="53"/>
  <c r="N81" i="53" s="1"/>
  <c r="O81" i="53" s="1"/>
  <c r="M66" i="53"/>
  <c r="N66" i="53" s="1"/>
  <c r="O66" i="53" s="1"/>
  <c r="M57" i="53"/>
  <c r="N57" i="53" s="1"/>
  <c r="O57" i="53" s="1"/>
  <c r="M45" i="53"/>
  <c r="N45" i="53" s="1"/>
  <c r="O45" i="53" s="1"/>
  <c r="M39" i="53"/>
  <c r="N39" i="53" s="1"/>
  <c r="O39" i="53" s="1"/>
  <c r="M75" i="53"/>
  <c r="N75" i="53" s="1"/>
  <c r="O75" i="53" s="1"/>
  <c r="M60" i="53"/>
  <c r="N60" i="53" s="1"/>
  <c r="O60" i="53" s="1"/>
  <c r="M51" i="53"/>
  <c r="N51" i="53" s="1"/>
  <c r="O51" i="53" s="1"/>
  <c r="M48" i="53"/>
  <c r="N48" i="53" s="1"/>
  <c r="O48" i="53" s="1"/>
  <c r="M54" i="53"/>
  <c r="N54" i="53" s="1"/>
  <c r="O54" i="53" s="1"/>
  <c r="M72" i="53"/>
  <c r="N72" i="53" s="1"/>
  <c r="O72" i="53" s="1"/>
  <c r="M63" i="53"/>
  <c r="N63" i="53" s="1"/>
  <c r="O63" i="53" s="1"/>
  <c r="M78" i="53"/>
  <c r="N78" i="53" s="1"/>
  <c r="O78" i="53" s="1"/>
  <c r="M69" i="53"/>
  <c r="N69" i="53" s="1"/>
  <c r="O69" i="53" s="1"/>
  <c r="M42" i="53"/>
  <c r="N42" i="53" s="1"/>
  <c r="O42" i="53" s="1"/>
  <c r="M100" i="53"/>
  <c r="N100" i="53" s="1"/>
  <c r="O100" i="53" s="1"/>
  <c r="M84" i="53"/>
  <c r="N84" i="53" s="1"/>
  <c r="O84" i="53" s="1"/>
  <c r="M94" i="53"/>
  <c r="N94" i="53" s="1"/>
  <c r="O94" i="53" s="1"/>
  <c r="M88" i="53"/>
  <c r="N88" i="53" s="1"/>
  <c r="O88" i="53" s="1"/>
  <c r="M97" i="53"/>
  <c r="N97" i="53" s="1"/>
  <c r="O97" i="53" s="1"/>
  <c r="M91" i="53"/>
  <c r="N91" i="53" s="1"/>
  <c r="O91" i="53" s="1"/>
  <c r="S81" i="53"/>
  <c r="T81" i="53" s="1"/>
  <c r="U81" i="53" s="1"/>
  <c r="S75" i="53"/>
  <c r="T75" i="53" s="1"/>
  <c r="U75" i="53" s="1"/>
  <c r="S69" i="53"/>
  <c r="T69" i="53" s="1"/>
  <c r="U69" i="53" s="1"/>
  <c r="S63" i="53"/>
  <c r="T63" i="53" s="1"/>
  <c r="U63" i="53" s="1"/>
  <c r="S57" i="53"/>
  <c r="T57" i="53" s="1"/>
  <c r="U57" i="53" s="1"/>
  <c r="S51" i="53"/>
  <c r="T51" i="53" s="1"/>
  <c r="U51" i="53" s="1"/>
  <c r="S78" i="53"/>
  <c r="T78" i="53" s="1"/>
  <c r="U78" i="53" s="1"/>
  <c r="S54" i="53"/>
  <c r="T54" i="53" s="1"/>
  <c r="U54" i="53" s="1"/>
  <c r="S39" i="53"/>
  <c r="T39" i="53" s="1"/>
  <c r="U39" i="53" s="1"/>
  <c r="S72" i="53"/>
  <c r="T72" i="53" s="1"/>
  <c r="U72" i="53" s="1"/>
  <c r="S42" i="53"/>
  <c r="T42" i="53" s="1"/>
  <c r="U42" i="53" s="1"/>
  <c r="S45" i="53"/>
  <c r="T45" i="53" s="1"/>
  <c r="U45" i="53" s="1"/>
  <c r="S60" i="53"/>
  <c r="T60" i="53" s="1"/>
  <c r="U60" i="53" s="1"/>
  <c r="S66" i="53"/>
  <c r="T66" i="53" s="1"/>
  <c r="U66" i="53" s="1"/>
  <c r="S48" i="53"/>
  <c r="T48" i="53" s="1"/>
  <c r="U48" i="53" s="1"/>
  <c r="S97" i="53"/>
  <c r="T97" i="53" s="1"/>
  <c r="U97" i="53" s="1"/>
  <c r="S91" i="53"/>
  <c r="T91" i="53" s="1"/>
  <c r="U91" i="53" s="1"/>
  <c r="S84" i="53"/>
  <c r="T84" i="53" s="1"/>
  <c r="U84" i="53" s="1"/>
  <c r="S100" i="53"/>
  <c r="T100" i="53" s="1"/>
  <c r="U100" i="53" s="1"/>
  <c r="S94" i="53"/>
  <c r="T94" i="53" s="1"/>
  <c r="U94" i="53" s="1"/>
  <c r="S88" i="53"/>
  <c r="T88" i="53" s="1"/>
  <c r="U88" i="53" s="1"/>
  <c r="J98" i="53"/>
  <c r="K98" i="53" s="1"/>
  <c r="J92" i="53"/>
  <c r="K92" i="53" s="1"/>
  <c r="J85" i="53"/>
  <c r="K85" i="53" s="1"/>
  <c r="J49" i="53"/>
  <c r="K49" i="53" s="1"/>
  <c r="J76" i="53"/>
  <c r="K76" i="53" s="1"/>
  <c r="J67" i="53"/>
  <c r="K67" i="53" s="1"/>
  <c r="J52" i="53"/>
  <c r="K52" i="53" s="1"/>
  <c r="J101" i="53"/>
  <c r="K101" i="53" s="1"/>
  <c r="J70" i="53"/>
  <c r="K70" i="53" s="1"/>
  <c r="J61" i="53"/>
  <c r="K61" i="53" s="1"/>
  <c r="J79" i="53"/>
  <c r="K79" i="53" s="1"/>
  <c r="J58" i="53"/>
  <c r="K58" i="53" s="1"/>
  <c r="J43" i="53"/>
  <c r="K43" i="53" s="1"/>
  <c r="J95" i="53"/>
  <c r="K95" i="53" s="1"/>
  <c r="J64" i="53"/>
  <c r="K64" i="53" s="1"/>
  <c r="J55" i="53"/>
  <c r="K55" i="53" s="1"/>
  <c r="J40" i="53"/>
  <c r="K40" i="53" s="1"/>
  <c r="J89" i="53"/>
  <c r="K89" i="53" s="1"/>
  <c r="J82" i="53"/>
  <c r="K82" i="53" s="1"/>
  <c r="J73" i="53"/>
  <c r="K73" i="53" s="1"/>
  <c r="J46" i="53"/>
  <c r="K46" i="53" s="1"/>
  <c r="V76" i="53"/>
  <c r="W76" i="53" s="1"/>
  <c r="V70" i="53"/>
  <c r="W70" i="53" s="1"/>
  <c r="V64" i="53"/>
  <c r="W64" i="53" s="1"/>
  <c r="V58" i="53"/>
  <c r="W58" i="53" s="1"/>
  <c r="V52" i="53"/>
  <c r="W52" i="53" s="1"/>
  <c r="V40" i="53"/>
  <c r="W40" i="53" s="1"/>
  <c r="V85" i="53"/>
  <c r="W85" i="53" s="1"/>
  <c r="V82" i="53"/>
  <c r="W82" i="53" s="1"/>
  <c r="V67" i="53"/>
  <c r="W67" i="53" s="1"/>
  <c r="V49" i="53"/>
  <c r="W49" i="53" s="1"/>
  <c r="V101" i="53"/>
  <c r="W101" i="53" s="1"/>
  <c r="V61" i="53"/>
  <c r="W61" i="53" s="1"/>
  <c r="V95" i="53"/>
  <c r="W95" i="53" s="1"/>
  <c r="V55" i="53"/>
  <c r="W55" i="53" s="1"/>
  <c r="V89" i="53"/>
  <c r="W89" i="53" s="1"/>
  <c r="V73" i="53"/>
  <c r="W73" i="53" s="1"/>
  <c r="V46" i="53"/>
  <c r="W46" i="53" s="1"/>
  <c r="V98" i="53"/>
  <c r="W98" i="53" s="1"/>
  <c r="V79" i="53"/>
  <c r="W79" i="53" s="1"/>
  <c r="V43" i="53"/>
  <c r="W43" i="53" s="1"/>
  <c r="V92" i="53"/>
  <c r="W92" i="53" s="1"/>
  <c r="M45" i="52"/>
  <c r="N45" i="52" s="1"/>
  <c r="O45" i="52" s="1"/>
  <c r="M42" i="52"/>
  <c r="N42" i="52" s="1"/>
  <c r="O42" i="52" s="1"/>
  <c r="M60" i="52"/>
  <c r="N60" i="52" s="1"/>
  <c r="O60" i="52" s="1"/>
  <c r="M78" i="52"/>
  <c r="N78" i="52" s="1"/>
  <c r="O78" i="52" s="1"/>
  <c r="M72" i="52"/>
  <c r="N72" i="52" s="1"/>
  <c r="O72" i="52" s="1"/>
  <c r="M66" i="52"/>
  <c r="N66" i="52" s="1"/>
  <c r="O66" i="52" s="1"/>
  <c r="M51" i="52"/>
  <c r="N51" i="52" s="1"/>
  <c r="O51" i="52" s="1"/>
  <c r="M39" i="52"/>
  <c r="N39" i="52" s="1"/>
  <c r="O39" i="52" s="1"/>
  <c r="M75" i="52"/>
  <c r="N75" i="52" s="1"/>
  <c r="O75" i="52" s="1"/>
  <c r="M69" i="52"/>
  <c r="N69" i="52" s="1"/>
  <c r="O69" i="52" s="1"/>
  <c r="M63" i="52"/>
  <c r="N63" i="52" s="1"/>
  <c r="O63" i="52" s="1"/>
  <c r="M48" i="52"/>
  <c r="N48" i="52" s="1"/>
  <c r="O48" i="52" s="1"/>
  <c r="M57" i="52"/>
  <c r="N57" i="52" s="1"/>
  <c r="O57" i="52" s="1"/>
  <c r="M54" i="52"/>
  <c r="N54" i="52" s="1"/>
  <c r="O54" i="52" s="1"/>
  <c r="M97" i="52"/>
  <c r="N97" i="52" s="1"/>
  <c r="O97" i="52" s="1"/>
  <c r="M81" i="52"/>
  <c r="N81" i="52" s="1"/>
  <c r="O81" i="52" s="1"/>
  <c r="M91" i="52"/>
  <c r="N91" i="52" s="1"/>
  <c r="O91" i="52" s="1"/>
  <c r="M100" i="52"/>
  <c r="N100" i="52" s="1"/>
  <c r="O100" i="52" s="1"/>
  <c r="M85" i="52"/>
  <c r="N85" i="52" s="1"/>
  <c r="O85" i="52" s="1"/>
  <c r="M94" i="52"/>
  <c r="N94" i="52" s="1"/>
  <c r="O94" i="52" s="1"/>
  <c r="M88" i="52"/>
  <c r="N88" i="52" s="1"/>
  <c r="O88" i="52" s="1"/>
  <c r="P76" i="52"/>
  <c r="Q76" i="52" s="1"/>
  <c r="P70" i="52"/>
  <c r="Q70" i="52" s="1"/>
  <c r="P64" i="52"/>
  <c r="Q64" i="52" s="1"/>
  <c r="P58" i="52"/>
  <c r="Q58" i="52" s="1"/>
  <c r="P52" i="52"/>
  <c r="Q52" i="52" s="1"/>
  <c r="P46" i="52"/>
  <c r="Q46" i="52" s="1"/>
  <c r="P40" i="52"/>
  <c r="Q40" i="52" s="1"/>
  <c r="P79" i="52"/>
  <c r="Q79" i="52" s="1"/>
  <c r="P67" i="52"/>
  <c r="Q67" i="52" s="1"/>
  <c r="P49" i="52"/>
  <c r="Q49" i="52" s="1"/>
  <c r="P73" i="52"/>
  <c r="Q73" i="52" s="1"/>
  <c r="P61" i="52"/>
  <c r="Q61" i="52" s="1"/>
  <c r="P55" i="52"/>
  <c r="Q55" i="52" s="1"/>
  <c r="P43" i="52"/>
  <c r="Q43" i="52" s="1"/>
  <c r="P101" i="52"/>
  <c r="Q101" i="52" s="1"/>
  <c r="P95" i="52"/>
  <c r="Q95" i="52" s="1"/>
  <c r="P89" i="52"/>
  <c r="Q89" i="52" s="1"/>
  <c r="P82" i="52"/>
  <c r="Q82" i="52" s="1"/>
  <c r="P92" i="52"/>
  <c r="Q92" i="52" s="1"/>
  <c r="P98" i="52"/>
  <c r="Q98" i="52" s="1"/>
  <c r="P86" i="52"/>
  <c r="Q86" i="52" s="1"/>
  <c r="P97" i="52"/>
  <c r="Q97" i="52" s="1"/>
  <c r="R97" i="52" s="1"/>
  <c r="P85" i="52"/>
  <c r="Q85" i="52" s="1"/>
  <c r="R85" i="52" s="1"/>
  <c r="P88" i="52"/>
  <c r="Q88" i="52" s="1"/>
  <c r="R88" i="52" s="1"/>
  <c r="P78" i="52"/>
  <c r="Q78" i="52" s="1"/>
  <c r="R78" i="52" s="1"/>
  <c r="P60" i="52"/>
  <c r="Q60" i="52" s="1"/>
  <c r="R60" i="52" s="1"/>
  <c r="P48" i="52"/>
  <c r="Q48" i="52" s="1"/>
  <c r="R48" i="52" s="1"/>
  <c r="P94" i="52"/>
  <c r="Q94" i="52" s="1"/>
  <c r="R94" i="52" s="1"/>
  <c r="P81" i="52"/>
  <c r="Q81" i="52" s="1"/>
  <c r="R81" i="52" s="1"/>
  <c r="P75" i="52"/>
  <c r="Q75" i="52" s="1"/>
  <c r="R75" i="52" s="1"/>
  <c r="P69" i="52"/>
  <c r="Q69" i="52" s="1"/>
  <c r="R69" i="52" s="1"/>
  <c r="P63" i="52"/>
  <c r="Q63" i="52" s="1"/>
  <c r="R63" i="52" s="1"/>
  <c r="P57" i="52"/>
  <c r="Q57" i="52" s="1"/>
  <c r="R57" i="52" s="1"/>
  <c r="P51" i="52"/>
  <c r="Q51" i="52" s="1"/>
  <c r="R51" i="52" s="1"/>
  <c r="P45" i="52"/>
  <c r="Q45" i="52" s="1"/>
  <c r="R45" i="52" s="1"/>
  <c r="P39" i="52"/>
  <c r="Q39" i="52" s="1"/>
  <c r="R39" i="52" s="1"/>
  <c r="P91" i="52"/>
  <c r="Q91" i="52" s="1"/>
  <c r="R91" i="52" s="1"/>
  <c r="P100" i="52"/>
  <c r="Q100" i="52" s="1"/>
  <c r="R100" i="52" s="1"/>
  <c r="P72" i="52"/>
  <c r="Q72" i="52" s="1"/>
  <c r="R72" i="52" s="1"/>
  <c r="P66" i="52"/>
  <c r="Q66" i="52" s="1"/>
  <c r="R66" i="52" s="1"/>
  <c r="P54" i="52"/>
  <c r="Q54" i="52" s="1"/>
  <c r="R54" i="52" s="1"/>
  <c r="P42" i="52"/>
  <c r="Q42" i="52" s="1"/>
  <c r="R42" i="52" s="1"/>
  <c r="S43" i="52"/>
  <c r="T43" i="52" s="1"/>
  <c r="S58" i="52"/>
  <c r="T58" i="52" s="1"/>
  <c r="S98" i="52"/>
  <c r="T98" i="52" s="1"/>
  <c r="S92" i="52"/>
  <c r="T92" i="52" s="1"/>
  <c r="S86" i="52"/>
  <c r="T86" i="52" s="1"/>
  <c r="S79" i="52"/>
  <c r="T79" i="52" s="1"/>
  <c r="S76" i="52"/>
  <c r="T76" i="52" s="1"/>
  <c r="S73" i="52"/>
  <c r="T73" i="52" s="1"/>
  <c r="S70" i="52"/>
  <c r="T70" i="52" s="1"/>
  <c r="S67" i="52"/>
  <c r="T67" i="52" s="1"/>
  <c r="S64" i="52"/>
  <c r="T64" i="52" s="1"/>
  <c r="S95" i="52"/>
  <c r="T95" i="52" s="1"/>
  <c r="S82" i="52"/>
  <c r="T82" i="52" s="1"/>
  <c r="S55" i="52"/>
  <c r="T55" i="52" s="1"/>
  <c r="S46" i="52"/>
  <c r="T46" i="52" s="1"/>
  <c r="S40" i="52"/>
  <c r="T40" i="52" s="1"/>
  <c r="S89" i="52"/>
  <c r="T89" i="52" s="1"/>
  <c r="S49" i="52"/>
  <c r="T49" i="52" s="1"/>
  <c r="S61" i="52"/>
  <c r="T61" i="52" s="1"/>
  <c r="S52" i="52"/>
  <c r="T52" i="52" s="1"/>
  <c r="S101" i="52"/>
  <c r="T101" i="52" s="1"/>
  <c r="S48" i="52"/>
  <c r="T48" i="52" s="1"/>
  <c r="U48" i="52" s="1"/>
  <c r="S75" i="52"/>
  <c r="T75" i="52" s="1"/>
  <c r="U75" i="52" s="1"/>
  <c r="S69" i="52"/>
  <c r="T69" i="52" s="1"/>
  <c r="U69" i="52" s="1"/>
  <c r="S63" i="52"/>
  <c r="T63" i="52" s="1"/>
  <c r="U63" i="52" s="1"/>
  <c r="S54" i="52"/>
  <c r="T54" i="52" s="1"/>
  <c r="U54" i="52" s="1"/>
  <c r="S45" i="52"/>
  <c r="T45" i="52" s="1"/>
  <c r="U45" i="52" s="1"/>
  <c r="S39" i="52"/>
  <c r="T39" i="52" s="1"/>
  <c r="U39" i="52" s="1"/>
  <c r="S72" i="52"/>
  <c r="T72" i="52" s="1"/>
  <c r="U72" i="52" s="1"/>
  <c r="S66" i="52"/>
  <c r="T66" i="52" s="1"/>
  <c r="U66" i="52" s="1"/>
  <c r="S42" i="52"/>
  <c r="T42" i="52" s="1"/>
  <c r="U42" i="52" s="1"/>
  <c r="S57" i="52"/>
  <c r="T57" i="52" s="1"/>
  <c r="U57" i="52" s="1"/>
  <c r="S78" i="52"/>
  <c r="T78" i="52" s="1"/>
  <c r="U78" i="52" s="1"/>
  <c r="S51" i="52"/>
  <c r="T51" i="52" s="1"/>
  <c r="U51" i="52" s="1"/>
  <c r="S60" i="52"/>
  <c r="T60" i="52" s="1"/>
  <c r="U60" i="52" s="1"/>
  <c r="S100" i="52"/>
  <c r="T100" i="52" s="1"/>
  <c r="U100" i="52" s="1"/>
  <c r="S94" i="52"/>
  <c r="T94" i="52" s="1"/>
  <c r="U94" i="52" s="1"/>
  <c r="S88" i="52"/>
  <c r="T88" i="52" s="1"/>
  <c r="U88" i="52" s="1"/>
  <c r="S97" i="52"/>
  <c r="T97" i="52" s="1"/>
  <c r="U97" i="52" s="1"/>
  <c r="S81" i="52"/>
  <c r="T81" i="52" s="1"/>
  <c r="U81" i="52" s="1"/>
  <c r="S91" i="52"/>
  <c r="T91" i="52" s="1"/>
  <c r="U91" i="52" s="1"/>
  <c r="S85" i="52"/>
  <c r="T85" i="52" s="1"/>
  <c r="U85" i="52" s="1"/>
  <c r="J79" i="52"/>
  <c r="K79" i="52" s="1"/>
  <c r="J73" i="52"/>
  <c r="K73" i="52" s="1"/>
  <c r="J67" i="52"/>
  <c r="K67" i="52" s="1"/>
  <c r="J61" i="52"/>
  <c r="K61" i="52" s="1"/>
  <c r="J55" i="52"/>
  <c r="K55" i="52" s="1"/>
  <c r="J49" i="52"/>
  <c r="K49" i="52" s="1"/>
  <c r="J58" i="52"/>
  <c r="K58" i="52" s="1"/>
  <c r="J101" i="52"/>
  <c r="K101" i="52" s="1"/>
  <c r="J98" i="52"/>
  <c r="K98" i="52" s="1"/>
  <c r="J92" i="52"/>
  <c r="K92" i="52" s="1"/>
  <c r="J86" i="52"/>
  <c r="K86" i="52" s="1"/>
  <c r="J76" i="52"/>
  <c r="K76" i="52" s="1"/>
  <c r="J70" i="52"/>
  <c r="K70" i="52" s="1"/>
  <c r="J64" i="52"/>
  <c r="K64" i="52" s="1"/>
  <c r="J89" i="52"/>
  <c r="K89" i="52" s="1"/>
  <c r="J52" i="52"/>
  <c r="K52" i="52" s="1"/>
  <c r="J46" i="52"/>
  <c r="K46" i="52" s="1"/>
  <c r="J43" i="52"/>
  <c r="K43" i="52" s="1"/>
  <c r="J82" i="52"/>
  <c r="K82" i="52" s="1"/>
  <c r="J40" i="52"/>
  <c r="K40" i="52" s="1"/>
  <c r="J95" i="52"/>
  <c r="K95" i="52" s="1"/>
  <c r="V98" i="52"/>
  <c r="W98" i="52" s="1"/>
  <c r="V92" i="52"/>
  <c r="W92" i="52" s="1"/>
  <c r="V86" i="52"/>
  <c r="W86" i="52" s="1"/>
  <c r="V79" i="52"/>
  <c r="W79" i="52" s="1"/>
  <c r="V76" i="52"/>
  <c r="W76" i="52" s="1"/>
  <c r="V73" i="52"/>
  <c r="W73" i="52" s="1"/>
  <c r="V70" i="52"/>
  <c r="W70" i="52" s="1"/>
  <c r="V67" i="52"/>
  <c r="W67" i="52" s="1"/>
  <c r="V64" i="52"/>
  <c r="W64" i="52" s="1"/>
  <c r="V61" i="52"/>
  <c r="W61" i="52" s="1"/>
  <c r="V58" i="52"/>
  <c r="W58" i="52" s="1"/>
  <c r="V55" i="52"/>
  <c r="W55" i="52" s="1"/>
  <c r="V52" i="52"/>
  <c r="W52" i="52" s="1"/>
  <c r="V49" i="52"/>
  <c r="W49" i="52" s="1"/>
  <c r="V40" i="52"/>
  <c r="W40" i="52" s="1"/>
  <c r="V101" i="52"/>
  <c r="W101" i="52" s="1"/>
  <c r="V95" i="52"/>
  <c r="W95" i="52" s="1"/>
  <c r="V46" i="52"/>
  <c r="W46" i="52" s="1"/>
  <c r="V89" i="52"/>
  <c r="W89" i="52" s="1"/>
  <c r="V43" i="52"/>
  <c r="W43" i="52" s="1"/>
  <c r="V82" i="52"/>
  <c r="W82" i="52" s="1"/>
  <c r="J39" i="52"/>
  <c r="K39" i="52" s="1"/>
  <c r="L39" i="52" s="1"/>
  <c r="J60" i="52"/>
  <c r="K60" i="52" s="1"/>
  <c r="L60" i="52" s="1"/>
  <c r="J45" i="52"/>
  <c r="K45" i="52" s="1"/>
  <c r="L45" i="52" s="1"/>
  <c r="J63" i="52"/>
  <c r="K63" i="52" s="1"/>
  <c r="L63" i="52" s="1"/>
  <c r="J66" i="52"/>
  <c r="K66" i="52" s="1"/>
  <c r="L66" i="52" s="1"/>
  <c r="J51" i="52"/>
  <c r="K51" i="52" s="1"/>
  <c r="L51" i="52" s="1"/>
  <c r="J75" i="52"/>
  <c r="K75" i="52" s="1"/>
  <c r="L75" i="52" s="1"/>
  <c r="J69" i="52"/>
  <c r="K69" i="52" s="1"/>
  <c r="L69" i="52" s="1"/>
  <c r="J48" i="52"/>
  <c r="K48" i="52" s="1"/>
  <c r="L48" i="52" s="1"/>
  <c r="J42" i="52"/>
  <c r="K42" i="52" s="1"/>
  <c r="L42" i="52" s="1"/>
  <c r="J78" i="52"/>
  <c r="K78" i="52" s="1"/>
  <c r="L78" i="52" s="1"/>
  <c r="J72" i="52"/>
  <c r="K72" i="52" s="1"/>
  <c r="L72" i="52" s="1"/>
  <c r="J57" i="52"/>
  <c r="K57" i="52" s="1"/>
  <c r="L57" i="52" s="1"/>
  <c r="J54" i="52"/>
  <c r="K54" i="52" s="1"/>
  <c r="L54" i="52" s="1"/>
  <c r="J94" i="52"/>
  <c r="K94" i="52" s="1"/>
  <c r="L94" i="52" s="1"/>
  <c r="J88" i="52"/>
  <c r="K88" i="52" s="1"/>
  <c r="L88" i="52" s="1"/>
  <c r="J97" i="52"/>
  <c r="K97" i="52" s="1"/>
  <c r="L97" i="52" s="1"/>
  <c r="J81" i="52"/>
  <c r="K81" i="52" s="1"/>
  <c r="L81" i="52" s="1"/>
  <c r="J91" i="52"/>
  <c r="K91" i="52" s="1"/>
  <c r="L91" i="52" s="1"/>
  <c r="J100" i="52"/>
  <c r="K100" i="52" s="1"/>
  <c r="L100" i="52" s="1"/>
  <c r="J85" i="52"/>
  <c r="K85" i="52" s="1"/>
  <c r="L85" i="52" s="1"/>
  <c r="V45" i="52"/>
  <c r="W45" i="52" s="1"/>
  <c r="X45" i="52" s="1"/>
  <c r="V42" i="52"/>
  <c r="W42" i="52" s="1"/>
  <c r="X42" i="52" s="1"/>
  <c r="V60" i="52"/>
  <c r="W60" i="52" s="1"/>
  <c r="X60" i="52" s="1"/>
  <c r="V78" i="52"/>
  <c r="W78" i="52" s="1"/>
  <c r="X78" i="52" s="1"/>
  <c r="V72" i="52"/>
  <c r="W72" i="52" s="1"/>
  <c r="X72" i="52" s="1"/>
  <c r="V66" i="52"/>
  <c r="W66" i="52" s="1"/>
  <c r="X66" i="52" s="1"/>
  <c r="V57" i="52"/>
  <c r="W57" i="52" s="1"/>
  <c r="X57" i="52" s="1"/>
  <c r="V39" i="52"/>
  <c r="W39" i="52" s="1"/>
  <c r="X39" i="52" s="1"/>
  <c r="V51" i="52"/>
  <c r="W51" i="52" s="1"/>
  <c r="X51" i="52" s="1"/>
  <c r="V75" i="52"/>
  <c r="W75" i="52" s="1"/>
  <c r="X75" i="52" s="1"/>
  <c r="V69" i="52"/>
  <c r="W69" i="52" s="1"/>
  <c r="X69" i="52" s="1"/>
  <c r="V54" i="52"/>
  <c r="W54" i="52" s="1"/>
  <c r="X54" i="52" s="1"/>
  <c r="V48" i="52"/>
  <c r="W48" i="52" s="1"/>
  <c r="X48" i="52" s="1"/>
  <c r="V63" i="52"/>
  <c r="W63" i="52" s="1"/>
  <c r="X63" i="52" s="1"/>
  <c r="V97" i="52"/>
  <c r="W97" i="52" s="1"/>
  <c r="X97" i="52" s="1"/>
  <c r="V81" i="52"/>
  <c r="W81" i="52" s="1"/>
  <c r="X81" i="52" s="1"/>
  <c r="V91" i="52"/>
  <c r="W91" i="52" s="1"/>
  <c r="X91" i="52" s="1"/>
  <c r="V85" i="52"/>
  <c r="W85" i="52" s="1"/>
  <c r="X85" i="52" s="1"/>
  <c r="V100" i="52"/>
  <c r="W100" i="52" s="1"/>
  <c r="X100" i="52" s="1"/>
  <c r="V94" i="52"/>
  <c r="W94" i="52" s="1"/>
  <c r="X94" i="52" s="1"/>
  <c r="V88" i="52"/>
  <c r="W88" i="52" s="1"/>
  <c r="X88" i="52" s="1"/>
  <c r="M98" i="52"/>
  <c r="N98" i="52" s="1"/>
  <c r="M92" i="52"/>
  <c r="N92" i="52" s="1"/>
  <c r="M86" i="52"/>
  <c r="N86" i="52" s="1"/>
  <c r="M79" i="52"/>
  <c r="N79" i="52" s="1"/>
  <c r="M73" i="52"/>
  <c r="N73" i="52" s="1"/>
  <c r="M67" i="52"/>
  <c r="N67" i="52" s="1"/>
  <c r="M49" i="52"/>
  <c r="N49" i="52" s="1"/>
  <c r="M43" i="52"/>
  <c r="N43" i="52" s="1"/>
  <c r="M95" i="52"/>
  <c r="N95" i="52" s="1"/>
  <c r="M61" i="52"/>
  <c r="N61" i="52" s="1"/>
  <c r="M76" i="52"/>
  <c r="N76" i="52" s="1"/>
  <c r="M55" i="52"/>
  <c r="N55" i="52" s="1"/>
  <c r="M46" i="52"/>
  <c r="N46" i="52" s="1"/>
  <c r="M89" i="52"/>
  <c r="N89" i="52" s="1"/>
  <c r="M58" i="52"/>
  <c r="N58" i="52" s="1"/>
  <c r="M52" i="52"/>
  <c r="N52" i="52" s="1"/>
  <c r="M82" i="52"/>
  <c r="N82" i="52" s="1"/>
  <c r="M70" i="52"/>
  <c r="N70" i="52" s="1"/>
  <c r="M64" i="52"/>
  <c r="N64" i="52" s="1"/>
  <c r="M40" i="52"/>
  <c r="N40" i="52" s="1"/>
  <c r="M101" i="52"/>
  <c r="N101" i="52" s="1"/>
  <c r="S98" i="51"/>
  <c r="T98" i="51" s="1"/>
  <c r="S89" i="51"/>
  <c r="T89" i="51" s="1"/>
  <c r="S83" i="51"/>
  <c r="T83" i="51" s="1"/>
  <c r="S76" i="51"/>
  <c r="T76" i="51" s="1"/>
  <c r="S73" i="51"/>
  <c r="T73" i="51" s="1"/>
  <c r="S95" i="51"/>
  <c r="T95" i="51" s="1"/>
  <c r="S79" i="51"/>
  <c r="T79" i="51" s="1"/>
  <c r="S70" i="51"/>
  <c r="T70" i="51" s="1"/>
  <c r="S67" i="51"/>
  <c r="T67" i="51" s="1"/>
  <c r="S101" i="51"/>
  <c r="T101" i="51" s="1"/>
  <c r="S86" i="51"/>
  <c r="T86" i="51" s="1"/>
  <c r="S61" i="51"/>
  <c r="T61" i="51" s="1"/>
  <c r="S58" i="51"/>
  <c r="T58" i="51" s="1"/>
  <c r="S64" i="51"/>
  <c r="T64" i="51" s="1"/>
  <c r="S55" i="51"/>
  <c r="T55" i="51" s="1"/>
  <c r="S52" i="51"/>
  <c r="T52" i="51" s="1"/>
  <c r="S49" i="51"/>
  <c r="T49" i="51" s="1"/>
  <c r="S46" i="51"/>
  <c r="T46" i="51" s="1"/>
  <c r="S43" i="51"/>
  <c r="T43" i="51" s="1"/>
  <c r="S92" i="51"/>
  <c r="T92" i="51" s="1"/>
  <c r="S40" i="51"/>
  <c r="T40" i="51" s="1"/>
  <c r="S72" i="51"/>
  <c r="T72" i="51" s="1"/>
  <c r="U72" i="51" s="1"/>
  <c r="S69" i="51"/>
  <c r="T69" i="51" s="1"/>
  <c r="U69" i="51" s="1"/>
  <c r="S66" i="51"/>
  <c r="T66" i="51" s="1"/>
  <c r="U66" i="51" s="1"/>
  <c r="S63" i="51"/>
  <c r="T63" i="51" s="1"/>
  <c r="U63" i="51" s="1"/>
  <c r="S60" i="51"/>
  <c r="T60" i="51" s="1"/>
  <c r="U60" i="51" s="1"/>
  <c r="S57" i="51"/>
  <c r="T57" i="51" s="1"/>
  <c r="U57" i="51" s="1"/>
  <c r="S54" i="51"/>
  <c r="T54" i="51" s="1"/>
  <c r="U54" i="51" s="1"/>
  <c r="S51" i="51"/>
  <c r="T51" i="51" s="1"/>
  <c r="U51" i="51" s="1"/>
  <c r="S48" i="51"/>
  <c r="T48" i="51" s="1"/>
  <c r="U48" i="51" s="1"/>
  <c r="S45" i="51"/>
  <c r="T45" i="51" s="1"/>
  <c r="U45" i="51" s="1"/>
  <c r="S42" i="51"/>
  <c r="T42" i="51" s="1"/>
  <c r="U42" i="51" s="1"/>
  <c r="S75" i="51"/>
  <c r="T75" i="51" s="1"/>
  <c r="U75" i="51" s="1"/>
  <c r="S39" i="51"/>
  <c r="T39" i="51" s="1"/>
  <c r="U39" i="51" s="1"/>
  <c r="S100" i="51"/>
  <c r="T100" i="51" s="1"/>
  <c r="U100" i="51" s="1"/>
  <c r="S94" i="51"/>
  <c r="T94" i="51" s="1"/>
  <c r="U94" i="51" s="1"/>
  <c r="S78" i="51"/>
  <c r="T78" i="51" s="1"/>
  <c r="U78" i="51" s="1"/>
  <c r="S85" i="51"/>
  <c r="T85" i="51" s="1"/>
  <c r="U85" i="51" s="1"/>
  <c r="S88" i="51"/>
  <c r="T88" i="51" s="1"/>
  <c r="U88" i="51" s="1"/>
  <c r="S97" i="51"/>
  <c r="T97" i="51" s="1"/>
  <c r="U97" i="51" s="1"/>
  <c r="S91" i="51"/>
  <c r="T91" i="51" s="1"/>
  <c r="U91" i="51" s="1"/>
  <c r="S82" i="51"/>
  <c r="T82" i="51" s="1"/>
  <c r="U82" i="51" s="1"/>
  <c r="J76" i="51"/>
  <c r="K76" i="51" s="1"/>
  <c r="J98" i="51"/>
  <c r="K98" i="51" s="1"/>
  <c r="J89" i="51"/>
  <c r="K89" i="51" s="1"/>
  <c r="J83" i="51"/>
  <c r="K83" i="51" s="1"/>
  <c r="J73" i="51"/>
  <c r="K73" i="51" s="1"/>
  <c r="J67" i="51"/>
  <c r="K67" i="51" s="1"/>
  <c r="J61" i="51"/>
  <c r="K61" i="51" s="1"/>
  <c r="J55" i="51"/>
  <c r="K55" i="51" s="1"/>
  <c r="J49" i="51"/>
  <c r="K49" i="51" s="1"/>
  <c r="J43" i="51"/>
  <c r="K43" i="51" s="1"/>
  <c r="J40" i="51"/>
  <c r="K40" i="51" s="1"/>
  <c r="J101" i="51"/>
  <c r="K101" i="51" s="1"/>
  <c r="J86" i="51"/>
  <c r="K86" i="51" s="1"/>
  <c r="J64" i="51"/>
  <c r="K64" i="51" s="1"/>
  <c r="J58" i="51"/>
  <c r="K58" i="51" s="1"/>
  <c r="J52" i="51"/>
  <c r="K52" i="51" s="1"/>
  <c r="J46" i="51"/>
  <c r="K46" i="51" s="1"/>
  <c r="J70" i="51"/>
  <c r="K70" i="51" s="1"/>
  <c r="J95" i="51"/>
  <c r="K95" i="51" s="1"/>
  <c r="J92" i="51"/>
  <c r="K92" i="51" s="1"/>
  <c r="J79" i="51"/>
  <c r="K79" i="51" s="1"/>
  <c r="V98" i="51"/>
  <c r="W98" i="51" s="1"/>
  <c r="V89" i="51"/>
  <c r="W89" i="51" s="1"/>
  <c r="V83" i="51"/>
  <c r="W83" i="51" s="1"/>
  <c r="V76" i="51"/>
  <c r="W76" i="51" s="1"/>
  <c r="V73" i="51"/>
  <c r="W73" i="51" s="1"/>
  <c r="V70" i="51"/>
  <c r="W70" i="51" s="1"/>
  <c r="V92" i="51"/>
  <c r="W92" i="51" s="1"/>
  <c r="V40" i="51"/>
  <c r="W40" i="51" s="1"/>
  <c r="V101" i="51"/>
  <c r="W101" i="51" s="1"/>
  <c r="V64" i="51"/>
  <c r="W64" i="51" s="1"/>
  <c r="V58" i="51"/>
  <c r="W58" i="51" s="1"/>
  <c r="V52" i="51"/>
  <c r="W52" i="51" s="1"/>
  <c r="V46" i="51"/>
  <c r="W46" i="51" s="1"/>
  <c r="V95" i="51"/>
  <c r="W95" i="51" s="1"/>
  <c r="V67" i="51"/>
  <c r="W67" i="51" s="1"/>
  <c r="V86" i="51"/>
  <c r="W86" i="51" s="1"/>
  <c r="V61" i="51"/>
  <c r="W61" i="51" s="1"/>
  <c r="V55" i="51"/>
  <c r="W55" i="51" s="1"/>
  <c r="V49" i="51"/>
  <c r="W49" i="51" s="1"/>
  <c r="V43" i="51"/>
  <c r="W43" i="51" s="1"/>
  <c r="V79" i="51"/>
  <c r="W79" i="51" s="1"/>
  <c r="V75" i="51"/>
  <c r="W75" i="51" s="1"/>
  <c r="X75" i="51" s="1"/>
  <c r="V69" i="51"/>
  <c r="W69" i="51" s="1"/>
  <c r="X69" i="51" s="1"/>
  <c r="V63" i="51"/>
  <c r="W63" i="51" s="1"/>
  <c r="X63" i="51" s="1"/>
  <c r="V57" i="51"/>
  <c r="W57" i="51" s="1"/>
  <c r="X57" i="51" s="1"/>
  <c r="V51" i="51"/>
  <c r="W51" i="51" s="1"/>
  <c r="X51" i="51" s="1"/>
  <c r="V45" i="51"/>
  <c r="W45" i="51" s="1"/>
  <c r="X45" i="51" s="1"/>
  <c r="V72" i="51"/>
  <c r="W72" i="51" s="1"/>
  <c r="X72" i="51" s="1"/>
  <c r="V54" i="51"/>
  <c r="W54" i="51" s="1"/>
  <c r="X54" i="51" s="1"/>
  <c r="V42" i="51"/>
  <c r="W42" i="51" s="1"/>
  <c r="X42" i="51" s="1"/>
  <c r="V39" i="51"/>
  <c r="W39" i="51" s="1"/>
  <c r="X39" i="51" s="1"/>
  <c r="V66" i="51"/>
  <c r="W66" i="51" s="1"/>
  <c r="X66" i="51" s="1"/>
  <c r="V60" i="51"/>
  <c r="W60" i="51" s="1"/>
  <c r="X60" i="51" s="1"/>
  <c r="V48" i="51"/>
  <c r="W48" i="51" s="1"/>
  <c r="X48" i="51" s="1"/>
  <c r="V97" i="51"/>
  <c r="W97" i="51" s="1"/>
  <c r="X97" i="51" s="1"/>
  <c r="V91" i="51"/>
  <c r="W91" i="51" s="1"/>
  <c r="X91" i="51" s="1"/>
  <c r="V82" i="51"/>
  <c r="W82" i="51" s="1"/>
  <c r="X82" i="51" s="1"/>
  <c r="V78" i="51"/>
  <c r="W78" i="51" s="1"/>
  <c r="X78" i="51" s="1"/>
  <c r="V85" i="51"/>
  <c r="W85" i="51" s="1"/>
  <c r="X85" i="51" s="1"/>
  <c r="V88" i="51"/>
  <c r="W88" i="51" s="1"/>
  <c r="X88" i="51" s="1"/>
  <c r="V100" i="51"/>
  <c r="W100" i="51" s="1"/>
  <c r="X100" i="51" s="1"/>
  <c r="V94" i="51"/>
  <c r="W94" i="51" s="1"/>
  <c r="X94" i="51" s="1"/>
  <c r="P94" i="51"/>
  <c r="Q94" i="51" s="1"/>
  <c r="R94" i="51" s="1"/>
  <c r="P82" i="51"/>
  <c r="Q82" i="51" s="1"/>
  <c r="R82" i="51" s="1"/>
  <c r="P97" i="51"/>
  <c r="Q97" i="51" s="1"/>
  <c r="R97" i="51" s="1"/>
  <c r="P63" i="51"/>
  <c r="Q63" i="51" s="1"/>
  <c r="R63" i="51" s="1"/>
  <c r="P51" i="51"/>
  <c r="Q51" i="51" s="1"/>
  <c r="R51" i="51" s="1"/>
  <c r="P91" i="51"/>
  <c r="Q91" i="51" s="1"/>
  <c r="R91" i="51" s="1"/>
  <c r="P78" i="51"/>
  <c r="Q78" i="51" s="1"/>
  <c r="R78" i="51" s="1"/>
  <c r="P72" i="51"/>
  <c r="Q72" i="51" s="1"/>
  <c r="R72" i="51" s="1"/>
  <c r="P66" i="51"/>
  <c r="Q66" i="51" s="1"/>
  <c r="R66" i="51" s="1"/>
  <c r="P60" i="51"/>
  <c r="Q60" i="51" s="1"/>
  <c r="R60" i="51" s="1"/>
  <c r="P54" i="51"/>
  <c r="Q54" i="51" s="1"/>
  <c r="R54" i="51" s="1"/>
  <c r="P48" i="51"/>
  <c r="Q48" i="51" s="1"/>
  <c r="R48" i="51" s="1"/>
  <c r="P42" i="51"/>
  <c r="Q42" i="51" s="1"/>
  <c r="R42" i="51" s="1"/>
  <c r="P85" i="51"/>
  <c r="Q85" i="51" s="1"/>
  <c r="R85" i="51" s="1"/>
  <c r="P69" i="51"/>
  <c r="Q69" i="51" s="1"/>
  <c r="R69" i="51" s="1"/>
  <c r="P57" i="51"/>
  <c r="Q57" i="51" s="1"/>
  <c r="R57" i="51" s="1"/>
  <c r="P39" i="51"/>
  <c r="Q39" i="51" s="1"/>
  <c r="R39" i="51" s="1"/>
  <c r="P100" i="51"/>
  <c r="Q100" i="51" s="1"/>
  <c r="R100" i="51" s="1"/>
  <c r="P88" i="51"/>
  <c r="Q88" i="51" s="1"/>
  <c r="R88" i="51" s="1"/>
  <c r="P75" i="51"/>
  <c r="Q75" i="51" s="1"/>
  <c r="R75" i="51" s="1"/>
  <c r="P45" i="51"/>
  <c r="Q45" i="51" s="1"/>
  <c r="R45" i="51" s="1"/>
  <c r="J69" i="51"/>
  <c r="K69" i="51" s="1"/>
  <c r="L69" i="51" s="1"/>
  <c r="J63" i="51"/>
  <c r="K63" i="51" s="1"/>
  <c r="L63" i="51" s="1"/>
  <c r="J57" i="51"/>
  <c r="K57" i="51" s="1"/>
  <c r="L57" i="51" s="1"/>
  <c r="J51" i="51"/>
  <c r="K51" i="51" s="1"/>
  <c r="L51" i="51" s="1"/>
  <c r="J45" i="51"/>
  <c r="K45" i="51" s="1"/>
  <c r="L45" i="51" s="1"/>
  <c r="J42" i="51"/>
  <c r="K42" i="51" s="1"/>
  <c r="L42" i="51" s="1"/>
  <c r="J39" i="51"/>
  <c r="K39" i="51" s="1"/>
  <c r="L39" i="51" s="1"/>
  <c r="J66" i="51"/>
  <c r="K66" i="51" s="1"/>
  <c r="L66" i="51" s="1"/>
  <c r="J60" i="51"/>
  <c r="K60" i="51" s="1"/>
  <c r="L60" i="51" s="1"/>
  <c r="J72" i="51"/>
  <c r="K72" i="51" s="1"/>
  <c r="L72" i="51" s="1"/>
  <c r="J48" i="51"/>
  <c r="K48" i="51" s="1"/>
  <c r="L48" i="51" s="1"/>
  <c r="J75" i="51"/>
  <c r="K75" i="51" s="1"/>
  <c r="L75" i="51" s="1"/>
  <c r="J54" i="51"/>
  <c r="K54" i="51" s="1"/>
  <c r="L54" i="51" s="1"/>
  <c r="J88" i="51"/>
  <c r="K88" i="51" s="1"/>
  <c r="L88" i="51" s="1"/>
  <c r="J78" i="51"/>
  <c r="K78" i="51" s="1"/>
  <c r="L78" i="51" s="1"/>
  <c r="J91" i="51"/>
  <c r="K91" i="51" s="1"/>
  <c r="L91" i="51" s="1"/>
  <c r="J97" i="51"/>
  <c r="K97" i="51" s="1"/>
  <c r="L97" i="51" s="1"/>
  <c r="J82" i="51"/>
  <c r="K82" i="51" s="1"/>
  <c r="L82" i="51" s="1"/>
  <c r="J100" i="51"/>
  <c r="K100" i="51" s="1"/>
  <c r="L100" i="51" s="1"/>
  <c r="J94" i="51"/>
  <c r="K94" i="51" s="1"/>
  <c r="L94" i="51" s="1"/>
  <c r="J85" i="51"/>
  <c r="K85" i="51" s="1"/>
  <c r="L85" i="51" s="1"/>
  <c r="M98" i="51"/>
  <c r="N98" i="51" s="1"/>
  <c r="M89" i="51"/>
  <c r="N89" i="51" s="1"/>
  <c r="M83" i="51"/>
  <c r="N83" i="51" s="1"/>
  <c r="M92" i="51"/>
  <c r="N92" i="51" s="1"/>
  <c r="M70" i="51"/>
  <c r="N70" i="51" s="1"/>
  <c r="M64" i="51"/>
  <c r="N64" i="51" s="1"/>
  <c r="M58" i="51"/>
  <c r="N58" i="51" s="1"/>
  <c r="M52" i="51"/>
  <c r="N52" i="51" s="1"/>
  <c r="M46" i="51"/>
  <c r="N46" i="51" s="1"/>
  <c r="M76" i="51"/>
  <c r="N76" i="51" s="1"/>
  <c r="M40" i="51"/>
  <c r="N40" i="51" s="1"/>
  <c r="M67" i="51"/>
  <c r="N67" i="51" s="1"/>
  <c r="M95" i="51"/>
  <c r="N95" i="51" s="1"/>
  <c r="M79" i="51"/>
  <c r="N79" i="51" s="1"/>
  <c r="M61" i="51"/>
  <c r="N61" i="51" s="1"/>
  <c r="M55" i="51"/>
  <c r="N55" i="51" s="1"/>
  <c r="M49" i="51"/>
  <c r="N49" i="51" s="1"/>
  <c r="M43" i="51"/>
  <c r="N43" i="51" s="1"/>
  <c r="M73" i="51"/>
  <c r="N73" i="51" s="1"/>
  <c r="M101" i="51"/>
  <c r="N101" i="51" s="1"/>
  <c r="M86" i="51"/>
  <c r="N86" i="51" s="1"/>
  <c r="M75" i="51"/>
  <c r="N75" i="51" s="1"/>
  <c r="O75" i="51" s="1"/>
  <c r="M69" i="51"/>
  <c r="N69" i="51" s="1"/>
  <c r="O69" i="51" s="1"/>
  <c r="M63" i="51"/>
  <c r="N63" i="51" s="1"/>
  <c r="O63" i="51" s="1"/>
  <c r="M57" i="51"/>
  <c r="N57" i="51" s="1"/>
  <c r="O57" i="51" s="1"/>
  <c r="M51" i="51"/>
  <c r="N51" i="51" s="1"/>
  <c r="O51" i="51" s="1"/>
  <c r="M45" i="51"/>
  <c r="N45" i="51" s="1"/>
  <c r="O45" i="51" s="1"/>
  <c r="M72" i="51"/>
  <c r="N72" i="51" s="1"/>
  <c r="O72" i="51" s="1"/>
  <c r="M66" i="51"/>
  <c r="N66" i="51" s="1"/>
  <c r="O66" i="51" s="1"/>
  <c r="M54" i="51"/>
  <c r="N54" i="51" s="1"/>
  <c r="O54" i="51" s="1"/>
  <c r="M48" i="51"/>
  <c r="N48" i="51" s="1"/>
  <c r="O48" i="51" s="1"/>
  <c r="M42" i="51"/>
  <c r="N42" i="51" s="1"/>
  <c r="O42" i="51" s="1"/>
  <c r="M39" i="51"/>
  <c r="N39" i="51" s="1"/>
  <c r="O39" i="51" s="1"/>
  <c r="M60" i="51"/>
  <c r="N60" i="51" s="1"/>
  <c r="O60" i="51" s="1"/>
  <c r="M97" i="51"/>
  <c r="N97" i="51" s="1"/>
  <c r="O97" i="51" s="1"/>
  <c r="M82" i="51"/>
  <c r="N82" i="51" s="1"/>
  <c r="O82" i="51" s="1"/>
  <c r="M94" i="51"/>
  <c r="N94" i="51" s="1"/>
  <c r="O94" i="51" s="1"/>
  <c r="M85" i="51"/>
  <c r="N85" i="51" s="1"/>
  <c r="O85" i="51" s="1"/>
  <c r="M78" i="51"/>
  <c r="N78" i="51" s="1"/>
  <c r="O78" i="51" s="1"/>
  <c r="M91" i="51"/>
  <c r="N91" i="51" s="1"/>
  <c r="O91" i="51" s="1"/>
  <c r="M100" i="51"/>
  <c r="N100" i="51" s="1"/>
  <c r="O100" i="51" s="1"/>
  <c r="M88" i="51"/>
  <c r="N88" i="51" s="1"/>
  <c r="O88" i="51" s="1"/>
  <c r="P73" i="51"/>
  <c r="Q73" i="51" s="1"/>
  <c r="P67" i="51"/>
  <c r="Q67" i="51" s="1"/>
  <c r="P61" i="51"/>
  <c r="Q61" i="51" s="1"/>
  <c r="P55" i="51"/>
  <c r="Q55" i="51" s="1"/>
  <c r="P49" i="51"/>
  <c r="Q49" i="51" s="1"/>
  <c r="P43" i="51"/>
  <c r="Q43" i="51" s="1"/>
  <c r="P76" i="51"/>
  <c r="Q76" i="51" s="1"/>
  <c r="P70" i="51"/>
  <c r="Q70" i="51" s="1"/>
  <c r="P64" i="51"/>
  <c r="Q64" i="51" s="1"/>
  <c r="P58" i="51"/>
  <c r="Q58" i="51" s="1"/>
  <c r="P52" i="51"/>
  <c r="Q52" i="51" s="1"/>
  <c r="P46" i="51"/>
  <c r="Q46" i="51" s="1"/>
  <c r="P40" i="51"/>
  <c r="Q40" i="51" s="1"/>
  <c r="P92" i="51"/>
  <c r="Q92" i="51" s="1"/>
  <c r="P101" i="51"/>
  <c r="Q101" i="51" s="1"/>
  <c r="P95" i="51"/>
  <c r="Q95" i="51" s="1"/>
  <c r="P86" i="51"/>
  <c r="Q86" i="51" s="1"/>
  <c r="P79" i="51"/>
  <c r="Q79" i="51" s="1"/>
  <c r="P89" i="51"/>
  <c r="Q89" i="51" s="1"/>
  <c r="P98" i="51"/>
  <c r="Q98" i="51" s="1"/>
  <c r="P83" i="51"/>
  <c r="Q83" i="51" s="1"/>
  <c r="S72" i="50"/>
  <c r="T72" i="50" s="1"/>
  <c r="U72" i="50" s="1"/>
  <c r="S69" i="50"/>
  <c r="T69" i="50" s="1"/>
  <c r="U69" i="50" s="1"/>
  <c r="S66" i="50"/>
  <c r="T66" i="50" s="1"/>
  <c r="U66" i="50" s="1"/>
  <c r="S63" i="50"/>
  <c r="T63" i="50" s="1"/>
  <c r="U63" i="50" s="1"/>
  <c r="S60" i="50"/>
  <c r="T60" i="50" s="1"/>
  <c r="U60" i="50" s="1"/>
  <c r="S57" i="50"/>
  <c r="T57" i="50" s="1"/>
  <c r="U57" i="50" s="1"/>
  <c r="S54" i="50"/>
  <c r="T54" i="50" s="1"/>
  <c r="U54" i="50" s="1"/>
  <c r="S51" i="50"/>
  <c r="T51" i="50" s="1"/>
  <c r="U51" i="50" s="1"/>
  <c r="S48" i="50"/>
  <c r="T48" i="50" s="1"/>
  <c r="U48" i="50" s="1"/>
  <c r="S45" i="50"/>
  <c r="T45" i="50" s="1"/>
  <c r="U45" i="50" s="1"/>
  <c r="S42" i="50"/>
  <c r="T42" i="50" s="1"/>
  <c r="U42" i="50" s="1"/>
  <c r="S39" i="50"/>
  <c r="T39" i="50" s="1"/>
  <c r="U39" i="50" s="1"/>
  <c r="S94" i="50"/>
  <c r="T94" i="50" s="1"/>
  <c r="U94" i="50" s="1"/>
  <c r="S79" i="50"/>
  <c r="T79" i="50" s="1"/>
  <c r="U79" i="50" s="1"/>
  <c r="S97" i="50"/>
  <c r="T97" i="50" s="1"/>
  <c r="U97" i="50" s="1"/>
  <c r="S85" i="50"/>
  <c r="T85" i="50" s="1"/>
  <c r="U85" i="50" s="1"/>
  <c r="S88" i="50"/>
  <c r="T88" i="50" s="1"/>
  <c r="U88" i="50" s="1"/>
  <c r="S82" i="50"/>
  <c r="T82" i="50" s="1"/>
  <c r="U82" i="50" s="1"/>
  <c r="S91" i="50"/>
  <c r="T91" i="50" s="1"/>
  <c r="U91" i="50" s="1"/>
  <c r="S100" i="50"/>
  <c r="T100" i="50" s="1"/>
  <c r="U100" i="50" s="1"/>
  <c r="S75" i="50"/>
  <c r="T75" i="50" s="1"/>
  <c r="U75" i="50" s="1"/>
  <c r="M98" i="50"/>
  <c r="N98" i="50" s="1"/>
  <c r="M92" i="50"/>
  <c r="N92" i="50" s="1"/>
  <c r="M86" i="50"/>
  <c r="N86" i="50" s="1"/>
  <c r="M73" i="50"/>
  <c r="N73" i="50" s="1"/>
  <c r="M70" i="50"/>
  <c r="N70" i="50" s="1"/>
  <c r="M64" i="50"/>
  <c r="N64" i="50" s="1"/>
  <c r="M58" i="50"/>
  <c r="N58" i="50" s="1"/>
  <c r="M52" i="50"/>
  <c r="N52" i="50" s="1"/>
  <c r="M89" i="50"/>
  <c r="N89" i="50" s="1"/>
  <c r="M46" i="50"/>
  <c r="N46" i="50" s="1"/>
  <c r="M40" i="50"/>
  <c r="N40" i="50" s="1"/>
  <c r="M95" i="50"/>
  <c r="N95" i="50" s="1"/>
  <c r="M61" i="50"/>
  <c r="N61" i="50" s="1"/>
  <c r="M49" i="50"/>
  <c r="N49" i="50" s="1"/>
  <c r="M76" i="50"/>
  <c r="N76" i="50" s="1"/>
  <c r="M67" i="50"/>
  <c r="N67" i="50" s="1"/>
  <c r="M55" i="50"/>
  <c r="N55" i="50" s="1"/>
  <c r="M101" i="50"/>
  <c r="N101" i="50" s="1"/>
  <c r="M80" i="50"/>
  <c r="N80" i="50" s="1"/>
  <c r="M43" i="50"/>
  <c r="N43" i="50" s="1"/>
  <c r="M83" i="50"/>
  <c r="N83" i="50" s="1"/>
  <c r="M51" i="50"/>
  <c r="N51" i="50" s="1"/>
  <c r="O51" i="50" s="1"/>
  <c r="M45" i="50"/>
  <c r="N45" i="50" s="1"/>
  <c r="O45" i="50" s="1"/>
  <c r="M39" i="50"/>
  <c r="N39" i="50" s="1"/>
  <c r="O39" i="50" s="1"/>
  <c r="M66" i="50"/>
  <c r="N66" i="50" s="1"/>
  <c r="O66" i="50" s="1"/>
  <c r="M60" i="50"/>
  <c r="N60" i="50" s="1"/>
  <c r="O60" i="50" s="1"/>
  <c r="M54" i="50"/>
  <c r="N54" i="50" s="1"/>
  <c r="O54" i="50" s="1"/>
  <c r="M69" i="50"/>
  <c r="N69" i="50" s="1"/>
  <c r="O69" i="50" s="1"/>
  <c r="M63" i="50"/>
  <c r="N63" i="50" s="1"/>
  <c r="O63" i="50" s="1"/>
  <c r="M72" i="50"/>
  <c r="N72" i="50" s="1"/>
  <c r="O72" i="50" s="1"/>
  <c r="M42" i="50"/>
  <c r="N42" i="50" s="1"/>
  <c r="O42" i="50" s="1"/>
  <c r="M48" i="50"/>
  <c r="N48" i="50" s="1"/>
  <c r="O48" i="50" s="1"/>
  <c r="M57" i="50"/>
  <c r="N57" i="50" s="1"/>
  <c r="O57" i="50" s="1"/>
  <c r="M97" i="50"/>
  <c r="N97" i="50" s="1"/>
  <c r="O97" i="50" s="1"/>
  <c r="M82" i="50"/>
  <c r="N82" i="50" s="1"/>
  <c r="O82" i="50" s="1"/>
  <c r="M94" i="50"/>
  <c r="N94" i="50" s="1"/>
  <c r="O94" i="50" s="1"/>
  <c r="M79" i="50"/>
  <c r="N79" i="50" s="1"/>
  <c r="O79" i="50" s="1"/>
  <c r="M91" i="50"/>
  <c r="N91" i="50" s="1"/>
  <c r="O91" i="50" s="1"/>
  <c r="M85" i="50"/>
  <c r="N85" i="50" s="1"/>
  <c r="O85" i="50" s="1"/>
  <c r="M75" i="50"/>
  <c r="N75" i="50" s="1"/>
  <c r="O75" i="50" s="1"/>
  <c r="M100" i="50"/>
  <c r="N100" i="50" s="1"/>
  <c r="O100" i="50" s="1"/>
  <c r="M88" i="50"/>
  <c r="N88" i="50" s="1"/>
  <c r="O88" i="50" s="1"/>
  <c r="P73" i="50"/>
  <c r="Q73" i="50" s="1"/>
  <c r="P67" i="50"/>
  <c r="Q67" i="50" s="1"/>
  <c r="P61" i="50"/>
  <c r="Q61" i="50" s="1"/>
  <c r="P55" i="50"/>
  <c r="Q55" i="50" s="1"/>
  <c r="P49" i="50"/>
  <c r="Q49" i="50" s="1"/>
  <c r="P43" i="50"/>
  <c r="Q43" i="50" s="1"/>
  <c r="P64" i="50"/>
  <c r="Q64" i="50" s="1"/>
  <c r="P52" i="50"/>
  <c r="Q52" i="50" s="1"/>
  <c r="P46" i="50"/>
  <c r="Q46" i="50" s="1"/>
  <c r="P70" i="50"/>
  <c r="Q70" i="50" s="1"/>
  <c r="P58" i="50"/>
  <c r="Q58" i="50" s="1"/>
  <c r="P40" i="50"/>
  <c r="Q40" i="50" s="1"/>
  <c r="P80" i="50"/>
  <c r="Q80" i="50" s="1"/>
  <c r="P86" i="50"/>
  <c r="Q86" i="50" s="1"/>
  <c r="P83" i="50"/>
  <c r="Q83" i="50" s="1"/>
  <c r="P101" i="50"/>
  <c r="Q101" i="50" s="1"/>
  <c r="P89" i="50"/>
  <c r="Q89" i="50" s="1"/>
  <c r="P92" i="50"/>
  <c r="Q92" i="50" s="1"/>
  <c r="P95" i="50"/>
  <c r="Q95" i="50" s="1"/>
  <c r="P98" i="50"/>
  <c r="Q98" i="50" s="1"/>
  <c r="P76" i="50"/>
  <c r="Q76" i="50" s="1"/>
  <c r="J83" i="50"/>
  <c r="K83" i="50" s="1"/>
  <c r="J76" i="50"/>
  <c r="K76" i="50" s="1"/>
  <c r="J49" i="50"/>
  <c r="K49" i="50" s="1"/>
  <c r="J43" i="50"/>
  <c r="K43" i="50" s="1"/>
  <c r="J95" i="50"/>
  <c r="K95" i="50" s="1"/>
  <c r="J92" i="50"/>
  <c r="K92" i="50" s="1"/>
  <c r="J89" i="50"/>
  <c r="K89" i="50" s="1"/>
  <c r="J86" i="50"/>
  <c r="K86" i="50" s="1"/>
  <c r="J70" i="50"/>
  <c r="K70" i="50" s="1"/>
  <c r="J101" i="50"/>
  <c r="K101" i="50" s="1"/>
  <c r="J80" i="50"/>
  <c r="K80" i="50" s="1"/>
  <c r="J73" i="50"/>
  <c r="K73" i="50" s="1"/>
  <c r="J46" i="50"/>
  <c r="K46" i="50" s="1"/>
  <c r="J64" i="50"/>
  <c r="K64" i="50" s="1"/>
  <c r="J61" i="50"/>
  <c r="K61" i="50" s="1"/>
  <c r="J98" i="50"/>
  <c r="K98" i="50" s="1"/>
  <c r="J40" i="50"/>
  <c r="K40" i="50" s="1"/>
  <c r="J67" i="50"/>
  <c r="K67" i="50" s="1"/>
  <c r="J58" i="50"/>
  <c r="K58" i="50" s="1"/>
  <c r="J55" i="50"/>
  <c r="K55" i="50" s="1"/>
  <c r="J52" i="50"/>
  <c r="K52" i="50" s="1"/>
  <c r="V98" i="50"/>
  <c r="W98" i="50" s="1"/>
  <c r="V92" i="50"/>
  <c r="W92" i="50" s="1"/>
  <c r="V86" i="50"/>
  <c r="W86" i="50" s="1"/>
  <c r="V46" i="50"/>
  <c r="W46" i="50" s="1"/>
  <c r="V40" i="50"/>
  <c r="W40" i="50" s="1"/>
  <c r="V101" i="50"/>
  <c r="W101" i="50" s="1"/>
  <c r="V95" i="50"/>
  <c r="W95" i="50" s="1"/>
  <c r="V76" i="50"/>
  <c r="W76" i="50" s="1"/>
  <c r="V73" i="50"/>
  <c r="W73" i="50" s="1"/>
  <c r="V64" i="50"/>
  <c r="W64" i="50" s="1"/>
  <c r="V58" i="50"/>
  <c r="W58" i="50" s="1"/>
  <c r="V52" i="50"/>
  <c r="W52" i="50" s="1"/>
  <c r="V89" i="50"/>
  <c r="W89" i="50" s="1"/>
  <c r="V70" i="50"/>
  <c r="W70" i="50" s="1"/>
  <c r="V43" i="50"/>
  <c r="W43" i="50" s="1"/>
  <c r="V80" i="50"/>
  <c r="W80" i="50" s="1"/>
  <c r="V49" i="50"/>
  <c r="W49" i="50" s="1"/>
  <c r="V83" i="50"/>
  <c r="W83" i="50" s="1"/>
  <c r="V67" i="50"/>
  <c r="W67" i="50" s="1"/>
  <c r="V55" i="50"/>
  <c r="W55" i="50" s="1"/>
  <c r="V61" i="50"/>
  <c r="W61" i="50" s="1"/>
  <c r="J69" i="50"/>
  <c r="K69" i="50" s="1"/>
  <c r="L69" i="50" s="1"/>
  <c r="J63" i="50"/>
  <c r="K63" i="50" s="1"/>
  <c r="L63" i="50" s="1"/>
  <c r="J57" i="50"/>
  <c r="K57" i="50" s="1"/>
  <c r="L57" i="50" s="1"/>
  <c r="J72" i="50"/>
  <c r="K72" i="50" s="1"/>
  <c r="L72" i="50" s="1"/>
  <c r="J66" i="50"/>
  <c r="K66" i="50" s="1"/>
  <c r="L66" i="50" s="1"/>
  <c r="J54" i="50"/>
  <c r="K54" i="50" s="1"/>
  <c r="L54" i="50" s="1"/>
  <c r="J51" i="50"/>
  <c r="K51" i="50" s="1"/>
  <c r="L51" i="50" s="1"/>
  <c r="J42" i="50"/>
  <c r="K42" i="50" s="1"/>
  <c r="L42" i="50" s="1"/>
  <c r="J39" i="50"/>
  <c r="K39" i="50" s="1"/>
  <c r="L39" i="50" s="1"/>
  <c r="J60" i="50"/>
  <c r="K60" i="50" s="1"/>
  <c r="L60" i="50" s="1"/>
  <c r="J48" i="50"/>
  <c r="K48" i="50" s="1"/>
  <c r="L48" i="50" s="1"/>
  <c r="J45" i="50"/>
  <c r="K45" i="50" s="1"/>
  <c r="L45" i="50" s="1"/>
  <c r="J88" i="50"/>
  <c r="K88" i="50" s="1"/>
  <c r="L88" i="50" s="1"/>
  <c r="J79" i="50"/>
  <c r="K79" i="50" s="1"/>
  <c r="L79" i="50" s="1"/>
  <c r="J91" i="50"/>
  <c r="K91" i="50" s="1"/>
  <c r="L91" i="50" s="1"/>
  <c r="J100" i="50"/>
  <c r="K100" i="50" s="1"/>
  <c r="L100" i="50" s="1"/>
  <c r="J94" i="50"/>
  <c r="K94" i="50" s="1"/>
  <c r="L94" i="50" s="1"/>
  <c r="J97" i="50"/>
  <c r="K97" i="50" s="1"/>
  <c r="L97" i="50" s="1"/>
  <c r="J82" i="50"/>
  <c r="K82" i="50" s="1"/>
  <c r="L82" i="50" s="1"/>
  <c r="J85" i="50"/>
  <c r="K85" i="50" s="1"/>
  <c r="L85" i="50" s="1"/>
  <c r="J75" i="50"/>
  <c r="K75" i="50" s="1"/>
  <c r="L75" i="50" s="1"/>
  <c r="V45" i="50"/>
  <c r="W45" i="50" s="1"/>
  <c r="X45" i="50" s="1"/>
  <c r="V39" i="50"/>
  <c r="W39" i="50" s="1"/>
  <c r="X39" i="50" s="1"/>
  <c r="V72" i="50"/>
  <c r="W72" i="50" s="1"/>
  <c r="X72" i="50" s="1"/>
  <c r="V66" i="50"/>
  <c r="W66" i="50" s="1"/>
  <c r="X66" i="50" s="1"/>
  <c r="V57" i="50"/>
  <c r="W57" i="50" s="1"/>
  <c r="X57" i="50" s="1"/>
  <c r="V54" i="50"/>
  <c r="W54" i="50" s="1"/>
  <c r="X54" i="50" s="1"/>
  <c r="V69" i="50"/>
  <c r="W69" i="50" s="1"/>
  <c r="X69" i="50" s="1"/>
  <c r="V42" i="50"/>
  <c r="W42" i="50" s="1"/>
  <c r="X42" i="50" s="1"/>
  <c r="V63" i="50"/>
  <c r="W63" i="50" s="1"/>
  <c r="X63" i="50" s="1"/>
  <c r="V60" i="50"/>
  <c r="W60" i="50" s="1"/>
  <c r="X60" i="50" s="1"/>
  <c r="V51" i="50"/>
  <c r="W51" i="50" s="1"/>
  <c r="X51" i="50" s="1"/>
  <c r="V48" i="50"/>
  <c r="W48" i="50" s="1"/>
  <c r="X48" i="50" s="1"/>
  <c r="V97" i="50"/>
  <c r="W97" i="50" s="1"/>
  <c r="X97" i="50" s="1"/>
  <c r="V91" i="50"/>
  <c r="W91" i="50" s="1"/>
  <c r="X91" i="50" s="1"/>
  <c r="V88" i="50"/>
  <c r="W88" i="50" s="1"/>
  <c r="X88" i="50" s="1"/>
  <c r="V100" i="50"/>
  <c r="W100" i="50" s="1"/>
  <c r="X100" i="50" s="1"/>
  <c r="V85" i="50"/>
  <c r="W85" i="50" s="1"/>
  <c r="X85" i="50" s="1"/>
  <c r="V75" i="50"/>
  <c r="W75" i="50" s="1"/>
  <c r="X75" i="50" s="1"/>
  <c r="V94" i="50"/>
  <c r="W94" i="50" s="1"/>
  <c r="X94" i="50" s="1"/>
  <c r="V79" i="50"/>
  <c r="W79" i="50" s="1"/>
  <c r="X79" i="50" s="1"/>
  <c r="V82" i="50"/>
  <c r="W82" i="50" s="1"/>
  <c r="X82" i="50" s="1"/>
  <c r="P100" i="50"/>
  <c r="Q100" i="50" s="1"/>
  <c r="R100" i="50" s="1"/>
  <c r="P88" i="50"/>
  <c r="Q88" i="50" s="1"/>
  <c r="R88" i="50" s="1"/>
  <c r="P75" i="50"/>
  <c r="Q75" i="50" s="1"/>
  <c r="R75" i="50" s="1"/>
  <c r="P69" i="50"/>
  <c r="Q69" i="50" s="1"/>
  <c r="R69" i="50" s="1"/>
  <c r="P63" i="50"/>
  <c r="Q63" i="50" s="1"/>
  <c r="R63" i="50" s="1"/>
  <c r="P57" i="50"/>
  <c r="Q57" i="50" s="1"/>
  <c r="R57" i="50" s="1"/>
  <c r="P51" i="50"/>
  <c r="Q51" i="50" s="1"/>
  <c r="R51" i="50" s="1"/>
  <c r="P45" i="50"/>
  <c r="Q45" i="50" s="1"/>
  <c r="R45" i="50" s="1"/>
  <c r="P39" i="50"/>
  <c r="Q39" i="50" s="1"/>
  <c r="R39" i="50" s="1"/>
  <c r="P97" i="50"/>
  <c r="Q97" i="50" s="1"/>
  <c r="R97" i="50" s="1"/>
  <c r="P94" i="50"/>
  <c r="Q94" i="50" s="1"/>
  <c r="R94" i="50" s="1"/>
  <c r="P72" i="50"/>
  <c r="Q72" i="50" s="1"/>
  <c r="R72" i="50" s="1"/>
  <c r="P60" i="50"/>
  <c r="Q60" i="50" s="1"/>
  <c r="R60" i="50" s="1"/>
  <c r="P48" i="50"/>
  <c r="Q48" i="50" s="1"/>
  <c r="R48" i="50" s="1"/>
  <c r="P79" i="50"/>
  <c r="Q79" i="50" s="1"/>
  <c r="R79" i="50" s="1"/>
  <c r="P85" i="50"/>
  <c r="Q85" i="50" s="1"/>
  <c r="R85" i="50" s="1"/>
  <c r="P82" i="50"/>
  <c r="Q82" i="50" s="1"/>
  <c r="R82" i="50" s="1"/>
  <c r="P66" i="50"/>
  <c r="Q66" i="50" s="1"/>
  <c r="R66" i="50" s="1"/>
  <c r="P54" i="50"/>
  <c r="Q54" i="50" s="1"/>
  <c r="R54" i="50" s="1"/>
  <c r="P42" i="50"/>
  <c r="Q42" i="50" s="1"/>
  <c r="R42" i="50" s="1"/>
  <c r="P91" i="50"/>
  <c r="Q91" i="50" s="1"/>
  <c r="R91" i="50" s="1"/>
  <c r="S76" i="50"/>
  <c r="T76" i="50" s="1"/>
  <c r="S67" i="50"/>
  <c r="T67" i="50" s="1"/>
  <c r="S64" i="50"/>
  <c r="T64" i="50" s="1"/>
  <c r="S61" i="50"/>
  <c r="T61" i="50" s="1"/>
  <c r="S58" i="50"/>
  <c r="T58" i="50" s="1"/>
  <c r="S55" i="50"/>
  <c r="T55" i="50" s="1"/>
  <c r="S52" i="50"/>
  <c r="T52" i="50" s="1"/>
  <c r="S101" i="50"/>
  <c r="T101" i="50" s="1"/>
  <c r="S98" i="50"/>
  <c r="T98" i="50" s="1"/>
  <c r="S80" i="50"/>
  <c r="T80" i="50" s="1"/>
  <c r="S95" i="50"/>
  <c r="T95" i="50" s="1"/>
  <c r="S92" i="50"/>
  <c r="T92" i="50" s="1"/>
  <c r="S73" i="50"/>
  <c r="T73" i="50" s="1"/>
  <c r="S83" i="50"/>
  <c r="T83" i="50" s="1"/>
  <c r="S46" i="50"/>
  <c r="T46" i="50" s="1"/>
  <c r="S40" i="50"/>
  <c r="T40" i="50" s="1"/>
  <c r="S89" i="50"/>
  <c r="T89" i="50" s="1"/>
  <c r="S70" i="50"/>
  <c r="T70" i="50" s="1"/>
  <c r="S49" i="50"/>
  <c r="T49" i="50" s="1"/>
  <c r="S86" i="50"/>
  <c r="T86" i="50" s="1"/>
  <c r="S43" i="50"/>
  <c r="T43" i="50" s="1"/>
  <c r="G30" i="49"/>
  <c r="F30" i="49"/>
  <c r="E30" i="49"/>
  <c r="D30" i="49"/>
  <c r="C30" i="49"/>
  <c r="G29" i="49"/>
  <c r="F29" i="49"/>
  <c r="E29" i="49"/>
  <c r="D29" i="49"/>
  <c r="C29" i="49"/>
  <c r="G28" i="49"/>
  <c r="F28" i="49"/>
  <c r="E28" i="49"/>
  <c r="D28" i="49"/>
  <c r="C28" i="49"/>
  <c r="G27" i="49"/>
  <c r="F27" i="49"/>
  <c r="E27" i="49"/>
  <c r="D27" i="49"/>
  <c r="C27" i="49"/>
  <c r="G25" i="49"/>
  <c r="F25" i="49"/>
  <c r="E25" i="49"/>
  <c r="D25" i="49"/>
  <c r="C25" i="49"/>
  <c r="G24" i="49"/>
  <c r="F24" i="49"/>
  <c r="E24" i="49"/>
  <c r="D24" i="49"/>
  <c r="C24" i="49"/>
  <c r="G23" i="49"/>
  <c r="F23" i="49"/>
  <c r="E23" i="49"/>
  <c r="D23" i="49"/>
  <c r="C23" i="49"/>
  <c r="G22" i="49"/>
  <c r="F22" i="49"/>
  <c r="E22" i="49"/>
  <c r="D22" i="49"/>
  <c r="C22" i="49"/>
  <c r="G21" i="49"/>
  <c r="F21" i="49"/>
  <c r="E21" i="49"/>
  <c r="D21" i="49"/>
  <c r="C21" i="49"/>
  <c r="C10" i="16"/>
  <c r="G30" i="42"/>
  <c r="G29" i="42"/>
  <c r="G28" i="42"/>
  <c r="G27" i="42"/>
  <c r="G25" i="42"/>
  <c r="G24" i="42"/>
  <c r="G23" i="42"/>
  <c r="G22" i="42"/>
  <c r="G21" i="42"/>
  <c r="F30" i="42"/>
  <c r="F29" i="42"/>
  <c r="F27" i="42"/>
  <c r="AB161" i="56" l="1"/>
  <c r="AB156" i="55"/>
  <c r="AB146" i="55"/>
  <c r="AB149" i="55"/>
  <c r="AB144" i="54"/>
  <c r="AB151" i="53"/>
  <c r="AB144" i="52"/>
  <c r="AB146" i="52"/>
  <c r="AB161" i="51"/>
  <c r="AB154" i="51"/>
  <c r="AB156" i="50"/>
  <c r="AB146" i="50"/>
  <c r="AB146" i="56"/>
  <c r="AB156" i="56"/>
  <c r="AB151" i="56"/>
  <c r="AB149" i="56"/>
  <c r="AB154" i="56"/>
  <c r="AB159" i="56"/>
  <c r="AB151" i="55"/>
  <c r="AB159" i="55"/>
  <c r="AB161" i="55"/>
  <c r="AB154" i="55"/>
  <c r="AB144" i="55"/>
  <c r="AB146" i="54"/>
  <c r="AB151" i="54"/>
  <c r="AB159" i="54"/>
  <c r="AB149" i="54"/>
  <c r="AB156" i="54"/>
  <c r="AB161" i="54"/>
  <c r="AB154" i="54"/>
  <c r="AB146" i="53"/>
  <c r="AB159" i="53"/>
  <c r="AB156" i="53"/>
  <c r="AB144" i="53"/>
  <c r="AB161" i="53"/>
  <c r="AB149" i="53"/>
  <c r="AB154" i="53"/>
  <c r="AB151" i="52"/>
  <c r="AB154" i="52"/>
  <c r="AB149" i="52"/>
  <c r="AB156" i="52"/>
  <c r="AB161" i="52"/>
  <c r="AB159" i="52"/>
  <c r="AB156" i="51"/>
  <c r="AB159" i="51"/>
  <c r="AB151" i="51"/>
  <c r="AB144" i="51"/>
  <c r="AB146" i="51"/>
  <c r="AB149" i="51"/>
  <c r="AB144" i="50"/>
  <c r="AB161" i="50"/>
  <c r="AB151" i="50"/>
  <c r="AB149" i="50"/>
  <c r="AB154" i="50"/>
  <c r="AB159" i="50"/>
  <c r="M156" i="49"/>
  <c r="N156" i="49" s="1"/>
  <c r="O156" i="49" s="1"/>
  <c r="M151" i="49"/>
  <c r="N151" i="49" s="1"/>
  <c r="O151" i="49" s="1"/>
  <c r="M159" i="49"/>
  <c r="N159" i="49" s="1"/>
  <c r="O159" i="49" s="1"/>
  <c r="M154" i="49"/>
  <c r="N154" i="49" s="1"/>
  <c r="O154" i="49" s="1"/>
  <c r="M149" i="49"/>
  <c r="N149" i="49" s="1"/>
  <c r="O149" i="49" s="1"/>
  <c r="M144" i="49"/>
  <c r="N144" i="49" s="1"/>
  <c r="O144" i="49" s="1"/>
  <c r="M161" i="49"/>
  <c r="N161" i="49" s="1"/>
  <c r="O161" i="49" s="1"/>
  <c r="M146" i="49"/>
  <c r="N146" i="49" s="1"/>
  <c r="O146" i="49" s="1"/>
  <c r="Y161" i="49"/>
  <c r="Z161" i="49" s="1"/>
  <c r="AA161" i="49" s="1"/>
  <c r="Y156" i="49"/>
  <c r="Z156" i="49" s="1"/>
  <c r="AA156" i="49" s="1"/>
  <c r="Y151" i="49"/>
  <c r="Z151" i="49" s="1"/>
  <c r="AA151" i="49" s="1"/>
  <c r="Y146" i="49"/>
  <c r="Z146" i="49" s="1"/>
  <c r="AA146" i="49" s="1"/>
  <c r="Y159" i="49"/>
  <c r="Z159" i="49" s="1"/>
  <c r="AA159" i="49" s="1"/>
  <c r="Y154" i="49"/>
  <c r="Z154" i="49" s="1"/>
  <c r="AA154" i="49" s="1"/>
  <c r="Y149" i="49"/>
  <c r="Z149" i="49" s="1"/>
  <c r="AA149" i="49" s="1"/>
  <c r="Y144" i="49"/>
  <c r="Z144" i="49" s="1"/>
  <c r="AA144" i="49" s="1"/>
  <c r="P162" i="49"/>
  <c r="Q162" i="49" s="1"/>
  <c r="P147" i="49"/>
  <c r="Q147" i="49" s="1"/>
  <c r="P160" i="49"/>
  <c r="Q160" i="49" s="1"/>
  <c r="P155" i="49"/>
  <c r="Q155" i="49" s="1"/>
  <c r="P150" i="49"/>
  <c r="Q150" i="49" s="1"/>
  <c r="P145" i="49"/>
  <c r="Q145" i="49" s="1"/>
  <c r="P157" i="49"/>
  <c r="Q157" i="49" s="1"/>
  <c r="P152" i="49"/>
  <c r="Q152" i="49" s="1"/>
  <c r="S161" i="49"/>
  <c r="T161" i="49" s="1"/>
  <c r="U161" i="49" s="1"/>
  <c r="S156" i="49"/>
  <c r="T156" i="49" s="1"/>
  <c r="U156" i="49" s="1"/>
  <c r="S151" i="49"/>
  <c r="T151" i="49" s="1"/>
  <c r="U151" i="49" s="1"/>
  <c r="S146" i="49"/>
  <c r="T146" i="49" s="1"/>
  <c r="U146" i="49" s="1"/>
  <c r="S159" i="49"/>
  <c r="T159" i="49" s="1"/>
  <c r="U159" i="49" s="1"/>
  <c r="S144" i="49"/>
  <c r="T144" i="49" s="1"/>
  <c r="U144" i="49" s="1"/>
  <c r="S154" i="49"/>
  <c r="T154" i="49" s="1"/>
  <c r="U154" i="49" s="1"/>
  <c r="S149" i="49"/>
  <c r="T149" i="49" s="1"/>
  <c r="U149" i="49" s="1"/>
  <c r="V157" i="49"/>
  <c r="W157" i="49" s="1"/>
  <c r="V152" i="49"/>
  <c r="W152" i="49" s="1"/>
  <c r="V147" i="49"/>
  <c r="W147" i="49" s="1"/>
  <c r="V160" i="49"/>
  <c r="W160" i="49" s="1"/>
  <c r="V162" i="49"/>
  <c r="W162" i="49" s="1"/>
  <c r="V155" i="49"/>
  <c r="W155" i="49" s="1"/>
  <c r="V150" i="49"/>
  <c r="W150" i="49" s="1"/>
  <c r="V145" i="49"/>
  <c r="W145" i="49" s="1"/>
  <c r="P159" i="49"/>
  <c r="Q159" i="49" s="1"/>
  <c r="R159" i="49" s="1"/>
  <c r="P154" i="49"/>
  <c r="Q154" i="49" s="1"/>
  <c r="R154" i="49" s="1"/>
  <c r="P149" i="49"/>
  <c r="Q149" i="49" s="1"/>
  <c r="R149" i="49" s="1"/>
  <c r="P144" i="49"/>
  <c r="Q144" i="49" s="1"/>
  <c r="R144" i="49" s="1"/>
  <c r="P156" i="49"/>
  <c r="Q156" i="49" s="1"/>
  <c r="R156" i="49" s="1"/>
  <c r="P151" i="49"/>
  <c r="Q151" i="49" s="1"/>
  <c r="R151" i="49" s="1"/>
  <c r="P146" i="49"/>
  <c r="Q146" i="49" s="1"/>
  <c r="R146" i="49" s="1"/>
  <c r="P161" i="49"/>
  <c r="Q161" i="49" s="1"/>
  <c r="R161" i="49" s="1"/>
  <c r="S157" i="49"/>
  <c r="T157" i="49" s="1"/>
  <c r="S152" i="49"/>
  <c r="T152" i="49" s="1"/>
  <c r="S147" i="49"/>
  <c r="T147" i="49" s="1"/>
  <c r="S162" i="49"/>
  <c r="T162" i="49" s="1"/>
  <c r="S160" i="49"/>
  <c r="T160" i="49" s="1"/>
  <c r="S155" i="49"/>
  <c r="T155" i="49" s="1"/>
  <c r="S150" i="49"/>
  <c r="T150" i="49" s="1"/>
  <c r="S145" i="49"/>
  <c r="T145" i="49" s="1"/>
  <c r="V161" i="49"/>
  <c r="W161" i="49" s="1"/>
  <c r="X161" i="49" s="1"/>
  <c r="V159" i="49"/>
  <c r="W159" i="49" s="1"/>
  <c r="X159" i="49" s="1"/>
  <c r="V154" i="49"/>
  <c r="W154" i="49" s="1"/>
  <c r="X154" i="49" s="1"/>
  <c r="V149" i="49"/>
  <c r="W149" i="49" s="1"/>
  <c r="X149" i="49" s="1"/>
  <c r="V144" i="49"/>
  <c r="W144" i="49" s="1"/>
  <c r="X144" i="49" s="1"/>
  <c r="V156" i="49"/>
  <c r="W156" i="49" s="1"/>
  <c r="X156" i="49" s="1"/>
  <c r="V151" i="49"/>
  <c r="W151" i="49" s="1"/>
  <c r="X151" i="49" s="1"/>
  <c r="V146" i="49"/>
  <c r="W146" i="49" s="1"/>
  <c r="X146" i="49" s="1"/>
  <c r="M157" i="49"/>
  <c r="N157" i="49" s="1"/>
  <c r="M152" i="49"/>
  <c r="N152" i="49" s="1"/>
  <c r="M147" i="49"/>
  <c r="N147" i="49" s="1"/>
  <c r="M155" i="49"/>
  <c r="N155" i="49" s="1"/>
  <c r="M150" i="49"/>
  <c r="N150" i="49" s="1"/>
  <c r="M162" i="49"/>
  <c r="N162" i="49" s="1"/>
  <c r="M160" i="49"/>
  <c r="N160" i="49" s="1"/>
  <c r="M145" i="49"/>
  <c r="N145" i="49" s="1"/>
  <c r="Y162" i="49"/>
  <c r="Z162" i="49" s="1"/>
  <c r="Y160" i="49"/>
  <c r="Z160" i="49" s="1"/>
  <c r="Y155" i="49"/>
  <c r="Z155" i="49" s="1"/>
  <c r="Y150" i="49"/>
  <c r="Z150" i="49" s="1"/>
  <c r="Y145" i="49"/>
  <c r="Z145" i="49" s="1"/>
  <c r="Y152" i="49"/>
  <c r="Z152" i="49" s="1"/>
  <c r="Y157" i="49"/>
  <c r="Z157" i="49" s="1"/>
  <c r="Y147" i="49"/>
  <c r="Z147" i="49" s="1"/>
  <c r="V162" i="42"/>
  <c r="W162" i="42" s="1"/>
  <c r="V157" i="42"/>
  <c r="W157" i="42" s="1"/>
  <c r="V152" i="42"/>
  <c r="W152" i="42" s="1"/>
  <c r="V147" i="42"/>
  <c r="W147" i="42" s="1"/>
  <c r="V145" i="42"/>
  <c r="W145" i="42" s="1"/>
  <c r="V150" i="42"/>
  <c r="W150" i="42" s="1"/>
  <c r="V155" i="42"/>
  <c r="W155" i="42" s="1"/>
  <c r="V160" i="42"/>
  <c r="W160" i="42" s="1"/>
  <c r="Y160" i="42"/>
  <c r="Z160" i="42" s="1"/>
  <c r="Y155" i="42"/>
  <c r="Z155" i="42" s="1"/>
  <c r="Y150" i="42"/>
  <c r="Z150" i="42" s="1"/>
  <c r="Y145" i="42"/>
  <c r="Z145" i="42" s="1"/>
  <c r="Y162" i="42"/>
  <c r="Z162" i="42" s="1"/>
  <c r="Y147" i="42"/>
  <c r="Z147" i="42" s="1"/>
  <c r="Y152" i="42"/>
  <c r="Z152" i="42" s="1"/>
  <c r="Y157" i="42"/>
  <c r="Z157" i="42" s="1"/>
  <c r="Y159" i="42"/>
  <c r="Z159" i="42" s="1"/>
  <c r="AA159" i="42" s="1"/>
  <c r="Y154" i="42"/>
  <c r="Z154" i="42" s="1"/>
  <c r="AA154" i="42" s="1"/>
  <c r="Y149" i="42"/>
  <c r="Z149" i="42" s="1"/>
  <c r="AA149" i="42" s="1"/>
  <c r="Y144" i="42"/>
  <c r="Z144" i="42" s="1"/>
  <c r="AA144" i="42" s="1"/>
  <c r="Y161" i="42"/>
  <c r="Z161" i="42" s="1"/>
  <c r="Y156" i="42"/>
  <c r="Z156" i="42" s="1"/>
  <c r="Y151" i="42"/>
  <c r="Z151" i="42" s="1"/>
  <c r="Y146" i="42"/>
  <c r="Z146" i="42" s="1"/>
  <c r="K192" i="49"/>
  <c r="L192" i="49" s="1"/>
  <c r="K191" i="49"/>
  <c r="L191" i="49" s="1"/>
  <c r="M191" i="49" s="1"/>
  <c r="Y69" i="57"/>
  <c r="Y78" i="52"/>
  <c r="Y42" i="52"/>
  <c r="Y42" i="50"/>
  <c r="Y51" i="51"/>
  <c r="Y75" i="52"/>
  <c r="Y39" i="56"/>
  <c r="AB159" i="57"/>
  <c r="Y75" i="51"/>
  <c r="Y63" i="52"/>
  <c r="Y48" i="56"/>
  <c r="Y97" i="50"/>
  <c r="Y48" i="50"/>
  <c r="Y69" i="50"/>
  <c r="Y94" i="51"/>
  <c r="Y91" i="51"/>
  <c r="Y54" i="51"/>
  <c r="Y66" i="51"/>
  <c r="Y60" i="53"/>
  <c r="Y81" i="53"/>
  <c r="Y97" i="54"/>
  <c r="Y39" i="54"/>
  <c r="Y69" i="54"/>
  <c r="Y45" i="55"/>
  <c r="Y75" i="56"/>
  <c r="AB149" i="57"/>
  <c r="Y45" i="57"/>
  <c r="AB146" i="57"/>
  <c r="Y60" i="57"/>
  <c r="AB144" i="57"/>
  <c r="Y45" i="54"/>
  <c r="Y78" i="56"/>
  <c r="AB161" i="57"/>
  <c r="Y48" i="57"/>
  <c r="AB154" i="57"/>
  <c r="Y75" i="57"/>
  <c r="Y51" i="57"/>
  <c r="Y57" i="57"/>
  <c r="Y87" i="57"/>
  <c r="Y63" i="57"/>
  <c r="Y93" i="57"/>
  <c r="Y84" i="57"/>
  <c r="Y66" i="57"/>
  <c r="Y100" i="57"/>
  <c r="Y72" i="57"/>
  <c r="Y78" i="57"/>
  <c r="Y54" i="57"/>
  <c r="Y39" i="57"/>
  <c r="Y42" i="57"/>
  <c r="Y81" i="57"/>
  <c r="AB151" i="57"/>
  <c r="AB156" i="57"/>
  <c r="Y90" i="57"/>
  <c r="Y48" i="54"/>
  <c r="Y72" i="54"/>
  <c r="Y84" i="54"/>
  <c r="Y94" i="54"/>
  <c r="Y51" i="54"/>
  <c r="Y75" i="54"/>
  <c r="Y100" i="54"/>
  <c r="Y66" i="54"/>
  <c r="Y63" i="54"/>
  <c r="Y54" i="54"/>
  <c r="Y81" i="54"/>
  <c r="Y91" i="54"/>
  <c r="Y42" i="54"/>
  <c r="Y57" i="54"/>
  <c r="Y78" i="54"/>
  <c r="Y60" i="54"/>
  <c r="Y60" i="55"/>
  <c r="Y63" i="55"/>
  <c r="Y72" i="55"/>
  <c r="Y57" i="55"/>
  <c r="Y66" i="55"/>
  <c r="Y54" i="55"/>
  <c r="Y69" i="55"/>
  <c r="Y97" i="55"/>
  <c r="Y75" i="55"/>
  <c r="Y84" i="55"/>
  <c r="Y39" i="55"/>
  <c r="Y81" i="55"/>
  <c r="Y78" i="55"/>
  <c r="Y100" i="55"/>
  <c r="Y94" i="55"/>
  <c r="Y42" i="55"/>
  <c r="Y48" i="55"/>
  <c r="Y51" i="55"/>
  <c r="Y87" i="55"/>
  <c r="Y81" i="56"/>
  <c r="Y69" i="56"/>
  <c r="Y45" i="56"/>
  <c r="Y51" i="56"/>
  <c r="Y84" i="56"/>
  <c r="Y100" i="56"/>
  <c r="Y57" i="56"/>
  <c r="Y87" i="56"/>
  <c r="Y42" i="56"/>
  <c r="Y60" i="56"/>
  <c r="Y54" i="56"/>
  <c r="Y97" i="56"/>
  <c r="Y66" i="56"/>
  <c r="Y90" i="56"/>
  <c r="Y63" i="56"/>
  <c r="Y72" i="56"/>
  <c r="Y45" i="53"/>
  <c r="Y57" i="53"/>
  <c r="Y78" i="53"/>
  <c r="Y42" i="53"/>
  <c r="Y97" i="53"/>
  <c r="Y100" i="53"/>
  <c r="Y39" i="53"/>
  <c r="Y72" i="53"/>
  <c r="Y69" i="53"/>
  <c r="Y94" i="53"/>
  <c r="Y54" i="53"/>
  <c r="Y66" i="53"/>
  <c r="Y63" i="53"/>
  <c r="Y88" i="53"/>
  <c r="Y91" i="53"/>
  <c r="Y51" i="53"/>
  <c r="Y48" i="53"/>
  <c r="Y75" i="53"/>
  <c r="Y97" i="52"/>
  <c r="Y100" i="52"/>
  <c r="Y88" i="52"/>
  <c r="Y57" i="52"/>
  <c r="Y48" i="52"/>
  <c r="Y45" i="52"/>
  <c r="Y85" i="52"/>
  <c r="Y54" i="52"/>
  <c r="Y51" i="52"/>
  <c r="Y91" i="52"/>
  <c r="Y94" i="52"/>
  <c r="Y72" i="52"/>
  <c r="Y69" i="52"/>
  <c r="Y66" i="52"/>
  <c r="Y60" i="52"/>
  <c r="Y39" i="52"/>
  <c r="Y39" i="51"/>
  <c r="Y82" i="51"/>
  <c r="Y88" i="51"/>
  <c r="Y42" i="51"/>
  <c r="Y63" i="51"/>
  <c r="Y69" i="51"/>
  <c r="Y100" i="51"/>
  <c r="Y72" i="51"/>
  <c r="Y57" i="51"/>
  <c r="Y85" i="51"/>
  <c r="Y97" i="51"/>
  <c r="Y48" i="51"/>
  <c r="Y60" i="51"/>
  <c r="Y45" i="51"/>
  <c r="Y85" i="50"/>
  <c r="Y100" i="50"/>
  <c r="Y60" i="50"/>
  <c r="Y54" i="50"/>
  <c r="Y57" i="50"/>
  <c r="Y79" i="50"/>
  <c r="Y94" i="50"/>
  <c r="Y88" i="50"/>
  <c r="Y51" i="50"/>
  <c r="Y82" i="50"/>
  <c r="Y91" i="50"/>
  <c r="Y45" i="50"/>
  <c r="Y39" i="50"/>
  <c r="Y66" i="50"/>
  <c r="Y63" i="50"/>
  <c r="V39" i="42"/>
  <c r="W39" i="42" s="1"/>
  <c r="X39" i="42" s="1"/>
  <c r="J40" i="49"/>
  <c r="K40" i="49" s="1"/>
  <c r="J46" i="49"/>
  <c r="K46" i="49" s="1"/>
  <c r="J43" i="49"/>
  <c r="K43" i="49" s="1"/>
  <c r="J49" i="49"/>
  <c r="K49" i="49" s="1"/>
  <c r="J55" i="49"/>
  <c r="K55" i="49" s="1"/>
  <c r="J61" i="49"/>
  <c r="K61" i="49" s="1"/>
  <c r="J67" i="49"/>
  <c r="K67" i="49" s="1"/>
  <c r="J83" i="49"/>
  <c r="K83" i="49" s="1"/>
  <c r="J77" i="49"/>
  <c r="K77" i="49" s="1"/>
  <c r="J92" i="49"/>
  <c r="K92" i="49" s="1"/>
  <c r="J52" i="49"/>
  <c r="K52" i="49" s="1"/>
  <c r="J58" i="49"/>
  <c r="K58" i="49" s="1"/>
  <c r="J64" i="49"/>
  <c r="K64" i="49" s="1"/>
  <c r="J89" i="49"/>
  <c r="K89" i="49" s="1"/>
  <c r="J98" i="49"/>
  <c r="K98" i="49" s="1"/>
  <c r="J86" i="49"/>
  <c r="K86" i="49" s="1"/>
  <c r="J101" i="49"/>
  <c r="K101" i="49" s="1"/>
  <c r="J95" i="49"/>
  <c r="K95" i="49" s="1"/>
  <c r="J80" i="49"/>
  <c r="K80" i="49" s="1"/>
  <c r="V40" i="49"/>
  <c r="W40" i="49" s="1"/>
  <c r="V43" i="49"/>
  <c r="W43" i="49" s="1"/>
  <c r="V80" i="49"/>
  <c r="W80" i="49" s="1"/>
  <c r="V89" i="49"/>
  <c r="W89" i="49" s="1"/>
  <c r="V46" i="49"/>
  <c r="W46" i="49" s="1"/>
  <c r="V52" i="49"/>
  <c r="W52" i="49" s="1"/>
  <c r="V58" i="49"/>
  <c r="W58" i="49" s="1"/>
  <c r="V64" i="49"/>
  <c r="W64" i="49" s="1"/>
  <c r="V83" i="49"/>
  <c r="W83" i="49" s="1"/>
  <c r="V49" i="49"/>
  <c r="W49" i="49" s="1"/>
  <c r="V55" i="49"/>
  <c r="W55" i="49" s="1"/>
  <c r="V61" i="49"/>
  <c r="W61" i="49" s="1"/>
  <c r="V67" i="49"/>
  <c r="W67" i="49" s="1"/>
  <c r="V77" i="49"/>
  <c r="W77" i="49" s="1"/>
  <c r="V98" i="49"/>
  <c r="W98" i="49" s="1"/>
  <c r="V92" i="49"/>
  <c r="W92" i="49" s="1"/>
  <c r="V101" i="49"/>
  <c r="W101" i="49" s="1"/>
  <c r="V86" i="49"/>
  <c r="W86" i="49" s="1"/>
  <c r="V95" i="49"/>
  <c r="W95" i="49" s="1"/>
  <c r="P39" i="49"/>
  <c r="Q39" i="49" s="1"/>
  <c r="R39" i="49" s="1"/>
  <c r="P45" i="49"/>
  <c r="Q45" i="49" s="1"/>
  <c r="R45" i="49" s="1"/>
  <c r="P42" i="49"/>
  <c r="Q42" i="49" s="1"/>
  <c r="R42" i="49" s="1"/>
  <c r="P48" i="49"/>
  <c r="Q48" i="49" s="1"/>
  <c r="R48" i="49" s="1"/>
  <c r="P54" i="49"/>
  <c r="Q54" i="49" s="1"/>
  <c r="R54" i="49" s="1"/>
  <c r="P60" i="49"/>
  <c r="Q60" i="49" s="1"/>
  <c r="R60" i="49" s="1"/>
  <c r="P66" i="49"/>
  <c r="Q66" i="49" s="1"/>
  <c r="R66" i="49" s="1"/>
  <c r="P76" i="49"/>
  <c r="Q76" i="49" s="1"/>
  <c r="R76" i="49" s="1"/>
  <c r="P85" i="49"/>
  <c r="Q85" i="49" s="1"/>
  <c r="R85" i="49" s="1"/>
  <c r="P79" i="49"/>
  <c r="Q79" i="49" s="1"/>
  <c r="R79" i="49" s="1"/>
  <c r="P91" i="49"/>
  <c r="Q91" i="49" s="1"/>
  <c r="R91" i="49" s="1"/>
  <c r="P100" i="49"/>
  <c r="Q100" i="49" s="1"/>
  <c r="R100" i="49" s="1"/>
  <c r="P51" i="49"/>
  <c r="Q51" i="49" s="1"/>
  <c r="R51" i="49" s="1"/>
  <c r="P63" i="49"/>
  <c r="Q63" i="49" s="1"/>
  <c r="R63" i="49" s="1"/>
  <c r="P88" i="49"/>
  <c r="Q88" i="49" s="1"/>
  <c r="R88" i="49" s="1"/>
  <c r="P94" i="49"/>
  <c r="Q94" i="49" s="1"/>
  <c r="R94" i="49" s="1"/>
  <c r="P57" i="49"/>
  <c r="Q57" i="49" s="1"/>
  <c r="R57" i="49" s="1"/>
  <c r="P82" i="49"/>
  <c r="Q82" i="49" s="1"/>
  <c r="R82" i="49" s="1"/>
  <c r="P97" i="49"/>
  <c r="Q97" i="49" s="1"/>
  <c r="R97" i="49" s="1"/>
  <c r="M43" i="49"/>
  <c r="N43" i="49" s="1"/>
  <c r="M40" i="49"/>
  <c r="N40" i="49" s="1"/>
  <c r="M46" i="49"/>
  <c r="N46" i="49" s="1"/>
  <c r="M77" i="49"/>
  <c r="N77" i="49" s="1"/>
  <c r="M49" i="49"/>
  <c r="N49" i="49" s="1"/>
  <c r="M55" i="49"/>
  <c r="N55" i="49" s="1"/>
  <c r="M61" i="49"/>
  <c r="N61" i="49" s="1"/>
  <c r="M67" i="49"/>
  <c r="N67" i="49" s="1"/>
  <c r="M86" i="49"/>
  <c r="N86" i="49" s="1"/>
  <c r="M80" i="49"/>
  <c r="N80" i="49" s="1"/>
  <c r="M92" i="49"/>
  <c r="N92" i="49" s="1"/>
  <c r="M101" i="49"/>
  <c r="N101" i="49" s="1"/>
  <c r="M52" i="49"/>
  <c r="N52" i="49" s="1"/>
  <c r="M58" i="49"/>
  <c r="N58" i="49" s="1"/>
  <c r="M64" i="49"/>
  <c r="N64" i="49" s="1"/>
  <c r="M83" i="49"/>
  <c r="N83" i="49" s="1"/>
  <c r="M89" i="49"/>
  <c r="N89" i="49" s="1"/>
  <c r="M95" i="49"/>
  <c r="N95" i="49" s="1"/>
  <c r="M98" i="49"/>
  <c r="N98" i="49" s="1"/>
  <c r="S42" i="49"/>
  <c r="T42" i="49" s="1"/>
  <c r="U42" i="49" s="1"/>
  <c r="S51" i="49"/>
  <c r="T51" i="49" s="1"/>
  <c r="U51" i="49" s="1"/>
  <c r="S57" i="49"/>
  <c r="T57" i="49" s="1"/>
  <c r="U57" i="49" s="1"/>
  <c r="S63" i="49"/>
  <c r="T63" i="49" s="1"/>
  <c r="U63" i="49" s="1"/>
  <c r="S82" i="49"/>
  <c r="T82" i="49" s="1"/>
  <c r="U82" i="49" s="1"/>
  <c r="S76" i="49"/>
  <c r="T76" i="49" s="1"/>
  <c r="U76" i="49" s="1"/>
  <c r="S91" i="49"/>
  <c r="T91" i="49" s="1"/>
  <c r="U91" i="49" s="1"/>
  <c r="S85" i="49"/>
  <c r="T85" i="49" s="1"/>
  <c r="U85" i="49" s="1"/>
  <c r="S97" i="49"/>
  <c r="T97" i="49" s="1"/>
  <c r="U97" i="49" s="1"/>
  <c r="S66" i="49"/>
  <c r="T66" i="49" s="1"/>
  <c r="U66" i="49" s="1"/>
  <c r="S100" i="49"/>
  <c r="T100" i="49" s="1"/>
  <c r="U100" i="49" s="1"/>
  <c r="S48" i="49"/>
  <c r="T48" i="49" s="1"/>
  <c r="U48" i="49" s="1"/>
  <c r="S54" i="49"/>
  <c r="T54" i="49" s="1"/>
  <c r="U54" i="49" s="1"/>
  <c r="S60" i="49"/>
  <c r="T60" i="49" s="1"/>
  <c r="U60" i="49" s="1"/>
  <c r="S79" i="49"/>
  <c r="T79" i="49" s="1"/>
  <c r="U79" i="49" s="1"/>
  <c r="S94" i="49"/>
  <c r="T94" i="49" s="1"/>
  <c r="U94" i="49" s="1"/>
  <c r="S39" i="49"/>
  <c r="T39" i="49" s="1"/>
  <c r="U39" i="49" s="1"/>
  <c r="S45" i="49"/>
  <c r="T45" i="49" s="1"/>
  <c r="U45" i="49" s="1"/>
  <c r="S88" i="49"/>
  <c r="T88" i="49" s="1"/>
  <c r="U88" i="49" s="1"/>
  <c r="P43" i="49"/>
  <c r="Q43" i="49" s="1"/>
  <c r="P52" i="49"/>
  <c r="Q52" i="49" s="1"/>
  <c r="P58" i="49"/>
  <c r="Q58" i="49" s="1"/>
  <c r="P64" i="49"/>
  <c r="Q64" i="49" s="1"/>
  <c r="P83" i="49"/>
  <c r="Q83" i="49" s="1"/>
  <c r="P77" i="49"/>
  <c r="Q77" i="49" s="1"/>
  <c r="P86" i="49"/>
  <c r="Q86" i="49" s="1"/>
  <c r="P98" i="49"/>
  <c r="Q98" i="49" s="1"/>
  <c r="P40" i="49"/>
  <c r="Q40" i="49" s="1"/>
  <c r="P46" i="49"/>
  <c r="Q46" i="49" s="1"/>
  <c r="P49" i="49"/>
  <c r="Q49" i="49" s="1"/>
  <c r="P55" i="49"/>
  <c r="Q55" i="49" s="1"/>
  <c r="P61" i="49"/>
  <c r="Q61" i="49" s="1"/>
  <c r="P89" i="49"/>
  <c r="Q89" i="49" s="1"/>
  <c r="P80" i="49"/>
  <c r="Q80" i="49" s="1"/>
  <c r="P92" i="49"/>
  <c r="Q92" i="49" s="1"/>
  <c r="P101" i="49"/>
  <c r="Q101" i="49" s="1"/>
  <c r="P67" i="49"/>
  <c r="Q67" i="49" s="1"/>
  <c r="P95" i="49"/>
  <c r="Q95" i="49" s="1"/>
  <c r="M39" i="49"/>
  <c r="N39" i="49" s="1"/>
  <c r="O39" i="49" s="1"/>
  <c r="M45" i="49"/>
  <c r="N45" i="49" s="1"/>
  <c r="O45" i="49" s="1"/>
  <c r="M42" i="49"/>
  <c r="N42" i="49" s="1"/>
  <c r="O42" i="49" s="1"/>
  <c r="M79" i="49"/>
  <c r="N79" i="49" s="1"/>
  <c r="O79" i="49" s="1"/>
  <c r="M51" i="49"/>
  <c r="N51" i="49" s="1"/>
  <c r="O51" i="49" s="1"/>
  <c r="M57" i="49"/>
  <c r="N57" i="49" s="1"/>
  <c r="O57" i="49" s="1"/>
  <c r="M63" i="49"/>
  <c r="N63" i="49" s="1"/>
  <c r="O63" i="49" s="1"/>
  <c r="M88" i="49"/>
  <c r="N88" i="49" s="1"/>
  <c r="O88" i="49" s="1"/>
  <c r="M94" i="49"/>
  <c r="N94" i="49" s="1"/>
  <c r="O94" i="49" s="1"/>
  <c r="M48" i="49"/>
  <c r="N48" i="49" s="1"/>
  <c r="O48" i="49" s="1"/>
  <c r="M54" i="49"/>
  <c r="N54" i="49" s="1"/>
  <c r="O54" i="49" s="1"/>
  <c r="M60" i="49"/>
  <c r="N60" i="49" s="1"/>
  <c r="O60" i="49" s="1"/>
  <c r="M66" i="49"/>
  <c r="N66" i="49" s="1"/>
  <c r="O66" i="49" s="1"/>
  <c r="M97" i="49"/>
  <c r="N97" i="49" s="1"/>
  <c r="O97" i="49" s="1"/>
  <c r="M82" i="49"/>
  <c r="N82" i="49" s="1"/>
  <c r="O82" i="49" s="1"/>
  <c r="M85" i="49"/>
  <c r="N85" i="49" s="1"/>
  <c r="O85" i="49" s="1"/>
  <c r="M76" i="49"/>
  <c r="N76" i="49" s="1"/>
  <c r="O76" i="49" s="1"/>
  <c r="M100" i="49"/>
  <c r="N100" i="49" s="1"/>
  <c r="O100" i="49" s="1"/>
  <c r="M91" i="49"/>
  <c r="N91" i="49" s="1"/>
  <c r="O91" i="49" s="1"/>
  <c r="J42" i="49"/>
  <c r="K42" i="49" s="1"/>
  <c r="L42" i="49" s="1"/>
  <c r="J51" i="49"/>
  <c r="K51" i="49" s="1"/>
  <c r="L51" i="49" s="1"/>
  <c r="J57" i="49"/>
  <c r="K57" i="49" s="1"/>
  <c r="L57" i="49" s="1"/>
  <c r="J63" i="49"/>
  <c r="K63" i="49" s="1"/>
  <c r="L63" i="49" s="1"/>
  <c r="J76" i="49"/>
  <c r="K76" i="49" s="1"/>
  <c r="L76" i="49" s="1"/>
  <c r="J85" i="49"/>
  <c r="K85" i="49" s="1"/>
  <c r="L85" i="49" s="1"/>
  <c r="J79" i="49"/>
  <c r="K79" i="49" s="1"/>
  <c r="L79" i="49" s="1"/>
  <c r="J48" i="49"/>
  <c r="K48" i="49" s="1"/>
  <c r="L48" i="49" s="1"/>
  <c r="J54" i="49"/>
  <c r="K54" i="49" s="1"/>
  <c r="L54" i="49" s="1"/>
  <c r="J60" i="49"/>
  <c r="K60" i="49" s="1"/>
  <c r="L60" i="49" s="1"/>
  <c r="J66" i="49"/>
  <c r="K66" i="49" s="1"/>
  <c r="L66" i="49" s="1"/>
  <c r="J88" i="49"/>
  <c r="K88" i="49" s="1"/>
  <c r="L88" i="49" s="1"/>
  <c r="J100" i="49"/>
  <c r="K100" i="49" s="1"/>
  <c r="L100" i="49" s="1"/>
  <c r="J82" i="49"/>
  <c r="K82" i="49" s="1"/>
  <c r="L82" i="49" s="1"/>
  <c r="J94" i="49"/>
  <c r="K94" i="49" s="1"/>
  <c r="L94" i="49" s="1"/>
  <c r="J39" i="49"/>
  <c r="K39" i="49" s="1"/>
  <c r="L39" i="49" s="1"/>
  <c r="J45" i="49"/>
  <c r="K45" i="49" s="1"/>
  <c r="L45" i="49" s="1"/>
  <c r="J91" i="49"/>
  <c r="K91" i="49" s="1"/>
  <c r="L91" i="49" s="1"/>
  <c r="J97" i="49"/>
  <c r="K97" i="49" s="1"/>
  <c r="L97" i="49" s="1"/>
  <c r="V42" i="49"/>
  <c r="W42" i="49" s="1"/>
  <c r="X42" i="49" s="1"/>
  <c r="V39" i="49"/>
  <c r="W39" i="49" s="1"/>
  <c r="X39" i="49" s="1"/>
  <c r="V45" i="49"/>
  <c r="W45" i="49" s="1"/>
  <c r="X45" i="49" s="1"/>
  <c r="V76" i="49"/>
  <c r="W76" i="49" s="1"/>
  <c r="X76" i="49" s="1"/>
  <c r="V91" i="49"/>
  <c r="W91" i="49" s="1"/>
  <c r="X91" i="49" s="1"/>
  <c r="V48" i="49"/>
  <c r="W48" i="49" s="1"/>
  <c r="X48" i="49" s="1"/>
  <c r="V54" i="49"/>
  <c r="W54" i="49" s="1"/>
  <c r="X54" i="49" s="1"/>
  <c r="V60" i="49"/>
  <c r="W60" i="49" s="1"/>
  <c r="X60" i="49" s="1"/>
  <c r="V66" i="49"/>
  <c r="W66" i="49" s="1"/>
  <c r="X66" i="49" s="1"/>
  <c r="V85" i="49"/>
  <c r="W85" i="49" s="1"/>
  <c r="X85" i="49" s="1"/>
  <c r="V88" i="49"/>
  <c r="W88" i="49" s="1"/>
  <c r="X88" i="49" s="1"/>
  <c r="V100" i="49"/>
  <c r="W100" i="49" s="1"/>
  <c r="X100" i="49" s="1"/>
  <c r="V51" i="49"/>
  <c r="W51" i="49" s="1"/>
  <c r="X51" i="49" s="1"/>
  <c r="V57" i="49"/>
  <c r="W57" i="49" s="1"/>
  <c r="X57" i="49" s="1"/>
  <c r="V63" i="49"/>
  <c r="W63" i="49" s="1"/>
  <c r="X63" i="49" s="1"/>
  <c r="V82" i="49"/>
  <c r="W82" i="49" s="1"/>
  <c r="X82" i="49" s="1"/>
  <c r="V94" i="49"/>
  <c r="W94" i="49" s="1"/>
  <c r="X94" i="49" s="1"/>
  <c r="V97" i="49"/>
  <c r="W97" i="49" s="1"/>
  <c r="X97" i="49" s="1"/>
  <c r="V79" i="49"/>
  <c r="W79" i="49" s="1"/>
  <c r="X79" i="49" s="1"/>
  <c r="S40" i="49"/>
  <c r="T40" i="49" s="1"/>
  <c r="S46" i="49"/>
  <c r="T46" i="49" s="1"/>
  <c r="S49" i="49"/>
  <c r="T49" i="49" s="1"/>
  <c r="S55" i="49"/>
  <c r="T55" i="49" s="1"/>
  <c r="S61" i="49"/>
  <c r="T61" i="49" s="1"/>
  <c r="S67" i="49"/>
  <c r="T67" i="49" s="1"/>
  <c r="S86" i="49"/>
  <c r="T86" i="49" s="1"/>
  <c r="S43" i="49"/>
  <c r="T43" i="49" s="1"/>
  <c r="S80" i="49"/>
  <c r="T80" i="49" s="1"/>
  <c r="S89" i="49"/>
  <c r="T89" i="49" s="1"/>
  <c r="S77" i="49"/>
  <c r="T77" i="49" s="1"/>
  <c r="S95" i="49"/>
  <c r="T95" i="49" s="1"/>
  <c r="S52" i="49"/>
  <c r="T52" i="49" s="1"/>
  <c r="S58" i="49"/>
  <c r="T58" i="49" s="1"/>
  <c r="S83" i="49"/>
  <c r="T83" i="49" s="1"/>
  <c r="S64" i="49"/>
  <c r="T64" i="49" s="1"/>
  <c r="S101" i="49"/>
  <c r="T101" i="49" s="1"/>
  <c r="S98" i="49"/>
  <c r="T98" i="49" s="1"/>
  <c r="S92" i="49"/>
  <c r="T92" i="49" s="1"/>
  <c r="S69" i="49"/>
  <c r="T69" i="49" s="1"/>
  <c r="U69" i="49" s="1"/>
  <c r="S72" i="49"/>
  <c r="T72" i="49" s="1"/>
  <c r="U72" i="49" s="1"/>
  <c r="J73" i="49"/>
  <c r="K73" i="49" s="1"/>
  <c r="J70" i="49"/>
  <c r="K70" i="49" s="1"/>
  <c r="V73" i="49"/>
  <c r="W73" i="49" s="1"/>
  <c r="V70" i="49"/>
  <c r="W70" i="49" s="1"/>
  <c r="J69" i="49"/>
  <c r="K69" i="49" s="1"/>
  <c r="L69" i="49" s="1"/>
  <c r="J72" i="49"/>
  <c r="K72" i="49" s="1"/>
  <c r="L72" i="49" s="1"/>
  <c r="V69" i="49"/>
  <c r="W69" i="49" s="1"/>
  <c r="X69" i="49" s="1"/>
  <c r="V72" i="49"/>
  <c r="W72" i="49" s="1"/>
  <c r="X72" i="49" s="1"/>
  <c r="M73" i="49"/>
  <c r="N73" i="49" s="1"/>
  <c r="M70" i="49"/>
  <c r="N70" i="49" s="1"/>
  <c r="M69" i="49"/>
  <c r="N69" i="49" s="1"/>
  <c r="O69" i="49" s="1"/>
  <c r="M72" i="49"/>
  <c r="N72" i="49" s="1"/>
  <c r="O72" i="49" s="1"/>
  <c r="P70" i="49"/>
  <c r="Q70" i="49" s="1"/>
  <c r="P73" i="49"/>
  <c r="Q73" i="49" s="1"/>
  <c r="P69" i="49"/>
  <c r="Q69" i="49" s="1"/>
  <c r="R69" i="49" s="1"/>
  <c r="P72" i="49"/>
  <c r="Q72" i="49" s="1"/>
  <c r="R72" i="49" s="1"/>
  <c r="S73" i="49"/>
  <c r="T73" i="49" s="1"/>
  <c r="S70" i="49"/>
  <c r="T70" i="49" s="1"/>
  <c r="S40" i="42"/>
  <c r="T40" i="42" s="1"/>
  <c r="V40" i="42"/>
  <c r="W40" i="42" s="1"/>
  <c r="V45" i="42"/>
  <c r="W45" i="42" s="1"/>
  <c r="X45" i="42" s="1"/>
  <c r="S98" i="42"/>
  <c r="T98" i="42" s="1"/>
  <c r="S92" i="42"/>
  <c r="T92" i="42" s="1"/>
  <c r="S86" i="42"/>
  <c r="T86" i="42" s="1"/>
  <c r="S80" i="42"/>
  <c r="T80" i="42" s="1"/>
  <c r="S74" i="42"/>
  <c r="T74" i="42" s="1"/>
  <c r="S67" i="42"/>
  <c r="T67" i="42" s="1"/>
  <c r="S61" i="42"/>
  <c r="T61" i="42" s="1"/>
  <c r="S55" i="42"/>
  <c r="T55" i="42" s="1"/>
  <c r="S49" i="42"/>
  <c r="T49" i="42" s="1"/>
  <c r="S43" i="42"/>
  <c r="T43" i="42" s="1"/>
  <c r="S70" i="42"/>
  <c r="T70" i="42" s="1"/>
  <c r="S101" i="42"/>
  <c r="T101" i="42" s="1"/>
  <c r="S95" i="42"/>
  <c r="T95" i="42" s="1"/>
  <c r="S89" i="42"/>
  <c r="T89" i="42" s="1"/>
  <c r="S83" i="42"/>
  <c r="T83" i="42" s="1"/>
  <c r="S77" i="42"/>
  <c r="T77" i="42" s="1"/>
  <c r="S64" i="42"/>
  <c r="T64" i="42" s="1"/>
  <c r="S58" i="42"/>
  <c r="T58" i="42" s="1"/>
  <c r="S52" i="42"/>
  <c r="T52" i="42" s="1"/>
  <c r="S46" i="42"/>
  <c r="T46" i="42" s="1"/>
  <c r="V92" i="42"/>
  <c r="W92" i="42" s="1"/>
  <c r="V67" i="42"/>
  <c r="W67" i="42" s="1"/>
  <c r="V61" i="42"/>
  <c r="W61" i="42" s="1"/>
  <c r="V101" i="42"/>
  <c r="W101" i="42" s="1"/>
  <c r="V95" i="42"/>
  <c r="W95" i="42" s="1"/>
  <c r="V89" i="42"/>
  <c r="W89" i="42" s="1"/>
  <c r="V83" i="42"/>
  <c r="W83" i="42" s="1"/>
  <c r="V77" i="42"/>
  <c r="W77" i="42" s="1"/>
  <c r="V70" i="42"/>
  <c r="W70" i="42" s="1"/>
  <c r="V64" i="42"/>
  <c r="W64" i="42" s="1"/>
  <c r="V58" i="42"/>
  <c r="W58" i="42" s="1"/>
  <c r="V52" i="42"/>
  <c r="W52" i="42" s="1"/>
  <c r="V46" i="42"/>
  <c r="W46" i="42" s="1"/>
  <c r="V86" i="42"/>
  <c r="W86" i="42" s="1"/>
  <c r="V80" i="42"/>
  <c r="W80" i="42" s="1"/>
  <c r="V55" i="42"/>
  <c r="W55" i="42" s="1"/>
  <c r="V49" i="42"/>
  <c r="W49" i="42" s="1"/>
  <c r="V43" i="42"/>
  <c r="W43" i="42" s="1"/>
  <c r="V98" i="42"/>
  <c r="W98" i="42" s="1"/>
  <c r="V74" i="42"/>
  <c r="W74" i="42" s="1"/>
  <c r="V100" i="42"/>
  <c r="V88" i="42"/>
  <c r="V76" i="42"/>
  <c r="V63" i="42"/>
  <c r="V51" i="42"/>
  <c r="V94" i="42"/>
  <c r="V82" i="42"/>
  <c r="V69" i="42"/>
  <c r="V57" i="42"/>
  <c r="V91" i="42"/>
  <c r="V66" i="42"/>
  <c r="V54" i="42"/>
  <c r="V97" i="42"/>
  <c r="V85" i="42"/>
  <c r="V73" i="42"/>
  <c r="V60" i="42"/>
  <c r="V48" i="42"/>
  <c r="V79" i="42"/>
  <c r="V42" i="42"/>
  <c r="F25" i="42"/>
  <c r="F24" i="42"/>
  <c r="F23" i="42"/>
  <c r="E30" i="42"/>
  <c r="E29" i="42"/>
  <c r="E28" i="42"/>
  <c r="E27" i="42"/>
  <c r="E25" i="42"/>
  <c r="E24" i="42"/>
  <c r="E23" i="42"/>
  <c r="E22" i="42"/>
  <c r="E21" i="42"/>
  <c r="D30" i="42"/>
  <c r="D29" i="42"/>
  <c r="D28" i="42"/>
  <c r="D27" i="42"/>
  <c r="D25" i="42"/>
  <c r="D24" i="42"/>
  <c r="D23" i="42"/>
  <c r="D22" i="42"/>
  <c r="D21" i="42"/>
  <c r="C30" i="42"/>
  <c r="C29" i="42"/>
  <c r="C28" i="42"/>
  <c r="C27" i="42"/>
  <c r="C25" i="42"/>
  <c r="C24" i="42"/>
  <c r="C23" i="42"/>
  <c r="C22" i="42"/>
  <c r="C21" i="42"/>
  <c r="B191" i="57"/>
  <c r="B191" i="56"/>
  <c r="B191" i="55"/>
  <c r="B191" i="54"/>
  <c r="B191" i="53"/>
  <c r="B191" i="52"/>
  <c r="B191" i="51"/>
  <c r="B191" i="50"/>
  <c r="B191" i="49"/>
  <c r="AB154" i="49" l="1"/>
  <c r="AB161" i="49"/>
  <c r="AB159" i="49"/>
  <c r="AB146" i="49"/>
  <c r="AB144" i="49"/>
  <c r="AB151" i="49"/>
  <c r="AB149" i="49"/>
  <c r="AB156" i="49"/>
  <c r="M162" i="42"/>
  <c r="N162" i="42" s="1"/>
  <c r="M157" i="42"/>
  <c r="N157" i="42" s="1"/>
  <c r="M152" i="42"/>
  <c r="N152" i="42" s="1"/>
  <c r="M147" i="42"/>
  <c r="N147" i="42" s="1"/>
  <c r="M160" i="42"/>
  <c r="N160" i="42" s="1"/>
  <c r="M145" i="42"/>
  <c r="N145" i="42" s="1"/>
  <c r="M150" i="42"/>
  <c r="N150" i="42" s="1"/>
  <c r="M155" i="42"/>
  <c r="N155" i="42" s="1"/>
  <c r="M161" i="42"/>
  <c r="N161" i="42" s="1"/>
  <c r="M156" i="42"/>
  <c r="N156" i="42" s="1"/>
  <c r="M151" i="42"/>
  <c r="N151" i="42" s="1"/>
  <c r="M146" i="42"/>
  <c r="N146" i="42" s="1"/>
  <c r="M159" i="42"/>
  <c r="N159" i="42" s="1"/>
  <c r="O159" i="42" s="1"/>
  <c r="M154" i="42"/>
  <c r="N154" i="42" s="1"/>
  <c r="O154" i="42" s="1"/>
  <c r="M149" i="42"/>
  <c r="N149" i="42" s="1"/>
  <c r="O149" i="42" s="1"/>
  <c r="M144" i="42"/>
  <c r="N144" i="42" s="1"/>
  <c r="P162" i="42"/>
  <c r="Q162" i="42" s="1"/>
  <c r="P157" i="42"/>
  <c r="Q157" i="42" s="1"/>
  <c r="P152" i="42"/>
  <c r="Q152" i="42" s="1"/>
  <c r="P147" i="42"/>
  <c r="Q147" i="42" s="1"/>
  <c r="P160" i="42"/>
  <c r="Q160" i="42" s="1"/>
  <c r="P155" i="42"/>
  <c r="Q155" i="42" s="1"/>
  <c r="P150" i="42"/>
  <c r="Q150" i="42" s="1"/>
  <c r="P145" i="42"/>
  <c r="Q145" i="42" s="1"/>
  <c r="S161" i="42"/>
  <c r="T161" i="42" s="1"/>
  <c r="S156" i="42"/>
  <c r="T156" i="42" s="1"/>
  <c r="S151" i="42"/>
  <c r="T151" i="42" s="1"/>
  <c r="S146" i="42"/>
  <c r="T146" i="42" s="1"/>
  <c r="S154" i="42"/>
  <c r="T154" i="42" s="1"/>
  <c r="U154" i="42" s="1"/>
  <c r="S159" i="42"/>
  <c r="T159" i="42" s="1"/>
  <c r="U159" i="42" s="1"/>
  <c r="S149" i="42"/>
  <c r="T149" i="42" s="1"/>
  <c r="U149" i="42" s="1"/>
  <c r="S144" i="42"/>
  <c r="T144" i="42" s="1"/>
  <c r="U144" i="42" s="1"/>
  <c r="P159" i="42"/>
  <c r="Q159" i="42" s="1"/>
  <c r="R159" i="42" s="1"/>
  <c r="P154" i="42"/>
  <c r="Q154" i="42" s="1"/>
  <c r="R154" i="42" s="1"/>
  <c r="P149" i="42"/>
  <c r="Q149" i="42" s="1"/>
  <c r="R149" i="42" s="1"/>
  <c r="P144" i="42"/>
  <c r="Q144" i="42" s="1"/>
  <c r="R144" i="42" s="1"/>
  <c r="P151" i="42"/>
  <c r="Q151" i="42" s="1"/>
  <c r="P156" i="42"/>
  <c r="Q156" i="42" s="1"/>
  <c r="P161" i="42"/>
  <c r="Q161" i="42" s="1"/>
  <c r="P146" i="42"/>
  <c r="Q146" i="42" s="1"/>
  <c r="S160" i="42"/>
  <c r="T160" i="42" s="1"/>
  <c r="S155" i="42"/>
  <c r="T155" i="42" s="1"/>
  <c r="S150" i="42"/>
  <c r="T150" i="42" s="1"/>
  <c r="S145" i="42"/>
  <c r="T145" i="42" s="1"/>
  <c r="S162" i="42"/>
  <c r="T162" i="42" s="1"/>
  <c r="S157" i="42"/>
  <c r="T157" i="42" s="1"/>
  <c r="S152" i="42"/>
  <c r="T152" i="42" s="1"/>
  <c r="S147" i="42"/>
  <c r="T147" i="42" s="1"/>
  <c r="V154" i="42"/>
  <c r="W154" i="42" s="1"/>
  <c r="X154" i="42" s="1"/>
  <c r="V161" i="42"/>
  <c r="W161" i="42" s="1"/>
  <c r="V156" i="42"/>
  <c r="W156" i="42" s="1"/>
  <c r="V151" i="42"/>
  <c r="W151" i="42" s="1"/>
  <c r="V146" i="42"/>
  <c r="W146" i="42" s="1"/>
  <c r="V159" i="42"/>
  <c r="W159" i="42" s="1"/>
  <c r="X159" i="42" s="1"/>
  <c r="V149" i="42"/>
  <c r="W149" i="42" s="1"/>
  <c r="X149" i="42" s="1"/>
  <c r="V144" i="42"/>
  <c r="W144" i="42" s="1"/>
  <c r="X144" i="42" s="1"/>
  <c r="K192" i="42"/>
  <c r="L192" i="42" s="1"/>
  <c r="K191" i="42"/>
  <c r="L191" i="42" s="1"/>
  <c r="M191" i="42" s="1"/>
  <c r="Y91" i="49"/>
  <c r="Y82" i="49"/>
  <c r="Y60" i="49"/>
  <c r="Y85" i="49"/>
  <c r="Y51" i="49"/>
  <c r="Y42" i="49"/>
  <c r="M39" i="42"/>
  <c r="N39" i="42" s="1"/>
  <c r="O39" i="42" s="1"/>
  <c r="Y100" i="49"/>
  <c r="Y54" i="49"/>
  <c r="Y39" i="49"/>
  <c r="Y88" i="49"/>
  <c r="Y48" i="49"/>
  <c r="Y63" i="49"/>
  <c r="Y45" i="49"/>
  <c r="Y76" i="49"/>
  <c r="Y97" i="49"/>
  <c r="Y94" i="49"/>
  <c r="Y66" i="49"/>
  <c r="Y79" i="49"/>
  <c r="Y57" i="49"/>
  <c r="P39" i="42"/>
  <c r="Q39" i="42" s="1"/>
  <c r="R39" i="42" s="1"/>
  <c r="S39" i="42"/>
  <c r="T39" i="42" s="1"/>
  <c r="U39" i="42" s="1"/>
  <c r="J39" i="42"/>
  <c r="K39" i="42" s="1"/>
  <c r="L39" i="42" s="1"/>
  <c r="P100" i="42"/>
  <c r="P76" i="42"/>
  <c r="P82" i="42"/>
  <c r="P97" i="42"/>
  <c r="P85" i="42"/>
  <c r="P73" i="42"/>
  <c r="P91" i="42"/>
  <c r="P79" i="42"/>
  <c r="P88" i="42"/>
  <c r="P94" i="42"/>
  <c r="J40" i="42"/>
  <c r="K40" i="42" s="1"/>
  <c r="M40" i="42"/>
  <c r="N40" i="42" s="1"/>
  <c r="P40" i="42"/>
  <c r="Q40" i="42" s="1"/>
  <c r="P54" i="42"/>
  <c r="P51" i="42"/>
  <c r="P60" i="42"/>
  <c r="P69" i="42"/>
  <c r="P57" i="42"/>
  <c r="P66" i="42"/>
  <c r="P63" i="42"/>
  <c r="P48" i="42"/>
  <c r="P45" i="42"/>
  <c r="Q45" i="42" s="1"/>
  <c r="R45" i="42" s="1"/>
  <c r="P42" i="42"/>
  <c r="M45" i="42"/>
  <c r="N45" i="42" s="1"/>
  <c r="O45" i="42" s="1"/>
  <c r="S45" i="42"/>
  <c r="T45" i="42" s="1"/>
  <c r="U45" i="42" s="1"/>
  <c r="J45" i="42"/>
  <c r="K45" i="42" s="1"/>
  <c r="L45" i="42" s="1"/>
  <c r="M101" i="42"/>
  <c r="N101" i="42" s="1"/>
  <c r="M98" i="42"/>
  <c r="N98" i="42" s="1"/>
  <c r="M80" i="42"/>
  <c r="N80" i="42" s="1"/>
  <c r="M74" i="42"/>
  <c r="N74" i="42" s="1"/>
  <c r="M95" i="42"/>
  <c r="N95" i="42" s="1"/>
  <c r="M89" i="42"/>
  <c r="N89" i="42" s="1"/>
  <c r="M83" i="42"/>
  <c r="N83" i="42" s="1"/>
  <c r="M77" i="42"/>
  <c r="N77" i="42" s="1"/>
  <c r="M70" i="42"/>
  <c r="N70" i="42" s="1"/>
  <c r="M64" i="42"/>
  <c r="N64" i="42" s="1"/>
  <c r="M58" i="42"/>
  <c r="N58" i="42" s="1"/>
  <c r="M52" i="42"/>
  <c r="N52" i="42" s="1"/>
  <c r="M46" i="42"/>
  <c r="N46" i="42" s="1"/>
  <c r="M92" i="42"/>
  <c r="N92" i="42" s="1"/>
  <c r="M43" i="42"/>
  <c r="N43" i="42" s="1"/>
  <c r="M86" i="42"/>
  <c r="N86" i="42" s="1"/>
  <c r="M67" i="42"/>
  <c r="N67" i="42" s="1"/>
  <c r="M61" i="42"/>
  <c r="N61" i="42" s="1"/>
  <c r="M55" i="42"/>
  <c r="N55" i="42" s="1"/>
  <c r="M49" i="42"/>
  <c r="N49" i="42" s="1"/>
  <c r="P95" i="42"/>
  <c r="Q95" i="42" s="1"/>
  <c r="P89" i="42"/>
  <c r="Q89" i="42" s="1"/>
  <c r="P83" i="42"/>
  <c r="Q83" i="42" s="1"/>
  <c r="P77" i="42"/>
  <c r="Q77" i="42" s="1"/>
  <c r="P70" i="42"/>
  <c r="Q70" i="42" s="1"/>
  <c r="P64" i="42"/>
  <c r="Q64" i="42" s="1"/>
  <c r="P58" i="42"/>
  <c r="Q58" i="42" s="1"/>
  <c r="P52" i="42"/>
  <c r="Q52" i="42" s="1"/>
  <c r="P46" i="42"/>
  <c r="Q46" i="42" s="1"/>
  <c r="P101" i="42"/>
  <c r="Q101" i="42" s="1"/>
  <c r="P98" i="42"/>
  <c r="Q98" i="42" s="1"/>
  <c r="P92" i="42"/>
  <c r="Q92" i="42" s="1"/>
  <c r="P86" i="42"/>
  <c r="Q86" i="42" s="1"/>
  <c r="P80" i="42"/>
  <c r="Q80" i="42" s="1"/>
  <c r="P74" i="42"/>
  <c r="Q74" i="42" s="1"/>
  <c r="P67" i="42"/>
  <c r="Q67" i="42" s="1"/>
  <c r="P61" i="42"/>
  <c r="Q61" i="42" s="1"/>
  <c r="P55" i="42"/>
  <c r="Q55" i="42" s="1"/>
  <c r="P49" i="42"/>
  <c r="Q49" i="42" s="1"/>
  <c r="P43" i="42"/>
  <c r="Q43" i="42" s="1"/>
  <c r="J98" i="42"/>
  <c r="K98" i="42" s="1"/>
  <c r="J92" i="42"/>
  <c r="K92" i="42" s="1"/>
  <c r="J86" i="42"/>
  <c r="K86" i="42" s="1"/>
  <c r="J80" i="42"/>
  <c r="K80" i="42" s="1"/>
  <c r="J74" i="42"/>
  <c r="K74" i="42" s="1"/>
  <c r="J67" i="42"/>
  <c r="K67" i="42" s="1"/>
  <c r="J61" i="42"/>
  <c r="K61" i="42" s="1"/>
  <c r="J55" i="42"/>
  <c r="K55" i="42" s="1"/>
  <c r="J49" i="42"/>
  <c r="K49" i="42" s="1"/>
  <c r="J43" i="42"/>
  <c r="K43" i="42" s="1"/>
  <c r="J101" i="42"/>
  <c r="K101" i="42" s="1"/>
  <c r="J95" i="42"/>
  <c r="K95" i="42" s="1"/>
  <c r="J89" i="42"/>
  <c r="K89" i="42" s="1"/>
  <c r="J83" i="42"/>
  <c r="K83" i="42" s="1"/>
  <c r="J77" i="42"/>
  <c r="K77" i="42" s="1"/>
  <c r="J70" i="42"/>
  <c r="K70" i="42" s="1"/>
  <c r="J64" i="42"/>
  <c r="K64" i="42" s="1"/>
  <c r="J58" i="42"/>
  <c r="K58" i="42" s="1"/>
  <c r="J52" i="42"/>
  <c r="K52" i="42" s="1"/>
  <c r="J46" i="42"/>
  <c r="K46" i="42" s="1"/>
  <c r="M91" i="42"/>
  <c r="M79" i="42"/>
  <c r="M66" i="42"/>
  <c r="M54" i="42"/>
  <c r="M42" i="42"/>
  <c r="M97" i="42"/>
  <c r="M85" i="42"/>
  <c r="M73" i="42"/>
  <c r="M60" i="42"/>
  <c r="M48" i="42"/>
  <c r="M82" i="42"/>
  <c r="M100" i="42"/>
  <c r="M88" i="42"/>
  <c r="M76" i="42"/>
  <c r="M63" i="42"/>
  <c r="M51" i="42"/>
  <c r="M94" i="42"/>
  <c r="M69" i="42"/>
  <c r="M57" i="42"/>
  <c r="J100" i="42"/>
  <c r="J88" i="42"/>
  <c r="J76" i="42"/>
  <c r="J63" i="42"/>
  <c r="J51" i="42"/>
  <c r="J94" i="42"/>
  <c r="J82" i="42"/>
  <c r="J69" i="42"/>
  <c r="J57" i="42"/>
  <c r="J91" i="42"/>
  <c r="J79" i="42"/>
  <c r="J66" i="42"/>
  <c r="J42" i="42"/>
  <c r="J97" i="42"/>
  <c r="J85" i="42"/>
  <c r="J73" i="42"/>
  <c r="J60" i="42"/>
  <c r="J48" i="42"/>
  <c r="J54" i="42"/>
  <c r="S100" i="42"/>
  <c r="S88" i="42"/>
  <c r="S76" i="42"/>
  <c r="S66" i="42"/>
  <c r="S54" i="42"/>
  <c r="S42" i="42"/>
  <c r="S94" i="42"/>
  <c r="S82" i="42"/>
  <c r="S73" i="42"/>
  <c r="S60" i="42"/>
  <c r="S48" i="42"/>
  <c r="S91" i="42"/>
  <c r="S69" i="42"/>
  <c r="S97" i="42"/>
  <c r="S85" i="42"/>
  <c r="S63" i="42"/>
  <c r="S51" i="42"/>
  <c r="S79" i="42"/>
  <c r="S57" i="42"/>
  <c r="B172" i="57"/>
  <c r="B172" i="56"/>
  <c r="B172" i="55"/>
  <c r="B172" i="54"/>
  <c r="B172" i="53"/>
  <c r="B172" i="52"/>
  <c r="B172" i="51"/>
  <c r="B172" i="50"/>
  <c r="B172" i="49"/>
  <c r="AB149" i="42" l="1"/>
  <c r="AB154" i="42"/>
  <c r="AB144" i="42"/>
  <c r="AB159" i="42"/>
  <c r="Y39" i="42"/>
  <c r="Y45" i="42"/>
  <c r="E173" i="42"/>
  <c r="I173" i="42" s="1"/>
  <c r="B25" i="21"/>
  <c r="B23" i="21"/>
  <c r="B28" i="30"/>
  <c r="A28" i="30"/>
  <c r="B27" i="29" l="1"/>
  <c r="A27" i="29"/>
  <c r="C374" i="32" l="1"/>
  <c r="C373" i="32"/>
  <c r="C372" i="32"/>
  <c r="C371" i="32"/>
  <c r="C370" i="32"/>
  <c r="C369" i="32"/>
  <c r="C368" i="32"/>
  <c r="C367" i="32"/>
  <c r="C366" i="32"/>
  <c r="C365" i="32"/>
  <c r="C363" i="32"/>
  <c r="C362" i="32"/>
  <c r="C361" i="32"/>
  <c r="C360" i="32"/>
  <c r="C359" i="32"/>
  <c r="C358" i="32"/>
  <c r="C357" i="32"/>
  <c r="C356" i="32"/>
  <c r="C355" i="32"/>
  <c r="C354" i="32"/>
  <c r="C352" i="32"/>
  <c r="C351" i="32"/>
  <c r="C350" i="32"/>
  <c r="C349" i="32"/>
  <c r="C348" i="32"/>
  <c r="C347" i="32"/>
  <c r="C346" i="32"/>
  <c r="C345" i="32"/>
  <c r="C344" i="32"/>
  <c r="C343" i="32"/>
  <c r="C341" i="32"/>
  <c r="C340" i="32"/>
  <c r="C339" i="32"/>
  <c r="C338" i="32"/>
  <c r="C337" i="32"/>
  <c r="C336" i="32"/>
  <c r="C335" i="32"/>
  <c r="C334" i="32"/>
  <c r="C333" i="32"/>
  <c r="C332" i="32"/>
  <c r="C242" i="32"/>
  <c r="C241" i="32"/>
  <c r="C240" i="32"/>
  <c r="C239" i="32"/>
  <c r="C238" i="32"/>
  <c r="C237" i="32"/>
  <c r="C236" i="32"/>
  <c r="C235" i="32"/>
  <c r="C234" i="32"/>
  <c r="C233" i="32"/>
  <c r="B97" i="57"/>
  <c r="B130" i="57" s="1"/>
  <c r="A97" i="57"/>
  <c r="A130" i="57" s="1"/>
  <c r="B91" i="55"/>
  <c r="B130" i="55" s="1"/>
  <c r="A91" i="55"/>
  <c r="A130" i="55" s="1"/>
  <c r="B88" i="54"/>
  <c r="B130" i="54" s="1"/>
  <c r="A88" i="54"/>
  <c r="A130" i="54" s="1"/>
  <c r="B85" i="53"/>
  <c r="B130" i="53" s="1"/>
  <c r="A85" i="53"/>
  <c r="A130" i="53" s="1"/>
  <c r="B82" i="52"/>
  <c r="B130" i="52" s="1"/>
  <c r="A82" i="52"/>
  <c r="A130" i="52" s="1"/>
  <c r="B98" i="42"/>
  <c r="B95" i="42"/>
  <c r="B92" i="42"/>
  <c r="B89" i="42"/>
  <c r="B86" i="42"/>
  <c r="B83" i="42"/>
  <c r="A98" i="42"/>
  <c r="A95" i="42"/>
  <c r="A92" i="42"/>
  <c r="A89" i="42"/>
  <c r="A86" i="42"/>
  <c r="A83" i="42"/>
  <c r="C231" i="32"/>
  <c r="C230" i="32"/>
  <c r="C229" i="32"/>
  <c r="C228" i="32"/>
  <c r="C227" i="32"/>
  <c r="C226" i="32"/>
  <c r="C225" i="32"/>
  <c r="C224" i="32"/>
  <c r="C223" i="32"/>
  <c r="C222" i="32"/>
  <c r="C220" i="32"/>
  <c r="C219" i="32"/>
  <c r="C218" i="32"/>
  <c r="C217" i="32"/>
  <c r="C216" i="32"/>
  <c r="C215" i="32"/>
  <c r="C214" i="32"/>
  <c r="C213" i="32"/>
  <c r="C212" i="32"/>
  <c r="C211" i="32"/>
  <c r="C209" i="32"/>
  <c r="C208" i="32"/>
  <c r="C207" i="32"/>
  <c r="C206" i="32"/>
  <c r="C205" i="32"/>
  <c r="C204" i="32"/>
  <c r="C203" i="32"/>
  <c r="C202" i="32"/>
  <c r="C201" i="32"/>
  <c r="C200" i="32"/>
  <c r="C198" i="32"/>
  <c r="C197" i="32"/>
  <c r="C196" i="32"/>
  <c r="C195" i="32"/>
  <c r="C194" i="32"/>
  <c r="C193" i="32"/>
  <c r="C192" i="32"/>
  <c r="C191" i="32"/>
  <c r="C190" i="32"/>
  <c r="C189" i="32"/>
  <c r="C187" i="32"/>
  <c r="C186" i="32"/>
  <c r="C185" i="32"/>
  <c r="C184" i="32"/>
  <c r="C183" i="32"/>
  <c r="C182" i="32"/>
  <c r="C181" i="32"/>
  <c r="C180" i="32"/>
  <c r="C179" i="32"/>
  <c r="C178" i="32"/>
  <c r="C176" i="32"/>
  <c r="C175" i="32"/>
  <c r="C174" i="32"/>
  <c r="C173" i="32"/>
  <c r="C172" i="32"/>
  <c r="C171" i="32"/>
  <c r="C170" i="32"/>
  <c r="C169" i="32"/>
  <c r="C168" i="32"/>
  <c r="C167" i="32"/>
  <c r="C165" i="32"/>
  <c r="C164" i="32"/>
  <c r="C163" i="32"/>
  <c r="C162" i="32"/>
  <c r="C161" i="32"/>
  <c r="C160" i="32"/>
  <c r="C159" i="32"/>
  <c r="C158" i="32"/>
  <c r="C157" i="32"/>
  <c r="C156" i="32"/>
  <c r="C154" i="32"/>
  <c r="C153" i="32"/>
  <c r="C152" i="32"/>
  <c r="C151" i="32"/>
  <c r="C150" i="32"/>
  <c r="C149" i="32"/>
  <c r="C148" i="32"/>
  <c r="C147" i="32"/>
  <c r="C146" i="32"/>
  <c r="C145" i="32"/>
  <c r="C143" i="32"/>
  <c r="C142" i="32"/>
  <c r="C141" i="32"/>
  <c r="C140" i="32"/>
  <c r="C139" i="32"/>
  <c r="C138" i="32"/>
  <c r="C137" i="32"/>
  <c r="C136" i="32"/>
  <c r="C135" i="32"/>
  <c r="C134" i="32"/>
  <c r="C132" i="32"/>
  <c r="C131" i="32"/>
  <c r="C130" i="32"/>
  <c r="C129" i="32"/>
  <c r="C128" i="32"/>
  <c r="C127" i="32"/>
  <c r="C126" i="32"/>
  <c r="C125" i="32"/>
  <c r="C124" i="32"/>
  <c r="C123" i="32"/>
  <c r="B64" i="42"/>
  <c r="A64" i="42"/>
  <c r="A70" i="49"/>
  <c r="B70" i="49"/>
  <c r="A73" i="49"/>
  <c r="A130" i="49" s="1"/>
  <c r="B73" i="49"/>
  <c r="B130" i="49" s="1"/>
  <c r="B67" i="42"/>
  <c r="B61" i="42"/>
  <c r="B58" i="42"/>
  <c r="B55" i="42"/>
  <c r="B52" i="42"/>
  <c r="A67" i="42"/>
  <c r="A61" i="42"/>
  <c r="A58" i="42"/>
  <c r="A55" i="42"/>
  <c r="A52" i="42"/>
  <c r="C121" i="32"/>
  <c r="C120" i="32"/>
  <c r="C119" i="32"/>
  <c r="C118" i="32"/>
  <c r="C117" i="32"/>
  <c r="C116" i="32"/>
  <c r="C115" i="32"/>
  <c r="C114" i="32"/>
  <c r="C113" i="32"/>
  <c r="C112" i="32"/>
  <c r="C110" i="32"/>
  <c r="C109" i="32"/>
  <c r="C108" i="32"/>
  <c r="C107" i="32"/>
  <c r="C106" i="32"/>
  <c r="C105" i="32"/>
  <c r="C104" i="32"/>
  <c r="C103" i="32"/>
  <c r="C102" i="32"/>
  <c r="C101" i="32"/>
  <c r="C99" i="32"/>
  <c r="C98" i="32"/>
  <c r="C97" i="32"/>
  <c r="C96" i="32"/>
  <c r="C95" i="32"/>
  <c r="C94" i="32"/>
  <c r="C93" i="32"/>
  <c r="C92" i="32"/>
  <c r="C91" i="32"/>
  <c r="C90" i="32"/>
  <c r="C88" i="32"/>
  <c r="C87" i="32"/>
  <c r="C86" i="32"/>
  <c r="C85" i="32"/>
  <c r="C84" i="32"/>
  <c r="C83" i="32"/>
  <c r="C82" i="32"/>
  <c r="C81" i="32"/>
  <c r="C80" i="32"/>
  <c r="C79" i="32"/>
  <c r="C77" i="32"/>
  <c r="C76" i="32"/>
  <c r="C75" i="32"/>
  <c r="C74" i="32"/>
  <c r="C73" i="32"/>
  <c r="C72" i="32"/>
  <c r="C71" i="32"/>
  <c r="C70" i="32"/>
  <c r="C69" i="32"/>
  <c r="C68" i="32"/>
  <c r="C66" i="32"/>
  <c r="C65" i="32"/>
  <c r="C64" i="32"/>
  <c r="C63" i="32"/>
  <c r="C62" i="32"/>
  <c r="C61" i="32"/>
  <c r="C60" i="32"/>
  <c r="C59" i="32"/>
  <c r="C58" i="32"/>
  <c r="C57" i="32"/>
  <c r="C55" i="32"/>
  <c r="C54" i="32"/>
  <c r="C53" i="32"/>
  <c r="C52" i="32"/>
  <c r="C51" i="32"/>
  <c r="C50" i="32"/>
  <c r="C44" i="32"/>
  <c r="C43" i="32"/>
  <c r="C42" i="32"/>
  <c r="C41" i="32"/>
  <c r="C40" i="32"/>
  <c r="C39" i="32"/>
  <c r="C33" i="32"/>
  <c r="C32" i="32"/>
  <c r="C31" i="32"/>
  <c r="C30" i="32"/>
  <c r="C29" i="32"/>
  <c r="C28" i="32"/>
  <c r="C22" i="32"/>
  <c r="C21" i="32"/>
  <c r="C20" i="32"/>
  <c r="C19" i="32"/>
  <c r="C18" i="32"/>
  <c r="C17" i="32"/>
  <c r="D296" i="32"/>
  <c r="B185" i="57"/>
  <c r="D285" i="32"/>
  <c r="B179" i="57"/>
  <c r="Y140" i="57"/>
  <c r="V140" i="57"/>
  <c r="S140" i="57"/>
  <c r="P140" i="57"/>
  <c r="N140" i="57"/>
  <c r="AR127" i="57"/>
  <c r="AO127" i="57"/>
  <c r="AL127" i="57"/>
  <c r="AI127" i="57"/>
  <c r="AF127" i="57"/>
  <c r="J119" i="57"/>
  <c r="J120" i="57" s="1"/>
  <c r="I119" i="57"/>
  <c r="I121" i="57" s="1"/>
  <c r="H119" i="57"/>
  <c r="H121" i="57" s="1"/>
  <c r="G119" i="57"/>
  <c r="F119" i="57"/>
  <c r="F122" i="57" s="1"/>
  <c r="N116" i="57"/>
  <c r="N115" i="57"/>
  <c r="M115" i="57"/>
  <c r="E116" i="57"/>
  <c r="O114" i="57"/>
  <c r="N114" i="57"/>
  <c r="M114" i="57"/>
  <c r="E114" i="57"/>
  <c r="J113" i="57"/>
  <c r="H113" i="57"/>
  <c r="G113" i="57"/>
  <c r="F115" i="57"/>
  <c r="B101" i="57"/>
  <c r="A101" i="57"/>
  <c r="W35" i="57"/>
  <c r="T35" i="57"/>
  <c r="Q35" i="57"/>
  <c r="N35" i="57"/>
  <c r="K35" i="57"/>
  <c r="M192" i="57"/>
  <c r="N191" i="57" s="1"/>
  <c r="O191" i="57" s="1"/>
  <c r="D295" i="32"/>
  <c r="B185" i="56"/>
  <c r="D284" i="32"/>
  <c r="B179" i="56"/>
  <c r="Y140" i="56"/>
  <c r="V140" i="56"/>
  <c r="S140" i="56"/>
  <c r="P140" i="56"/>
  <c r="N140" i="56"/>
  <c r="AR127" i="56"/>
  <c r="AO127" i="56"/>
  <c r="AL127" i="56"/>
  <c r="AI127" i="56"/>
  <c r="AF127" i="56"/>
  <c r="J119" i="56"/>
  <c r="J120" i="56" s="1"/>
  <c r="I119" i="56"/>
  <c r="I121" i="56" s="1"/>
  <c r="H119" i="56"/>
  <c r="H122" i="56" s="1"/>
  <c r="G119" i="56"/>
  <c r="F119" i="56"/>
  <c r="F122" i="56" s="1"/>
  <c r="N116" i="56"/>
  <c r="N115" i="56"/>
  <c r="M115" i="56"/>
  <c r="E116" i="56"/>
  <c r="O114" i="56"/>
  <c r="N114" i="56"/>
  <c r="M114" i="56"/>
  <c r="E114" i="56"/>
  <c r="J113" i="56"/>
  <c r="H113" i="56"/>
  <c r="G113" i="56"/>
  <c r="F115" i="56"/>
  <c r="W35" i="56"/>
  <c r="T35" i="56"/>
  <c r="Q35" i="56"/>
  <c r="N35" i="56"/>
  <c r="K35" i="56"/>
  <c r="D294" i="32"/>
  <c r="B185" i="55"/>
  <c r="D283" i="32"/>
  <c r="B179" i="55"/>
  <c r="Y140" i="55"/>
  <c r="V140" i="55"/>
  <c r="S140" i="55"/>
  <c r="P140" i="55"/>
  <c r="N140" i="55"/>
  <c r="AR127" i="55"/>
  <c r="AO127" i="55"/>
  <c r="AL127" i="55"/>
  <c r="AI127" i="55"/>
  <c r="AF127" i="55"/>
  <c r="J119" i="55"/>
  <c r="J120" i="55" s="1"/>
  <c r="I119" i="55"/>
  <c r="I121" i="55" s="1"/>
  <c r="H119" i="55"/>
  <c r="H121" i="55" s="1"/>
  <c r="G119" i="55"/>
  <c r="F119" i="55"/>
  <c r="F122" i="55" s="1"/>
  <c r="N116" i="55"/>
  <c r="N115" i="55"/>
  <c r="M115" i="55"/>
  <c r="E116" i="55"/>
  <c r="O114" i="55"/>
  <c r="N114" i="55"/>
  <c r="M114" i="55"/>
  <c r="E114" i="55"/>
  <c r="J113" i="55"/>
  <c r="H113" i="55"/>
  <c r="G113" i="55"/>
  <c r="F115" i="55"/>
  <c r="W35" i="55"/>
  <c r="T35" i="55"/>
  <c r="Q35" i="55"/>
  <c r="N35" i="55"/>
  <c r="K35" i="55"/>
  <c r="D293" i="32"/>
  <c r="B185" i="54"/>
  <c r="D282" i="32"/>
  <c r="B179" i="54"/>
  <c r="Y140" i="54"/>
  <c r="V140" i="54"/>
  <c r="S140" i="54"/>
  <c r="P140" i="54"/>
  <c r="N140" i="54"/>
  <c r="AR127" i="54"/>
  <c r="AO127" i="54"/>
  <c r="AL127" i="54"/>
  <c r="AI127" i="54"/>
  <c r="AF127" i="54"/>
  <c r="J119" i="54"/>
  <c r="I119" i="54"/>
  <c r="I121" i="54" s="1"/>
  <c r="H119" i="54"/>
  <c r="H121" i="54" s="1"/>
  <c r="G119" i="54"/>
  <c r="G120" i="54" s="1"/>
  <c r="F119" i="54"/>
  <c r="F121" i="54" s="1"/>
  <c r="N116" i="54"/>
  <c r="N115" i="54"/>
  <c r="M115" i="54"/>
  <c r="E116" i="54"/>
  <c r="O114" i="54"/>
  <c r="N114" i="54"/>
  <c r="M114" i="54"/>
  <c r="E114" i="54"/>
  <c r="J113" i="54"/>
  <c r="I112" i="54"/>
  <c r="G113" i="54"/>
  <c r="F113" i="54"/>
  <c r="W35" i="54"/>
  <c r="T35" i="54"/>
  <c r="Q35" i="54"/>
  <c r="N35" i="54"/>
  <c r="K35" i="54"/>
  <c r="D292" i="32"/>
  <c r="B185" i="53"/>
  <c r="D281" i="32"/>
  <c r="B179" i="53"/>
  <c r="Y140" i="53"/>
  <c r="V140" i="53"/>
  <c r="S140" i="53"/>
  <c r="P140" i="53"/>
  <c r="N140" i="53"/>
  <c r="AR127" i="53"/>
  <c r="AO127" i="53"/>
  <c r="AL127" i="53"/>
  <c r="AI127" i="53"/>
  <c r="AF127" i="53"/>
  <c r="J119" i="53"/>
  <c r="J122" i="53" s="1"/>
  <c r="I119" i="53"/>
  <c r="H119" i="53"/>
  <c r="G119" i="53"/>
  <c r="G122" i="53" s="1"/>
  <c r="F119" i="53"/>
  <c r="F122" i="53" s="1"/>
  <c r="N116" i="53"/>
  <c r="N115" i="53"/>
  <c r="M115" i="53"/>
  <c r="E116" i="53"/>
  <c r="O114" i="53"/>
  <c r="N114" i="53"/>
  <c r="M114" i="53"/>
  <c r="E114" i="53"/>
  <c r="J112" i="53"/>
  <c r="I113" i="53"/>
  <c r="F112" i="53"/>
  <c r="W35" i="53"/>
  <c r="T35" i="53"/>
  <c r="Q35" i="53"/>
  <c r="N35" i="53"/>
  <c r="K35" i="53"/>
  <c r="D291" i="32"/>
  <c r="B185" i="52"/>
  <c r="D280" i="32"/>
  <c r="B179" i="52"/>
  <c r="Y140" i="52"/>
  <c r="V140" i="52"/>
  <c r="S140" i="52"/>
  <c r="P140" i="52"/>
  <c r="N140" i="52"/>
  <c r="AR127" i="52"/>
  <c r="AO127" i="52"/>
  <c r="AL127" i="52"/>
  <c r="AI127" i="52"/>
  <c r="AF127" i="52"/>
  <c r="J119" i="52"/>
  <c r="J120" i="52" s="1"/>
  <c r="I119" i="52"/>
  <c r="I121" i="52" s="1"/>
  <c r="H119" i="52"/>
  <c r="H120" i="52" s="1"/>
  <c r="G119" i="52"/>
  <c r="F119" i="52"/>
  <c r="F122" i="52" s="1"/>
  <c r="N116" i="52"/>
  <c r="N115" i="52"/>
  <c r="M115" i="52"/>
  <c r="E116" i="52"/>
  <c r="O114" i="52"/>
  <c r="N114" i="52"/>
  <c r="M114" i="52"/>
  <c r="E114" i="52"/>
  <c r="J113" i="52"/>
  <c r="H113" i="52"/>
  <c r="G113" i="52"/>
  <c r="F115" i="52"/>
  <c r="W35" i="52"/>
  <c r="T35" i="52"/>
  <c r="Q35" i="52"/>
  <c r="N35" i="52"/>
  <c r="K35" i="52"/>
  <c r="B34" i="23"/>
  <c r="A34" i="23"/>
  <c r="M192" i="56" l="1"/>
  <c r="N191" i="56" s="1"/>
  <c r="O191" i="56" s="1"/>
  <c r="O145" i="56"/>
  <c r="O155" i="56"/>
  <c r="O160" i="56"/>
  <c r="O150" i="56"/>
  <c r="O157" i="56"/>
  <c r="O147" i="56"/>
  <c r="O152" i="56"/>
  <c r="O162" i="56"/>
  <c r="R145" i="56"/>
  <c r="R157" i="56"/>
  <c r="R155" i="56"/>
  <c r="R147" i="56"/>
  <c r="R152" i="56"/>
  <c r="R150" i="56"/>
  <c r="R162" i="56"/>
  <c r="R160" i="56"/>
  <c r="AA150" i="56"/>
  <c r="AA145" i="56"/>
  <c r="AA160" i="56"/>
  <c r="AA157" i="56"/>
  <c r="AA152" i="56"/>
  <c r="AA147" i="56"/>
  <c r="AA162" i="56"/>
  <c r="AA155" i="56"/>
  <c r="U145" i="56"/>
  <c r="U162" i="56"/>
  <c r="U157" i="56"/>
  <c r="U150" i="56"/>
  <c r="U152" i="56"/>
  <c r="U160" i="56"/>
  <c r="U155" i="56"/>
  <c r="U147" i="56"/>
  <c r="X157" i="56"/>
  <c r="X145" i="56"/>
  <c r="X160" i="56"/>
  <c r="X152" i="56"/>
  <c r="X155" i="56"/>
  <c r="X162" i="56"/>
  <c r="X150" i="56"/>
  <c r="X147" i="56"/>
  <c r="U152" i="55"/>
  <c r="U147" i="55"/>
  <c r="U145" i="55"/>
  <c r="U150" i="55"/>
  <c r="U160" i="55"/>
  <c r="U155" i="55"/>
  <c r="U162" i="55"/>
  <c r="U157" i="55"/>
  <c r="R155" i="55"/>
  <c r="R145" i="55"/>
  <c r="R157" i="55"/>
  <c r="R147" i="55"/>
  <c r="R150" i="55"/>
  <c r="R152" i="55"/>
  <c r="R160" i="55"/>
  <c r="R162" i="55"/>
  <c r="X145" i="55"/>
  <c r="X160" i="55"/>
  <c r="X152" i="55"/>
  <c r="X162" i="55"/>
  <c r="X150" i="55"/>
  <c r="X157" i="55"/>
  <c r="X147" i="55"/>
  <c r="X155" i="55"/>
  <c r="M192" i="55"/>
  <c r="N191" i="55" s="1"/>
  <c r="O191" i="55" s="1"/>
  <c r="O155" i="55"/>
  <c r="O152" i="55"/>
  <c r="AB152" i="55" s="1"/>
  <c r="O147" i="55"/>
  <c r="O157" i="55"/>
  <c r="O150" i="55"/>
  <c r="O162" i="55"/>
  <c r="AB162" i="55" s="1"/>
  <c r="O145" i="55"/>
  <c r="O160" i="55"/>
  <c r="AA152" i="55"/>
  <c r="AA155" i="55"/>
  <c r="AA150" i="55"/>
  <c r="AA145" i="55"/>
  <c r="AA157" i="55"/>
  <c r="AA147" i="55"/>
  <c r="AA160" i="55"/>
  <c r="AA162" i="55"/>
  <c r="X155" i="54"/>
  <c r="X147" i="54"/>
  <c r="X157" i="54"/>
  <c r="X160" i="54"/>
  <c r="X150" i="54"/>
  <c r="X152" i="54"/>
  <c r="X145" i="54"/>
  <c r="X162" i="54"/>
  <c r="M192" i="54"/>
  <c r="N191" i="54" s="1"/>
  <c r="O191" i="54" s="1"/>
  <c r="O155" i="54"/>
  <c r="O147" i="54"/>
  <c r="O145" i="54"/>
  <c r="O150" i="54"/>
  <c r="O152" i="54"/>
  <c r="O160" i="54"/>
  <c r="O157" i="54"/>
  <c r="O162" i="54"/>
  <c r="AA150" i="54"/>
  <c r="AA162" i="54"/>
  <c r="AA155" i="54"/>
  <c r="AA160" i="54"/>
  <c r="AA157" i="54"/>
  <c r="AA145" i="54"/>
  <c r="AA147" i="54"/>
  <c r="AA152" i="54"/>
  <c r="U155" i="54"/>
  <c r="U157" i="54"/>
  <c r="U152" i="54"/>
  <c r="U145" i="54"/>
  <c r="U162" i="54"/>
  <c r="U160" i="54"/>
  <c r="U147" i="54"/>
  <c r="U150" i="54"/>
  <c r="R157" i="54"/>
  <c r="R152" i="54"/>
  <c r="R162" i="54"/>
  <c r="R160" i="54"/>
  <c r="R145" i="54"/>
  <c r="R147" i="54"/>
  <c r="R150" i="54"/>
  <c r="R155" i="54"/>
  <c r="AT135" i="54"/>
  <c r="X147" i="53"/>
  <c r="X150" i="53"/>
  <c r="X162" i="53"/>
  <c r="X157" i="53"/>
  <c r="X152" i="53"/>
  <c r="X145" i="53"/>
  <c r="X155" i="53"/>
  <c r="X160" i="53"/>
  <c r="U155" i="53"/>
  <c r="U160" i="53"/>
  <c r="U162" i="53"/>
  <c r="U147" i="53"/>
  <c r="U157" i="53"/>
  <c r="U152" i="53"/>
  <c r="U145" i="53"/>
  <c r="U150" i="53"/>
  <c r="M192" i="53"/>
  <c r="N191" i="53" s="1"/>
  <c r="O191" i="53" s="1"/>
  <c r="O150" i="53"/>
  <c r="O155" i="53"/>
  <c r="O160" i="53"/>
  <c r="O152" i="53"/>
  <c r="O147" i="53"/>
  <c r="O157" i="53"/>
  <c r="O162" i="53"/>
  <c r="O145" i="53"/>
  <c r="AA160" i="53"/>
  <c r="AA155" i="53"/>
  <c r="AA150" i="53"/>
  <c r="AA145" i="53"/>
  <c r="AA162" i="53"/>
  <c r="AA157" i="53"/>
  <c r="AA147" i="53"/>
  <c r="AA152" i="53"/>
  <c r="R152" i="53"/>
  <c r="R150" i="53"/>
  <c r="R147" i="53"/>
  <c r="R160" i="53"/>
  <c r="R155" i="53"/>
  <c r="R145" i="53"/>
  <c r="R157" i="53"/>
  <c r="R162" i="53"/>
  <c r="M192" i="52"/>
  <c r="N191" i="52" s="1"/>
  <c r="O191" i="52" s="1"/>
  <c r="O145" i="52"/>
  <c r="O147" i="52"/>
  <c r="O157" i="52"/>
  <c r="O152" i="52"/>
  <c r="O155" i="52"/>
  <c r="O150" i="52"/>
  <c r="O162" i="52"/>
  <c r="O160" i="52"/>
  <c r="AA160" i="52"/>
  <c r="AA145" i="52"/>
  <c r="AA152" i="52"/>
  <c r="AA157" i="52"/>
  <c r="AA155" i="52"/>
  <c r="AA150" i="52"/>
  <c r="AA162" i="52"/>
  <c r="AA147" i="52"/>
  <c r="U155" i="52"/>
  <c r="U147" i="52"/>
  <c r="U157" i="52"/>
  <c r="U152" i="52"/>
  <c r="U160" i="52"/>
  <c r="U150" i="52"/>
  <c r="U162" i="52"/>
  <c r="U145" i="52"/>
  <c r="X145" i="52"/>
  <c r="X147" i="52"/>
  <c r="X152" i="52"/>
  <c r="X157" i="52"/>
  <c r="X160" i="52"/>
  <c r="X150" i="52"/>
  <c r="X162" i="52"/>
  <c r="X155" i="52"/>
  <c r="R160" i="52"/>
  <c r="R150" i="52"/>
  <c r="R152" i="52"/>
  <c r="R155" i="52"/>
  <c r="R145" i="52"/>
  <c r="R147" i="52"/>
  <c r="R162" i="52"/>
  <c r="R157" i="52"/>
  <c r="AN133" i="57"/>
  <c r="AO133" i="57" s="1"/>
  <c r="AE132" i="57"/>
  <c r="AF132" i="57" s="1"/>
  <c r="AG132" i="57" s="1"/>
  <c r="AQ130" i="57"/>
  <c r="AR130" i="57" s="1"/>
  <c r="AK130" i="57"/>
  <c r="AL130" i="57" s="1"/>
  <c r="AQ133" i="57"/>
  <c r="AR133" i="57" s="1"/>
  <c r="AS133" i="57" s="1"/>
  <c r="AK132" i="57"/>
  <c r="AL132" i="57" s="1"/>
  <c r="AN130" i="57"/>
  <c r="AO130" i="57" s="1"/>
  <c r="AF130" i="57"/>
  <c r="AN132" i="57"/>
  <c r="AO132" i="57" s="1"/>
  <c r="AQ132" i="57"/>
  <c r="AR132" i="57" s="1"/>
  <c r="AH132" i="57"/>
  <c r="AI132" i="57" s="1"/>
  <c r="AH133" i="57"/>
  <c r="AI133" i="57" s="1"/>
  <c r="AE133" i="57"/>
  <c r="AF133" i="57" s="1"/>
  <c r="AK133" i="57"/>
  <c r="AL133" i="57" s="1"/>
  <c r="AH130" i="57"/>
  <c r="AI130" i="57" s="1"/>
  <c r="AE131" i="57"/>
  <c r="AF131" i="57" s="1"/>
  <c r="AN131" i="57"/>
  <c r="AO131" i="57" s="1"/>
  <c r="AK131" i="57"/>
  <c r="AL131" i="57" s="1"/>
  <c r="AM131" i="57" s="1"/>
  <c r="AQ131" i="57"/>
  <c r="AR131" i="57" s="1"/>
  <c r="AS131" i="57" s="1"/>
  <c r="AH131" i="57"/>
  <c r="AI131" i="57" s="1"/>
  <c r="AJ131" i="57" s="1"/>
  <c r="AH133" i="56"/>
  <c r="AI133" i="56" s="1"/>
  <c r="AH132" i="56"/>
  <c r="AI132" i="56" s="1"/>
  <c r="AE130" i="56"/>
  <c r="AF130" i="56" s="1"/>
  <c r="AQ133" i="56"/>
  <c r="AR133" i="56" s="1"/>
  <c r="AS133" i="56" s="1"/>
  <c r="AK132" i="56"/>
  <c r="AL132" i="56" s="1"/>
  <c r="AH130" i="56"/>
  <c r="AI130" i="56" s="1"/>
  <c r="AN133" i="56"/>
  <c r="AO133" i="56" s="1"/>
  <c r="AN132" i="56"/>
  <c r="AO132" i="56" s="1"/>
  <c r="AE133" i="56"/>
  <c r="AF133" i="56" s="1"/>
  <c r="AG133" i="56" s="1"/>
  <c r="AE132" i="56"/>
  <c r="AF132" i="56" s="1"/>
  <c r="AG132" i="56" s="1"/>
  <c r="AQ130" i="56"/>
  <c r="AR130" i="56" s="1"/>
  <c r="AK133" i="56"/>
  <c r="AL133" i="56" s="1"/>
  <c r="AQ132" i="56"/>
  <c r="AR132" i="56" s="1"/>
  <c r="AN130" i="56"/>
  <c r="AO130" i="56" s="1"/>
  <c r="AK130" i="56"/>
  <c r="AL130" i="56" s="1"/>
  <c r="AH131" i="56"/>
  <c r="AI131" i="56" s="1"/>
  <c r="AJ131" i="56" s="1"/>
  <c r="AN131" i="56"/>
  <c r="AO131" i="56" s="1"/>
  <c r="AE131" i="56"/>
  <c r="AF131" i="56" s="1"/>
  <c r="AQ131" i="56"/>
  <c r="AR131" i="56" s="1"/>
  <c r="AS131" i="56" s="1"/>
  <c r="AK131" i="56"/>
  <c r="AL131" i="56" s="1"/>
  <c r="AM131" i="56" s="1"/>
  <c r="AQ133" i="55"/>
  <c r="AR133" i="55" s="1"/>
  <c r="AS133" i="55" s="1"/>
  <c r="AH132" i="55"/>
  <c r="AI132" i="55" s="1"/>
  <c r="AK130" i="55"/>
  <c r="AL130" i="55" s="1"/>
  <c r="AN133" i="55"/>
  <c r="AO133" i="55" s="1"/>
  <c r="AK132" i="55"/>
  <c r="AL132" i="55" s="1"/>
  <c r="AH133" i="55"/>
  <c r="AI133" i="55" s="1"/>
  <c r="AN132" i="55"/>
  <c r="AO132" i="55" s="1"/>
  <c r="AE132" i="55"/>
  <c r="AF132" i="55" s="1"/>
  <c r="AG132" i="55" s="1"/>
  <c r="AQ130" i="55"/>
  <c r="AR130" i="55" s="1"/>
  <c r="AH130" i="55"/>
  <c r="AI130" i="55" s="1"/>
  <c r="AE133" i="55"/>
  <c r="AF133" i="55" s="1"/>
  <c r="AN130" i="55"/>
  <c r="AO130" i="55" s="1"/>
  <c r="AK133" i="55"/>
  <c r="AL133" i="55" s="1"/>
  <c r="AQ132" i="55"/>
  <c r="AR132" i="55" s="1"/>
  <c r="AE130" i="55"/>
  <c r="AF130" i="55" s="1"/>
  <c r="AK131" i="55"/>
  <c r="AL131" i="55" s="1"/>
  <c r="AM131" i="55" s="1"/>
  <c r="AN131" i="55"/>
  <c r="AO131" i="55" s="1"/>
  <c r="AH131" i="55"/>
  <c r="AI131" i="55" s="1"/>
  <c r="AJ131" i="55" s="1"/>
  <c r="AQ131" i="55"/>
  <c r="AR131" i="55" s="1"/>
  <c r="AS131" i="55" s="1"/>
  <c r="AE131" i="55"/>
  <c r="AF131" i="55" s="1"/>
  <c r="AN132" i="54"/>
  <c r="AO132" i="54" s="1"/>
  <c r="AE132" i="54"/>
  <c r="AF132" i="54" s="1"/>
  <c r="AN130" i="54"/>
  <c r="AO130" i="54" s="1"/>
  <c r="AP130" i="54" s="1"/>
  <c r="AE130" i="54"/>
  <c r="AF130" i="54" s="1"/>
  <c r="AN133" i="54"/>
  <c r="AO133" i="54" s="1"/>
  <c r="AE133" i="54"/>
  <c r="AF133" i="54" s="1"/>
  <c r="AK133" i="54"/>
  <c r="AL133" i="54" s="1"/>
  <c r="AQ133" i="54"/>
  <c r="AR133" i="54" s="1"/>
  <c r="AH133" i="54"/>
  <c r="AI133" i="54" s="1"/>
  <c r="AJ133" i="54" s="1"/>
  <c r="AK132" i="54"/>
  <c r="AL132" i="54" s="1"/>
  <c r="AK130" i="54"/>
  <c r="AL130" i="54" s="1"/>
  <c r="AH130" i="54"/>
  <c r="AI130" i="54" s="1"/>
  <c r="AQ132" i="54"/>
  <c r="AR132" i="54" s="1"/>
  <c r="AH132" i="54"/>
  <c r="AI132" i="54" s="1"/>
  <c r="AQ130" i="54"/>
  <c r="AR130" i="54" s="1"/>
  <c r="AN131" i="54"/>
  <c r="AO131" i="54" s="1"/>
  <c r="AK131" i="54"/>
  <c r="AL131" i="54" s="1"/>
  <c r="AH131" i="54"/>
  <c r="AI131" i="54" s="1"/>
  <c r="AJ131" i="54" s="1"/>
  <c r="AQ131" i="54"/>
  <c r="AR131" i="54" s="1"/>
  <c r="AS131" i="54" s="1"/>
  <c r="AE131" i="54"/>
  <c r="AF131" i="54" s="1"/>
  <c r="AG131" i="54" s="1"/>
  <c r="AN133" i="53"/>
  <c r="AO133" i="53" s="1"/>
  <c r="AE133" i="53"/>
  <c r="AF133" i="53" s="1"/>
  <c r="AK132" i="53"/>
  <c r="AL132" i="53" s="1"/>
  <c r="AN130" i="53"/>
  <c r="AO130" i="53" s="1"/>
  <c r="AK130" i="53"/>
  <c r="AL130" i="53" s="1"/>
  <c r="AQ133" i="53"/>
  <c r="AR133" i="53" s="1"/>
  <c r="AN132" i="53"/>
  <c r="AO132" i="53" s="1"/>
  <c r="AH130" i="53"/>
  <c r="AI130" i="53" s="1"/>
  <c r="AK133" i="53"/>
  <c r="AL133" i="53" s="1"/>
  <c r="AQ132" i="53"/>
  <c r="AR132" i="53" s="1"/>
  <c r="AE130" i="53"/>
  <c r="AF130" i="53" s="1"/>
  <c r="AG130" i="53" s="1"/>
  <c r="AH132" i="53"/>
  <c r="AI132" i="53" s="1"/>
  <c r="AH133" i="53"/>
  <c r="AI133" i="53" s="1"/>
  <c r="AE132" i="53"/>
  <c r="AF132" i="53" s="1"/>
  <c r="AQ130" i="53"/>
  <c r="AR130" i="53" s="1"/>
  <c r="AS130" i="53" s="1"/>
  <c r="AH131" i="53"/>
  <c r="AI131" i="53" s="1"/>
  <c r="AE131" i="53"/>
  <c r="AF131" i="53" s="1"/>
  <c r="AQ131" i="53"/>
  <c r="AR131" i="53" s="1"/>
  <c r="AK131" i="53"/>
  <c r="AL131" i="53" s="1"/>
  <c r="AN131" i="53"/>
  <c r="AO131" i="53" s="1"/>
  <c r="AP131" i="53" s="1"/>
  <c r="AQ133" i="52"/>
  <c r="AR133" i="52" s="1"/>
  <c r="AS133" i="52" s="1"/>
  <c r="AH133" i="52"/>
  <c r="AI133" i="52" s="1"/>
  <c r="AK132" i="52"/>
  <c r="AL132" i="52" s="1"/>
  <c r="AK133" i="52"/>
  <c r="AL133" i="52" s="1"/>
  <c r="AM133" i="52" s="1"/>
  <c r="AQ132" i="52"/>
  <c r="AR132" i="52" s="1"/>
  <c r="AH132" i="52"/>
  <c r="AI132" i="52" s="1"/>
  <c r="AQ130" i="52"/>
  <c r="AR130" i="52" s="1"/>
  <c r="AK130" i="52"/>
  <c r="AL130" i="52" s="1"/>
  <c r="AN130" i="52"/>
  <c r="AO130" i="52" s="1"/>
  <c r="AE130" i="52"/>
  <c r="AF130" i="52" s="1"/>
  <c r="AE133" i="52"/>
  <c r="AF133" i="52" s="1"/>
  <c r="AN132" i="52"/>
  <c r="AO132" i="52" s="1"/>
  <c r="AH130" i="52"/>
  <c r="AI130" i="52" s="1"/>
  <c r="AN133" i="52"/>
  <c r="AO133" i="52" s="1"/>
  <c r="AE132" i="52"/>
  <c r="AF132" i="52" s="1"/>
  <c r="AG132" i="52" s="1"/>
  <c r="AK131" i="52"/>
  <c r="AL131" i="52" s="1"/>
  <c r="AM131" i="52" s="1"/>
  <c r="AH131" i="52"/>
  <c r="AI131" i="52" s="1"/>
  <c r="AJ131" i="52" s="1"/>
  <c r="AQ131" i="52"/>
  <c r="AR131" i="52" s="1"/>
  <c r="AS131" i="52" s="1"/>
  <c r="AE131" i="52"/>
  <c r="AF131" i="52" s="1"/>
  <c r="AN131" i="52"/>
  <c r="AO131" i="52" s="1"/>
  <c r="AT135" i="52"/>
  <c r="O91" i="57"/>
  <c r="O79" i="57"/>
  <c r="O76" i="57"/>
  <c r="R157" i="57"/>
  <c r="O67" i="57"/>
  <c r="R155" i="57"/>
  <c r="R147" i="57"/>
  <c r="O73" i="57"/>
  <c r="O85" i="57"/>
  <c r="R150" i="57"/>
  <c r="O94" i="57"/>
  <c r="O43" i="57"/>
  <c r="O49" i="57"/>
  <c r="R152" i="57"/>
  <c r="O46" i="57"/>
  <c r="R160" i="57"/>
  <c r="O88" i="57"/>
  <c r="O97" i="57"/>
  <c r="O40" i="57"/>
  <c r="O61" i="57"/>
  <c r="O58" i="57"/>
  <c r="O55" i="57"/>
  <c r="O82" i="57"/>
  <c r="O52" i="57"/>
  <c r="R162" i="57"/>
  <c r="O101" i="57"/>
  <c r="R145" i="57"/>
  <c r="O64" i="57"/>
  <c r="O70" i="57"/>
  <c r="R94" i="57"/>
  <c r="R58" i="57"/>
  <c r="R91" i="57"/>
  <c r="R101" i="57"/>
  <c r="R43" i="57"/>
  <c r="U155" i="57"/>
  <c r="R49" i="57"/>
  <c r="U147" i="57"/>
  <c r="R76" i="57"/>
  <c r="U145" i="57"/>
  <c r="R79" i="57"/>
  <c r="U162" i="57"/>
  <c r="R67" i="57"/>
  <c r="R40" i="57"/>
  <c r="R73" i="57"/>
  <c r="U157" i="57"/>
  <c r="R55" i="57"/>
  <c r="U152" i="57"/>
  <c r="R88" i="57"/>
  <c r="R70" i="57"/>
  <c r="R82" i="57"/>
  <c r="R46" i="57"/>
  <c r="R85" i="57"/>
  <c r="U160" i="57"/>
  <c r="R61" i="57"/>
  <c r="U150" i="57"/>
  <c r="R52" i="57"/>
  <c r="R97" i="57"/>
  <c r="R64" i="57"/>
  <c r="U79" i="57"/>
  <c r="U88" i="57"/>
  <c r="X145" i="57"/>
  <c r="X152" i="57"/>
  <c r="U70" i="57"/>
  <c r="X147" i="57"/>
  <c r="U43" i="57"/>
  <c r="U76" i="57"/>
  <c r="U85" i="57"/>
  <c r="U52" i="57"/>
  <c r="U61" i="57"/>
  <c r="U73" i="57"/>
  <c r="X162" i="57"/>
  <c r="X150" i="57"/>
  <c r="U55" i="57"/>
  <c r="U91" i="57"/>
  <c r="U49" i="57"/>
  <c r="U97" i="57"/>
  <c r="U101" i="57"/>
  <c r="X155" i="57"/>
  <c r="U94" i="57"/>
  <c r="U82" i="57"/>
  <c r="X157" i="57"/>
  <c r="U58" i="57"/>
  <c r="U46" i="57"/>
  <c r="U64" i="57"/>
  <c r="U40" i="57"/>
  <c r="U67" i="57"/>
  <c r="X160" i="57"/>
  <c r="O160" i="57"/>
  <c r="O150" i="57"/>
  <c r="L70" i="57"/>
  <c r="L58" i="57"/>
  <c r="L55" i="57"/>
  <c r="L97" i="57"/>
  <c r="L46" i="57"/>
  <c r="L67" i="57"/>
  <c r="L49" i="57"/>
  <c r="L82" i="57"/>
  <c r="L79" i="57"/>
  <c r="L88" i="57"/>
  <c r="L85" i="57"/>
  <c r="L64" i="57"/>
  <c r="L43" i="57"/>
  <c r="O147" i="57"/>
  <c r="O145" i="57"/>
  <c r="O162" i="57"/>
  <c r="O157" i="57"/>
  <c r="O152" i="57"/>
  <c r="L40" i="57"/>
  <c r="L73" i="57"/>
  <c r="L101" i="57"/>
  <c r="L76" i="57"/>
  <c r="L61" i="57"/>
  <c r="L91" i="57"/>
  <c r="L52" i="57"/>
  <c r="L94" i="57"/>
  <c r="O155" i="57"/>
  <c r="X64" i="57"/>
  <c r="X79" i="57"/>
  <c r="X40" i="57"/>
  <c r="X85" i="57"/>
  <c r="X46" i="57"/>
  <c r="X61" i="57"/>
  <c r="X88" i="57"/>
  <c r="X94" i="57"/>
  <c r="X52" i="57"/>
  <c r="AA157" i="57"/>
  <c r="X67" i="57"/>
  <c r="X49" i="57"/>
  <c r="X101" i="57"/>
  <c r="X82" i="57"/>
  <c r="X70" i="57"/>
  <c r="X58" i="57"/>
  <c r="X97" i="57"/>
  <c r="X73" i="57"/>
  <c r="AA147" i="57"/>
  <c r="AA162" i="57"/>
  <c r="X76" i="57"/>
  <c r="AA152" i="57"/>
  <c r="AA145" i="57"/>
  <c r="AA160" i="57"/>
  <c r="X55" i="57"/>
  <c r="AA155" i="57"/>
  <c r="AA150" i="57"/>
  <c r="X43" i="57"/>
  <c r="X91" i="57"/>
  <c r="J121" i="56"/>
  <c r="O52" i="56"/>
  <c r="O70" i="56"/>
  <c r="O85" i="56"/>
  <c r="O98" i="56"/>
  <c r="O101" i="56"/>
  <c r="O58" i="56"/>
  <c r="O67" i="56"/>
  <c r="O43" i="56"/>
  <c r="O46" i="56"/>
  <c r="O55" i="56"/>
  <c r="O49" i="56"/>
  <c r="O40" i="56"/>
  <c r="O88" i="56"/>
  <c r="O91" i="56"/>
  <c r="O61" i="56"/>
  <c r="O73" i="56"/>
  <c r="O79" i="56"/>
  <c r="O76" i="56"/>
  <c r="O94" i="56"/>
  <c r="O64" i="56"/>
  <c r="O82" i="56"/>
  <c r="R52" i="56"/>
  <c r="R64" i="56"/>
  <c r="R82" i="56"/>
  <c r="R46" i="56"/>
  <c r="R85" i="56"/>
  <c r="R101" i="56"/>
  <c r="R43" i="56"/>
  <c r="R49" i="56"/>
  <c r="R76" i="56"/>
  <c r="R40" i="56"/>
  <c r="R98" i="56"/>
  <c r="R67" i="56"/>
  <c r="R73" i="56"/>
  <c r="R94" i="56"/>
  <c r="R55" i="56"/>
  <c r="R88" i="56"/>
  <c r="R58" i="56"/>
  <c r="R91" i="56"/>
  <c r="R70" i="56"/>
  <c r="R79" i="56"/>
  <c r="R61" i="56"/>
  <c r="U91" i="56"/>
  <c r="U55" i="56"/>
  <c r="U70" i="56"/>
  <c r="U64" i="56"/>
  <c r="U73" i="56"/>
  <c r="U82" i="56"/>
  <c r="U94" i="56"/>
  <c r="U101" i="56"/>
  <c r="U52" i="56"/>
  <c r="U88" i="56"/>
  <c r="U85" i="56"/>
  <c r="U40" i="56"/>
  <c r="U43" i="56"/>
  <c r="U67" i="56"/>
  <c r="U98" i="56"/>
  <c r="U49" i="56"/>
  <c r="U61" i="56"/>
  <c r="U79" i="56"/>
  <c r="U76" i="56"/>
  <c r="U58" i="56"/>
  <c r="U46" i="56"/>
  <c r="L67" i="56"/>
  <c r="L76" i="56"/>
  <c r="L91" i="56"/>
  <c r="L43" i="56"/>
  <c r="L94" i="56"/>
  <c r="L61" i="56"/>
  <c r="L85" i="56"/>
  <c r="L98" i="56"/>
  <c r="L64" i="56"/>
  <c r="L40" i="56"/>
  <c r="L73" i="56"/>
  <c r="L70" i="56"/>
  <c r="L52" i="56"/>
  <c r="L82" i="56"/>
  <c r="L58" i="56"/>
  <c r="L101" i="56"/>
  <c r="L79" i="56"/>
  <c r="L49" i="56"/>
  <c r="L88" i="56"/>
  <c r="L46" i="56"/>
  <c r="L55" i="56"/>
  <c r="X46" i="56"/>
  <c r="X76" i="56"/>
  <c r="X85" i="56"/>
  <c r="X82" i="56"/>
  <c r="X40" i="56"/>
  <c r="X58" i="56"/>
  <c r="X94" i="56"/>
  <c r="X55" i="56"/>
  <c r="X79" i="56"/>
  <c r="X43" i="56"/>
  <c r="X67" i="56"/>
  <c r="X101" i="56"/>
  <c r="X70" i="56"/>
  <c r="X88" i="56"/>
  <c r="X49" i="56"/>
  <c r="X52" i="56"/>
  <c r="X73" i="56"/>
  <c r="X64" i="56"/>
  <c r="X61" i="56"/>
  <c r="X91" i="56"/>
  <c r="X98" i="56"/>
  <c r="O67" i="54"/>
  <c r="O85" i="54"/>
  <c r="O43" i="54"/>
  <c r="O40" i="54"/>
  <c r="O49" i="54"/>
  <c r="O52" i="54"/>
  <c r="O64" i="54"/>
  <c r="O55" i="54"/>
  <c r="O58" i="54"/>
  <c r="O61" i="54"/>
  <c r="O88" i="54"/>
  <c r="O76" i="54"/>
  <c r="O95" i="54"/>
  <c r="O82" i="54"/>
  <c r="O73" i="54"/>
  <c r="O70" i="54"/>
  <c r="O92" i="54"/>
  <c r="O98" i="54"/>
  <c r="O101" i="54"/>
  <c r="O46" i="54"/>
  <c r="O79" i="54"/>
  <c r="U70" i="54"/>
  <c r="U88" i="54"/>
  <c r="U43" i="54"/>
  <c r="U95" i="54"/>
  <c r="U61" i="54"/>
  <c r="U52" i="54"/>
  <c r="U67" i="54"/>
  <c r="U76" i="54"/>
  <c r="U79" i="54"/>
  <c r="U82" i="54"/>
  <c r="U58" i="54"/>
  <c r="U101" i="54"/>
  <c r="U40" i="54"/>
  <c r="U49" i="54"/>
  <c r="U85" i="54"/>
  <c r="U73" i="54"/>
  <c r="U98" i="54"/>
  <c r="U46" i="54"/>
  <c r="U55" i="54"/>
  <c r="U64" i="54"/>
  <c r="U92" i="54"/>
  <c r="L40" i="54"/>
  <c r="L101" i="54"/>
  <c r="L46" i="54"/>
  <c r="L67" i="54"/>
  <c r="L92" i="54"/>
  <c r="L43" i="54"/>
  <c r="L82" i="54"/>
  <c r="L70" i="54"/>
  <c r="L85" i="54"/>
  <c r="L88" i="54"/>
  <c r="L55" i="54"/>
  <c r="L98" i="54"/>
  <c r="L79" i="54"/>
  <c r="L52" i="54"/>
  <c r="L49" i="54"/>
  <c r="L95" i="54"/>
  <c r="L61" i="54"/>
  <c r="L58" i="54"/>
  <c r="L73" i="54"/>
  <c r="L76" i="54"/>
  <c r="L64" i="54"/>
  <c r="X43" i="54"/>
  <c r="X46" i="54"/>
  <c r="X52" i="54"/>
  <c r="X67" i="54"/>
  <c r="X76" i="54"/>
  <c r="X61" i="54"/>
  <c r="X40" i="54"/>
  <c r="X95" i="54"/>
  <c r="X64" i="54"/>
  <c r="X73" i="54"/>
  <c r="X92" i="54"/>
  <c r="X88" i="54"/>
  <c r="X49" i="54"/>
  <c r="X101" i="54"/>
  <c r="X98" i="54"/>
  <c r="X82" i="54"/>
  <c r="X58" i="54"/>
  <c r="X55" i="54"/>
  <c r="X85" i="54"/>
  <c r="X70" i="54"/>
  <c r="X79" i="54"/>
  <c r="R64" i="54"/>
  <c r="R61" i="54"/>
  <c r="R95" i="54"/>
  <c r="R76" i="54"/>
  <c r="R85" i="54"/>
  <c r="R49" i="54"/>
  <c r="R55" i="54"/>
  <c r="R73" i="54"/>
  <c r="R58" i="54"/>
  <c r="R43" i="54"/>
  <c r="R98" i="54"/>
  <c r="R46" i="54"/>
  <c r="R67" i="54"/>
  <c r="R101" i="54"/>
  <c r="R82" i="54"/>
  <c r="R92" i="54"/>
  <c r="R40" i="54"/>
  <c r="R88" i="54"/>
  <c r="R70" i="54"/>
  <c r="R52" i="54"/>
  <c r="R79" i="54"/>
  <c r="O98" i="53"/>
  <c r="O58" i="53"/>
  <c r="O40" i="53"/>
  <c r="O76" i="53"/>
  <c r="O79" i="53"/>
  <c r="O92" i="53"/>
  <c r="O55" i="53"/>
  <c r="O64" i="53"/>
  <c r="O67" i="53"/>
  <c r="O82" i="53"/>
  <c r="O95" i="53"/>
  <c r="O49" i="53"/>
  <c r="O52" i="53"/>
  <c r="O73" i="53"/>
  <c r="O89" i="53"/>
  <c r="O43" i="53"/>
  <c r="O46" i="53"/>
  <c r="O70" i="53"/>
  <c r="O61" i="53"/>
  <c r="O85" i="53"/>
  <c r="O101" i="53"/>
  <c r="U67" i="53"/>
  <c r="U70" i="53"/>
  <c r="U82" i="53"/>
  <c r="U73" i="53"/>
  <c r="U95" i="53"/>
  <c r="U98" i="53"/>
  <c r="U79" i="53"/>
  <c r="U58" i="53"/>
  <c r="U55" i="53"/>
  <c r="U85" i="53"/>
  <c r="U61" i="53"/>
  <c r="U89" i="53"/>
  <c r="U76" i="53"/>
  <c r="U40" i="53"/>
  <c r="U49" i="53"/>
  <c r="U52" i="53"/>
  <c r="U64" i="53"/>
  <c r="U92" i="53"/>
  <c r="U43" i="53"/>
  <c r="U46" i="53"/>
  <c r="U101" i="53"/>
  <c r="R101" i="53"/>
  <c r="R73" i="53"/>
  <c r="R58" i="53"/>
  <c r="R40" i="53"/>
  <c r="R70" i="53"/>
  <c r="R67" i="53"/>
  <c r="R82" i="53"/>
  <c r="R64" i="53"/>
  <c r="R95" i="53"/>
  <c r="R61" i="53"/>
  <c r="R52" i="53"/>
  <c r="R89" i="53"/>
  <c r="R49" i="53"/>
  <c r="R55" i="53"/>
  <c r="R98" i="53"/>
  <c r="R76" i="53"/>
  <c r="R85" i="53"/>
  <c r="R79" i="53"/>
  <c r="R43" i="53"/>
  <c r="R92" i="53"/>
  <c r="R46" i="53"/>
  <c r="L55" i="53"/>
  <c r="L89" i="53"/>
  <c r="L52" i="53"/>
  <c r="L79" i="53"/>
  <c r="L43" i="53"/>
  <c r="L92" i="53"/>
  <c r="L64" i="53"/>
  <c r="L46" i="53"/>
  <c r="L101" i="53"/>
  <c r="L73" i="53"/>
  <c r="L61" i="53"/>
  <c r="L58" i="53"/>
  <c r="L98" i="53"/>
  <c r="L67" i="53"/>
  <c r="L40" i="53"/>
  <c r="L76" i="53"/>
  <c r="L82" i="53"/>
  <c r="L70" i="53"/>
  <c r="L95" i="53"/>
  <c r="L49" i="53"/>
  <c r="L85" i="53"/>
  <c r="X98" i="53"/>
  <c r="X85" i="53"/>
  <c r="X92" i="53"/>
  <c r="X49" i="53"/>
  <c r="X55" i="53"/>
  <c r="X64" i="53"/>
  <c r="X95" i="53"/>
  <c r="X70" i="53"/>
  <c r="X89" i="53"/>
  <c r="X52" i="53"/>
  <c r="X61" i="53"/>
  <c r="X76" i="53"/>
  <c r="X58" i="53"/>
  <c r="X43" i="53"/>
  <c r="X67" i="53"/>
  <c r="X79" i="53"/>
  <c r="X82" i="53"/>
  <c r="X101" i="53"/>
  <c r="X46" i="53"/>
  <c r="X73" i="53"/>
  <c r="X40" i="53"/>
  <c r="R91" i="55"/>
  <c r="R58" i="55"/>
  <c r="R55" i="55"/>
  <c r="R101" i="55"/>
  <c r="R67" i="55"/>
  <c r="R49" i="55"/>
  <c r="R82" i="55"/>
  <c r="R73" i="55"/>
  <c r="R52" i="55"/>
  <c r="R40" i="55"/>
  <c r="R46" i="55"/>
  <c r="R79" i="55"/>
  <c r="R70" i="55"/>
  <c r="R61" i="55"/>
  <c r="R64" i="55"/>
  <c r="R43" i="55"/>
  <c r="R76" i="55"/>
  <c r="R85" i="55"/>
  <c r="R98" i="55"/>
  <c r="R88" i="55"/>
  <c r="R95" i="55"/>
  <c r="L64" i="55"/>
  <c r="L76" i="55"/>
  <c r="L73" i="55"/>
  <c r="L67" i="55"/>
  <c r="L55" i="55"/>
  <c r="L61" i="55"/>
  <c r="L46" i="55"/>
  <c r="L85" i="55"/>
  <c r="L98" i="55"/>
  <c r="L101" i="55"/>
  <c r="L58" i="55"/>
  <c r="L88" i="55"/>
  <c r="L52" i="55"/>
  <c r="L91" i="55"/>
  <c r="L82" i="55"/>
  <c r="L70" i="55"/>
  <c r="L49" i="55"/>
  <c r="L79" i="55"/>
  <c r="L95" i="55"/>
  <c r="L43" i="55"/>
  <c r="L40" i="55"/>
  <c r="X79" i="55"/>
  <c r="X43" i="55"/>
  <c r="X91" i="55"/>
  <c r="X46" i="55"/>
  <c r="X82" i="55"/>
  <c r="X73" i="55"/>
  <c r="X40" i="55"/>
  <c r="X55" i="55"/>
  <c r="X98" i="55"/>
  <c r="X67" i="55"/>
  <c r="X61" i="55"/>
  <c r="X58" i="55"/>
  <c r="X70" i="55"/>
  <c r="X64" i="55"/>
  <c r="X85" i="55"/>
  <c r="X49" i="55"/>
  <c r="X52" i="55"/>
  <c r="X101" i="55"/>
  <c r="X76" i="55"/>
  <c r="X88" i="55"/>
  <c r="X95" i="55"/>
  <c r="U58" i="55"/>
  <c r="U55" i="55"/>
  <c r="U91" i="55"/>
  <c r="U43" i="55"/>
  <c r="U64" i="55"/>
  <c r="U98" i="55"/>
  <c r="U88" i="55"/>
  <c r="U95" i="55"/>
  <c r="U61" i="55"/>
  <c r="U49" i="55"/>
  <c r="U52" i="55"/>
  <c r="U73" i="55"/>
  <c r="U79" i="55"/>
  <c r="U82" i="55"/>
  <c r="U46" i="55"/>
  <c r="U85" i="55"/>
  <c r="U101" i="55"/>
  <c r="U76" i="55"/>
  <c r="U40" i="55"/>
  <c r="U67" i="55"/>
  <c r="U70" i="55"/>
  <c r="O98" i="55"/>
  <c r="O40" i="55"/>
  <c r="O49" i="55"/>
  <c r="O61" i="55"/>
  <c r="O58" i="55"/>
  <c r="O55" i="55"/>
  <c r="O67" i="55"/>
  <c r="O70" i="55"/>
  <c r="O95" i="55"/>
  <c r="O73" i="55"/>
  <c r="O88" i="55"/>
  <c r="O91" i="55"/>
  <c r="O79" i="55"/>
  <c r="O85" i="55"/>
  <c r="O64" i="55"/>
  <c r="O82" i="55"/>
  <c r="O76" i="55"/>
  <c r="O43" i="55"/>
  <c r="O101" i="55"/>
  <c r="O46" i="55"/>
  <c r="O52" i="55"/>
  <c r="X76" i="52"/>
  <c r="X55" i="52"/>
  <c r="X101" i="52"/>
  <c r="X86" i="52"/>
  <c r="X98" i="52"/>
  <c r="X43" i="52"/>
  <c r="X61" i="52"/>
  <c r="X82" i="52"/>
  <c r="X58" i="52"/>
  <c r="X67" i="52"/>
  <c r="X92" i="52"/>
  <c r="X52" i="52"/>
  <c r="X95" i="52"/>
  <c r="X40" i="52"/>
  <c r="X46" i="52"/>
  <c r="X73" i="52"/>
  <c r="X79" i="52"/>
  <c r="X89" i="52"/>
  <c r="X70" i="52"/>
  <c r="X64" i="52"/>
  <c r="X49" i="52"/>
  <c r="R86" i="52"/>
  <c r="R95" i="52"/>
  <c r="R92" i="52"/>
  <c r="R76" i="52"/>
  <c r="R64" i="52"/>
  <c r="R46" i="52"/>
  <c r="R67" i="52"/>
  <c r="R82" i="52"/>
  <c r="R79" i="52"/>
  <c r="R49" i="52"/>
  <c r="R55" i="52"/>
  <c r="R73" i="52"/>
  <c r="R101" i="52"/>
  <c r="R61" i="52"/>
  <c r="R43" i="52"/>
  <c r="R58" i="52"/>
  <c r="R40" i="52"/>
  <c r="R98" i="52"/>
  <c r="R70" i="52"/>
  <c r="R52" i="52"/>
  <c r="R89" i="52"/>
  <c r="L73" i="52"/>
  <c r="L79" i="52"/>
  <c r="L58" i="52"/>
  <c r="L40" i="52"/>
  <c r="L98" i="52"/>
  <c r="L46" i="52"/>
  <c r="L82" i="52"/>
  <c r="L101" i="52"/>
  <c r="L64" i="52"/>
  <c r="L76" i="52"/>
  <c r="L43" i="52"/>
  <c r="L86" i="52"/>
  <c r="L67" i="52"/>
  <c r="L89" i="52"/>
  <c r="L61" i="52"/>
  <c r="L55" i="52"/>
  <c r="L92" i="52"/>
  <c r="L49" i="52"/>
  <c r="L52" i="52"/>
  <c r="L70" i="52"/>
  <c r="L95" i="52"/>
  <c r="O76" i="52"/>
  <c r="O52" i="52"/>
  <c r="O70" i="52"/>
  <c r="O82" i="52"/>
  <c r="O43" i="52"/>
  <c r="O95" i="52"/>
  <c r="O49" i="52"/>
  <c r="O58" i="52"/>
  <c r="O101" i="52"/>
  <c r="O40" i="52"/>
  <c r="O67" i="52"/>
  <c r="O46" i="52"/>
  <c r="O92" i="52"/>
  <c r="O89" i="52"/>
  <c r="O61" i="52"/>
  <c r="O64" i="52"/>
  <c r="O79" i="52"/>
  <c r="O73" i="52"/>
  <c r="O55" i="52"/>
  <c r="O98" i="52"/>
  <c r="O86" i="52"/>
  <c r="U95" i="52"/>
  <c r="U55" i="52"/>
  <c r="U67" i="52"/>
  <c r="U61" i="52"/>
  <c r="U76" i="52"/>
  <c r="U46" i="52"/>
  <c r="U73" i="52"/>
  <c r="U58" i="52"/>
  <c r="U86" i="52"/>
  <c r="U82" i="52"/>
  <c r="U70" i="52"/>
  <c r="U52" i="52"/>
  <c r="U79" i="52"/>
  <c r="U89" i="52"/>
  <c r="U98" i="52"/>
  <c r="U40" i="52"/>
  <c r="U49" i="52"/>
  <c r="U101" i="52"/>
  <c r="U92" i="52"/>
  <c r="U43" i="52"/>
  <c r="U64" i="52"/>
  <c r="I173" i="57"/>
  <c r="J172" i="57" s="1"/>
  <c r="D274" i="32" s="1"/>
  <c r="I173" i="56"/>
  <c r="J172" i="56" s="1"/>
  <c r="I173" i="55"/>
  <c r="J172" i="55" s="1"/>
  <c r="I173" i="54"/>
  <c r="J172" i="54" s="1"/>
  <c r="I173" i="53"/>
  <c r="J172" i="53" s="1"/>
  <c r="I173" i="52"/>
  <c r="J172" i="52" s="1"/>
  <c r="I122" i="54"/>
  <c r="G115" i="52"/>
  <c r="F112" i="52"/>
  <c r="G112" i="52"/>
  <c r="AJ130" i="52" s="1"/>
  <c r="G112" i="56"/>
  <c r="J121" i="55"/>
  <c r="J122" i="55"/>
  <c r="J115" i="54"/>
  <c r="F112" i="54"/>
  <c r="F115" i="54"/>
  <c r="J121" i="57"/>
  <c r="J122" i="57"/>
  <c r="I122" i="56"/>
  <c r="F120" i="56"/>
  <c r="J122" i="56"/>
  <c r="G179" i="56"/>
  <c r="E284" i="32" s="1"/>
  <c r="G115" i="56"/>
  <c r="H121" i="56"/>
  <c r="G112" i="54"/>
  <c r="G121" i="54"/>
  <c r="G122" i="54"/>
  <c r="H122" i="52"/>
  <c r="G185" i="57"/>
  <c r="E296" i="32" s="1"/>
  <c r="G179" i="57"/>
  <c r="E285" i="32" s="1"/>
  <c r="F113" i="56"/>
  <c r="G185" i="56"/>
  <c r="E295" i="32" s="1"/>
  <c r="H120" i="56"/>
  <c r="AM133" i="56" s="1"/>
  <c r="F112" i="56"/>
  <c r="H120" i="55"/>
  <c r="F113" i="55"/>
  <c r="G185" i="55"/>
  <c r="E294" i="32" s="1"/>
  <c r="F112" i="55"/>
  <c r="H122" i="55"/>
  <c r="G112" i="55"/>
  <c r="G115" i="55"/>
  <c r="F120" i="55"/>
  <c r="I122" i="55"/>
  <c r="G179" i="55"/>
  <c r="E283" i="32" s="1"/>
  <c r="H120" i="54"/>
  <c r="J112" i="54"/>
  <c r="G185" i="54"/>
  <c r="E293" i="32" s="1"/>
  <c r="H122" i="54"/>
  <c r="G179" i="54"/>
  <c r="E282" i="32" s="1"/>
  <c r="F121" i="53"/>
  <c r="G179" i="53"/>
  <c r="E281" i="32" s="1"/>
  <c r="G120" i="53"/>
  <c r="G121" i="53"/>
  <c r="J121" i="53"/>
  <c r="G185" i="53"/>
  <c r="E292" i="32" s="1"/>
  <c r="I122" i="52"/>
  <c r="G179" i="52"/>
  <c r="E280" i="32" s="1"/>
  <c r="H121" i="52"/>
  <c r="G185" i="52"/>
  <c r="E291" i="32" s="1"/>
  <c r="H120" i="57"/>
  <c r="F113" i="57"/>
  <c r="F112" i="57"/>
  <c r="H122" i="57"/>
  <c r="G112" i="57"/>
  <c r="AJ130" i="57" s="1"/>
  <c r="G115" i="57"/>
  <c r="F120" i="57"/>
  <c r="I122" i="57"/>
  <c r="F120" i="52"/>
  <c r="F113" i="52"/>
  <c r="J121" i="52"/>
  <c r="J122" i="52"/>
  <c r="I112" i="57"/>
  <c r="I113" i="57"/>
  <c r="I115" i="57"/>
  <c r="H115" i="57"/>
  <c r="H112" i="57"/>
  <c r="AM130" i="57" s="1"/>
  <c r="G122" i="57"/>
  <c r="G120" i="57"/>
  <c r="G121" i="57"/>
  <c r="J115" i="57"/>
  <c r="I120" i="57"/>
  <c r="J112" i="57"/>
  <c r="F121" i="57"/>
  <c r="I112" i="56"/>
  <c r="I113" i="56"/>
  <c r="I115" i="56"/>
  <c r="H115" i="56"/>
  <c r="H112" i="56"/>
  <c r="G122" i="56"/>
  <c r="G120" i="56"/>
  <c r="G121" i="56"/>
  <c r="J115" i="56"/>
  <c r="I120" i="56"/>
  <c r="J112" i="56"/>
  <c r="F121" i="56"/>
  <c r="I112" i="55"/>
  <c r="I113" i="55"/>
  <c r="I115" i="55"/>
  <c r="H115" i="55"/>
  <c r="H112" i="55"/>
  <c r="G122" i="55"/>
  <c r="G120" i="55"/>
  <c r="G121" i="55"/>
  <c r="J115" i="55"/>
  <c r="I120" i="55"/>
  <c r="J112" i="55"/>
  <c r="F121" i="55"/>
  <c r="H115" i="54"/>
  <c r="H112" i="54"/>
  <c r="H113" i="54"/>
  <c r="I115" i="54"/>
  <c r="I120" i="54"/>
  <c r="I113" i="54"/>
  <c r="F122" i="54"/>
  <c r="F120" i="54"/>
  <c r="J122" i="54"/>
  <c r="J120" i="54"/>
  <c r="J121" i="54"/>
  <c r="G115" i="54"/>
  <c r="G115" i="53"/>
  <c r="G112" i="53"/>
  <c r="H112" i="53"/>
  <c r="H113" i="53"/>
  <c r="G113" i="53"/>
  <c r="H115" i="53"/>
  <c r="H121" i="53"/>
  <c r="H122" i="53"/>
  <c r="H120" i="53"/>
  <c r="I122" i="53"/>
  <c r="I120" i="53"/>
  <c r="I121" i="53"/>
  <c r="I115" i="53"/>
  <c r="F113" i="53"/>
  <c r="F115" i="53"/>
  <c r="J113" i="53"/>
  <c r="J115" i="53"/>
  <c r="I112" i="53"/>
  <c r="F120" i="53"/>
  <c r="J120" i="53"/>
  <c r="I112" i="52"/>
  <c r="I113" i="52"/>
  <c r="I115" i="52"/>
  <c r="H115" i="52"/>
  <c r="AM132" i="52" s="1"/>
  <c r="H112" i="52"/>
  <c r="G122" i="52"/>
  <c r="G120" i="52"/>
  <c r="G121" i="52"/>
  <c r="J115" i="52"/>
  <c r="I120" i="52"/>
  <c r="J112" i="52"/>
  <c r="F121" i="52"/>
  <c r="K36" i="15"/>
  <c r="I26" i="15"/>
  <c r="I25" i="15"/>
  <c r="J36" i="15"/>
  <c r="H26" i="15"/>
  <c r="H25" i="15"/>
  <c r="G26" i="15"/>
  <c r="G25" i="15"/>
  <c r="AM133" i="57" l="1"/>
  <c r="AM132" i="57"/>
  <c r="AB145" i="55"/>
  <c r="AB160" i="56"/>
  <c r="AB145" i="54"/>
  <c r="AJ130" i="56"/>
  <c r="AP133" i="52"/>
  <c r="AP131" i="57"/>
  <c r="AP132" i="57"/>
  <c r="AB147" i="56"/>
  <c r="AB155" i="56"/>
  <c r="AM130" i="56"/>
  <c r="AP133" i="56"/>
  <c r="AG130" i="56"/>
  <c r="AB157" i="56"/>
  <c r="AB145" i="56"/>
  <c r="AB152" i="56"/>
  <c r="AM132" i="56"/>
  <c r="AP130" i="56"/>
  <c r="AB162" i="56"/>
  <c r="AC160" i="56" s="1"/>
  <c r="AD160" i="56" s="1"/>
  <c r="AB150" i="56"/>
  <c r="AC150" i="56" s="1"/>
  <c r="AD150" i="56" s="1"/>
  <c r="AB150" i="55"/>
  <c r="AC150" i="55" s="1"/>
  <c r="AD150" i="55" s="1"/>
  <c r="AB155" i="55"/>
  <c r="AP133" i="55"/>
  <c r="AB160" i="55"/>
  <c r="AC160" i="55" s="1"/>
  <c r="AD160" i="55" s="1"/>
  <c r="AB157" i="55"/>
  <c r="AJ133" i="55"/>
  <c r="AB147" i="55"/>
  <c r="AC145" i="55" s="1"/>
  <c r="AD145" i="55" s="1"/>
  <c r="AJ132" i="54"/>
  <c r="AB160" i="54"/>
  <c r="AB147" i="54"/>
  <c r="AB157" i="54"/>
  <c r="AB152" i="54"/>
  <c r="AB155" i="54"/>
  <c r="AC145" i="54"/>
  <c r="AD145" i="54" s="1"/>
  <c r="AB162" i="54"/>
  <c r="AB150" i="54"/>
  <c r="AC150" i="54" s="1"/>
  <c r="AD150" i="54" s="1"/>
  <c r="AB157" i="53"/>
  <c r="AS133" i="53"/>
  <c r="AB147" i="53"/>
  <c r="AB150" i="53"/>
  <c r="AG131" i="53"/>
  <c r="AP133" i="53"/>
  <c r="AB145" i="53"/>
  <c r="AC145" i="53" s="1"/>
  <c r="AD145" i="53" s="1"/>
  <c r="AB152" i="53"/>
  <c r="AB155" i="53"/>
  <c r="AC155" i="53" s="1"/>
  <c r="AD155" i="53" s="1"/>
  <c r="AB162" i="53"/>
  <c r="AB160" i="53"/>
  <c r="AB150" i="52"/>
  <c r="AB147" i="52"/>
  <c r="AJ132" i="52"/>
  <c r="AB155" i="52"/>
  <c r="AB145" i="52"/>
  <c r="AC145" i="52" s="1"/>
  <c r="AD145" i="52" s="1"/>
  <c r="AB160" i="52"/>
  <c r="AB152" i="52"/>
  <c r="AB162" i="52"/>
  <c r="AB157" i="52"/>
  <c r="AG130" i="57"/>
  <c r="AP133" i="57"/>
  <c r="AT135" i="57"/>
  <c r="AG131" i="57"/>
  <c r="AG133" i="57"/>
  <c r="AP130" i="57"/>
  <c r="AJ132" i="57"/>
  <c r="AS130" i="57"/>
  <c r="AT134" i="57"/>
  <c r="AJ133" i="57"/>
  <c r="AS132" i="57"/>
  <c r="AG131" i="56"/>
  <c r="AJ132" i="56"/>
  <c r="AP131" i="56"/>
  <c r="AS132" i="56"/>
  <c r="AS130" i="56"/>
  <c r="AJ133" i="56"/>
  <c r="AT134" i="56"/>
  <c r="AT135" i="56"/>
  <c r="AP132" i="56"/>
  <c r="AT135" i="55"/>
  <c r="AP131" i="55"/>
  <c r="AS132" i="55"/>
  <c r="AP130" i="55"/>
  <c r="AS130" i="55"/>
  <c r="AJ130" i="55"/>
  <c r="AG131" i="55"/>
  <c r="AG133" i="55"/>
  <c r="AM130" i="55"/>
  <c r="AT134" i="55"/>
  <c r="AG130" i="55"/>
  <c r="AM133" i="55"/>
  <c r="AP132" i="55"/>
  <c r="AM132" i="55"/>
  <c r="AJ132" i="55"/>
  <c r="AG132" i="54"/>
  <c r="AT134" i="54"/>
  <c r="AM131" i="54"/>
  <c r="AS132" i="54"/>
  <c r="AS133" i="54"/>
  <c r="AM133" i="54"/>
  <c r="AP132" i="54"/>
  <c r="AJ130" i="54"/>
  <c r="AP133" i="54"/>
  <c r="AP131" i="54"/>
  <c r="AM130" i="54"/>
  <c r="AG130" i="54"/>
  <c r="AS130" i="54"/>
  <c r="AM132" i="54"/>
  <c r="AG133" i="54"/>
  <c r="AJ131" i="53"/>
  <c r="AS132" i="53"/>
  <c r="AP130" i="53"/>
  <c r="AJ133" i="53"/>
  <c r="AM131" i="53"/>
  <c r="AM133" i="53"/>
  <c r="AJ130" i="53"/>
  <c r="AM130" i="53"/>
  <c r="AM132" i="53"/>
  <c r="AT134" i="53"/>
  <c r="AT135" i="53"/>
  <c r="AS131" i="53"/>
  <c r="AG132" i="53"/>
  <c r="AJ132" i="53"/>
  <c r="AP132" i="53"/>
  <c r="AG133" i="53"/>
  <c r="AT133" i="53" s="1"/>
  <c r="AP131" i="52"/>
  <c r="AG130" i="52"/>
  <c r="AP132" i="52"/>
  <c r="AG131" i="52"/>
  <c r="AT131" i="52" s="1"/>
  <c r="AG133" i="52"/>
  <c r="AP130" i="52"/>
  <c r="AS130" i="52"/>
  <c r="AJ133" i="52"/>
  <c r="AT134" i="52"/>
  <c r="AM130" i="52"/>
  <c r="AS132" i="52"/>
  <c r="Y52" i="57"/>
  <c r="Y73" i="54"/>
  <c r="Z73" i="54" s="1"/>
  <c r="AA73" i="54" s="1"/>
  <c r="Y95" i="54"/>
  <c r="Z95" i="54" s="1"/>
  <c r="AA95" i="54" s="1"/>
  <c r="Y94" i="57"/>
  <c r="Y101" i="57"/>
  <c r="Y43" i="57"/>
  <c r="Y46" i="57"/>
  <c r="AB155" i="57"/>
  <c r="Y61" i="57"/>
  <c r="Y40" i="57"/>
  <c r="AB145" i="57"/>
  <c r="Y85" i="57"/>
  <c r="Y49" i="57"/>
  <c r="Y55" i="57"/>
  <c r="AB160" i="57"/>
  <c r="Y76" i="57"/>
  <c r="AB152" i="57"/>
  <c r="AB147" i="57"/>
  <c r="Y88" i="57"/>
  <c r="Y67" i="57"/>
  <c r="Y58" i="57"/>
  <c r="AB157" i="57"/>
  <c r="Y79" i="57"/>
  <c r="Y70" i="57"/>
  <c r="Y91" i="57"/>
  <c r="Y73" i="57"/>
  <c r="AB162" i="57"/>
  <c r="Y64" i="57"/>
  <c r="Y82" i="57"/>
  <c r="AB150" i="57"/>
  <c r="AC150" i="57" s="1"/>
  <c r="Y46" i="56"/>
  <c r="Z46" i="56" s="1"/>
  <c r="AA46" i="56" s="1"/>
  <c r="D43" i="32" s="1"/>
  <c r="Y55" i="56"/>
  <c r="Z55" i="56" s="1"/>
  <c r="AA55" i="56" s="1"/>
  <c r="D76" i="32" s="1"/>
  <c r="Y73" i="56"/>
  <c r="Z73" i="56" s="1"/>
  <c r="AA73" i="56" s="1"/>
  <c r="Y43" i="56"/>
  <c r="Z43" i="56" s="1"/>
  <c r="AA43" i="56" s="1"/>
  <c r="D32" i="32" s="1"/>
  <c r="Y67" i="56"/>
  <c r="Z67" i="56" s="1"/>
  <c r="AA67" i="56" s="1"/>
  <c r="D120" i="32" s="1"/>
  <c r="Y79" i="56"/>
  <c r="Z79" i="56" s="1"/>
  <c r="AA79" i="56" s="1"/>
  <c r="Y82" i="56"/>
  <c r="Z82" i="56" s="1"/>
  <c r="AA82" i="56" s="1"/>
  <c r="Y40" i="56"/>
  <c r="Z40" i="56" s="1"/>
  <c r="AA40" i="56" s="1"/>
  <c r="D21" i="32" s="1"/>
  <c r="Y98" i="56"/>
  <c r="Z98" i="56" s="1"/>
  <c r="AA98" i="56" s="1"/>
  <c r="Y88" i="56"/>
  <c r="Z88" i="56" s="1"/>
  <c r="AA88" i="56" s="1"/>
  <c r="Y101" i="56"/>
  <c r="Z101" i="56" s="1"/>
  <c r="AA101" i="56" s="1"/>
  <c r="Y52" i="56"/>
  <c r="Z52" i="56" s="1"/>
  <c r="AA52" i="56" s="1"/>
  <c r="D65" i="32" s="1"/>
  <c r="Y64" i="56"/>
  <c r="Z64" i="56" s="1"/>
  <c r="AA64" i="56" s="1"/>
  <c r="D109" i="32" s="1"/>
  <c r="Y85" i="56"/>
  <c r="Z85" i="56" s="1"/>
  <c r="AA85" i="56" s="1"/>
  <c r="Y61" i="56"/>
  <c r="Z61" i="56" s="1"/>
  <c r="AA61" i="56" s="1"/>
  <c r="D98" i="32" s="1"/>
  <c r="Y91" i="56"/>
  <c r="Z91" i="56" s="1"/>
  <c r="AA91" i="56" s="1"/>
  <c r="Y49" i="56"/>
  <c r="Z49" i="56" s="1"/>
  <c r="AA49" i="56" s="1"/>
  <c r="D54" i="32" s="1"/>
  <c r="Y58" i="56"/>
  <c r="Z58" i="56" s="1"/>
  <c r="AA58" i="56" s="1"/>
  <c r="D87" i="32" s="1"/>
  <c r="Y70" i="56"/>
  <c r="Z70" i="56" s="1"/>
  <c r="AA70" i="56" s="1"/>
  <c r="Y76" i="56"/>
  <c r="Z76" i="56" s="1"/>
  <c r="AA76" i="56" s="1"/>
  <c r="Y58" i="54"/>
  <c r="Z58" i="54" s="1"/>
  <c r="AA58" i="54" s="1"/>
  <c r="D85" i="32" s="1"/>
  <c r="Y52" i="54"/>
  <c r="Z52" i="54" s="1"/>
  <c r="AA52" i="54" s="1"/>
  <c r="D63" i="32" s="1"/>
  <c r="Y98" i="54"/>
  <c r="Z98" i="54" s="1"/>
  <c r="AA98" i="54" s="1"/>
  <c r="Y85" i="54"/>
  <c r="Z85" i="54" s="1"/>
  <c r="AA85" i="54" s="1"/>
  <c r="Y92" i="54"/>
  <c r="Y101" i="54"/>
  <c r="Z101" i="54" s="1"/>
  <c r="AA101" i="54" s="1"/>
  <c r="Y61" i="54"/>
  <c r="Z61" i="54" s="1"/>
  <c r="AA61" i="54" s="1"/>
  <c r="D96" i="32" s="1"/>
  <c r="Y70" i="54"/>
  <c r="Z70" i="54" s="1"/>
  <c r="AA70" i="54" s="1"/>
  <c r="Y67" i="54"/>
  <c r="Z67" i="54" s="1"/>
  <c r="AA67" i="54" s="1"/>
  <c r="D118" i="32" s="1"/>
  <c r="Y40" i="54"/>
  <c r="Z40" i="54" s="1"/>
  <c r="AA40" i="54" s="1"/>
  <c r="D19" i="32" s="1"/>
  <c r="Y64" i="54"/>
  <c r="Z64" i="54" s="1"/>
  <c r="AA64" i="54" s="1"/>
  <c r="D107" i="32" s="1"/>
  <c r="Y55" i="54"/>
  <c r="Z55" i="54" s="1"/>
  <c r="AA55" i="54" s="1"/>
  <c r="D74" i="32" s="1"/>
  <c r="Y82" i="54"/>
  <c r="Z82" i="54" s="1"/>
  <c r="AA82" i="54" s="1"/>
  <c r="Y76" i="54"/>
  <c r="Z76" i="54" s="1"/>
  <c r="AA76" i="54" s="1"/>
  <c r="Y49" i="54"/>
  <c r="Z49" i="54" s="1"/>
  <c r="AA49" i="54" s="1"/>
  <c r="D52" i="32" s="1"/>
  <c r="Y79" i="54"/>
  <c r="Z79" i="54" s="1"/>
  <c r="AA79" i="54" s="1"/>
  <c r="Y43" i="54"/>
  <c r="Z43" i="54" s="1"/>
  <c r="AA43" i="54" s="1"/>
  <c r="D30" i="32" s="1"/>
  <c r="Y46" i="54"/>
  <c r="Z46" i="54" s="1"/>
  <c r="AA46" i="54" s="1"/>
  <c r="D41" i="32" s="1"/>
  <c r="Y67" i="53"/>
  <c r="Z67" i="53" s="1"/>
  <c r="AA67" i="53" s="1"/>
  <c r="D117" i="32" s="1"/>
  <c r="Y49" i="53"/>
  <c r="Z49" i="53" s="1"/>
  <c r="AA49" i="53" s="1"/>
  <c r="D51" i="32" s="1"/>
  <c r="D270" i="32"/>
  <c r="K172" i="53"/>
  <c r="E270" i="32" s="1"/>
  <c r="Y70" i="53"/>
  <c r="Z70" i="53" s="1"/>
  <c r="AA70" i="53" s="1"/>
  <c r="Y40" i="53"/>
  <c r="Z40" i="53" s="1"/>
  <c r="AA40" i="53" s="1"/>
  <c r="D18" i="32" s="1"/>
  <c r="Y58" i="53"/>
  <c r="Z58" i="53" s="1"/>
  <c r="AA58" i="53" s="1"/>
  <c r="D84" i="32" s="1"/>
  <c r="Y101" i="53"/>
  <c r="Z101" i="53" s="1"/>
  <c r="AA101" i="53" s="1"/>
  <c r="Y92" i="53"/>
  <c r="Z92" i="53" s="1"/>
  <c r="AA92" i="53" s="1"/>
  <c r="Y79" i="53"/>
  <c r="Z79" i="53" s="1"/>
  <c r="AA79" i="53" s="1"/>
  <c r="Y55" i="53"/>
  <c r="Z55" i="53" s="1"/>
  <c r="AA55" i="53" s="1"/>
  <c r="D73" i="32" s="1"/>
  <c r="Y61" i="53"/>
  <c r="Z61" i="53" s="1"/>
  <c r="AA61" i="53" s="1"/>
  <c r="D95" i="32" s="1"/>
  <c r="Y46" i="53"/>
  <c r="Z46" i="53" s="1"/>
  <c r="AA46" i="53" s="1"/>
  <c r="D40" i="32" s="1"/>
  <c r="Y43" i="53"/>
  <c r="Z43" i="53" s="1"/>
  <c r="AA43" i="53" s="1"/>
  <c r="D29" i="32" s="1"/>
  <c r="Y52" i="53"/>
  <c r="Z52" i="53" s="1"/>
  <c r="AA52" i="53" s="1"/>
  <c r="D62" i="32" s="1"/>
  <c r="Y82" i="53"/>
  <c r="Z82" i="53" s="1"/>
  <c r="AA82" i="53" s="1"/>
  <c r="Y89" i="53"/>
  <c r="Z89" i="53" s="1"/>
  <c r="AA89" i="53" s="1"/>
  <c r="Y95" i="53"/>
  <c r="Z95" i="53" s="1"/>
  <c r="AA95" i="53" s="1"/>
  <c r="Y76" i="53"/>
  <c r="Z76" i="53" s="1"/>
  <c r="AA76" i="53" s="1"/>
  <c r="Y98" i="53"/>
  <c r="Z98" i="53" s="1"/>
  <c r="AA98" i="53" s="1"/>
  <c r="Y73" i="53"/>
  <c r="Z73" i="53" s="1"/>
  <c r="AA73" i="53" s="1"/>
  <c r="Y64" i="53"/>
  <c r="Z64" i="53" s="1"/>
  <c r="AA64" i="53" s="1"/>
  <c r="D106" i="32" s="1"/>
  <c r="Y70" i="52"/>
  <c r="Z70" i="52" s="1"/>
  <c r="AA70" i="52" s="1"/>
  <c r="Y67" i="52"/>
  <c r="Z67" i="52" s="1"/>
  <c r="AA67" i="52" s="1"/>
  <c r="D116" i="32" s="1"/>
  <c r="Y98" i="55"/>
  <c r="Z98" i="55" s="1"/>
  <c r="AA98" i="55" s="1"/>
  <c r="Y73" i="55"/>
  <c r="Z73" i="55" s="1"/>
  <c r="AA73" i="55" s="1"/>
  <c r="Y76" i="52"/>
  <c r="Z76" i="52" s="1"/>
  <c r="AA76" i="52" s="1"/>
  <c r="Y98" i="52"/>
  <c r="Z98" i="52" s="1"/>
  <c r="AA98" i="52" s="1"/>
  <c r="Y58" i="52"/>
  <c r="Z58" i="52" s="1"/>
  <c r="AA58" i="52" s="1"/>
  <c r="D83" i="32" s="1"/>
  <c r="Y79" i="52"/>
  <c r="Z79" i="52" s="1"/>
  <c r="AA79" i="52" s="1"/>
  <c r="Y70" i="55"/>
  <c r="Z70" i="55" s="1"/>
  <c r="AA70" i="55" s="1"/>
  <c r="Y55" i="55"/>
  <c r="Z55" i="55" s="1"/>
  <c r="AA55" i="55" s="1"/>
  <c r="D75" i="32" s="1"/>
  <c r="Y85" i="55"/>
  <c r="Z85" i="55" s="1"/>
  <c r="AA85" i="55" s="1"/>
  <c r="Y76" i="55"/>
  <c r="Z76" i="55" s="1"/>
  <c r="AA76" i="55" s="1"/>
  <c r="Y40" i="55"/>
  <c r="Z40" i="55" s="1"/>
  <c r="AA40" i="55" s="1"/>
  <c r="D20" i="32" s="1"/>
  <c r="Y79" i="55"/>
  <c r="Z79" i="55" s="1"/>
  <c r="AA79" i="55" s="1"/>
  <c r="Y58" i="55"/>
  <c r="Z58" i="55" s="1"/>
  <c r="AA58" i="55" s="1"/>
  <c r="D86" i="32" s="1"/>
  <c r="Y46" i="55"/>
  <c r="Z46" i="55" s="1"/>
  <c r="AA46" i="55" s="1"/>
  <c r="D42" i="32" s="1"/>
  <c r="Y67" i="55"/>
  <c r="Z67" i="55" s="1"/>
  <c r="AA67" i="55" s="1"/>
  <c r="D119" i="32" s="1"/>
  <c r="Y64" i="55"/>
  <c r="Z64" i="55" s="1"/>
  <c r="AA64" i="55" s="1"/>
  <c r="D108" i="32" s="1"/>
  <c r="Y88" i="55"/>
  <c r="Z88" i="55" s="1"/>
  <c r="AA88" i="55" s="1"/>
  <c r="Y95" i="55"/>
  <c r="Z95" i="55" s="1"/>
  <c r="AA95" i="55" s="1"/>
  <c r="Y82" i="55"/>
  <c r="Z82" i="55" s="1"/>
  <c r="AA82" i="55" s="1"/>
  <c r="Y101" i="55"/>
  <c r="Z101" i="55" s="1"/>
  <c r="AA101" i="55" s="1"/>
  <c r="Y43" i="55"/>
  <c r="Z43" i="55" s="1"/>
  <c r="AA43" i="55" s="1"/>
  <c r="D31" i="32" s="1"/>
  <c r="Y49" i="55"/>
  <c r="Z49" i="55" s="1"/>
  <c r="AA49" i="55" s="1"/>
  <c r="D53" i="32" s="1"/>
  <c r="Y52" i="55"/>
  <c r="Z52" i="55" s="1"/>
  <c r="AA52" i="55" s="1"/>
  <c r="D64" i="32" s="1"/>
  <c r="Y61" i="55"/>
  <c r="Z61" i="55" s="1"/>
  <c r="AA61" i="55" s="1"/>
  <c r="D97" i="32" s="1"/>
  <c r="Y55" i="52"/>
  <c r="Y49" i="52"/>
  <c r="Y89" i="52"/>
  <c r="Z89" i="52" s="1"/>
  <c r="AA89" i="52" s="1"/>
  <c r="Y86" i="52"/>
  <c r="Z86" i="52" s="1"/>
  <c r="AA86" i="52" s="1"/>
  <c r="Y64" i="52"/>
  <c r="Z64" i="52" s="1"/>
  <c r="AA64" i="52" s="1"/>
  <c r="D105" i="32" s="1"/>
  <c r="Y52" i="52"/>
  <c r="Y61" i="52"/>
  <c r="Z61" i="52" s="1"/>
  <c r="AA61" i="52" s="1"/>
  <c r="D94" i="32" s="1"/>
  <c r="Y95" i="52"/>
  <c r="Z95" i="52" s="1"/>
  <c r="AA95" i="52" s="1"/>
  <c r="Y92" i="52"/>
  <c r="Z92" i="52" s="1"/>
  <c r="AA92" i="52" s="1"/>
  <c r="Y43" i="52"/>
  <c r="Y101" i="52"/>
  <c r="Z101" i="52" s="1"/>
  <c r="AA101" i="52" s="1"/>
  <c r="Y46" i="52"/>
  <c r="Y40" i="52"/>
  <c r="Y73" i="52"/>
  <c r="Z73" i="52" s="1"/>
  <c r="AA73" i="52" s="1"/>
  <c r="K172" i="57"/>
  <c r="E274" i="32" s="1"/>
  <c r="D273" i="32"/>
  <c r="K172" i="56"/>
  <c r="E273" i="32" s="1"/>
  <c r="D272" i="32"/>
  <c r="K172" i="55"/>
  <c r="E272" i="32" s="1"/>
  <c r="D271" i="32"/>
  <c r="K172" i="54"/>
  <c r="E271" i="32" s="1"/>
  <c r="D269" i="32"/>
  <c r="K172" i="52"/>
  <c r="E269" i="32" s="1"/>
  <c r="B25" i="15"/>
  <c r="A25" i="15"/>
  <c r="AT131" i="57" l="1"/>
  <c r="AC145" i="56"/>
  <c r="AD145" i="56" s="1"/>
  <c r="AC155" i="55"/>
  <c r="AD155" i="55" s="1"/>
  <c r="AC150" i="53"/>
  <c r="AD150" i="53" s="1"/>
  <c r="AT133" i="56"/>
  <c r="AT132" i="56"/>
  <c r="AT132" i="55"/>
  <c r="AT131" i="54"/>
  <c r="AT131" i="53"/>
  <c r="AT132" i="57"/>
  <c r="AC145" i="57"/>
  <c r="AD145" i="57" s="1"/>
  <c r="AC155" i="56"/>
  <c r="AD155" i="56" s="1"/>
  <c r="AT130" i="56"/>
  <c r="AC155" i="54"/>
  <c r="AD155" i="54" s="1"/>
  <c r="AC160" i="54"/>
  <c r="AD160" i="54" s="1"/>
  <c r="D371" i="32" s="1"/>
  <c r="AT133" i="54"/>
  <c r="AT130" i="53"/>
  <c r="AC160" i="53"/>
  <c r="AD160" i="53" s="1"/>
  <c r="D370" i="32" s="1"/>
  <c r="AT132" i="52"/>
  <c r="AC155" i="52"/>
  <c r="AD155" i="52" s="1"/>
  <c r="AC160" i="52"/>
  <c r="AD160" i="52" s="1"/>
  <c r="AC150" i="52"/>
  <c r="AD150" i="52" s="1"/>
  <c r="AT133" i="57"/>
  <c r="AT130" i="57"/>
  <c r="AU130" i="57" s="1"/>
  <c r="AT131" i="56"/>
  <c r="AU130" i="56" s="1"/>
  <c r="AT133" i="55"/>
  <c r="AT130" i="55"/>
  <c r="AT131" i="55"/>
  <c r="AT130" i="54"/>
  <c r="AT132" i="54"/>
  <c r="AT132" i="53"/>
  <c r="AT130" i="52"/>
  <c r="AT133" i="52"/>
  <c r="Z82" i="57"/>
  <c r="AA82" i="57" s="1"/>
  <c r="Z91" i="57"/>
  <c r="AA91" i="57" s="1"/>
  <c r="Z58" i="57"/>
  <c r="AA58" i="57" s="1"/>
  <c r="D88" i="32" s="1"/>
  <c r="Z49" i="57"/>
  <c r="AA49" i="57" s="1"/>
  <c r="D55" i="32" s="1"/>
  <c r="Z61" i="57"/>
  <c r="AA61" i="57" s="1"/>
  <c r="D99" i="32" s="1"/>
  <c r="Z101" i="57"/>
  <c r="AA101" i="57" s="1"/>
  <c r="Z64" i="57"/>
  <c r="AA64" i="57" s="1"/>
  <c r="D110" i="32" s="1"/>
  <c r="Z70" i="57"/>
  <c r="AA70" i="57" s="1"/>
  <c r="Z67" i="57"/>
  <c r="AA67" i="57" s="1"/>
  <c r="D121" i="32" s="1"/>
  <c r="Z76" i="57"/>
  <c r="AA76" i="57" s="1"/>
  <c r="Z85" i="57"/>
  <c r="AA85" i="57" s="1"/>
  <c r="AC155" i="57"/>
  <c r="AD155" i="57" s="1"/>
  <c r="Z79" i="57"/>
  <c r="AA79" i="57" s="1"/>
  <c r="Z88" i="57"/>
  <c r="AA88" i="57" s="1"/>
  <c r="AC160" i="57"/>
  <c r="AD160" i="57" s="1"/>
  <c r="D374" i="32" s="1"/>
  <c r="Z46" i="57"/>
  <c r="AA46" i="57" s="1"/>
  <c r="D44" i="32" s="1"/>
  <c r="Z52" i="57"/>
  <c r="AA52" i="57" s="1"/>
  <c r="D66" i="32" s="1"/>
  <c r="Z73" i="57"/>
  <c r="AA73" i="57" s="1"/>
  <c r="Z55" i="57"/>
  <c r="AA55" i="57" s="1"/>
  <c r="D77" i="32" s="1"/>
  <c r="Z40" i="57"/>
  <c r="AA40" i="57" s="1"/>
  <c r="D22" i="32" s="1"/>
  <c r="Z43" i="57"/>
  <c r="AA43" i="57" s="1"/>
  <c r="D33" i="32" s="1"/>
  <c r="Z94" i="57"/>
  <c r="AA94" i="57" s="1"/>
  <c r="Z92" i="54"/>
  <c r="AA92" i="54" s="1"/>
  <c r="Z49" i="52"/>
  <c r="AA49" i="52" s="1"/>
  <c r="D50" i="32" s="1"/>
  <c r="Z55" i="52"/>
  <c r="AA55" i="52" s="1"/>
  <c r="D72" i="32" s="1"/>
  <c r="Z43" i="52"/>
  <c r="AA43" i="52" s="1"/>
  <c r="D28" i="32" s="1"/>
  <c r="Z52" i="52"/>
  <c r="AA52" i="52" s="1"/>
  <c r="D61" i="32" s="1"/>
  <c r="Z46" i="52"/>
  <c r="AA46" i="52" s="1"/>
  <c r="D39" i="32" s="1"/>
  <c r="Z40" i="52"/>
  <c r="AA40" i="52" s="1"/>
  <c r="D17" i="32" s="1"/>
  <c r="AD150" i="57"/>
  <c r="D373" i="32"/>
  <c r="D372" i="32"/>
  <c r="D369" i="32"/>
  <c r="D304" i="32"/>
  <c r="D305" i="32"/>
  <c r="D306" i="32"/>
  <c r="D307" i="32"/>
  <c r="D303" i="32"/>
  <c r="D302" i="32"/>
  <c r="Y90" i="55"/>
  <c r="Y91" i="55"/>
  <c r="Y85" i="53"/>
  <c r="Y81" i="52"/>
  <c r="Y96" i="57"/>
  <c r="Y97" i="57"/>
  <c r="Y94" i="56"/>
  <c r="Y93" i="56"/>
  <c r="Y87" i="54"/>
  <c r="Y88" i="54"/>
  <c r="Y84" i="53"/>
  <c r="Y82" i="52"/>
  <c r="B185" i="51"/>
  <c r="B179" i="51"/>
  <c r="B185" i="50"/>
  <c r="B179" i="50"/>
  <c r="B185" i="49"/>
  <c r="B179" i="49"/>
  <c r="B191" i="42"/>
  <c r="B185" i="42"/>
  <c r="B179" i="42"/>
  <c r="B172" i="42"/>
  <c r="AU130" i="53" l="1"/>
  <c r="AU130" i="55"/>
  <c r="AU130" i="54"/>
  <c r="AU130" i="52"/>
  <c r="D216" i="32"/>
  <c r="D204" i="32"/>
  <c r="D361" i="32"/>
  <c r="E307" i="32"/>
  <c r="E306" i="32"/>
  <c r="E305" i="32"/>
  <c r="E304" i="32"/>
  <c r="E303" i="32"/>
  <c r="E302" i="32"/>
  <c r="D340" i="32"/>
  <c r="D350" i="32"/>
  <c r="D337" i="32"/>
  <c r="Y83" i="52"/>
  <c r="Z82" i="52" s="1"/>
  <c r="D363" i="32"/>
  <c r="D341" i="32"/>
  <c r="D336" i="32"/>
  <c r="D347" i="32"/>
  <c r="Y98" i="57"/>
  <c r="Z97" i="57" s="1"/>
  <c r="D352" i="32"/>
  <c r="D362" i="32"/>
  <c r="Y95" i="56"/>
  <c r="Z94" i="56" s="1"/>
  <c r="D351" i="32"/>
  <c r="D339" i="32"/>
  <c r="Y92" i="55"/>
  <c r="Z91" i="55" s="1"/>
  <c r="Y89" i="54"/>
  <c r="Z88" i="54" s="1"/>
  <c r="D360" i="32"/>
  <c r="D349" i="32"/>
  <c r="D338" i="32"/>
  <c r="Y86" i="53"/>
  <c r="Z85" i="53" s="1"/>
  <c r="D348" i="32"/>
  <c r="D359" i="32"/>
  <c r="D358" i="32"/>
  <c r="D143" i="32" l="1"/>
  <c r="D220" i="32"/>
  <c r="D132" i="32"/>
  <c r="D154" i="32"/>
  <c r="D165" i="32"/>
  <c r="D209" i="32"/>
  <c r="D242" i="32"/>
  <c r="D187" i="32"/>
  <c r="AA97" i="57"/>
  <c r="D231" i="32" s="1"/>
  <c r="D176" i="32"/>
  <c r="D198" i="32"/>
  <c r="D131" i="32"/>
  <c r="D208" i="32"/>
  <c r="D142" i="32"/>
  <c r="D186" i="32"/>
  <c r="D230" i="32"/>
  <c r="D241" i="32"/>
  <c r="D175" i="32"/>
  <c r="D197" i="32"/>
  <c r="AA94" i="56"/>
  <c r="D219" i="32" s="1"/>
  <c r="D153" i="32"/>
  <c r="D164" i="32"/>
  <c r="D152" i="32"/>
  <c r="D218" i="32"/>
  <c r="D185" i="32"/>
  <c r="D163" i="32"/>
  <c r="D130" i="32"/>
  <c r="D174" i="32"/>
  <c r="D229" i="32"/>
  <c r="D141" i="32"/>
  <c r="D240" i="32"/>
  <c r="AA91" i="55"/>
  <c r="D207" i="32" s="1"/>
  <c r="D196" i="32"/>
  <c r="D129" i="32"/>
  <c r="D239" i="32"/>
  <c r="D173" i="32"/>
  <c r="D140" i="32"/>
  <c r="D217" i="32"/>
  <c r="D228" i="32"/>
  <c r="D151" i="32"/>
  <c r="D184" i="32"/>
  <c r="D162" i="32"/>
  <c r="AA88" i="54"/>
  <c r="D195" i="32" s="1"/>
  <c r="D206" i="32"/>
  <c r="D139" i="32"/>
  <c r="D238" i="32"/>
  <c r="D194" i="32"/>
  <c r="D172" i="32"/>
  <c r="D161" i="32"/>
  <c r="D150" i="32"/>
  <c r="D227" i="32"/>
  <c r="AA85" i="53"/>
  <c r="D183" i="32" s="1"/>
  <c r="D128" i="32"/>
  <c r="D205" i="32"/>
  <c r="D215" i="32"/>
  <c r="D160" i="32"/>
  <c r="D237" i="32"/>
  <c r="D149" i="32"/>
  <c r="AA82" i="52"/>
  <c r="D171" i="32" s="1"/>
  <c r="D182" i="32"/>
  <c r="D138" i="32"/>
  <c r="D127" i="32"/>
  <c r="D193" i="32"/>
  <c r="D226" i="32"/>
  <c r="C49" i="32"/>
  <c r="C48" i="32"/>
  <c r="C47" i="32"/>
  <c r="C46" i="32"/>
  <c r="C38" i="32"/>
  <c r="C37" i="32"/>
  <c r="C36" i="32"/>
  <c r="C35" i="32"/>
  <c r="C27" i="32"/>
  <c r="C26" i="32"/>
  <c r="C25" i="32"/>
  <c r="C16" i="32"/>
  <c r="C15" i="32"/>
  <c r="C14" i="32"/>
  <c r="C13" i="32"/>
  <c r="D290" i="32" l="1"/>
  <c r="D279" i="32"/>
  <c r="I173" i="51"/>
  <c r="Y140" i="51"/>
  <c r="V140" i="51"/>
  <c r="S140" i="51"/>
  <c r="P140" i="51"/>
  <c r="N140" i="51"/>
  <c r="AR127" i="51"/>
  <c r="AO127" i="51"/>
  <c r="AL127" i="51"/>
  <c r="AI127" i="51"/>
  <c r="AF127" i="51"/>
  <c r="J119" i="51"/>
  <c r="J122" i="51" s="1"/>
  <c r="I119" i="51"/>
  <c r="H119" i="51"/>
  <c r="H122" i="51" s="1"/>
  <c r="G119" i="51"/>
  <c r="F119" i="51"/>
  <c r="F122" i="51" s="1"/>
  <c r="N116" i="51"/>
  <c r="N115" i="51"/>
  <c r="M115" i="51"/>
  <c r="E116" i="51"/>
  <c r="O114" i="51"/>
  <c r="N114" i="51"/>
  <c r="M114" i="51"/>
  <c r="E114" i="51"/>
  <c r="J115" i="51"/>
  <c r="H115" i="51"/>
  <c r="G113" i="51"/>
  <c r="F115" i="51"/>
  <c r="B79" i="51"/>
  <c r="B130" i="51" s="1"/>
  <c r="A79" i="51"/>
  <c r="A130" i="51" s="1"/>
  <c r="W35" i="51"/>
  <c r="T35" i="51"/>
  <c r="Q35" i="51"/>
  <c r="N35" i="51"/>
  <c r="K35" i="51"/>
  <c r="D289" i="32"/>
  <c r="D278" i="32"/>
  <c r="I173" i="50"/>
  <c r="Y140" i="50"/>
  <c r="V140" i="50"/>
  <c r="S140" i="50"/>
  <c r="P140" i="50"/>
  <c r="N140" i="50"/>
  <c r="AR127" i="50"/>
  <c r="AO127" i="50"/>
  <c r="AL127" i="50"/>
  <c r="AI127" i="50"/>
  <c r="AF127" i="50"/>
  <c r="J119" i="50"/>
  <c r="I119" i="50"/>
  <c r="I121" i="50" s="1"/>
  <c r="H119" i="50"/>
  <c r="G119" i="50"/>
  <c r="G121" i="50" s="1"/>
  <c r="F119" i="50"/>
  <c r="N116" i="50"/>
  <c r="N115" i="50"/>
  <c r="M115" i="50"/>
  <c r="E116" i="50"/>
  <c r="O114" i="50"/>
  <c r="N114" i="50"/>
  <c r="M114" i="50"/>
  <c r="E114" i="50"/>
  <c r="J113" i="50"/>
  <c r="H112" i="50"/>
  <c r="G115" i="50"/>
  <c r="F113" i="50"/>
  <c r="W35" i="50"/>
  <c r="T35" i="50"/>
  <c r="Q35" i="50"/>
  <c r="N35" i="50"/>
  <c r="K35" i="50"/>
  <c r="D288" i="32"/>
  <c r="D277" i="32"/>
  <c r="I173" i="49"/>
  <c r="Y140" i="49"/>
  <c r="V140" i="49"/>
  <c r="S140" i="49"/>
  <c r="P140" i="49"/>
  <c r="N140" i="49"/>
  <c r="AR127" i="49"/>
  <c r="AO127" i="49"/>
  <c r="AL127" i="49"/>
  <c r="AI127" i="49"/>
  <c r="AF127" i="49"/>
  <c r="J119" i="49"/>
  <c r="J121" i="49" s="1"/>
  <c r="I119" i="49"/>
  <c r="H119" i="49"/>
  <c r="H122" i="49" s="1"/>
  <c r="G119" i="49"/>
  <c r="F119" i="49"/>
  <c r="F121" i="49" s="1"/>
  <c r="N116" i="49"/>
  <c r="N115" i="49"/>
  <c r="M115" i="49"/>
  <c r="E116" i="49"/>
  <c r="O114" i="49"/>
  <c r="N114" i="49"/>
  <c r="M114" i="49"/>
  <c r="E114" i="49"/>
  <c r="J115" i="49"/>
  <c r="I113" i="49"/>
  <c r="H115" i="49"/>
  <c r="F115" i="49"/>
  <c r="W35" i="49"/>
  <c r="T35" i="49"/>
  <c r="Q35" i="49"/>
  <c r="N35" i="49"/>
  <c r="K35" i="49"/>
  <c r="U155" i="51" l="1"/>
  <c r="U150" i="51"/>
  <c r="U152" i="51"/>
  <c r="U147" i="51"/>
  <c r="U160" i="51"/>
  <c r="U157" i="51"/>
  <c r="U162" i="51"/>
  <c r="U145" i="51"/>
  <c r="X150" i="51"/>
  <c r="X157" i="51"/>
  <c r="X160" i="51"/>
  <c r="X145" i="51"/>
  <c r="X152" i="51"/>
  <c r="X147" i="51"/>
  <c r="X155" i="51"/>
  <c r="X162" i="51"/>
  <c r="M192" i="51"/>
  <c r="N191" i="51" s="1"/>
  <c r="O191" i="51" s="1"/>
  <c r="O157" i="51"/>
  <c r="O162" i="51"/>
  <c r="O145" i="51"/>
  <c r="O150" i="51"/>
  <c r="O160" i="51"/>
  <c r="O155" i="51"/>
  <c r="O147" i="51"/>
  <c r="O152" i="51"/>
  <c r="AA152" i="51"/>
  <c r="AA160" i="51"/>
  <c r="AA145" i="51"/>
  <c r="AA157" i="51"/>
  <c r="AA155" i="51"/>
  <c r="AA150" i="51"/>
  <c r="AA162" i="51"/>
  <c r="AA147" i="51"/>
  <c r="R160" i="51"/>
  <c r="R162" i="51"/>
  <c r="R157" i="51"/>
  <c r="R155" i="51"/>
  <c r="R150" i="51"/>
  <c r="R147" i="51"/>
  <c r="R145" i="51"/>
  <c r="R152" i="51"/>
  <c r="R145" i="50"/>
  <c r="R157" i="50"/>
  <c r="R147" i="50"/>
  <c r="R152" i="50"/>
  <c r="R150" i="50"/>
  <c r="R162" i="50"/>
  <c r="R155" i="50"/>
  <c r="R160" i="50"/>
  <c r="U147" i="50"/>
  <c r="U152" i="50"/>
  <c r="U160" i="50"/>
  <c r="U145" i="50"/>
  <c r="U157" i="50"/>
  <c r="U150" i="50"/>
  <c r="U162" i="50"/>
  <c r="U155" i="50"/>
  <c r="X160" i="50"/>
  <c r="X155" i="50"/>
  <c r="X157" i="50"/>
  <c r="X152" i="50"/>
  <c r="X147" i="50"/>
  <c r="X145" i="50"/>
  <c r="X150" i="50"/>
  <c r="X162" i="50"/>
  <c r="M192" i="50"/>
  <c r="N191" i="50" s="1"/>
  <c r="O191" i="50" s="1"/>
  <c r="O152" i="50"/>
  <c r="O150" i="50"/>
  <c r="O147" i="50"/>
  <c r="O160" i="50"/>
  <c r="O162" i="50"/>
  <c r="O145" i="50"/>
  <c r="O155" i="50"/>
  <c r="O157" i="50"/>
  <c r="AA157" i="50"/>
  <c r="AA147" i="50"/>
  <c r="AA152" i="50"/>
  <c r="AA160" i="50"/>
  <c r="AA145" i="50"/>
  <c r="AA150" i="50"/>
  <c r="AA162" i="50"/>
  <c r="AA155" i="50"/>
  <c r="U157" i="49"/>
  <c r="U147" i="49"/>
  <c r="U152" i="49"/>
  <c r="U145" i="49"/>
  <c r="U160" i="49"/>
  <c r="U155" i="49"/>
  <c r="U162" i="49"/>
  <c r="U150" i="49"/>
  <c r="R162" i="49"/>
  <c r="R160" i="49"/>
  <c r="R150" i="49"/>
  <c r="R157" i="49"/>
  <c r="R145" i="49"/>
  <c r="R152" i="49"/>
  <c r="R147" i="49"/>
  <c r="R155" i="49"/>
  <c r="X152" i="49"/>
  <c r="X160" i="49"/>
  <c r="X145" i="49"/>
  <c r="X162" i="49"/>
  <c r="X150" i="49"/>
  <c r="X157" i="49"/>
  <c r="X155" i="49"/>
  <c r="X147" i="49"/>
  <c r="M192" i="49"/>
  <c r="N191" i="49" s="1"/>
  <c r="O191" i="49" s="1"/>
  <c r="O155" i="49"/>
  <c r="O162" i="49"/>
  <c r="O150" i="49"/>
  <c r="O152" i="49"/>
  <c r="O160" i="49"/>
  <c r="O145" i="49"/>
  <c r="O157" i="49"/>
  <c r="O147" i="49"/>
  <c r="AA152" i="49"/>
  <c r="AA162" i="49"/>
  <c r="AA160" i="49"/>
  <c r="AA155" i="49"/>
  <c r="AA157" i="49"/>
  <c r="AA147" i="49"/>
  <c r="AA145" i="49"/>
  <c r="AA150" i="49"/>
  <c r="AN134" i="49"/>
  <c r="AO134" i="49" s="1"/>
  <c r="AP134" i="49" s="1"/>
  <c r="AE134" i="49"/>
  <c r="AF134" i="49" s="1"/>
  <c r="AG134" i="49" s="1"/>
  <c r="AK134" i="49"/>
  <c r="AL134" i="49" s="1"/>
  <c r="AM134" i="49" s="1"/>
  <c r="AQ134" i="49"/>
  <c r="AR134" i="49" s="1"/>
  <c r="AS134" i="49" s="1"/>
  <c r="AH134" i="49"/>
  <c r="AI134" i="49" s="1"/>
  <c r="AJ134" i="49" s="1"/>
  <c r="AQ135" i="49"/>
  <c r="AR135" i="49" s="1"/>
  <c r="AS135" i="49" s="1"/>
  <c r="AH135" i="49"/>
  <c r="AI135" i="49" s="1"/>
  <c r="AJ135" i="49" s="1"/>
  <c r="AN135" i="49"/>
  <c r="AO135" i="49" s="1"/>
  <c r="AP135" i="49" s="1"/>
  <c r="AE135" i="49"/>
  <c r="AF135" i="49" s="1"/>
  <c r="AG135" i="49" s="1"/>
  <c r="AK135" i="49"/>
  <c r="AL135" i="49" s="1"/>
  <c r="AM135" i="49" s="1"/>
  <c r="AH133" i="51"/>
  <c r="AI133" i="51" s="1"/>
  <c r="AN132" i="51"/>
  <c r="AO132" i="51" s="1"/>
  <c r="AE132" i="51"/>
  <c r="AF132" i="51" s="1"/>
  <c r="AG132" i="51" s="1"/>
  <c r="AN130" i="51"/>
  <c r="AO130" i="51" s="1"/>
  <c r="AH130" i="51"/>
  <c r="AI130" i="51" s="1"/>
  <c r="AK133" i="51"/>
  <c r="AL133" i="51" s="1"/>
  <c r="AQ132" i="51"/>
  <c r="AR132" i="51" s="1"/>
  <c r="AS132" i="51" s="1"/>
  <c r="AE130" i="51"/>
  <c r="AF130" i="51" s="1"/>
  <c r="AQ133" i="51"/>
  <c r="AR133" i="51" s="1"/>
  <c r="AH132" i="51"/>
  <c r="AI132" i="51" s="1"/>
  <c r="AQ130" i="51"/>
  <c r="AR130" i="51" s="1"/>
  <c r="AS130" i="51" s="1"/>
  <c r="AN133" i="51"/>
  <c r="AO133" i="51" s="1"/>
  <c r="AE133" i="51"/>
  <c r="AF133" i="51" s="1"/>
  <c r="AK132" i="51"/>
  <c r="AL132" i="51" s="1"/>
  <c r="AM132" i="51" s="1"/>
  <c r="AK130" i="51"/>
  <c r="AL130" i="51" s="1"/>
  <c r="AN131" i="51"/>
  <c r="AO131" i="51" s="1"/>
  <c r="AE131" i="51"/>
  <c r="AF131" i="51" s="1"/>
  <c r="AK131" i="51"/>
  <c r="AL131" i="51" s="1"/>
  <c r="AQ131" i="51"/>
  <c r="AR131" i="51" s="1"/>
  <c r="AH131" i="51"/>
  <c r="AI131" i="51" s="1"/>
  <c r="AJ131" i="51" s="1"/>
  <c r="AK133" i="50"/>
  <c r="AL133" i="50" s="1"/>
  <c r="AE133" i="50"/>
  <c r="AF133" i="50" s="1"/>
  <c r="AK132" i="50"/>
  <c r="AL132" i="50" s="1"/>
  <c r="AE132" i="50"/>
  <c r="AF132" i="50" s="1"/>
  <c r="AE130" i="50"/>
  <c r="AF130" i="50" s="1"/>
  <c r="AN132" i="50"/>
  <c r="AO132" i="50" s="1"/>
  <c r="AN130" i="50"/>
  <c r="AO130" i="50" s="1"/>
  <c r="AH133" i="50"/>
  <c r="AI133" i="50" s="1"/>
  <c r="AH132" i="50"/>
  <c r="AI132" i="50" s="1"/>
  <c r="AJ132" i="50" s="1"/>
  <c r="AK130" i="50"/>
  <c r="AL130" i="50" s="1"/>
  <c r="AN133" i="50"/>
  <c r="AO133" i="50" s="1"/>
  <c r="AQ133" i="50"/>
  <c r="AR133" i="50" s="1"/>
  <c r="AH130" i="50"/>
  <c r="AI130" i="50" s="1"/>
  <c r="AQ132" i="50"/>
  <c r="AR132" i="50" s="1"/>
  <c r="AQ130" i="50"/>
  <c r="AR130" i="50" s="1"/>
  <c r="AN131" i="50"/>
  <c r="AO131" i="50" s="1"/>
  <c r="AE131" i="50"/>
  <c r="AF131" i="50" s="1"/>
  <c r="AG131" i="50" s="1"/>
  <c r="AQ131" i="50"/>
  <c r="AR131" i="50" s="1"/>
  <c r="AS131" i="50" s="1"/>
  <c r="AK131" i="50"/>
  <c r="AL131" i="50" s="1"/>
  <c r="AH131" i="50"/>
  <c r="AI131" i="50" s="1"/>
  <c r="AM130" i="50"/>
  <c r="AK133" i="49"/>
  <c r="AL133" i="49" s="1"/>
  <c r="AE132" i="49"/>
  <c r="AF132" i="49" s="1"/>
  <c r="AG132" i="49" s="1"/>
  <c r="AK131" i="49"/>
  <c r="AL131" i="49" s="1"/>
  <c r="AK130" i="49"/>
  <c r="AL130" i="49" s="1"/>
  <c r="AQ130" i="49"/>
  <c r="AR130" i="49" s="1"/>
  <c r="AN133" i="49"/>
  <c r="AO133" i="49" s="1"/>
  <c r="AQ132" i="49"/>
  <c r="AR132" i="49" s="1"/>
  <c r="AS132" i="49" s="1"/>
  <c r="AH132" i="49"/>
  <c r="AI132" i="49" s="1"/>
  <c r="AH131" i="49"/>
  <c r="AI131" i="49" s="1"/>
  <c r="AE133" i="49"/>
  <c r="AF133" i="49" s="1"/>
  <c r="AE131" i="49"/>
  <c r="AF131" i="49" s="1"/>
  <c r="AE130" i="49"/>
  <c r="AF130" i="49" s="1"/>
  <c r="AQ133" i="49"/>
  <c r="AR133" i="49" s="1"/>
  <c r="AH133" i="49"/>
  <c r="AI133" i="49" s="1"/>
  <c r="AK132" i="49"/>
  <c r="AL132" i="49" s="1"/>
  <c r="AM132" i="49" s="1"/>
  <c r="AQ131" i="49"/>
  <c r="AR131" i="49" s="1"/>
  <c r="AH130" i="49"/>
  <c r="AI130" i="49" s="1"/>
  <c r="AN130" i="49"/>
  <c r="AO130" i="49" s="1"/>
  <c r="AN132" i="49"/>
  <c r="AO132" i="49" s="1"/>
  <c r="AN131" i="49"/>
  <c r="AO131" i="49" s="1"/>
  <c r="AP131" i="49" s="1"/>
  <c r="L58" i="51"/>
  <c r="L64" i="51"/>
  <c r="L89" i="51"/>
  <c r="L52" i="51"/>
  <c r="L73" i="51"/>
  <c r="L70" i="51"/>
  <c r="L83" i="51"/>
  <c r="L55" i="51"/>
  <c r="L95" i="51"/>
  <c r="L79" i="51"/>
  <c r="L43" i="51"/>
  <c r="L101" i="51"/>
  <c r="L61" i="51"/>
  <c r="L98" i="51"/>
  <c r="L49" i="51"/>
  <c r="L40" i="51"/>
  <c r="L46" i="51"/>
  <c r="L67" i="51"/>
  <c r="L86" i="51"/>
  <c r="L76" i="51"/>
  <c r="L92" i="51"/>
  <c r="X61" i="51"/>
  <c r="X76" i="51"/>
  <c r="X73" i="51"/>
  <c r="X52" i="51"/>
  <c r="X40" i="51"/>
  <c r="X49" i="51"/>
  <c r="X70" i="51"/>
  <c r="X79" i="51"/>
  <c r="X83" i="51"/>
  <c r="X46" i="51"/>
  <c r="X67" i="51"/>
  <c r="X89" i="51"/>
  <c r="X98" i="51"/>
  <c r="X92" i="51"/>
  <c r="X55" i="51"/>
  <c r="X86" i="51"/>
  <c r="X95" i="51"/>
  <c r="X64" i="51"/>
  <c r="X101" i="51"/>
  <c r="X43" i="51"/>
  <c r="X58" i="51"/>
  <c r="O46" i="51"/>
  <c r="O73" i="51"/>
  <c r="O92" i="51"/>
  <c r="O61" i="51"/>
  <c r="O89" i="51"/>
  <c r="O76" i="51"/>
  <c r="O95" i="51"/>
  <c r="O55" i="51"/>
  <c r="O83" i="51"/>
  <c r="O49" i="51"/>
  <c r="O40" i="51"/>
  <c r="O101" i="51"/>
  <c r="O64" i="51"/>
  <c r="O52" i="51"/>
  <c r="O98" i="51"/>
  <c r="O67" i="51"/>
  <c r="O70" i="51"/>
  <c r="O86" i="51"/>
  <c r="O58" i="51"/>
  <c r="O43" i="51"/>
  <c r="O79" i="51"/>
  <c r="R86" i="51"/>
  <c r="R55" i="51"/>
  <c r="R43" i="51"/>
  <c r="R98" i="51"/>
  <c r="R92" i="51"/>
  <c r="R73" i="51"/>
  <c r="R61" i="51"/>
  <c r="R49" i="51"/>
  <c r="R70" i="51"/>
  <c r="R52" i="51"/>
  <c r="R101" i="51"/>
  <c r="R67" i="51"/>
  <c r="R83" i="51"/>
  <c r="R40" i="51"/>
  <c r="R95" i="51"/>
  <c r="R58" i="51"/>
  <c r="R79" i="51"/>
  <c r="R76" i="51"/>
  <c r="R64" i="51"/>
  <c r="R46" i="51"/>
  <c r="R89" i="51"/>
  <c r="U64" i="51"/>
  <c r="U98" i="51"/>
  <c r="U55" i="51"/>
  <c r="U86" i="51"/>
  <c r="U61" i="51"/>
  <c r="U46" i="51"/>
  <c r="U52" i="51"/>
  <c r="U101" i="51"/>
  <c r="U92" i="51"/>
  <c r="U95" i="51"/>
  <c r="U67" i="51"/>
  <c r="U73" i="51"/>
  <c r="U43" i="51"/>
  <c r="U40" i="51"/>
  <c r="U79" i="51"/>
  <c r="U89" i="51"/>
  <c r="U49" i="51"/>
  <c r="U76" i="51"/>
  <c r="U70" i="51"/>
  <c r="U58" i="51"/>
  <c r="U83" i="51"/>
  <c r="L64" i="50"/>
  <c r="L46" i="50"/>
  <c r="L49" i="50"/>
  <c r="L43" i="50"/>
  <c r="L73" i="50"/>
  <c r="L76" i="50"/>
  <c r="L58" i="50"/>
  <c r="L95" i="50"/>
  <c r="L61" i="50"/>
  <c r="L86" i="50"/>
  <c r="L70" i="50"/>
  <c r="L52" i="50"/>
  <c r="L89" i="50"/>
  <c r="L67" i="50"/>
  <c r="L55" i="50"/>
  <c r="L92" i="50"/>
  <c r="L101" i="50"/>
  <c r="L80" i="50"/>
  <c r="L83" i="50"/>
  <c r="L40" i="50"/>
  <c r="L98" i="50"/>
  <c r="X80" i="50"/>
  <c r="X49" i="50"/>
  <c r="X43" i="50"/>
  <c r="X40" i="50"/>
  <c r="X101" i="50"/>
  <c r="X73" i="50"/>
  <c r="X89" i="50"/>
  <c r="X92" i="50"/>
  <c r="X76" i="50"/>
  <c r="X98" i="50"/>
  <c r="X83" i="50"/>
  <c r="X70" i="50"/>
  <c r="X58" i="50"/>
  <c r="X64" i="50"/>
  <c r="X61" i="50"/>
  <c r="X46" i="50"/>
  <c r="X86" i="50"/>
  <c r="X55" i="50"/>
  <c r="X95" i="50"/>
  <c r="X67" i="50"/>
  <c r="X52" i="50"/>
  <c r="R67" i="50"/>
  <c r="R73" i="50"/>
  <c r="R101" i="50"/>
  <c r="R89" i="50"/>
  <c r="R52" i="50"/>
  <c r="R80" i="50"/>
  <c r="R61" i="50"/>
  <c r="R98" i="50"/>
  <c r="R76" i="50"/>
  <c r="R64" i="50"/>
  <c r="R86" i="50"/>
  <c r="R55" i="50"/>
  <c r="R83" i="50"/>
  <c r="R95" i="50"/>
  <c r="R70" i="50"/>
  <c r="R58" i="50"/>
  <c r="R92" i="50"/>
  <c r="R46" i="50"/>
  <c r="R43" i="50"/>
  <c r="R49" i="50"/>
  <c r="R40" i="50"/>
  <c r="U52" i="50"/>
  <c r="U86" i="50"/>
  <c r="U49" i="50"/>
  <c r="U70" i="50"/>
  <c r="U73" i="50"/>
  <c r="U76" i="50"/>
  <c r="U61" i="50"/>
  <c r="U64" i="50"/>
  <c r="U92" i="50"/>
  <c r="U89" i="50"/>
  <c r="U55" i="50"/>
  <c r="U98" i="50"/>
  <c r="U95" i="50"/>
  <c r="U80" i="50"/>
  <c r="U46" i="50"/>
  <c r="U58" i="50"/>
  <c r="U43" i="50"/>
  <c r="U83" i="50"/>
  <c r="U67" i="50"/>
  <c r="U101" i="50"/>
  <c r="U40" i="50"/>
  <c r="O40" i="50"/>
  <c r="O101" i="50"/>
  <c r="O46" i="50"/>
  <c r="O95" i="50"/>
  <c r="O98" i="50"/>
  <c r="O86" i="50"/>
  <c r="O92" i="50"/>
  <c r="O73" i="50"/>
  <c r="O70" i="50"/>
  <c r="O52" i="50"/>
  <c r="O83" i="50"/>
  <c r="O43" i="50"/>
  <c r="O89" i="50"/>
  <c r="O61" i="50"/>
  <c r="O76" i="50"/>
  <c r="O55" i="50"/>
  <c r="O58" i="50"/>
  <c r="O67" i="50"/>
  <c r="O64" i="50"/>
  <c r="O80" i="50"/>
  <c r="O49" i="50"/>
  <c r="X58" i="49"/>
  <c r="X101" i="49"/>
  <c r="X98" i="49"/>
  <c r="X43" i="49"/>
  <c r="X77" i="49"/>
  <c r="X89" i="49"/>
  <c r="X52" i="49"/>
  <c r="X55" i="49"/>
  <c r="X40" i="49"/>
  <c r="X49" i="49"/>
  <c r="X67" i="49"/>
  <c r="X95" i="49"/>
  <c r="X92" i="49"/>
  <c r="X80" i="49"/>
  <c r="X83" i="49"/>
  <c r="X64" i="49"/>
  <c r="X61" i="49"/>
  <c r="X46" i="49"/>
  <c r="X86" i="49"/>
  <c r="L40" i="49"/>
  <c r="L80" i="49"/>
  <c r="L61" i="49"/>
  <c r="L67" i="49"/>
  <c r="L58" i="49"/>
  <c r="L52" i="49"/>
  <c r="L92" i="49"/>
  <c r="L86" i="49"/>
  <c r="L43" i="49"/>
  <c r="L83" i="49"/>
  <c r="L98" i="49"/>
  <c r="L101" i="49"/>
  <c r="L64" i="49"/>
  <c r="L95" i="49"/>
  <c r="L55" i="49"/>
  <c r="L89" i="49"/>
  <c r="L49" i="49"/>
  <c r="L77" i="49"/>
  <c r="L46" i="49"/>
  <c r="O83" i="49"/>
  <c r="O64" i="49"/>
  <c r="O95" i="49"/>
  <c r="O46" i="49"/>
  <c r="O49" i="49"/>
  <c r="O67" i="49"/>
  <c r="O92" i="49"/>
  <c r="O58" i="49"/>
  <c r="O101" i="49"/>
  <c r="O89" i="49"/>
  <c r="O40" i="49"/>
  <c r="O77" i="49"/>
  <c r="O86" i="49"/>
  <c r="O61" i="49"/>
  <c r="O80" i="49"/>
  <c r="O52" i="49"/>
  <c r="O43" i="49"/>
  <c r="O98" i="49"/>
  <c r="O55" i="49"/>
  <c r="R83" i="49"/>
  <c r="R98" i="49"/>
  <c r="R52" i="49"/>
  <c r="R49" i="49"/>
  <c r="R43" i="49"/>
  <c r="R101" i="49"/>
  <c r="R64" i="49"/>
  <c r="R86" i="49"/>
  <c r="R55" i="49"/>
  <c r="R67" i="49"/>
  <c r="R61" i="49"/>
  <c r="R46" i="49"/>
  <c r="R92" i="49"/>
  <c r="R95" i="49"/>
  <c r="R58" i="49"/>
  <c r="R77" i="49"/>
  <c r="R40" i="49"/>
  <c r="R89" i="49"/>
  <c r="R80" i="49"/>
  <c r="U89" i="49"/>
  <c r="U67" i="49"/>
  <c r="U86" i="49"/>
  <c r="U77" i="49"/>
  <c r="U58" i="49"/>
  <c r="U101" i="49"/>
  <c r="U83" i="49"/>
  <c r="U98" i="49"/>
  <c r="U49" i="49"/>
  <c r="U64" i="49"/>
  <c r="U46" i="49"/>
  <c r="U43" i="49"/>
  <c r="U52" i="49"/>
  <c r="U55" i="49"/>
  <c r="U95" i="49"/>
  <c r="U40" i="49"/>
  <c r="U92" i="49"/>
  <c r="U61" i="49"/>
  <c r="U80" i="49"/>
  <c r="X70" i="49"/>
  <c r="X73" i="49"/>
  <c r="L70" i="49"/>
  <c r="L73" i="49"/>
  <c r="O73" i="49"/>
  <c r="O70" i="49"/>
  <c r="R70" i="49"/>
  <c r="R73" i="49"/>
  <c r="U73" i="49"/>
  <c r="U70" i="49"/>
  <c r="F112" i="50"/>
  <c r="G112" i="50"/>
  <c r="G179" i="50"/>
  <c r="E278" i="32" s="1"/>
  <c r="J115" i="50"/>
  <c r="I120" i="50"/>
  <c r="G185" i="50"/>
  <c r="E289" i="32" s="1"/>
  <c r="I115" i="49"/>
  <c r="F120" i="49"/>
  <c r="J122" i="49"/>
  <c r="J120" i="49"/>
  <c r="F122" i="49"/>
  <c r="G185" i="49"/>
  <c r="E288" i="32" s="1"/>
  <c r="G179" i="49"/>
  <c r="E277" i="32" s="1"/>
  <c r="G179" i="51"/>
  <c r="E279" i="32" s="1"/>
  <c r="G185" i="51"/>
  <c r="E290" i="32" s="1"/>
  <c r="J112" i="51"/>
  <c r="F120" i="51"/>
  <c r="F121" i="51"/>
  <c r="G112" i="51"/>
  <c r="AJ130" i="51" s="1"/>
  <c r="H113" i="51"/>
  <c r="H120" i="51"/>
  <c r="H121" i="51"/>
  <c r="H112" i="51"/>
  <c r="J120" i="51"/>
  <c r="J121" i="51"/>
  <c r="G120" i="50"/>
  <c r="G122" i="50"/>
  <c r="J112" i="50"/>
  <c r="F115" i="50"/>
  <c r="AG132" i="50" s="1"/>
  <c r="I122" i="50"/>
  <c r="H115" i="50"/>
  <c r="J112" i="49"/>
  <c r="J172" i="49"/>
  <c r="D266" i="32" s="1"/>
  <c r="F113" i="49"/>
  <c r="H120" i="49"/>
  <c r="H121" i="49"/>
  <c r="H112" i="49"/>
  <c r="H113" i="49"/>
  <c r="I112" i="49"/>
  <c r="I112" i="51"/>
  <c r="I113" i="51"/>
  <c r="F113" i="51"/>
  <c r="G115" i="51"/>
  <c r="G122" i="51"/>
  <c r="G120" i="51"/>
  <c r="G121" i="51"/>
  <c r="I115" i="51"/>
  <c r="F112" i="51"/>
  <c r="J113" i="51"/>
  <c r="I121" i="51"/>
  <c r="I122" i="51"/>
  <c r="I120" i="51"/>
  <c r="J172" i="51"/>
  <c r="D268" i="32" s="1"/>
  <c r="I115" i="50"/>
  <c r="I112" i="50"/>
  <c r="AP130" i="50" s="1"/>
  <c r="I113" i="50"/>
  <c r="G113" i="50"/>
  <c r="F122" i="50"/>
  <c r="F120" i="50"/>
  <c r="AG133" i="50" s="1"/>
  <c r="F121" i="50"/>
  <c r="J122" i="50"/>
  <c r="J120" i="50"/>
  <c r="J121" i="50"/>
  <c r="H121" i="50"/>
  <c r="H122" i="50"/>
  <c r="H120" i="50"/>
  <c r="H113" i="50"/>
  <c r="J172" i="50"/>
  <c r="D267" i="32" s="1"/>
  <c r="G112" i="49"/>
  <c r="G115" i="49"/>
  <c r="G113" i="49"/>
  <c r="F112" i="49"/>
  <c r="AG130" i="49" s="1"/>
  <c r="I121" i="49"/>
  <c r="I122" i="49"/>
  <c r="I120" i="49"/>
  <c r="AP133" i="49" s="1"/>
  <c r="J113" i="49"/>
  <c r="G122" i="49"/>
  <c r="G120" i="49"/>
  <c r="G121" i="49"/>
  <c r="AP133" i="50" l="1"/>
  <c r="AB157" i="49"/>
  <c r="AB157" i="51"/>
  <c r="AB150" i="49"/>
  <c r="AG133" i="49"/>
  <c r="AB160" i="51"/>
  <c r="AB152" i="51"/>
  <c r="AB150" i="51"/>
  <c r="AG133" i="51"/>
  <c r="AB147" i="51"/>
  <c r="AB145" i="51"/>
  <c r="AC145" i="51" s="1"/>
  <c r="AD145" i="51" s="1"/>
  <c r="AP131" i="51"/>
  <c r="AP130" i="51"/>
  <c r="AB155" i="51"/>
  <c r="AB162" i="51"/>
  <c r="AJ133" i="50"/>
  <c r="AB155" i="50"/>
  <c r="AB147" i="50"/>
  <c r="AB145" i="50"/>
  <c r="AC145" i="50" s="1"/>
  <c r="AD145" i="50" s="1"/>
  <c r="AB150" i="50"/>
  <c r="AB162" i="50"/>
  <c r="AB152" i="50"/>
  <c r="AB157" i="50"/>
  <c r="AB160" i="50"/>
  <c r="AB162" i="49"/>
  <c r="AJ133" i="49"/>
  <c r="AM131" i="49"/>
  <c r="AB160" i="49"/>
  <c r="AB155" i="49"/>
  <c r="AC155" i="49" s="1"/>
  <c r="AD155" i="49" s="1"/>
  <c r="AP132" i="49"/>
  <c r="AB145" i="49"/>
  <c r="AB147" i="49"/>
  <c r="AB152" i="49"/>
  <c r="AS131" i="51"/>
  <c r="AP133" i="51"/>
  <c r="AJ132" i="51"/>
  <c r="AG130" i="51"/>
  <c r="AM131" i="51"/>
  <c r="AM130" i="51"/>
  <c r="AS133" i="51"/>
  <c r="AP132" i="51"/>
  <c r="AT135" i="51"/>
  <c r="AG131" i="51"/>
  <c r="AM133" i="51"/>
  <c r="AJ133" i="51"/>
  <c r="AT134" i="51"/>
  <c r="AS133" i="50"/>
  <c r="AP132" i="50"/>
  <c r="AM132" i="50"/>
  <c r="AT135" i="50"/>
  <c r="AJ131" i="50"/>
  <c r="AP131" i="50"/>
  <c r="AJ130" i="50"/>
  <c r="AS132" i="50"/>
  <c r="AT134" i="50"/>
  <c r="AM131" i="50"/>
  <c r="AT131" i="50" s="1"/>
  <c r="AS130" i="50"/>
  <c r="AG130" i="50"/>
  <c r="AM133" i="50"/>
  <c r="AP130" i="49"/>
  <c r="AJ131" i="49"/>
  <c r="AJ132" i="49"/>
  <c r="AS130" i="49"/>
  <c r="AJ130" i="49"/>
  <c r="AM133" i="49"/>
  <c r="AG131" i="49"/>
  <c r="AS133" i="49"/>
  <c r="Y52" i="50"/>
  <c r="Y49" i="50"/>
  <c r="Y67" i="51"/>
  <c r="Z67" i="51" s="1"/>
  <c r="AA67" i="51" s="1"/>
  <c r="D115" i="32" s="1"/>
  <c r="Y83" i="49"/>
  <c r="Z83" i="49" s="1"/>
  <c r="AS131" i="49"/>
  <c r="AM130" i="49"/>
  <c r="Y86" i="51"/>
  <c r="Z86" i="51" s="1"/>
  <c r="AA86" i="51" s="1"/>
  <c r="Y46" i="51"/>
  <c r="Z46" i="51" s="1"/>
  <c r="AA46" i="51" s="1"/>
  <c r="D38" i="32" s="1"/>
  <c r="Y98" i="51"/>
  <c r="Z98" i="51" s="1"/>
  <c r="AA98" i="51" s="1"/>
  <c r="Y43" i="51"/>
  <c r="Z43" i="51" s="1"/>
  <c r="AA43" i="51" s="1"/>
  <c r="D27" i="32" s="1"/>
  <c r="Y73" i="51"/>
  <c r="Z73" i="51" s="1"/>
  <c r="AA73" i="51" s="1"/>
  <c r="Y89" i="51"/>
  <c r="Z89" i="51" s="1"/>
  <c r="AA89" i="51" s="1"/>
  <c r="Y76" i="51"/>
  <c r="Z76" i="51" s="1"/>
  <c r="AA76" i="51" s="1"/>
  <c r="Y49" i="51"/>
  <c r="Z49" i="51" s="1"/>
  <c r="AA49" i="51" s="1"/>
  <c r="D49" i="32" s="1"/>
  <c r="Y101" i="51"/>
  <c r="Z101" i="51" s="1"/>
  <c r="AA101" i="51" s="1"/>
  <c r="Y61" i="51"/>
  <c r="Z61" i="51" s="1"/>
  <c r="AA61" i="51" s="1"/>
  <c r="D93" i="32" s="1"/>
  <c r="Y55" i="51"/>
  <c r="Z55" i="51" s="1"/>
  <c r="AA55" i="51" s="1"/>
  <c r="D71" i="32" s="1"/>
  <c r="Y52" i="51"/>
  <c r="Z52" i="51" s="1"/>
  <c r="AA52" i="51" s="1"/>
  <c r="D60" i="32" s="1"/>
  <c r="Y64" i="51"/>
  <c r="Z64" i="51" s="1"/>
  <c r="AA64" i="51" s="1"/>
  <c r="D104" i="32" s="1"/>
  <c r="Y70" i="51"/>
  <c r="Z70" i="51" s="1"/>
  <c r="AA70" i="51" s="1"/>
  <c r="Y92" i="51"/>
  <c r="Z92" i="51" s="1"/>
  <c r="AA92" i="51" s="1"/>
  <c r="Y40" i="51"/>
  <c r="Z40" i="51" s="1"/>
  <c r="AA40" i="51" s="1"/>
  <c r="D16" i="32" s="1"/>
  <c r="Y95" i="51"/>
  <c r="Z95" i="51" s="1"/>
  <c r="AA95" i="51" s="1"/>
  <c r="Y83" i="51"/>
  <c r="Z83" i="51" s="1"/>
  <c r="AA83" i="51" s="1"/>
  <c r="Y58" i="51"/>
  <c r="Z58" i="51" s="1"/>
  <c r="AA58" i="51" s="1"/>
  <c r="D82" i="32" s="1"/>
  <c r="Y40" i="50"/>
  <c r="Y58" i="50"/>
  <c r="Y55" i="50"/>
  <c r="Y98" i="50"/>
  <c r="Y80" i="50"/>
  <c r="Y67" i="50"/>
  <c r="Y64" i="50"/>
  <c r="Y92" i="50"/>
  <c r="Y83" i="50"/>
  <c r="Y70" i="50"/>
  <c r="Y61" i="50"/>
  <c r="Y46" i="50"/>
  <c r="Y101" i="50"/>
  <c r="Z101" i="50" s="1"/>
  <c r="Y89" i="50"/>
  <c r="Y86" i="50"/>
  <c r="Y95" i="50"/>
  <c r="Y43" i="50"/>
  <c r="Y49" i="49"/>
  <c r="Z49" i="49" s="1"/>
  <c r="Y64" i="49"/>
  <c r="Z64" i="49" s="1"/>
  <c r="Y43" i="49"/>
  <c r="Z43" i="49" s="1"/>
  <c r="Y58" i="49"/>
  <c r="Z58" i="49" s="1"/>
  <c r="Y40" i="49"/>
  <c r="Z40" i="49" s="1"/>
  <c r="Y95" i="49"/>
  <c r="Z95" i="49" s="1"/>
  <c r="Y80" i="49"/>
  <c r="Z80" i="49" s="1"/>
  <c r="Y89" i="49"/>
  <c r="Z89" i="49" s="1"/>
  <c r="Y101" i="49"/>
  <c r="Z101" i="49" s="1"/>
  <c r="Y86" i="49"/>
  <c r="Z86" i="49" s="1"/>
  <c r="Y67" i="49"/>
  <c r="Z67" i="49" s="1"/>
  <c r="Y77" i="49"/>
  <c r="Z77" i="49" s="1"/>
  <c r="Y52" i="49"/>
  <c r="Z52" i="49" s="1"/>
  <c r="Y46" i="49"/>
  <c r="Z46" i="49" s="1"/>
  <c r="Y55" i="49"/>
  <c r="Z55" i="49" s="1"/>
  <c r="Y98" i="49"/>
  <c r="Z98" i="49" s="1"/>
  <c r="Y92" i="49"/>
  <c r="Z92" i="49" s="1"/>
  <c r="Y61" i="49"/>
  <c r="Z61" i="49" s="1"/>
  <c r="AT132" i="49"/>
  <c r="AT134" i="49"/>
  <c r="AT135" i="49"/>
  <c r="K172" i="51"/>
  <c r="E268" i="32" s="1"/>
  <c r="K172" i="50"/>
  <c r="E267" i="32" s="1"/>
  <c r="K172" i="49"/>
  <c r="E266" i="32" s="1"/>
  <c r="J119" i="42"/>
  <c r="J120" i="42" s="1"/>
  <c r="I119" i="42"/>
  <c r="I122" i="42" s="1"/>
  <c r="H122" i="42"/>
  <c r="G119" i="42"/>
  <c r="G121" i="42" s="1"/>
  <c r="F119" i="42"/>
  <c r="F120" i="42" s="1"/>
  <c r="AC150" i="49" l="1"/>
  <c r="AD150" i="49" s="1"/>
  <c r="AT130" i="51"/>
  <c r="AC160" i="50"/>
  <c r="AD160" i="50" s="1"/>
  <c r="AC155" i="51"/>
  <c r="AD155" i="51" s="1"/>
  <c r="AC150" i="51"/>
  <c r="AD150" i="51" s="1"/>
  <c r="AC145" i="49"/>
  <c r="AD145" i="49" s="1"/>
  <c r="AT133" i="51"/>
  <c r="AT133" i="50"/>
  <c r="AT132" i="51"/>
  <c r="AC160" i="51"/>
  <c r="AD160" i="51" s="1"/>
  <c r="D368" i="32" s="1"/>
  <c r="AT132" i="50"/>
  <c r="AC155" i="50"/>
  <c r="AD155" i="50" s="1"/>
  <c r="AT130" i="50"/>
  <c r="AU130" i="50" s="1"/>
  <c r="AC150" i="50"/>
  <c r="AD150" i="50" s="1"/>
  <c r="AC160" i="49"/>
  <c r="AD160" i="49" s="1"/>
  <c r="D366" i="32" s="1"/>
  <c r="AT131" i="51"/>
  <c r="Z80" i="50"/>
  <c r="AA80" i="50" s="1"/>
  <c r="Z40" i="50"/>
  <c r="AA40" i="50" s="1"/>
  <c r="D15" i="32" s="1"/>
  <c r="Z95" i="50"/>
  <c r="AA95" i="50" s="1"/>
  <c r="Z92" i="50"/>
  <c r="AA92" i="50" s="1"/>
  <c r="Z98" i="50"/>
  <c r="AA98" i="50" s="1"/>
  <c r="Z49" i="50"/>
  <c r="AA49" i="50" s="1"/>
  <c r="D48" i="32" s="1"/>
  <c r="Z86" i="50"/>
  <c r="AA86" i="50" s="1"/>
  <c r="Z61" i="50"/>
  <c r="AA61" i="50" s="1"/>
  <c r="D92" i="32" s="1"/>
  <c r="Z64" i="50"/>
  <c r="AA64" i="50" s="1"/>
  <c r="D103" i="32" s="1"/>
  <c r="Z55" i="50"/>
  <c r="AA55" i="50" s="1"/>
  <c r="D70" i="32" s="1"/>
  <c r="Z52" i="50"/>
  <c r="AA52" i="50" s="1"/>
  <c r="D59" i="32" s="1"/>
  <c r="Z43" i="50"/>
  <c r="AA43" i="50" s="1"/>
  <c r="D26" i="32" s="1"/>
  <c r="Z83" i="50"/>
  <c r="AA83" i="50" s="1"/>
  <c r="Z46" i="50"/>
  <c r="AA46" i="50" s="1"/>
  <c r="D37" i="32" s="1"/>
  <c r="Z89" i="50"/>
  <c r="AA89" i="50" s="1"/>
  <c r="Z70" i="50"/>
  <c r="AA70" i="50" s="1"/>
  <c r="Z67" i="50"/>
  <c r="AA67" i="50" s="1"/>
  <c r="D114" i="32" s="1"/>
  <c r="Z58" i="50"/>
  <c r="AA58" i="50" s="1"/>
  <c r="D81" i="32" s="1"/>
  <c r="AA55" i="49"/>
  <c r="AA77" i="49"/>
  <c r="AA86" i="49"/>
  <c r="AA95" i="49"/>
  <c r="AA58" i="49"/>
  <c r="AA61" i="49"/>
  <c r="AA46" i="49"/>
  <c r="AA101" i="49"/>
  <c r="AA43" i="49"/>
  <c r="AA92" i="49"/>
  <c r="AA89" i="49"/>
  <c r="AA64" i="49"/>
  <c r="AA98" i="49"/>
  <c r="AA52" i="49"/>
  <c r="AA67" i="49"/>
  <c r="AA80" i="49"/>
  <c r="AA40" i="49"/>
  <c r="AA49" i="49"/>
  <c r="AA83" i="49"/>
  <c r="AA101" i="50"/>
  <c r="D367" i="32"/>
  <c r="AT130" i="49"/>
  <c r="AT131" i="49"/>
  <c r="D301" i="32"/>
  <c r="D300" i="32"/>
  <c r="AT133" i="49"/>
  <c r="D299" i="32"/>
  <c r="Y72" i="49"/>
  <c r="Y69" i="49"/>
  <c r="Y70" i="49"/>
  <c r="Y73" i="49"/>
  <c r="J122" i="42"/>
  <c r="F122" i="42"/>
  <c r="G120" i="42"/>
  <c r="G122" i="42"/>
  <c r="J121" i="42"/>
  <c r="Y79" i="51"/>
  <c r="Y78" i="51"/>
  <c r="Y73" i="50"/>
  <c r="Y72" i="50"/>
  <c r="Y75" i="50"/>
  <c r="Y76" i="50"/>
  <c r="F121" i="42"/>
  <c r="I120" i="42"/>
  <c r="H120" i="42"/>
  <c r="I121" i="42"/>
  <c r="H121" i="42"/>
  <c r="AU130" i="51" l="1"/>
  <c r="Z73" i="50"/>
  <c r="Z70" i="49"/>
  <c r="AU130" i="49"/>
  <c r="Y74" i="49"/>
  <c r="Z73" i="49" s="1"/>
  <c r="D344" i="32"/>
  <c r="E300" i="32"/>
  <c r="E299" i="32"/>
  <c r="E301" i="32"/>
  <c r="Y80" i="51"/>
  <c r="Z79" i="51" s="1"/>
  <c r="D335" i="32"/>
  <c r="D345" i="32"/>
  <c r="D355" i="32"/>
  <c r="D346" i="32"/>
  <c r="D357" i="32"/>
  <c r="Y77" i="50"/>
  <c r="Z76" i="50" s="1"/>
  <c r="D356" i="32"/>
  <c r="D334" i="32"/>
  <c r="D333" i="32"/>
  <c r="D192" i="32" l="1"/>
  <c r="D214" i="32"/>
  <c r="D181" i="32"/>
  <c r="D148" i="32"/>
  <c r="D137" i="32"/>
  <c r="D126" i="32"/>
  <c r="D225" i="32"/>
  <c r="AA79" i="51"/>
  <c r="D159" i="32" s="1"/>
  <c r="D170" i="32"/>
  <c r="D236" i="32"/>
  <c r="D203" i="32"/>
  <c r="D213" i="32"/>
  <c r="D224" i="32"/>
  <c r="D180" i="32"/>
  <c r="D191" i="32"/>
  <c r="D202" i="32"/>
  <c r="D235" i="32"/>
  <c r="AA73" i="50"/>
  <c r="D136" i="32" s="1"/>
  <c r="D158" i="32"/>
  <c r="D169" i="32"/>
  <c r="D58" i="32"/>
  <c r="D91" i="32"/>
  <c r="D69" i="32"/>
  <c r="D80" i="32"/>
  <c r="D201" i="32"/>
  <c r="D14" i="32"/>
  <c r="AA70" i="49"/>
  <c r="D124" i="32" s="1"/>
  <c r="D190" i="32"/>
  <c r="D157" i="32"/>
  <c r="D113" i="32"/>
  <c r="D168" i="32"/>
  <c r="AA73" i="49"/>
  <c r="D135" i="32" s="1"/>
  <c r="D102" i="32"/>
  <c r="D212" i="32"/>
  <c r="D36" i="32"/>
  <c r="D25" i="32"/>
  <c r="D234" i="32"/>
  <c r="D146" i="32"/>
  <c r="D179" i="32"/>
  <c r="D223" i="32"/>
  <c r="D47" i="32"/>
  <c r="D125" i="32"/>
  <c r="F29" i="16"/>
  <c r="J29" i="16"/>
  <c r="H29" i="16"/>
  <c r="AA76" i="50" l="1"/>
  <c r="D147" i="32" s="1"/>
  <c r="D29" i="16" l="1"/>
  <c r="C29" i="16"/>
  <c r="B29" i="16"/>
  <c r="B160" i="42" l="1"/>
  <c r="A160" i="42"/>
  <c r="B155" i="42"/>
  <c r="A155" i="42"/>
  <c r="B150" i="42"/>
  <c r="A150" i="42"/>
  <c r="B145" i="42"/>
  <c r="A145" i="42"/>
  <c r="F161" i="42"/>
  <c r="F156" i="42"/>
  <c r="F151" i="42"/>
  <c r="F146" i="42"/>
  <c r="AA146" i="42" l="1"/>
  <c r="X146" i="42"/>
  <c r="R146" i="42"/>
  <c r="O146" i="42"/>
  <c r="AB146" i="42" s="1"/>
  <c r="U146" i="42"/>
  <c r="AA156" i="42"/>
  <c r="X156" i="42"/>
  <c r="R156" i="42"/>
  <c r="O156" i="42"/>
  <c r="U156" i="42"/>
  <c r="AA151" i="42"/>
  <c r="U151" i="42"/>
  <c r="X151" i="42"/>
  <c r="O151" i="42"/>
  <c r="R151" i="42"/>
  <c r="AA161" i="42"/>
  <c r="U161" i="42"/>
  <c r="X161" i="42"/>
  <c r="R161" i="42"/>
  <c r="O161" i="42"/>
  <c r="AB161" i="42" s="1"/>
  <c r="AF127" i="42"/>
  <c r="AI127" i="42"/>
  <c r="AL127" i="42"/>
  <c r="AO127" i="42"/>
  <c r="AR127" i="42"/>
  <c r="O114" i="42"/>
  <c r="O115" i="42"/>
  <c r="N116" i="42"/>
  <c r="N115" i="42"/>
  <c r="N114" i="42"/>
  <c r="AB151" i="42" l="1"/>
  <c r="AB156" i="42"/>
  <c r="B101" i="42"/>
  <c r="A101" i="42"/>
  <c r="A80" i="42"/>
  <c r="B80" i="42"/>
  <c r="B77" i="42"/>
  <c r="A77" i="42"/>
  <c r="B74" i="42"/>
  <c r="A74" i="42"/>
  <c r="B70" i="42"/>
  <c r="B130" i="42" s="1"/>
  <c r="A70" i="42"/>
  <c r="A130" i="42" s="1"/>
  <c r="B49" i="42"/>
  <c r="A49" i="42"/>
  <c r="B43" i="42"/>
  <c r="A43" i="42"/>
  <c r="H39" i="21" l="1"/>
  <c r="E323" i="32" s="1"/>
  <c r="I24" i="27"/>
  <c r="E259" i="32" s="1"/>
  <c r="B26" i="14" s="1"/>
  <c r="H24" i="21"/>
  <c r="G256" i="32" s="1"/>
  <c r="F23" i="21"/>
  <c r="E256" i="32" s="1"/>
  <c r="B24" i="14" s="1"/>
  <c r="D287" i="32"/>
  <c r="D276" i="32"/>
  <c r="G35" i="14" s="1"/>
  <c r="I14" i="23"/>
  <c r="H52" i="23" s="1"/>
  <c r="I50" i="23" s="1"/>
  <c r="L29" i="23"/>
  <c r="F256" i="32"/>
  <c r="O29" i="23"/>
  <c r="F11" i="15"/>
  <c r="F10" i="15"/>
  <c r="F9" i="15"/>
  <c r="F8" i="15"/>
  <c r="E116" i="42"/>
  <c r="C259" i="32"/>
  <c r="C257" i="32"/>
  <c r="C256" i="32"/>
  <c r="C254" i="32"/>
  <c r="C252" i="32"/>
  <c r="C249" i="32"/>
  <c r="C247" i="32"/>
  <c r="X29" i="23"/>
  <c r="U29" i="23"/>
  <c r="R29" i="23"/>
  <c r="I29" i="23"/>
  <c r="D16" i="29"/>
  <c r="C114" i="42"/>
  <c r="V133" i="42"/>
  <c r="M115" i="42"/>
  <c r="M114" i="42"/>
  <c r="J111" i="42"/>
  <c r="J112" i="42" s="1"/>
  <c r="I111" i="42"/>
  <c r="G111" i="42"/>
  <c r="F111" i="42"/>
  <c r="Z15" i="16"/>
  <c r="V140" i="42"/>
  <c r="S140" i="42"/>
  <c r="N140" i="42"/>
  <c r="W35" i="42"/>
  <c r="T35" i="42"/>
  <c r="Q35" i="42"/>
  <c r="N35" i="42"/>
  <c r="K35" i="42"/>
  <c r="E114" i="42"/>
  <c r="G10" i="42"/>
  <c r="F10" i="42"/>
  <c r="E10" i="42"/>
  <c r="D10" i="42"/>
  <c r="F14" i="23"/>
  <c r="H14" i="23"/>
  <c r="G14" i="23"/>
  <c r="E14" i="23"/>
  <c r="D14" i="23"/>
  <c r="J10" i="16"/>
  <c r="I10" i="16"/>
  <c r="H10" i="16"/>
  <c r="G10" i="16"/>
  <c r="F10" i="16"/>
  <c r="E10" i="16"/>
  <c r="D10" i="16"/>
  <c r="B10" i="16"/>
  <c r="S39" i="20"/>
  <c r="D19" i="30"/>
  <c r="H41" i="30" s="1"/>
  <c r="D18" i="30"/>
  <c r="G36" i="30" s="1"/>
  <c r="H36" i="30" s="1"/>
  <c r="I36" i="30" s="1"/>
  <c r="D17" i="30"/>
  <c r="D18" i="29"/>
  <c r="G35" i="29" s="1"/>
  <c r="D17" i="29"/>
  <c r="D12" i="29"/>
  <c r="S42" i="20"/>
  <c r="F24" i="27"/>
  <c r="G24" i="27" s="1"/>
  <c r="S37" i="20"/>
  <c r="S43" i="20"/>
  <c r="S38" i="20"/>
  <c r="S40" i="20"/>
  <c r="S41" i="20"/>
  <c r="R40" i="42" l="1"/>
  <c r="U155" i="42"/>
  <c r="U145" i="42"/>
  <c r="U152" i="42"/>
  <c r="U162" i="42"/>
  <c r="U150" i="42"/>
  <c r="U160" i="42"/>
  <c r="U157" i="42"/>
  <c r="U147" i="42"/>
  <c r="U40" i="42"/>
  <c r="X162" i="42"/>
  <c r="X150" i="42"/>
  <c r="X157" i="42"/>
  <c r="X160" i="42"/>
  <c r="X147" i="42"/>
  <c r="X155" i="42"/>
  <c r="X145" i="42"/>
  <c r="X152" i="42"/>
  <c r="O150" i="42"/>
  <c r="O160" i="42"/>
  <c r="O152" i="42"/>
  <c r="O162" i="42"/>
  <c r="O145" i="42"/>
  <c r="O155" i="42"/>
  <c r="O157" i="42"/>
  <c r="O147" i="42"/>
  <c r="X40" i="42"/>
  <c r="AA145" i="42"/>
  <c r="AA152" i="42"/>
  <c r="AA162" i="42"/>
  <c r="AA150" i="42"/>
  <c r="AA160" i="42"/>
  <c r="AA147" i="42"/>
  <c r="AA155" i="42"/>
  <c r="AA157" i="42"/>
  <c r="O40" i="42"/>
  <c r="R157" i="42"/>
  <c r="R147" i="42"/>
  <c r="R150" i="42"/>
  <c r="R160" i="42"/>
  <c r="R152" i="42"/>
  <c r="R162" i="42"/>
  <c r="R155" i="42"/>
  <c r="R145" i="42"/>
  <c r="L40" i="42"/>
  <c r="M192" i="42"/>
  <c r="G36" i="14"/>
  <c r="P36" i="14" s="1"/>
  <c r="H27" i="29"/>
  <c r="I27" i="29" s="1"/>
  <c r="J27" i="29" s="1"/>
  <c r="AN130" i="42"/>
  <c r="AO130" i="42" s="1"/>
  <c r="AN132" i="42"/>
  <c r="AQ132" i="42"/>
  <c r="AN133" i="42"/>
  <c r="AK132" i="42"/>
  <c r="AH133" i="42"/>
  <c r="AQ130" i="42"/>
  <c r="AK130" i="42"/>
  <c r="AH132" i="42"/>
  <c r="AE130" i="42"/>
  <c r="AQ133" i="42"/>
  <c r="AK133" i="42"/>
  <c r="AH130" i="42"/>
  <c r="AE132" i="42"/>
  <c r="AE133" i="42"/>
  <c r="AQ131" i="42"/>
  <c r="AK131" i="42"/>
  <c r="AH131" i="42"/>
  <c r="AE131" i="42"/>
  <c r="AN131" i="42"/>
  <c r="I39" i="23"/>
  <c r="J39" i="23" s="1"/>
  <c r="K39" i="23" s="1"/>
  <c r="I34" i="23"/>
  <c r="J34" i="23" s="1"/>
  <c r="K34" i="23" s="1"/>
  <c r="I33" i="23"/>
  <c r="J33" i="23" s="1"/>
  <c r="K33" i="23" s="1"/>
  <c r="I35" i="23"/>
  <c r="J35" i="23" s="1"/>
  <c r="K35" i="23" s="1"/>
  <c r="I38" i="23"/>
  <c r="J38" i="23" s="1"/>
  <c r="K38" i="23" s="1"/>
  <c r="I37" i="23"/>
  <c r="J37" i="23" s="1"/>
  <c r="K37" i="23" s="1"/>
  <c r="R38" i="23"/>
  <c r="S38" i="23" s="1"/>
  <c r="T38" i="23" s="1"/>
  <c r="R34" i="23"/>
  <c r="S34" i="23" s="1"/>
  <c r="T34" i="23" s="1"/>
  <c r="R33" i="23"/>
  <c r="S33" i="23" s="1"/>
  <c r="T33" i="23" s="1"/>
  <c r="R37" i="23"/>
  <c r="R35" i="23"/>
  <c r="S35" i="23" s="1"/>
  <c r="T35" i="23" s="1"/>
  <c r="R39" i="23"/>
  <c r="S39" i="23" s="1"/>
  <c r="T39" i="23" s="1"/>
  <c r="P37" i="23"/>
  <c r="Q37" i="23" s="1"/>
  <c r="O35" i="23"/>
  <c r="P35" i="23" s="1"/>
  <c r="Q35" i="23" s="1"/>
  <c r="O38" i="23"/>
  <c r="P38" i="23" s="1"/>
  <c r="Q38" i="23" s="1"/>
  <c r="O34" i="23"/>
  <c r="P34" i="23" s="1"/>
  <c r="Q34" i="23" s="1"/>
  <c r="O39" i="23"/>
  <c r="P39" i="23" s="1"/>
  <c r="Q39" i="23" s="1"/>
  <c r="O33" i="23"/>
  <c r="U39" i="23"/>
  <c r="V39" i="23" s="1"/>
  <c r="W39" i="23" s="1"/>
  <c r="U33" i="23"/>
  <c r="V33" i="23" s="1"/>
  <c r="W33" i="23" s="1"/>
  <c r="U37" i="23"/>
  <c r="U38" i="23"/>
  <c r="V38" i="23" s="1"/>
  <c r="W38" i="23" s="1"/>
  <c r="U35" i="23"/>
  <c r="V35" i="23" s="1"/>
  <c r="W35" i="23" s="1"/>
  <c r="U34" i="23"/>
  <c r="V34" i="23" s="1"/>
  <c r="W34" i="23" s="1"/>
  <c r="L34" i="23"/>
  <c r="M34" i="23" s="1"/>
  <c r="N34" i="23" s="1"/>
  <c r="L38" i="23"/>
  <c r="M38" i="23" s="1"/>
  <c r="N38" i="23" s="1"/>
  <c r="L39" i="23"/>
  <c r="M39" i="23" s="1"/>
  <c r="N39" i="23" s="1"/>
  <c r="L33" i="23"/>
  <c r="M33" i="23" s="1"/>
  <c r="N33" i="23" s="1"/>
  <c r="L37" i="23"/>
  <c r="M37" i="23" s="1"/>
  <c r="N37" i="23" s="1"/>
  <c r="L35" i="23"/>
  <c r="M35" i="23" s="1"/>
  <c r="N35" i="23" s="1"/>
  <c r="X34" i="23"/>
  <c r="X35" i="23"/>
  <c r="Y35" i="23" s="1"/>
  <c r="Z35" i="23" s="1"/>
  <c r="X33" i="23"/>
  <c r="Y33" i="23" s="1"/>
  <c r="Z33" i="23" s="1"/>
  <c r="O89" i="42"/>
  <c r="O101" i="42"/>
  <c r="O52" i="42"/>
  <c r="O92" i="42"/>
  <c r="O67" i="42"/>
  <c r="O98" i="42"/>
  <c r="O80" i="42"/>
  <c r="O46" i="42"/>
  <c r="O49" i="42"/>
  <c r="O77" i="42"/>
  <c r="O61" i="42"/>
  <c r="O58" i="42"/>
  <c r="O83" i="42"/>
  <c r="O95" i="42"/>
  <c r="O70" i="42"/>
  <c r="O86" i="42"/>
  <c r="O74" i="42"/>
  <c r="O64" i="42"/>
  <c r="O43" i="42"/>
  <c r="O55" i="42"/>
  <c r="R43" i="42"/>
  <c r="R46" i="42"/>
  <c r="R98" i="42"/>
  <c r="R89" i="42"/>
  <c r="R58" i="42"/>
  <c r="R77" i="42"/>
  <c r="R101" i="42"/>
  <c r="R67" i="42"/>
  <c r="R70" i="42"/>
  <c r="R61" i="42"/>
  <c r="R55" i="42"/>
  <c r="R83" i="42"/>
  <c r="R92" i="42"/>
  <c r="R95" i="42"/>
  <c r="R64" i="42"/>
  <c r="R49" i="42"/>
  <c r="R52" i="42"/>
  <c r="R80" i="42"/>
  <c r="R74" i="42"/>
  <c r="R86" i="42"/>
  <c r="U70" i="42"/>
  <c r="U43" i="42"/>
  <c r="U64" i="42"/>
  <c r="U98" i="42"/>
  <c r="U74" i="42"/>
  <c r="U95" i="42"/>
  <c r="U46" i="42"/>
  <c r="U83" i="42"/>
  <c r="U101" i="42"/>
  <c r="U86" i="42"/>
  <c r="U58" i="42"/>
  <c r="U67" i="42"/>
  <c r="U77" i="42"/>
  <c r="U49" i="42"/>
  <c r="U55" i="42"/>
  <c r="U61" i="42"/>
  <c r="U80" i="42"/>
  <c r="U52" i="42"/>
  <c r="U89" i="42"/>
  <c r="U92" i="42"/>
  <c r="L101" i="42"/>
  <c r="L80" i="42"/>
  <c r="L52" i="42"/>
  <c r="L67" i="42"/>
  <c r="L49" i="42"/>
  <c r="L95" i="42"/>
  <c r="L89" i="42"/>
  <c r="L43" i="42"/>
  <c r="L46" i="42"/>
  <c r="L61" i="42"/>
  <c r="L77" i="42"/>
  <c r="L92" i="42"/>
  <c r="L64" i="42"/>
  <c r="L58" i="42"/>
  <c r="L74" i="42"/>
  <c r="L70" i="42"/>
  <c r="L86" i="42"/>
  <c r="L55" i="42"/>
  <c r="L83" i="42"/>
  <c r="L98" i="42"/>
  <c r="X55" i="42"/>
  <c r="X46" i="42"/>
  <c r="X61" i="42"/>
  <c r="X49" i="42"/>
  <c r="X86" i="42"/>
  <c r="X70" i="42"/>
  <c r="X101" i="42"/>
  <c r="X92" i="42"/>
  <c r="X52" i="42"/>
  <c r="X80" i="42"/>
  <c r="X95" i="42"/>
  <c r="X64" i="42"/>
  <c r="X77" i="42"/>
  <c r="X58" i="42"/>
  <c r="X98" i="42"/>
  <c r="X89" i="42"/>
  <c r="X74" i="42"/>
  <c r="X83" i="42"/>
  <c r="X43" i="42"/>
  <c r="X67" i="42"/>
  <c r="I41" i="30"/>
  <c r="D320" i="32" s="1"/>
  <c r="G43" i="14" s="1"/>
  <c r="V37" i="23"/>
  <c r="W37" i="23" s="1"/>
  <c r="X38" i="23"/>
  <c r="Y38" i="23" s="1"/>
  <c r="Z38" i="23" s="1"/>
  <c r="Y34" i="23"/>
  <c r="Z34" i="23" s="1"/>
  <c r="X39" i="23"/>
  <c r="Y39" i="23" s="1"/>
  <c r="Z39" i="23" s="1"/>
  <c r="Y37" i="23"/>
  <c r="Z37" i="23" s="1"/>
  <c r="S37" i="23"/>
  <c r="T37" i="23" s="1"/>
  <c r="H28" i="30"/>
  <c r="I28" i="30" s="1"/>
  <c r="D319" i="32"/>
  <c r="G42" i="14" s="1"/>
  <c r="J8" i="14"/>
  <c r="P35" i="14"/>
  <c r="F24" i="14"/>
  <c r="F26" i="14"/>
  <c r="D259" i="32"/>
  <c r="D257" i="32"/>
  <c r="F25" i="21"/>
  <c r="E257" i="32" s="1"/>
  <c r="B25" i="14" s="1"/>
  <c r="H34" i="21"/>
  <c r="E322" i="32" s="1"/>
  <c r="D256" i="32"/>
  <c r="G41" i="29"/>
  <c r="H41" i="29" s="1"/>
  <c r="G40" i="29"/>
  <c r="H40" i="29" s="1"/>
  <c r="H35" i="29"/>
  <c r="I35" i="29" s="1"/>
  <c r="G179" i="42"/>
  <c r="E276" i="32" s="1"/>
  <c r="J25" i="15"/>
  <c r="K25" i="15" s="1"/>
  <c r="L25" i="15" s="1"/>
  <c r="P33" i="23"/>
  <c r="Q33" i="23" s="1"/>
  <c r="H42" i="30"/>
  <c r="L37" i="15"/>
  <c r="J26" i="15"/>
  <c r="K26" i="15" s="1"/>
  <c r="G185" i="42"/>
  <c r="E287" i="32" s="1"/>
  <c r="F113" i="42"/>
  <c r="F112" i="42"/>
  <c r="H112" i="42"/>
  <c r="J115" i="42"/>
  <c r="F115" i="42"/>
  <c r="G112" i="42"/>
  <c r="G115" i="42"/>
  <c r="G113" i="42"/>
  <c r="J172" i="42"/>
  <c r="D265" i="32" s="1"/>
  <c r="J41" i="30"/>
  <c r="E320" i="32" s="1"/>
  <c r="H115" i="42"/>
  <c r="H113" i="42"/>
  <c r="I112" i="42"/>
  <c r="I113" i="42"/>
  <c r="I115" i="42"/>
  <c r="J113" i="42"/>
  <c r="G32" i="27"/>
  <c r="L36" i="15"/>
  <c r="M36" i="15" l="1"/>
  <c r="D316" i="32" s="1"/>
  <c r="G40" i="14" s="1"/>
  <c r="K40" i="14" s="1"/>
  <c r="Y40" i="42"/>
  <c r="Z40" i="42" s="1"/>
  <c r="AB162" i="42"/>
  <c r="AB152" i="42"/>
  <c r="AB155" i="42"/>
  <c r="AB160" i="42"/>
  <c r="AB147" i="42"/>
  <c r="AB157" i="42"/>
  <c r="AB145" i="42"/>
  <c r="AB150" i="42"/>
  <c r="N25" i="15"/>
  <c r="M25" i="15"/>
  <c r="G34" i="14"/>
  <c r="I34" i="14" s="1"/>
  <c r="I47" i="14" s="1"/>
  <c r="P47" i="14"/>
  <c r="AP130" i="42"/>
  <c r="AA40" i="42"/>
  <c r="D13" i="32" s="1"/>
  <c r="E13" i="32" s="1"/>
  <c r="I40" i="29"/>
  <c r="D317" i="32" s="1"/>
  <c r="G41" i="14" s="1"/>
  <c r="J28" i="30"/>
  <c r="D254" i="32" s="1"/>
  <c r="K27" i="29"/>
  <c r="E252" i="32" s="1"/>
  <c r="B22" i="14" s="1"/>
  <c r="K41" i="29"/>
  <c r="F317" i="32" s="1"/>
  <c r="K42" i="30"/>
  <c r="F320" i="32" s="1"/>
  <c r="AA39" i="23"/>
  <c r="AA37" i="23"/>
  <c r="AA38" i="23"/>
  <c r="J36" i="30"/>
  <c r="E319" i="32" s="1"/>
  <c r="T25" i="14"/>
  <c r="R25" i="14"/>
  <c r="K51" i="42"/>
  <c r="L51" i="42" s="1"/>
  <c r="J35" i="29"/>
  <c r="E316" i="32" s="1"/>
  <c r="Q63" i="42"/>
  <c r="R63" i="42" s="1"/>
  <c r="Q97" i="42"/>
  <c r="R97" i="42" s="1"/>
  <c r="Q85" i="42"/>
  <c r="R85" i="42" s="1"/>
  <c r="Q94" i="42"/>
  <c r="R94" i="42" s="1"/>
  <c r="Q91" i="42"/>
  <c r="R91" i="42" s="1"/>
  <c r="Q88" i="42"/>
  <c r="R88" i="42" s="1"/>
  <c r="Q82" i="42"/>
  <c r="R82" i="42" s="1"/>
  <c r="W63" i="42"/>
  <c r="X63" i="42" s="1"/>
  <c r="W91" i="42"/>
  <c r="X91" i="42" s="1"/>
  <c r="W88" i="42"/>
  <c r="X88" i="42" s="1"/>
  <c r="W97" i="42"/>
  <c r="X97" i="42" s="1"/>
  <c r="W94" i="42"/>
  <c r="X94" i="42" s="1"/>
  <c r="W85" i="42"/>
  <c r="X85" i="42" s="1"/>
  <c r="W82" i="42"/>
  <c r="X82" i="42" s="1"/>
  <c r="T88" i="42"/>
  <c r="U88" i="42" s="1"/>
  <c r="T97" i="42"/>
  <c r="U97" i="42" s="1"/>
  <c r="T91" i="42"/>
  <c r="U91" i="42" s="1"/>
  <c r="T85" i="42"/>
  <c r="U85" i="42" s="1"/>
  <c r="T82" i="42"/>
  <c r="U82" i="42" s="1"/>
  <c r="T94" i="42"/>
  <c r="U94" i="42" s="1"/>
  <c r="K91" i="42"/>
  <c r="L91" i="42" s="1"/>
  <c r="K88" i="42"/>
  <c r="L88" i="42" s="1"/>
  <c r="K94" i="42"/>
  <c r="L94" i="42" s="1"/>
  <c r="K82" i="42"/>
  <c r="L82" i="42" s="1"/>
  <c r="K97" i="42"/>
  <c r="L97" i="42" s="1"/>
  <c r="K85" i="42"/>
  <c r="L85" i="42" s="1"/>
  <c r="N63" i="42"/>
  <c r="O63" i="42" s="1"/>
  <c r="N94" i="42"/>
  <c r="O94" i="42" s="1"/>
  <c r="N82" i="42"/>
  <c r="O82" i="42" s="1"/>
  <c r="N91" i="42"/>
  <c r="O91" i="42" s="1"/>
  <c r="N85" i="42"/>
  <c r="O85" i="42" s="1"/>
  <c r="N97" i="42"/>
  <c r="O97" i="42" s="1"/>
  <c r="N88" i="42"/>
  <c r="O88" i="42" s="1"/>
  <c r="K63" i="42"/>
  <c r="L63" i="42" s="1"/>
  <c r="T63" i="42"/>
  <c r="U63" i="42" s="1"/>
  <c r="Q60" i="42"/>
  <c r="R60" i="42" s="1"/>
  <c r="W60" i="42"/>
  <c r="X60" i="42" s="1"/>
  <c r="N60" i="42"/>
  <c r="O60" i="42" s="1"/>
  <c r="T60" i="42"/>
  <c r="U60" i="42" s="1"/>
  <c r="K60" i="42"/>
  <c r="L60" i="42" s="1"/>
  <c r="Q66" i="42"/>
  <c r="R66" i="42" s="1"/>
  <c r="Q57" i="42"/>
  <c r="R57" i="42" s="1"/>
  <c r="W66" i="42"/>
  <c r="X66" i="42" s="1"/>
  <c r="W57" i="42"/>
  <c r="X57" i="42" s="1"/>
  <c r="T57" i="42"/>
  <c r="U57" i="42" s="1"/>
  <c r="K57" i="42"/>
  <c r="L57" i="42" s="1"/>
  <c r="N66" i="42"/>
  <c r="O66" i="42" s="1"/>
  <c r="N57" i="42"/>
  <c r="O57" i="42" s="1"/>
  <c r="T66" i="42"/>
  <c r="U66" i="42" s="1"/>
  <c r="K66" i="42"/>
  <c r="L66" i="42" s="1"/>
  <c r="T54" i="42"/>
  <c r="U54" i="42" s="1"/>
  <c r="N51" i="42"/>
  <c r="O51" i="42" s="1"/>
  <c r="N54" i="42"/>
  <c r="O54" i="42" s="1"/>
  <c r="W51" i="42"/>
  <c r="X51" i="42" s="1"/>
  <c r="W54" i="42"/>
  <c r="X54" i="42" s="1"/>
  <c r="K54" i="42"/>
  <c r="L54" i="42" s="1"/>
  <c r="Q51" i="42"/>
  <c r="R51" i="42" s="1"/>
  <c r="Q54" i="42"/>
  <c r="R54" i="42" s="1"/>
  <c r="AR132" i="42"/>
  <c r="AS132" i="42" s="1"/>
  <c r="T51" i="42"/>
  <c r="U51" i="42" s="1"/>
  <c r="AO132" i="42"/>
  <c r="AP132" i="42" s="1"/>
  <c r="AL132" i="42"/>
  <c r="AM132" i="42" s="1"/>
  <c r="AI132" i="42"/>
  <c r="AJ132" i="42" s="1"/>
  <c r="AF132" i="42"/>
  <c r="AG132" i="42" s="1"/>
  <c r="E247" i="32"/>
  <c r="AF133" i="42"/>
  <c r="AG133" i="42" s="1"/>
  <c r="AI133" i="42"/>
  <c r="AJ133" i="42" s="1"/>
  <c r="AF131" i="42"/>
  <c r="AG131" i="42" s="1"/>
  <c r="K100" i="42"/>
  <c r="L100" i="42" s="1"/>
  <c r="K69" i="42"/>
  <c r="L69" i="42" s="1"/>
  <c r="Q73" i="42"/>
  <c r="R73" i="42" s="1"/>
  <c r="Q100" i="42"/>
  <c r="R100" i="42" s="1"/>
  <c r="Q69" i="42"/>
  <c r="R69" i="42" s="1"/>
  <c r="Q79" i="42"/>
  <c r="R79" i="42" s="1"/>
  <c r="Q48" i="42"/>
  <c r="R48" i="42" s="1"/>
  <c r="Q76" i="42"/>
  <c r="R76" i="42" s="1"/>
  <c r="Q42" i="42"/>
  <c r="R42" i="42" s="1"/>
  <c r="W73" i="42"/>
  <c r="X73" i="42" s="1"/>
  <c r="W42" i="42"/>
  <c r="X42" i="42" s="1"/>
  <c r="W100" i="42"/>
  <c r="X100" i="42" s="1"/>
  <c r="W69" i="42"/>
  <c r="X69" i="42" s="1"/>
  <c r="W79" i="42"/>
  <c r="X79" i="42" s="1"/>
  <c r="W48" i="42"/>
  <c r="X48" i="42" s="1"/>
  <c r="W76" i="42"/>
  <c r="X76" i="42" s="1"/>
  <c r="T79" i="42"/>
  <c r="U79" i="42" s="1"/>
  <c r="T73" i="42"/>
  <c r="U73" i="42" s="1"/>
  <c r="T48" i="42"/>
  <c r="U48" i="42" s="1"/>
  <c r="T42" i="42"/>
  <c r="U42" i="42" s="1"/>
  <c r="T100" i="42"/>
  <c r="U100" i="42" s="1"/>
  <c r="T76" i="42"/>
  <c r="U76" i="42" s="1"/>
  <c r="T69" i="42"/>
  <c r="U69" i="42" s="1"/>
  <c r="K79" i="42"/>
  <c r="L79" i="42" s="1"/>
  <c r="K73" i="42"/>
  <c r="L73" i="42" s="1"/>
  <c r="K48" i="42"/>
  <c r="L48" i="42" s="1"/>
  <c r="K42" i="42"/>
  <c r="L42" i="42" s="1"/>
  <c r="N73" i="42"/>
  <c r="O73" i="42" s="1"/>
  <c r="N42" i="42"/>
  <c r="O42" i="42" s="1"/>
  <c r="N100" i="42"/>
  <c r="O100" i="42" s="1"/>
  <c r="N69" i="42"/>
  <c r="O69" i="42" s="1"/>
  <c r="N79" i="42"/>
  <c r="O79" i="42" s="1"/>
  <c r="N48" i="42"/>
  <c r="O48" i="42" s="1"/>
  <c r="N76" i="42"/>
  <c r="O76" i="42" s="1"/>
  <c r="K76" i="42"/>
  <c r="L76" i="42" s="1"/>
  <c r="AI131" i="42"/>
  <c r="AJ131" i="42" s="1"/>
  <c r="AR131" i="42"/>
  <c r="AS131" i="42" s="1"/>
  <c r="AO131" i="42"/>
  <c r="AP131" i="42" s="1"/>
  <c r="AL131" i="42"/>
  <c r="AM131" i="42" s="1"/>
  <c r="K172" i="42"/>
  <c r="E265" i="32" s="1"/>
  <c r="AT135" i="42"/>
  <c r="AT134" i="42"/>
  <c r="L41" i="29"/>
  <c r="G317" i="32" s="1"/>
  <c r="D252" i="32"/>
  <c r="AL130" i="42"/>
  <c r="AM130" i="42" s="1"/>
  <c r="J40" i="29"/>
  <c r="E317" i="32" s="1"/>
  <c r="AR133" i="42"/>
  <c r="AS133" i="42" s="1"/>
  <c r="AF130" i="42"/>
  <c r="AG130" i="42" s="1"/>
  <c r="AO133" i="42"/>
  <c r="AP133" i="42" s="1"/>
  <c r="AR130" i="42"/>
  <c r="AS130" i="42" s="1"/>
  <c r="AL133" i="42"/>
  <c r="AM133" i="42" s="1"/>
  <c r="AI130" i="42"/>
  <c r="AJ130" i="42" s="1"/>
  <c r="N191" i="42"/>
  <c r="O191" i="42" s="1"/>
  <c r="N36" i="15" l="1"/>
  <c r="L40" i="14"/>
  <c r="AC150" i="42"/>
  <c r="AD150" i="42" s="1"/>
  <c r="K34" i="14"/>
  <c r="AC145" i="42"/>
  <c r="AD145" i="42" s="1"/>
  <c r="AC160" i="42"/>
  <c r="AD160" i="42" s="1"/>
  <c r="AC155" i="42"/>
  <c r="AD155" i="42" s="1"/>
  <c r="M34" i="14"/>
  <c r="M47" i="14" s="1"/>
  <c r="L34" i="14"/>
  <c r="AB38" i="23"/>
  <c r="AD38" i="23" s="1"/>
  <c r="D250" i="32" s="1"/>
  <c r="K28" i="30"/>
  <c r="E254" i="32" s="1"/>
  <c r="B23" i="14" s="1"/>
  <c r="F23" i="14" s="1"/>
  <c r="Y42" i="42"/>
  <c r="J50" i="23"/>
  <c r="E314" i="32" s="1"/>
  <c r="L42" i="30"/>
  <c r="G320" i="32" s="1"/>
  <c r="L41" i="14"/>
  <c r="Q41" i="14"/>
  <c r="Q47" i="14" s="1"/>
  <c r="O41" i="14"/>
  <c r="O47" i="14" s="1"/>
  <c r="N41" i="14"/>
  <c r="N47" i="14" s="1"/>
  <c r="K41" i="14"/>
  <c r="L22" i="14"/>
  <c r="H22" i="14"/>
  <c r="T22" i="14"/>
  <c r="T29" i="14" s="1"/>
  <c r="F22" i="14"/>
  <c r="R22" i="14"/>
  <c r="R29" i="14" s="1"/>
  <c r="D20" i="14"/>
  <c r="D29" i="14" s="1"/>
  <c r="B20" i="14"/>
  <c r="Y97" i="42"/>
  <c r="Y91" i="42"/>
  <c r="Y83" i="42"/>
  <c r="Y95" i="42"/>
  <c r="Y94" i="42"/>
  <c r="Y86" i="42"/>
  <c r="Y89" i="42"/>
  <c r="Y82" i="42"/>
  <c r="Y98" i="42"/>
  <c r="Y67" i="42"/>
  <c r="Y61" i="42"/>
  <c r="Y64" i="42"/>
  <c r="Y85" i="42"/>
  <c r="Y88" i="42"/>
  <c r="Y92" i="42"/>
  <c r="Y63" i="42"/>
  <c r="Y60" i="42"/>
  <c r="Y58" i="42"/>
  <c r="Y66" i="42"/>
  <c r="Y57" i="42"/>
  <c r="Y52" i="42"/>
  <c r="Y54" i="42"/>
  <c r="Y55" i="42"/>
  <c r="Y51" i="42"/>
  <c r="AA35" i="23"/>
  <c r="AA33" i="23"/>
  <c r="AA34" i="23"/>
  <c r="Y101" i="42"/>
  <c r="Y100" i="42"/>
  <c r="Y79" i="42"/>
  <c r="Y76" i="42"/>
  <c r="Y77" i="42"/>
  <c r="Y80" i="42"/>
  <c r="Y73" i="42"/>
  <c r="Y69" i="42"/>
  <c r="Y74" i="42"/>
  <c r="Y70" i="42"/>
  <c r="D247" i="32"/>
  <c r="Y46" i="42"/>
  <c r="AT132" i="42"/>
  <c r="AT131" i="42"/>
  <c r="Y49" i="42"/>
  <c r="Y43" i="42"/>
  <c r="Y48" i="42"/>
  <c r="AT133" i="42"/>
  <c r="K47" i="14" l="1"/>
  <c r="Z49" i="42"/>
  <c r="Z58" i="42"/>
  <c r="AA58" i="42" s="1"/>
  <c r="D79" i="32" s="1"/>
  <c r="E85" i="32" s="1"/>
  <c r="Z83" i="42"/>
  <c r="Y71" i="42"/>
  <c r="Z70" i="42" s="1"/>
  <c r="L47" i="14"/>
  <c r="AU130" i="42"/>
  <c r="Z55" i="42"/>
  <c r="AA55" i="42" s="1"/>
  <c r="D68" i="32" s="1"/>
  <c r="E73" i="32" s="1"/>
  <c r="Z89" i="42"/>
  <c r="AA89" i="42" s="1"/>
  <c r="D189" i="32" s="1"/>
  <c r="E195" i="32" s="1"/>
  <c r="Z101" i="42"/>
  <c r="Z61" i="42"/>
  <c r="AA61" i="42" s="1"/>
  <c r="D90" i="32" s="1"/>
  <c r="E97" i="32" s="1"/>
  <c r="Z86" i="42"/>
  <c r="Z95" i="42"/>
  <c r="AA95" i="42" s="1"/>
  <c r="D211" i="32" s="1"/>
  <c r="E219" i="32" s="1"/>
  <c r="AB34" i="23"/>
  <c r="Z92" i="42"/>
  <c r="AA92" i="42" s="1"/>
  <c r="D200" i="32" s="1"/>
  <c r="E207" i="32" s="1"/>
  <c r="Z52" i="42"/>
  <c r="AA52" i="42" s="1"/>
  <c r="D57" i="32" s="1"/>
  <c r="E61" i="32" s="1"/>
  <c r="Z64" i="42"/>
  <c r="AA64" i="42" s="1"/>
  <c r="D101" i="32" s="1"/>
  <c r="E109" i="32" s="1"/>
  <c r="Z43" i="42"/>
  <c r="AA43" i="42" s="1"/>
  <c r="D24" i="32" s="1"/>
  <c r="E25" i="32" s="1"/>
  <c r="Z98" i="42"/>
  <c r="AA98" i="42" s="1"/>
  <c r="D222" i="32" s="1"/>
  <c r="E231" i="32" s="1"/>
  <c r="Z46" i="42"/>
  <c r="AA46" i="42" s="1"/>
  <c r="D35" i="32" s="1"/>
  <c r="E37" i="32" s="1"/>
  <c r="Z77" i="42"/>
  <c r="AA77" i="42" s="1"/>
  <c r="D145" i="32" s="1"/>
  <c r="E147" i="32" s="1"/>
  <c r="Z67" i="42"/>
  <c r="AA67" i="42" s="1"/>
  <c r="D112" i="32" s="1"/>
  <c r="E121" i="32" s="1"/>
  <c r="Z74" i="42"/>
  <c r="AA74" i="42" s="1"/>
  <c r="D134" i="32" s="1"/>
  <c r="E135" i="32" s="1"/>
  <c r="Z80" i="42"/>
  <c r="AA80" i="42" s="1"/>
  <c r="D156" i="32" s="1"/>
  <c r="E159" i="32" s="1"/>
  <c r="AA83" i="42"/>
  <c r="D167" i="32" s="1"/>
  <c r="E171" i="32" s="1"/>
  <c r="AD34" i="23"/>
  <c r="D314" i="32"/>
  <c r="G39" i="14" s="1"/>
  <c r="AA86" i="42"/>
  <c r="D178" i="32" s="1"/>
  <c r="E183" i="32" s="1"/>
  <c r="AA101" i="42"/>
  <c r="D233" i="32" s="1"/>
  <c r="D7" i="14"/>
  <c r="D9" i="14" s="1"/>
  <c r="K7" i="14"/>
  <c r="K9" i="14" s="1"/>
  <c r="L7" i="14"/>
  <c r="L9" i="14" s="1"/>
  <c r="AA49" i="42"/>
  <c r="D46" i="32" s="1"/>
  <c r="E49" i="32" s="1"/>
  <c r="AC38" i="23"/>
  <c r="E250" i="32" s="1"/>
  <c r="F20" i="14"/>
  <c r="B19" i="14" l="1"/>
  <c r="D249" i="32"/>
  <c r="AC34" i="23"/>
  <c r="E249" i="32" s="1"/>
  <c r="B21" i="14" s="1"/>
  <c r="F21" i="14" s="1"/>
  <c r="AA70" i="42"/>
  <c r="D354" i="32"/>
  <c r="E354" i="32" s="1"/>
  <c r="D365" i="32"/>
  <c r="E365" i="32" s="1"/>
  <c r="D332" i="32"/>
  <c r="E332" i="32" s="1"/>
  <c r="D343" i="32"/>
  <c r="E343" i="32" s="1"/>
  <c r="E233" i="32"/>
  <c r="D123" i="32" l="1"/>
  <c r="E123" i="32" s="1"/>
  <c r="C19" i="14" l="1"/>
  <c r="C29" i="14" s="1"/>
  <c r="C7" i="14" l="1"/>
  <c r="C9" i="14" s="1"/>
  <c r="P19" i="14"/>
  <c r="P29" i="14" s="1"/>
  <c r="N19" i="14"/>
  <c r="N29" i="14" s="1"/>
  <c r="J19" i="14"/>
  <c r="J29" i="14" s="1"/>
  <c r="H19" i="14"/>
  <c r="H29" i="14" s="1"/>
  <c r="L19" i="14"/>
  <c r="L29" i="14" s="1"/>
  <c r="F19" i="14"/>
  <c r="F29" i="14" s="1"/>
  <c r="I7" i="14" l="1"/>
  <c r="I9" i="14" s="1"/>
  <c r="J7" i="14"/>
  <c r="J9" i="14" s="1"/>
  <c r="E7" i="14"/>
  <c r="E9" i="14" s="1"/>
  <c r="H7" i="14"/>
  <c r="H9" i="14" s="1"/>
  <c r="F7" i="14"/>
  <c r="F9" i="14" s="1"/>
  <c r="G7" i="14"/>
  <c r="G9" i="14" s="1"/>
  <c r="E298" i="32" l="1"/>
  <c r="D298" i="32"/>
  <c r="G37" i="14" s="1"/>
</calcChain>
</file>

<file path=xl/comments1.xml><?xml version="1.0" encoding="utf-8"?>
<comments xmlns="http://schemas.openxmlformats.org/spreadsheetml/2006/main">
  <authors>
    <author>Marja</author>
  </authors>
  <commentList>
    <comment ref="E185" authorId="0" shapeId="0">
      <text>
        <r>
          <rPr>
            <b/>
            <sz val="9"/>
            <color indexed="81"/>
            <rFont val="Tahoma"/>
            <family val="2"/>
          </rPr>
          <t>NCS:</t>
        </r>
        <r>
          <rPr>
            <sz val="9"/>
            <color indexed="81"/>
            <rFont val="Tahoma"/>
            <family val="2"/>
          </rPr>
          <t xml:space="preserve">
voor alle linacs tezamen</t>
        </r>
      </text>
    </comment>
  </commentList>
</comments>
</file>

<file path=xl/comments2.xml><?xml version="1.0" encoding="utf-8"?>
<comments xmlns="http://schemas.openxmlformats.org/spreadsheetml/2006/main">
  <authors>
    <author>Marja</author>
  </authors>
  <commentList>
    <comment ref="E185" authorId="0" shapeId="0">
      <text>
        <r>
          <rPr>
            <b/>
            <sz val="9"/>
            <color indexed="81"/>
            <rFont val="Tahoma"/>
            <family val="2"/>
          </rPr>
          <t>NCS:</t>
        </r>
        <r>
          <rPr>
            <sz val="9"/>
            <color indexed="81"/>
            <rFont val="Tahoma"/>
            <family val="2"/>
          </rPr>
          <t xml:space="preserve">
voor alle linacs tezamen</t>
        </r>
      </text>
    </comment>
  </commentList>
</comments>
</file>

<file path=xl/comments3.xml><?xml version="1.0" encoding="utf-8"?>
<comments xmlns="http://schemas.openxmlformats.org/spreadsheetml/2006/main">
  <authors>
    <author>Marja</author>
  </authors>
  <commentList>
    <comment ref="E185" authorId="0" shapeId="0">
      <text>
        <r>
          <rPr>
            <b/>
            <sz val="9"/>
            <color indexed="81"/>
            <rFont val="Tahoma"/>
            <family val="2"/>
          </rPr>
          <t>NCS:</t>
        </r>
        <r>
          <rPr>
            <sz val="9"/>
            <color indexed="81"/>
            <rFont val="Tahoma"/>
            <family val="2"/>
          </rPr>
          <t xml:space="preserve">
voor alle linacs tezamen</t>
        </r>
      </text>
    </comment>
  </commentList>
</comments>
</file>

<file path=xl/comments4.xml><?xml version="1.0" encoding="utf-8"?>
<comments xmlns="http://schemas.openxmlformats.org/spreadsheetml/2006/main">
  <authors>
    <author>Marja</author>
  </authors>
  <commentList>
    <comment ref="E185" authorId="0" shapeId="0">
      <text>
        <r>
          <rPr>
            <b/>
            <sz val="9"/>
            <color indexed="81"/>
            <rFont val="Tahoma"/>
            <family val="2"/>
          </rPr>
          <t>NCS:</t>
        </r>
        <r>
          <rPr>
            <sz val="9"/>
            <color indexed="81"/>
            <rFont val="Tahoma"/>
            <family val="2"/>
          </rPr>
          <t xml:space="preserve">
voor alle linacs tezamen</t>
        </r>
      </text>
    </comment>
  </commentList>
</comments>
</file>

<file path=xl/comments5.xml><?xml version="1.0" encoding="utf-8"?>
<comments xmlns="http://schemas.openxmlformats.org/spreadsheetml/2006/main">
  <authors>
    <author>Marja</author>
  </authors>
  <commentList>
    <comment ref="E185" authorId="0" shapeId="0">
      <text>
        <r>
          <rPr>
            <b/>
            <sz val="9"/>
            <color indexed="81"/>
            <rFont val="Tahoma"/>
            <family val="2"/>
          </rPr>
          <t>NCS:</t>
        </r>
        <r>
          <rPr>
            <sz val="9"/>
            <color indexed="81"/>
            <rFont val="Tahoma"/>
            <family val="2"/>
          </rPr>
          <t xml:space="preserve">
voor alle linacs tezamen</t>
        </r>
      </text>
    </comment>
  </commentList>
</comments>
</file>

<file path=xl/comments6.xml><?xml version="1.0" encoding="utf-8"?>
<comments xmlns="http://schemas.openxmlformats.org/spreadsheetml/2006/main">
  <authors>
    <author>Marja</author>
  </authors>
  <commentList>
    <comment ref="E185" authorId="0" shapeId="0">
      <text>
        <r>
          <rPr>
            <b/>
            <sz val="9"/>
            <color indexed="81"/>
            <rFont val="Tahoma"/>
            <family val="2"/>
          </rPr>
          <t>NCS:</t>
        </r>
        <r>
          <rPr>
            <sz val="9"/>
            <color indexed="81"/>
            <rFont val="Tahoma"/>
            <family val="2"/>
          </rPr>
          <t xml:space="preserve">
voor alle linacs tezamen</t>
        </r>
      </text>
    </comment>
  </commentList>
</comments>
</file>

<file path=xl/comments7.xml><?xml version="1.0" encoding="utf-8"?>
<comments xmlns="http://schemas.openxmlformats.org/spreadsheetml/2006/main">
  <authors>
    <author>Marja</author>
  </authors>
  <commentList>
    <comment ref="E185" authorId="0" shapeId="0">
      <text>
        <r>
          <rPr>
            <b/>
            <sz val="9"/>
            <color indexed="81"/>
            <rFont val="Tahoma"/>
            <family val="2"/>
          </rPr>
          <t>NCS:</t>
        </r>
        <r>
          <rPr>
            <sz val="9"/>
            <color indexed="81"/>
            <rFont val="Tahoma"/>
            <family val="2"/>
          </rPr>
          <t xml:space="preserve">
voor alle linacs tezamen</t>
        </r>
      </text>
    </comment>
  </commentList>
</comments>
</file>

<file path=xl/comments8.xml><?xml version="1.0" encoding="utf-8"?>
<comments xmlns="http://schemas.openxmlformats.org/spreadsheetml/2006/main">
  <authors>
    <author>Marja</author>
  </authors>
  <commentList>
    <comment ref="E185" authorId="0" shapeId="0">
      <text>
        <r>
          <rPr>
            <b/>
            <sz val="9"/>
            <color indexed="81"/>
            <rFont val="Tahoma"/>
            <family val="2"/>
          </rPr>
          <t>NCS:</t>
        </r>
        <r>
          <rPr>
            <sz val="9"/>
            <color indexed="81"/>
            <rFont val="Tahoma"/>
            <family val="2"/>
          </rPr>
          <t xml:space="preserve">
voor alle linacs tezamen</t>
        </r>
      </text>
    </comment>
  </commentList>
</comments>
</file>

<file path=xl/comments9.xml><?xml version="1.0" encoding="utf-8"?>
<comments xmlns="http://schemas.openxmlformats.org/spreadsheetml/2006/main">
  <authors>
    <author>H Harbers</author>
  </authors>
  <commentList>
    <comment ref="X12" authorId="0" shapeId="0">
      <text>
        <r>
          <rPr>
            <b/>
            <sz val="8"/>
            <color indexed="81"/>
            <rFont val="Tahoma"/>
            <family val="2"/>
          </rPr>
          <t xml:space="preserve">NCSs:
geldig voor grote  verzwakking (~TVTe)
</t>
        </r>
        <r>
          <rPr>
            <sz val="8"/>
            <color indexed="81"/>
            <rFont val="Tahoma"/>
            <family val="2"/>
          </rPr>
          <t xml:space="preserve">
gebasseerd op Varian data</t>
        </r>
      </text>
    </comment>
    <comment ref="Y13" authorId="0" shapeId="0">
      <text>
        <r>
          <rPr>
            <b/>
            <sz val="8"/>
            <color indexed="81"/>
            <rFont val="Tahoma"/>
            <family val="2"/>
          </rPr>
          <t>H Harbers:</t>
        </r>
        <r>
          <rPr>
            <sz val="8"/>
            <color indexed="81"/>
            <rFont val="Tahoma"/>
            <family val="2"/>
          </rPr>
          <t xml:space="preserve">
Varian geeft ook nog TVL lek voor lood en staal
</t>
        </r>
      </text>
    </comment>
    <comment ref="Q14" authorId="0" shapeId="0">
      <text>
        <r>
          <rPr>
            <b/>
            <sz val="9"/>
            <color indexed="81"/>
            <rFont val="Tahoma"/>
            <family val="2"/>
          </rPr>
          <t>H Harbers:</t>
        </r>
        <r>
          <rPr>
            <sz val="9"/>
            <color indexed="81"/>
            <rFont val="Tahoma"/>
            <family val="2"/>
          </rPr>
          <t xml:space="preserve">
heavily attentuated</t>
        </r>
      </text>
    </comment>
    <comment ref="R14" authorId="0" shapeId="0">
      <text>
        <r>
          <rPr>
            <b/>
            <sz val="9"/>
            <color indexed="81"/>
            <rFont val="Tahoma"/>
            <family val="2"/>
          </rPr>
          <t>H Harbers:</t>
        </r>
        <r>
          <rPr>
            <sz val="9"/>
            <color indexed="81"/>
            <rFont val="Tahoma"/>
            <family val="2"/>
          </rPr>
          <t xml:space="preserve">
high attenuation
</t>
        </r>
      </text>
    </comment>
    <comment ref="AL17" authorId="0" shapeId="0">
      <text>
        <r>
          <rPr>
            <b/>
            <sz val="8"/>
            <color indexed="81"/>
            <rFont val="Tahoma"/>
            <family val="2"/>
          </rPr>
          <t>H Harbers:</t>
        </r>
        <r>
          <rPr>
            <sz val="8"/>
            <color indexed="81"/>
            <rFont val="Tahoma"/>
            <family val="2"/>
          </rPr>
          <t xml:space="preserve">
uit NCRP 79</t>
        </r>
      </text>
    </comment>
    <comment ref="Q18" authorId="0" shapeId="0">
      <text>
        <r>
          <rPr>
            <b/>
            <sz val="8"/>
            <color indexed="81"/>
            <rFont val="Tahoma"/>
            <family val="2"/>
          </rPr>
          <t>H Harbers:</t>
        </r>
        <r>
          <rPr>
            <sz val="8"/>
            <color indexed="81"/>
            <rFont val="Tahoma"/>
            <family val="2"/>
          </rPr>
          <t xml:space="preserve">
tabel 3
</t>
        </r>
      </text>
    </comment>
    <comment ref="H26" authorId="0" shapeId="0">
      <text>
        <r>
          <rPr>
            <b/>
            <sz val="9"/>
            <color indexed="81"/>
            <rFont val="Tahoma"/>
            <family val="2"/>
          </rPr>
          <t>H Harbers:</t>
        </r>
        <r>
          <rPr>
            <sz val="9"/>
            <color indexed="81"/>
            <rFont val="Tahoma"/>
            <family val="2"/>
          </rPr>
          <t xml:space="preserve">
hoogste waarde van genomen van TVT1 en TVTe uit aangevulde tabel B.5b NCRP 151.
Voor scatterhoek 135gr de waarden van 120 gr genomen uit tabel B.5b. Voor 15MV en hoger de 90gr*0,875
</t>
        </r>
      </text>
    </comment>
    <comment ref="C55" authorId="0" shapeId="0">
      <text>
        <r>
          <rPr>
            <b/>
            <sz val="8"/>
            <color indexed="81"/>
            <rFont val="Tahoma"/>
            <family val="2"/>
          </rPr>
          <t>NCS:</t>
        </r>
        <r>
          <rPr>
            <sz val="8"/>
            <color indexed="81"/>
            <rFont val="Tahoma"/>
            <family val="2"/>
          </rPr>
          <t xml:space="preserve">
geinterpoleerd uit IAEA TVT's
</t>
        </r>
      </text>
    </comment>
  </commentList>
</comments>
</file>

<file path=xl/sharedStrings.xml><?xml version="1.0" encoding="utf-8"?>
<sst xmlns="http://schemas.openxmlformats.org/spreadsheetml/2006/main" count="5119" uniqueCount="655">
  <si>
    <t>lek</t>
  </si>
  <si>
    <t xml:space="preserve">beton </t>
  </si>
  <si>
    <t>beton</t>
  </si>
  <si>
    <t>staal</t>
  </si>
  <si>
    <t>afstand</t>
  </si>
  <si>
    <t>TVT</t>
  </si>
  <si>
    <t>transm</t>
  </si>
  <si>
    <t>Punt</t>
  </si>
  <si>
    <t>m</t>
  </si>
  <si>
    <t>afscherming</t>
  </si>
  <si>
    <t>ICRP 33</t>
  </si>
  <si>
    <t>totaal</t>
  </si>
  <si>
    <t>aard</t>
  </si>
  <si>
    <t>straling</t>
  </si>
  <si>
    <t>primair</t>
  </si>
  <si>
    <t>omschrijving</t>
  </si>
  <si>
    <t>dosistempo</t>
  </si>
  <si>
    <t>Dosistempo</t>
  </si>
  <si>
    <t>Type nuclide</t>
  </si>
  <si>
    <t>Ir-192</t>
  </si>
  <si>
    <t>primaire straling</t>
  </si>
  <si>
    <t>lek straling</t>
  </si>
  <si>
    <t>lood</t>
  </si>
  <si>
    <t>per bijdrage</t>
  </si>
  <si>
    <t>bron</t>
  </si>
  <si>
    <t>aard straling</t>
  </si>
  <si>
    <t>primair skyshine</t>
  </si>
  <si>
    <t>lek skyshine</t>
  </si>
  <si>
    <t>(graden)</t>
  </si>
  <si>
    <t>IAEA 47</t>
  </si>
  <si>
    <t>NCRP 49</t>
  </si>
  <si>
    <t>NCRP 151</t>
  </si>
  <si>
    <t>mSv/jaar</t>
  </si>
  <si>
    <t>neutronen</t>
  </si>
  <si>
    <t>TVT1</t>
  </si>
  <si>
    <t>TVTe</t>
  </si>
  <si>
    <t>parafine</t>
  </si>
  <si>
    <t>water</t>
  </si>
  <si>
    <t>verstrooide</t>
  </si>
  <si>
    <t>BPE</t>
  </si>
  <si>
    <t>primaire</t>
  </si>
  <si>
    <t>NCRP 51</t>
  </si>
  <si>
    <t>Philips</t>
  </si>
  <si>
    <t>CT</t>
  </si>
  <si>
    <t>kV</t>
  </si>
  <si>
    <t>α</t>
  </si>
  <si>
    <t>β</t>
  </si>
  <si>
    <t>γ</t>
  </si>
  <si>
    <t>kVp</t>
  </si>
  <si>
    <t>Thorax</t>
  </si>
  <si>
    <t>punt</t>
  </si>
  <si>
    <t>Versneller</t>
  </si>
  <si>
    <t>6847-2</t>
  </si>
  <si>
    <t>DIN</t>
  </si>
  <si>
    <t>verstrooide neutronen</t>
  </si>
  <si>
    <t>energie (MV)</t>
  </si>
  <si>
    <t>1,5/2,2</t>
  </si>
  <si>
    <t>Brachytherapie HDR</t>
  </si>
  <si>
    <t>Klinisch Fysicus</t>
  </si>
  <si>
    <t>Novalis</t>
  </si>
  <si>
    <t>Brainlab/</t>
  </si>
  <si>
    <t>bariet</t>
  </si>
  <si>
    <t>Een 'overzicht' van reflectiecoefficienten zoals te vinden in diverse publicaties.</t>
  </si>
  <si>
    <t>reflectiehoek (tov de normaal)</t>
  </si>
  <si>
    <t>fig 21: 45 graden inval, 45 graden reflectie</t>
  </si>
  <si>
    <t>op 50 cm</t>
  </si>
  <si>
    <t>op 1 m</t>
  </si>
  <si>
    <t>Toegepaste reflectiecoefficienten</t>
  </si>
  <si>
    <t>hoek van inval</t>
  </si>
  <si>
    <t>hoek van reflectie</t>
  </si>
  <si>
    <t>Hoofd</t>
  </si>
  <si>
    <t>verrichting</t>
  </si>
  <si>
    <t>mm</t>
  </si>
  <si>
    <t>fitparameters</t>
  </si>
  <si>
    <t>Omschrijving</t>
  </si>
  <si>
    <t>Secundaire straling op 1 m, per scan (mGy)</t>
  </si>
  <si>
    <t>materiaal</t>
  </si>
  <si>
    <t>afscherming (cm)</t>
  </si>
  <si>
    <t>(m)</t>
  </si>
  <si>
    <t>HVL</t>
  </si>
  <si>
    <t>fig 22: loodrechte inval op beton</t>
  </si>
  <si>
    <t>reflectiehoek</t>
  </si>
  <si>
    <t>Tabel b.8a: loodrechte inval op beton</t>
  </si>
  <si>
    <t>tabel 28</t>
  </si>
  <si>
    <t>I-125</t>
  </si>
  <si>
    <t>Dosis</t>
  </si>
  <si>
    <t xml:space="preserve">aantal </t>
  </si>
  <si>
    <t>per jaar</t>
  </si>
  <si>
    <t>I-125 implantatie</t>
  </si>
  <si>
    <t>door gebruiker in te vullen</t>
  </si>
  <si>
    <t>Brachytherapie PDR</t>
  </si>
  <si>
    <t>Orthovolt</t>
  </si>
  <si>
    <t>tabel 18 uit IAEA 47</t>
  </si>
  <si>
    <t>gamma-capture fotonen</t>
  </si>
  <si>
    <t>F-18-FDG</t>
  </si>
  <si>
    <t>1: uit DIN 6847-2</t>
  </si>
  <si>
    <t>PET-CT</t>
  </si>
  <si>
    <t>terreingrens 1</t>
  </si>
  <si>
    <t>terreingrens 2</t>
  </si>
  <si>
    <t>terreingrens 4</t>
  </si>
  <si>
    <t>terreingrens 3</t>
  </si>
  <si>
    <t>gemiddelde activiteit bron</t>
  </si>
  <si>
    <t>transmissie patient</t>
  </si>
  <si>
    <t>behandelruimte</t>
  </si>
  <si>
    <t>aantal implantaten per jaar</t>
  </si>
  <si>
    <t>gemiddelde aantal zaadjes per implantaat</t>
  </si>
  <si>
    <t>Versnellers</t>
  </si>
  <si>
    <t>Brachytherapie met Iridium 192</t>
  </si>
  <si>
    <t>tabel 4</t>
  </si>
  <si>
    <t>TVT's en HVL's voor Ir-192 (cm)</t>
  </si>
  <si>
    <t>tabel 3 uit ICRP 33</t>
  </si>
  <si>
    <t>tabel 27 uit NCRP 49</t>
  </si>
  <si>
    <r>
      <t>2: berekenen mbv dichtheid beton: TVT bariet = TVT beton * ρ</t>
    </r>
    <r>
      <rPr>
        <vertAlign val="subscript"/>
        <sz val="11"/>
        <color indexed="8"/>
        <rFont val="Arial"/>
        <family val="2"/>
      </rPr>
      <t>beton</t>
    </r>
    <r>
      <rPr>
        <sz val="11"/>
        <color indexed="8"/>
        <rFont val="Arial"/>
        <family val="2"/>
      </rPr>
      <t>/ρ</t>
    </r>
    <r>
      <rPr>
        <vertAlign val="subscript"/>
        <sz val="11"/>
        <color indexed="8"/>
        <rFont val="Arial"/>
        <family val="2"/>
      </rPr>
      <t>bariet</t>
    </r>
  </si>
  <si>
    <r>
      <t>beton 2,35 g.cm</t>
    </r>
    <r>
      <rPr>
        <vertAlign val="superscript"/>
        <sz val="11"/>
        <color indexed="8"/>
        <rFont val="Arial"/>
        <family val="2"/>
      </rPr>
      <t>-3</t>
    </r>
  </si>
  <si>
    <r>
      <t>bariet 3,4 g.cm</t>
    </r>
    <r>
      <rPr>
        <vertAlign val="superscript"/>
        <sz val="11"/>
        <color indexed="8"/>
        <rFont val="Arial"/>
        <family val="2"/>
      </rPr>
      <t>-3</t>
    </r>
  </si>
  <si>
    <r>
      <t>staal 7,8 g.cm</t>
    </r>
    <r>
      <rPr>
        <vertAlign val="superscript"/>
        <sz val="11"/>
        <color indexed="8"/>
        <rFont val="Arial"/>
        <family val="2"/>
      </rPr>
      <t>-3</t>
    </r>
  </si>
  <si>
    <r>
      <t>lood 11,3 g.cm</t>
    </r>
    <r>
      <rPr>
        <vertAlign val="superscript"/>
        <sz val="11"/>
        <color indexed="8"/>
        <rFont val="Arial"/>
        <family val="2"/>
      </rPr>
      <t>-3</t>
    </r>
  </si>
  <si>
    <r>
      <t>Alle coefficienten zijn per m</t>
    </r>
    <r>
      <rPr>
        <vertAlign val="superscript"/>
        <sz val="11"/>
        <color indexed="8"/>
        <rFont val="Arial"/>
        <family val="2"/>
      </rPr>
      <t>2</t>
    </r>
    <r>
      <rPr>
        <sz val="11"/>
        <color indexed="8"/>
        <rFont val="Arial"/>
        <family val="2"/>
      </rPr>
      <t xml:space="preserve"> op 1 m</t>
    </r>
  </si>
  <si>
    <r>
      <t>% per 100 cm</t>
    </r>
    <r>
      <rPr>
        <vertAlign val="superscript"/>
        <sz val="11"/>
        <color indexed="8"/>
        <rFont val="Arial"/>
        <family val="2"/>
      </rPr>
      <t>2</t>
    </r>
  </si>
  <si>
    <r>
      <t>per m</t>
    </r>
    <r>
      <rPr>
        <vertAlign val="superscript"/>
        <sz val="11"/>
        <color indexed="8"/>
        <rFont val="Arial"/>
        <family val="2"/>
      </rPr>
      <t>2</t>
    </r>
  </si>
  <si>
    <r>
      <t>lekstraling (D</t>
    </r>
    <r>
      <rPr>
        <vertAlign val="subscript"/>
        <sz val="11"/>
        <color indexed="8"/>
        <rFont val="Arial"/>
        <family val="2"/>
      </rPr>
      <t>lek</t>
    </r>
    <r>
      <rPr>
        <sz val="11"/>
        <color indexed="8"/>
        <rFont val="Arial"/>
        <family val="2"/>
      </rPr>
      <t>/D</t>
    </r>
    <r>
      <rPr>
        <vertAlign val="subscript"/>
        <sz val="11"/>
        <color indexed="8"/>
        <rFont val="Arial"/>
        <family val="2"/>
      </rPr>
      <t>primair</t>
    </r>
    <r>
      <rPr>
        <sz val="11"/>
        <color indexed="8"/>
        <rFont val="Arial"/>
        <family val="2"/>
      </rPr>
      <t>)</t>
    </r>
  </si>
  <si>
    <r>
      <t>lekstraling (D</t>
    </r>
    <r>
      <rPr>
        <vertAlign val="subscript"/>
        <sz val="11"/>
        <color indexed="8"/>
        <rFont val="Calibri"/>
        <family val="2"/>
      </rPr>
      <t>lek</t>
    </r>
    <r>
      <rPr>
        <sz val="11"/>
        <color theme="1"/>
        <rFont val="Calibri"/>
        <family val="2"/>
        <scheme val="minor"/>
      </rPr>
      <t>/D</t>
    </r>
    <r>
      <rPr>
        <vertAlign val="subscript"/>
        <sz val="11"/>
        <color indexed="8"/>
        <rFont val="Calibri"/>
        <family val="2"/>
      </rPr>
      <t>primair</t>
    </r>
    <r>
      <rPr>
        <sz val="11"/>
        <color theme="1"/>
        <rFont val="Calibri"/>
        <family val="2"/>
        <scheme val="minor"/>
      </rPr>
      <t>), F</t>
    </r>
    <r>
      <rPr>
        <vertAlign val="subscript"/>
        <sz val="11"/>
        <color indexed="8"/>
        <rFont val="Calibri"/>
        <family val="2"/>
      </rPr>
      <t>L</t>
    </r>
  </si>
  <si>
    <r>
      <t>fractie toegepast, F</t>
    </r>
    <r>
      <rPr>
        <vertAlign val="subscript"/>
        <sz val="11"/>
        <color indexed="8"/>
        <rFont val="Calibri"/>
        <family val="2"/>
      </rPr>
      <t>e</t>
    </r>
  </si>
  <si>
    <r>
      <t>fractie conventioneel, F</t>
    </r>
    <r>
      <rPr>
        <vertAlign val="subscript"/>
        <sz val="11"/>
        <color indexed="8"/>
        <rFont val="Calibri"/>
        <family val="2"/>
      </rPr>
      <t>c</t>
    </r>
  </si>
  <si>
    <r>
      <t>fractie IMRT, F</t>
    </r>
    <r>
      <rPr>
        <vertAlign val="subscript"/>
        <sz val="11"/>
        <color indexed="8"/>
        <rFont val="Calibri"/>
        <family val="2"/>
      </rPr>
      <t>I</t>
    </r>
  </si>
  <si>
    <r>
      <t>IMRT factor, C</t>
    </r>
    <r>
      <rPr>
        <vertAlign val="subscript"/>
        <sz val="11"/>
        <color indexed="8"/>
        <rFont val="Calibri"/>
        <family val="2"/>
      </rPr>
      <t>I</t>
    </r>
  </si>
  <si>
    <t>Gepubliceerde TVT</t>
  </si>
  <si>
    <t>Gepubliceerde reflectiecoefficienten</t>
  </si>
  <si>
    <t>Versie beheerder</t>
  </si>
  <si>
    <t>versie 1</t>
  </si>
  <si>
    <t>Datum</t>
  </si>
  <si>
    <t>Versie</t>
  </si>
  <si>
    <t>Comments</t>
  </si>
  <si>
    <t>Autors</t>
  </si>
  <si>
    <t>Status</t>
  </si>
  <si>
    <t>concept</t>
  </si>
  <si>
    <t>Radiofamacon</t>
  </si>
  <si>
    <t>tabel B.2</t>
  </si>
  <si>
    <t>tabel B.7</t>
  </si>
  <si>
    <t>lekstraling</t>
  </si>
  <si>
    <t>NCRP 151 (pg 46), IAEA 47 (pg 42)</t>
  </si>
  <si>
    <t>TVT (cm) voor neutronen</t>
  </si>
  <si>
    <t>DIN 6847/2</t>
  </si>
  <si>
    <t>labyrint &lt; 5 m</t>
  </si>
  <si>
    <t>labyrint &gt; 5 m</t>
  </si>
  <si>
    <t>deur labyrint</t>
  </si>
  <si>
    <t>Alle TVT's in cm</t>
  </si>
  <si>
    <t>TVT (cm) voor neutronen verstrooid in labyrint en gamma-capture fotonen</t>
  </si>
  <si>
    <t>McGinley, shielding techniques, tabel 4-5</t>
  </si>
  <si>
    <t>direkte neutronen</t>
  </si>
  <si>
    <t>directe neutronen (0,34 MeV)</t>
  </si>
  <si>
    <t>gamma-capture fotonen (3,6 MeV)</t>
  </si>
  <si>
    <t>NCRP 79</t>
  </si>
  <si>
    <t>TVT neutronen (cm)</t>
  </si>
  <si>
    <t>voor beton: 15,6 + 5,6 * MV van de neutronen</t>
  </si>
  <si>
    <t>voor BPE: 6,2 + 3,4 * MV van de neutronen</t>
  </si>
  <si>
    <t xml:space="preserve">capture </t>
  </si>
  <si>
    <r>
      <t xml:space="preserve">capture </t>
    </r>
    <r>
      <rPr>
        <sz val="11"/>
        <color indexed="8"/>
        <rFont val="Calibri"/>
        <family val="2"/>
      </rPr>
      <t>γ</t>
    </r>
  </si>
  <si>
    <t>afstand (m)</t>
  </si>
  <si>
    <t>Voor de energie van de bundels kan genomen worden de versnelspanning</t>
  </si>
  <si>
    <t>alsook de monoenergetische energie van de bundel.</t>
  </si>
  <si>
    <t>Energie is de  versnelspanning</t>
  </si>
  <si>
    <t>NCRP 151 (IAEA (tabel 6 en 7) komt met vrijwel identiek waarden)</t>
  </si>
  <si>
    <t>TVT (cm)</t>
  </si>
  <si>
    <r>
      <t>% per 100 cm</t>
    </r>
    <r>
      <rPr>
        <vertAlign val="superscript"/>
        <sz val="11"/>
        <color indexed="8"/>
        <rFont val="Arial"/>
        <family val="2"/>
      </rPr>
      <t xml:space="preserve">2 </t>
    </r>
    <r>
      <rPr>
        <sz val="11"/>
        <color indexed="8"/>
        <rFont val="Arial"/>
        <family val="2"/>
      </rPr>
      <t>op 1 m</t>
    </r>
  </si>
  <si>
    <t xml:space="preserve">door gebruiker in te vullen </t>
  </si>
  <si>
    <t>(mSv/jaar)</t>
  </si>
  <si>
    <t>per bron</t>
  </si>
  <si>
    <t>HDR</t>
  </si>
  <si>
    <t>PDR</t>
  </si>
  <si>
    <r>
      <t>m</t>
    </r>
    <r>
      <rPr>
        <sz val="11"/>
        <color indexed="8"/>
        <rFont val="Arial"/>
        <family val="2"/>
      </rPr>
      <t>Sv/jaar</t>
    </r>
  </si>
  <si>
    <r>
      <t>(m</t>
    </r>
    <r>
      <rPr>
        <sz val="11"/>
        <color indexed="8"/>
        <rFont val="Arial"/>
        <family val="2"/>
      </rPr>
      <t>Sv/jaar)</t>
    </r>
  </si>
  <si>
    <t>T1</t>
  </si>
  <si>
    <r>
      <t>(</t>
    </r>
    <r>
      <rPr>
        <sz val="11"/>
        <rFont val="Calibri"/>
        <family val="2"/>
      </rPr>
      <t>µ</t>
    </r>
    <r>
      <rPr>
        <sz val="11"/>
        <color indexed="8"/>
        <rFont val="Arial"/>
        <family val="2"/>
      </rPr>
      <t>Sv/wk)</t>
    </r>
  </si>
  <si>
    <r>
      <rPr>
        <sz val="11"/>
        <rFont val="Calibri"/>
        <family val="2"/>
      </rPr>
      <t>(µ</t>
    </r>
    <r>
      <rPr>
        <sz val="11"/>
        <color indexed="8"/>
        <rFont val="Arial"/>
        <family val="2"/>
      </rPr>
      <t>Sv/wk)</t>
    </r>
  </si>
  <si>
    <t>T2</t>
  </si>
  <si>
    <t>T3</t>
  </si>
  <si>
    <t>T4</t>
  </si>
  <si>
    <t xml:space="preserve">totaal </t>
  </si>
  <si>
    <t>B1</t>
  </si>
  <si>
    <t>B2</t>
  </si>
  <si>
    <t>B3</t>
  </si>
  <si>
    <t>B4</t>
  </si>
  <si>
    <t>L1</t>
  </si>
  <si>
    <t>L2</t>
  </si>
  <si>
    <t>L3</t>
  </si>
  <si>
    <t>L4</t>
  </si>
  <si>
    <t>C1</t>
  </si>
  <si>
    <t>6 FFF</t>
  </si>
  <si>
    <t>10 FFF</t>
  </si>
  <si>
    <t>(tabel 3)</t>
  </si>
  <si>
    <t>TVT bariet</t>
  </si>
  <si>
    <t>Let op: veel tabelwaarden gelden alleen voor sterk verzwakte bundels: gebruik transmissiegrafieken of een combinatie van TVT1 en TVTe</t>
  </si>
  <si>
    <t>Zeker niet compleet.</t>
  </si>
  <si>
    <t>(lit  Nelson)</t>
  </si>
  <si>
    <t>*: Varian/Kry</t>
  </si>
  <si>
    <t>Varian (+ artikel Kry)</t>
  </si>
  <si>
    <t>bild 1</t>
  </si>
  <si>
    <t>Een 'overzicht/selectie' van TVT waarden zoals te vinden in diverse publicaties.</t>
  </si>
  <si>
    <t>figuren</t>
  </si>
  <si>
    <t>prim strooi wand bunker</t>
  </si>
  <si>
    <r>
      <t>α</t>
    </r>
    <r>
      <rPr>
        <vertAlign val="subscript"/>
        <sz val="10"/>
        <rFont val="Arial"/>
        <family val="2"/>
      </rPr>
      <t>1</t>
    </r>
  </si>
  <si>
    <r>
      <t>α</t>
    </r>
    <r>
      <rPr>
        <vertAlign val="subscript"/>
        <sz val="10"/>
        <rFont val="Arial"/>
        <family val="2"/>
      </rPr>
      <t>2</t>
    </r>
  </si>
  <si>
    <r>
      <t>α</t>
    </r>
    <r>
      <rPr>
        <vertAlign val="subscript"/>
        <sz val="10"/>
        <rFont val="Arial"/>
        <family val="2"/>
      </rPr>
      <t>3</t>
    </r>
  </si>
  <si>
    <r>
      <t>α</t>
    </r>
    <r>
      <rPr>
        <vertAlign val="subscript"/>
        <sz val="10"/>
        <rFont val="Arial"/>
        <family val="2"/>
      </rPr>
      <t>4</t>
    </r>
  </si>
  <si>
    <r>
      <t>α</t>
    </r>
    <r>
      <rPr>
        <vertAlign val="subscript"/>
        <sz val="10"/>
        <rFont val="Arial"/>
        <family val="2"/>
      </rPr>
      <t>5</t>
    </r>
  </si>
  <si>
    <t>trans-</t>
  </si>
  <si>
    <t>missie</t>
  </si>
  <si>
    <t>TVT's</t>
  </si>
  <si>
    <t>primair   direct</t>
  </si>
  <si>
    <r>
      <t>Q</t>
    </r>
    <r>
      <rPr>
        <vertAlign val="subscript"/>
        <sz val="11"/>
        <color indexed="8"/>
        <rFont val="Calibri"/>
        <family val="2"/>
      </rPr>
      <t>n</t>
    </r>
    <r>
      <rPr>
        <sz val="11"/>
        <color theme="1"/>
        <rFont val="Calibri"/>
        <family val="2"/>
        <scheme val="minor"/>
      </rPr>
      <t>, neutronen/Gy (*10</t>
    </r>
    <r>
      <rPr>
        <vertAlign val="superscript"/>
        <sz val="11"/>
        <color indexed="8"/>
        <rFont val="Calibri"/>
        <family val="2"/>
      </rPr>
      <t>12</t>
    </r>
    <r>
      <rPr>
        <sz val="11"/>
        <color theme="1"/>
        <rFont val="Calibri"/>
        <family val="2"/>
        <scheme val="minor"/>
      </rPr>
      <t>)</t>
    </r>
  </si>
  <si>
    <t>week- produktie</t>
  </si>
  <si>
    <t>buisspanning (kV)</t>
  </si>
  <si>
    <t>energie (kV)</t>
  </si>
  <si>
    <t>aantal fracties per week</t>
  </si>
  <si>
    <t>O1</t>
  </si>
  <si>
    <t>aantal   TVT's</t>
  </si>
  <si>
    <t>Dosis  (mSv/jaar)</t>
  </si>
  <si>
    <t>H1</t>
  </si>
  <si>
    <t>P1</t>
  </si>
  <si>
    <t>SSD (m)</t>
  </si>
  <si>
    <r>
      <t>strooi, 90</t>
    </r>
    <r>
      <rPr>
        <vertAlign val="superscript"/>
        <sz val="11"/>
        <color indexed="8"/>
        <rFont val="Arial"/>
        <family val="2"/>
      </rPr>
      <t>0</t>
    </r>
  </si>
  <si>
    <r>
      <t>veldgrootte op SSD (cm</t>
    </r>
    <r>
      <rPr>
        <vertAlign val="superscript"/>
        <sz val="11"/>
        <color indexed="8"/>
        <rFont val="Arial"/>
        <family val="2"/>
      </rPr>
      <t>2</t>
    </r>
    <r>
      <rPr>
        <sz val="11"/>
        <color indexed="8"/>
        <rFont val="Arial"/>
        <family val="2"/>
      </rPr>
      <t>)</t>
    </r>
  </si>
  <si>
    <t>Uit: AAPM Task group 108:PET and PET/CT Shielding Requirements 19 dec. 2005, pg 8</t>
  </si>
  <si>
    <t>tijdsduur</t>
  </si>
  <si>
    <t>(min)</t>
  </si>
  <si>
    <t>HVT's</t>
  </si>
  <si>
    <t>aantal</t>
  </si>
  <si>
    <t>transmissie</t>
  </si>
  <si>
    <t>(uur)</t>
  </si>
  <si>
    <t>Uit: Radiat.Prot.Dosim 76 (1998)</t>
  </si>
  <si>
    <t>lood (cm)</t>
  </si>
  <si>
    <t>implantatie)</t>
  </si>
  <si>
    <r>
      <t xml:space="preserve">Uit: L.T. Dauer, brachytherapy, 2004: 1,5 GBq geeft 6 </t>
    </r>
    <r>
      <rPr>
        <sz val="11"/>
        <color indexed="8"/>
        <rFont val="Calibri"/>
        <family val="2"/>
      </rPr>
      <t>µ</t>
    </r>
    <r>
      <rPr>
        <sz val="11"/>
        <color indexed="8"/>
        <rFont val="Arial"/>
        <family val="2"/>
      </rPr>
      <t>Sv/uur op 30 cm</t>
    </r>
  </si>
  <si>
    <t>verblijftijd</t>
  </si>
  <si>
    <t>(uur/dag)</t>
  </si>
  <si>
    <t>Ontleend aan RIAS-RAD (conform NCRP Report No. 147)</t>
  </si>
  <si>
    <r>
      <t>(mGy</t>
    </r>
    <r>
      <rPr>
        <sz val="11"/>
        <color indexed="8"/>
        <rFont val="Arial"/>
        <family val="2"/>
      </rPr>
      <t>/wk)</t>
    </r>
  </si>
  <si>
    <t>(mGy/jaar)</t>
  </si>
  <si>
    <t xml:space="preserve">Extremiteitendosis </t>
  </si>
  <si>
    <t>workload fotonen (Gy/week)</t>
  </si>
  <si>
    <r>
      <t>V</t>
    </r>
    <r>
      <rPr>
        <vertAlign val="subscript"/>
        <sz val="11"/>
        <rFont val="Arial"/>
        <family val="2"/>
      </rPr>
      <t xml:space="preserve">n,BPE, </t>
    </r>
    <r>
      <rPr>
        <sz val="11"/>
        <color indexed="8"/>
        <rFont val="Arial"/>
        <family val="2"/>
      </rPr>
      <t>reductiefactor voor neutronen</t>
    </r>
    <r>
      <rPr>
        <sz val="11"/>
        <color theme="1"/>
        <rFont val="Calibri"/>
        <family val="2"/>
        <scheme val="minor"/>
      </rPr>
      <t xml:space="preserve"> </t>
    </r>
  </si>
  <si>
    <r>
      <t>V</t>
    </r>
    <r>
      <rPr>
        <vertAlign val="subscript"/>
        <sz val="11"/>
        <rFont val="Arial"/>
        <family val="2"/>
      </rPr>
      <t xml:space="preserve">cg,BPE, </t>
    </r>
    <r>
      <rPr>
        <sz val="11"/>
        <rFont val="Arial"/>
        <family val="2"/>
      </rPr>
      <t>reductie</t>
    </r>
    <r>
      <rPr>
        <sz val="11"/>
        <color indexed="8"/>
        <rFont val="Arial"/>
        <family val="2"/>
      </rPr>
      <t xml:space="preserve">factor voor capture gamma </t>
    </r>
  </si>
  <si>
    <r>
      <t xml:space="preserve">Reflectiecoefficienten </t>
    </r>
    <r>
      <rPr>
        <sz val="11"/>
        <rFont val="Arial"/>
        <family val="2"/>
      </rPr>
      <t>(inval op betonwand)</t>
    </r>
  </si>
  <si>
    <r>
      <rPr>
        <b/>
        <sz val="11"/>
        <rFont val="Arial"/>
        <family val="2"/>
      </rPr>
      <t>Reductiefactor</t>
    </r>
    <r>
      <rPr>
        <sz val="11"/>
        <rFont val="Arial"/>
        <family val="2"/>
      </rPr>
      <t xml:space="preserve"> voor neutronen en capture γ (als BPE platen in hoek labyrint)</t>
    </r>
  </si>
  <si>
    <t>γ fotonen</t>
  </si>
  <si>
    <t>Aantal bochten in labyrint</t>
  </si>
  <si>
    <t>Orientatie versneller in bunker (parallel aan of loodrecht draaien op labyrint)</t>
  </si>
  <si>
    <t>Versneller draait parallel aan labyrint</t>
  </si>
  <si>
    <t>Versneller draait loodrecht op labyrint</t>
  </si>
  <si>
    <t>scatterhoek (tov centale as)</t>
  </si>
  <si>
    <t>tabel 14:</t>
  </si>
  <si>
    <t>TVT's voor Orthovolt Voltages (cm)</t>
  </si>
  <si>
    <t>TVT (cm) voor megavoltfotonenstraling</t>
  </si>
  <si>
    <t>halveringstijd Ir-192 (dagen)</t>
  </si>
  <si>
    <r>
      <t>activiteit bron</t>
    </r>
    <r>
      <rPr>
        <sz val="11"/>
        <rFont val="Arial"/>
        <family val="2"/>
      </rPr>
      <t xml:space="preserve"> bij levering (GBq)</t>
    </r>
  </si>
  <si>
    <t>halveringstijd I-125 (dagen)</t>
  </si>
  <si>
    <t>activiteit per zaadje (MBq)</t>
  </si>
  <si>
    <t>(s)</t>
  </si>
  <si>
    <t>beam on</t>
  </si>
  <si>
    <t>dosis</t>
  </si>
  <si>
    <t xml:space="preserve">dosistempo </t>
  </si>
  <si>
    <t>Legenda</t>
  </si>
  <si>
    <r>
      <t>TVT</t>
    </r>
    <r>
      <rPr>
        <vertAlign val="subscript"/>
        <sz val="11"/>
        <color indexed="8"/>
        <rFont val="Arial"/>
        <family val="2"/>
      </rPr>
      <t>1</t>
    </r>
  </si>
  <si>
    <r>
      <t>TVT</t>
    </r>
    <r>
      <rPr>
        <vertAlign val="subscript"/>
        <sz val="11"/>
        <color indexed="8"/>
        <rFont val="Arial"/>
        <family val="2"/>
      </rPr>
      <t>e</t>
    </r>
  </si>
  <si>
    <t>De waarden die zijn afgelezen uit een grafiek: door de gebruiker te controleren</t>
  </si>
  <si>
    <r>
      <t>beton TVT</t>
    </r>
    <r>
      <rPr>
        <vertAlign val="subscript"/>
        <sz val="11"/>
        <color indexed="8"/>
        <rFont val="Arial"/>
        <family val="2"/>
      </rPr>
      <t>1</t>
    </r>
  </si>
  <si>
    <r>
      <t xml:space="preserve">                   TVT</t>
    </r>
    <r>
      <rPr>
        <vertAlign val="subscript"/>
        <sz val="11"/>
        <color indexed="8"/>
        <rFont val="Arial"/>
        <family val="2"/>
      </rPr>
      <t>e</t>
    </r>
  </si>
  <si>
    <r>
      <t>TVT</t>
    </r>
    <r>
      <rPr>
        <vertAlign val="subscript"/>
        <sz val="11"/>
        <color indexed="8"/>
        <rFont val="Arial"/>
        <family val="2"/>
      </rPr>
      <t>1</t>
    </r>
    <r>
      <rPr>
        <sz val="11"/>
        <color indexed="8"/>
        <rFont val="Arial"/>
        <family val="2"/>
      </rPr>
      <t xml:space="preserve"> = TVT</t>
    </r>
    <r>
      <rPr>
        <vertAlign val="subscript"/>
        <sz val="11"/>
        <color indexed="8"/>
        <rFont val="Arial"/>
        <family val="2"/>
      </rPr>
      <t>e</t>
    </r>
  </si>
  <si>
    <r>
      <t>scatter factoren, a, op 1 m, voor veldgrootte 400 cm</t>
    </r>
    <r>
      <rPr>
        <vertAlign val="superscript"/>
        <sz val="11"/>
        <color indexed="8"/>
        <rFont val="Arial"/>
        <family val="2"/>
      </rPr>
      <t>2</t>
    </r>
  </si>
  <si>
    <t>voor afstand focus patient van 1 m</t>
  </si>
  <si>
    <r>
      <t>scatter factoren, a, op 1 m, voor veldgrootte 400 cm</t>
    </r>
    <r>
      <rPr>
        <vertAlign val="superscript"/>
        <sz val="11"/>
        <color indexed="8"/>
        <rFont val="Arial"/>
        <family val="2"/>
      </rPr>
      <t>2,</t>
    </r>
  </si>
  <si>
    <t>Co-60</t>
  </si>
  <si>
    <t>NCRP 151, tabel B.4</t>
  </si>
  <si>
    <t>Energie (MV)</t>
  </si>
  <si>
    <t xml:space="preserve">IAEA, tabel 5 </t>
  </si>
  <si>
    <t xml:space="preserve">scatterfactoren voor 4, 15 en 20 MV uit: </t>
  </si>
  <si>
    <t>shielding Design methods for linear accelerators, M. Martin, AAPM 51st annual meeting, july 2009</t>
  </si>
  <si>
    <t>18 FFF</t>
  </si>
  <si>
    <t>fig A.1</t>
  </si>
  <si>
    <t>Patient scatterfactoren</t>
  </si>
  <si>
    <r>
      <t>45</t>
    </r>
    <r>
      <rPr>
        <vertAlign val="superscript"/>
        <sz val="11"/>
        <color indexed="8"/>
        <rFont val="Arial"/>
        <family val="2"/>
      </rPr>
      <t>0</t>
    </r>
  </si>
  <si>
    <t>loodrecht</t>
  </si>
  <si>
    <t xml:space="preserve">scatterfactoren voor 6 FFF, 10 FFF en 18 FFF uit: Vault shielding for a flattening filter-free linac, Kry, PMB, 2009 </t>
  </si>
  <si>
    <r>
      <t>90</t>
    </r>
    <r>
      <rPr>
        <vertAlign val="superscript"/>
        <sz val="11"/>
        <color indexed="8"/>
        <rFont val="Arial"/>
        <family val="2"/>
      </rPr>
      <t>0</t>
    </r>
  </si>
  <si>
    <r>
      <t>0</t>
    </r>
    <r>
      <rPr>
        <vertAlign val="superscript"/>
        <sz val="11"/>
        <rFont val="Arial"/>
        <family val="2"/>
      </rPr>
      <t xml:space="preserve">0 </t>
    </r>
    <r>
      <rPr>
        <sz val="11"/>
        <rFont val="Arial"/>
        <family val="2"/>
      </rPr>
      <t xml:space="preserve"> en 180</t>
    </r>
    <r>
      <rPr>
        <vertAlign val="superscript"/>
        <sz val="11"/>
        <rFont val="Arial"/>
        <family val="2"/>
      </rPr>
      <t xml:space="preserve">0 </t>
    </r>
    <r>
      <rPr>
        <sz val="11"/>
        <rFont val="Arial"/>
        <family val="2"/>
      </rPr>
      <t xml:space="preserve"> </t>
    </r>
  </si>
  <si>
    <r>
      <t>135</t>
    </r>
    <r>
      <rPr>
        <vertAlign val="superscript"/>
        <sz val="11"/>
        <color indexed="8"/>
        <rFont val="Arial"/>
        <family val="2"/>
      </rPr>
      <t>0</t>
    </r>
  </si>
  <si>
    <t>richting (begin) labyrint</t>
  </si>
  <si>
    <t>van (begin) labyrint afgekeerd</t>
  </si>
  <si>
    <t>richting primaire bundel</t>
  </si>
  <si>
    <t>primaire en secundaire afscherming (+ strooistraling van 0,5 MeV</t>
  </si>
  <si>
    <t>scatterhoek (θ)</t>
  </si>
  <si>
    <t>Toegepaste patientscatterfactoren</t>
  </si>
  <si>
    <r>
      <t>α</t>
    </r>
    <r>
      <rPr>
        <vertAlign val="subscript"/>
        <sz val="11"/>
        <rFont val="Arial"/>
        <family val="2"/>
      </rPr>
      <t>1</t>
    </r>
  </si>
  <si>
    <r>
      <t>α</t>
    </r>
    <r>
      <rPr>
        <vertAlign val="subscript"/>
        <sz val="11"/>
        <rFont val="Arial"/>
        <family val="2"/>
      </rPr>
      <t>2</t>
    </r>
  </si>
  <si>
    <r>
      <t>α</t>
    </r>
    <r>
      <rPr>
        <vertAlign val="subscript"/>
        <sz val="11"/>
        <color indexed="8"/>
        <rFont val="Arial"/>
        <family val="2"/>
      </rPr>
      <t>3</t>
    </r>
    <r>
      <rPr>
        <sz val="11"/>
        <color indexed="8"/>
        <rFont val="Arial"/>
        <family val="2"/>
      </rPr>
      <t/>
    </r>
  </si>
  <si>
    <r>
      <t>α</t>
    </r>
    <r>
      <rPr>
        <vertAlign val="subscript"/>
        <sz val="11"/>
        <color indexed="8"/>
        <rFont val="Arial"/>
        <family val="2"/>
      </rPr>
      <t>4</t>
    </r>
    <r>
      <rPr>
        <sz val="11"/>
        <color indexed="8"/>
        <rFont val="Arial"/>
        <family val="2"/>
      </rPr>
      <t/>
    </r>
  </si>
  <si>
    <r>
      <t>α</t>
    </r>
    <r>
      <rPr>
        <vertAlign val="subscript"/>
        <sz val="11"/>
        <color indexed="8"/>
        <rFont val="Arial"/>
        <family val="2"/>
      </rPr>
      <t>5</t>
    </r>
  </si>
  <si>
    <r>
      <t>dosistempo op 30 cm van de patient (µGy h</t>
    </r>
    <r>
      <rPr>
        <vertAlign val="superscript"/>
        <sz val="11"/>
        <color indexed="8"/>
        <rFont val="Arial"/>
        <family val="2"/>
      </rPr>
      <t>-1</t>
    </r>
    <r>
      <rPr>
        <sz val="11"/>
        <color indexed="8"/>
        <rFont val="Arial"/>
        <family val="2"/>
      </rPr>
      <t xml:space="preserve"> per zaadje) </t>
    </r>
  </si>
  <si>
    <t>aantal bronwisselingen per jaar</t>
  </si>
  <si>
    <t>bronnen</t>
  </si>
  <si>
    <t xml:space="preserve">tijd  </t>
  </si>
  <si>
    <t>conversiefactor equivalente huiddosis (Sv/Gy)</t>
  </si>
  <si>
    <r>
      <t>conversiefactor E/K</t>
    </r>
    <r>
      <rPr>
        <vertAlign val="subscript"/>
        <sz val="11"/>
        <color indexed="8"/>
        <rFont val="Arial"/>
        <family val="2"/>
      </rPr>
      <t xml:space="preserve">a </t>
    </r>
    <r>
      <rPr>
        <sz val="11"/>
        <color indexed="8"/>
        <rFont val="Arial"/>
        <family val="2"/>
      </rPr>
      <t>(Sv/Gy)</t>
    </r>
  </si>
  <si>
    <t>bron blijft vastzitten (noodprocedure)</t>
  </si>
  <si>
    <t xml:space="preserve">Dosis  </t>
  </si>
  <si>
    <t>landurig ingespoten patient begeleiden (bijv.: evacuatie, hulpbehoevende patient)</t>
  </si>
  <si>
    <t>1 of meerdere bronnen blijven achter in de behandelruimte (volledig verval)</t>
  </si>
  <si>
    <t>1 of meerdere bronnen liggen een beperkte tijd onafgeschermd in de behandelruimte.</t>
  </si>
  <si>
    <t>(mSv/handeling)</t>
  </si>
  <si>
    <t>lineaire versnellers</t>
  </si>
  <si>
    <t>Linac 1</t>
  </si>
  <si>
    <t>Linac 2</t>
  </si>
  <si>
    <t>Linac 3</t>
  </si>
  <si>
    <t xml:space="preserve">Naam: </t>
  </si>
  <si>
    <t>Linac 4</t>
  </si>
  <si>
    <t>CT 1</t>
  </si>
  <si>
    <r>
      <t>(m</t>
    </r>
    <r>
      <rPr>
        <sz val="11"/>
        <color indexed="8"/>
        <rFont val="Arial"/>
        <family val="2"/>
      </rPr>
      <t>Sv/fractie)</t>
    </r>
  </si>
  <si>
    <r>
      <t>(m</t>
    </r>
    <r>
      <rPr>
        <sz val="11"/>
        <color indexed="8"/>
        <rFont val="Arial"/>
        <family val="2"/>
      </rPr>
      <t>Gy/scan)</t>
    </r>
  </si>
  <si>
    <r>
      <t>(</t>
    </r>
    <r>
      <rPr>
        <sz val="11"/>
        <color indexed="8"/>
        <rFont val="Calibri"/>
        <family val="2"/>
      </rPr>
      <t>µ</t>
    </r>
    <r>
      <rPr>
        <sz val="11"/>
        <color indexed="8"/>
        <rFont val="Arial"/>
        <family val="2"/>
      </rPr>
      <t>Sv/week)</t>
    </r>
  </si>
  <si>
    <t>achterblijven</t>
  </si>
  <si>
    <t>Dosistempo (Gy/min op SSD)</t>
  </si>
  <si>
    <t>achterblijven in bestralingsruimte met ingeschakeld bestralingstoestel.</t>
  </si>
  <si>
    <t>neutronen-</t>
  </si>
  <si>
    <t>produktie</t>
  </si>
  <si>
    <t>(%Sv/Gy)</t>
  </si>
  <si>
    <t>werkzaamheden uitvoeren in gecontroleerde ruimte (buiten de bestralingsruimte) terwijl er gestraald word: bv dak wegens reparaties</t>
  </si>
  <si>
    <t>uitvoeren van werkzaamheden in de nabijheid van geactiveerde onderdelen</t>
  </si>
  <si>
    <t>per keer</t>
  </si>
  <si>
    <t>aantal keer</t>
  </si>
  <si>
    <t>werken in nabijheid geactiveerde onderdelen</t>
  </si>
  <si>
    <t>werken in nabijheid geactiveerde target</t>
  </si>
  <si>
    <t>I-125 1</t>
  </si>
  <si>
    <t>I-125 2</t>
  </si>
  <si>
    <t>deur aan eind (kort) labyrint (cm)</t>
  </si>
  <si>
    <t>fractie van de scanduur in scanruimte</t>
  </si>
  <si>
    <t>inval op betonwand</t>
  </si>
  <si>
    <t>(mSv/keer)</t>
  </si>
  <si>
    <t>aantal keer per jaar</t>
  </si>
  <si>
    <t xml:space="preserve">uitvoeren van werkzaamheden in de directe nabijheid van het geactiveerde target </t>
  </si>
  <si>
    <r>
      <t>(µ</t>
    </r>
    <r>
      <rPr>
        <sz val="8.4"/>
        <color indexed="8"/>
        <rFont val="Arial"/>
        <family val="2"/>
      </rPr>
      <t>Sv</t>
    </r>
    <r>
      <rPr>
        <sz val="12"/>
        <color indexed="8"/>
        <rFont val="Arial"/>
        <family val="2"/>
      </rPr>
      <t>/uur)</t>
    </r>
  </si>
  <si>
    <r>
      <t>(µ</t>
    </r>
    <r>
      <rPr>
        <sz val="11"/>
        <color indexed="8"/>
        <rFont val="Arial"/>
        <family val="2"/>
      </rPr>
      <t>Sv/keer)</t>
    </r>
  </si>
  <si>
    <t>(mGy/keer)</t>
  </si>
  <si>
    <t>(mGv/jaar)</t>
  </si>
  <si>
    <r>
      <t>(m</t>
    </r>
    <r>
      <rPr>
        <sz val="11"/>
        <color indexed="8"/>
        <rFont val="Arial"/>
        <family val="2"/>
      </rPr>
      <t>Sv/keer)</t>
    </r>
  </si>
  <si>
    <r>
      <t>m</t>
    </r>
    <r>
      <rPr>
        <sz val="11"/>
        <color indexed="8"/>
        <rFont val="Arial"/>
        <family val="2"/>
      </rPr>
      <t>Sv/puls</t>
    </r>
  </si>
  <si>
    <r>
      <t>(m</t>
    </r>
    <r>
      <rPr>
        <sz val="11"/>
        <color indexed="8"/>
        <rFont val="Arial"/>
        <family val="2"/>
      </rPr>
      <t>Sv/</t>
    </r>
  </si>
  <si>
    <r>
      <rPr>
        <sz val="11"/>
        <color indexed="8"/>
        <rFont val="Calibri"/>
        <family val="2"/>
      </rPr>
      <t>(m</t>
    </r>
    <r>
      <rPr>
        <sz val="11"/>
        <color indexed="8"/>
        <rFont val="Arial"/>
        <family val="2"/>
      </rPr>
      <t>Sv/keer)</t>
    </r>
  </si>
  <si>
    <r>
      <rPr>
        <sz val="11"/>
        <color indexed="8"/>
        <rFont val="Calibri"/>
        <family val="2"/>
      </rPr>
      <t>(m</t>
    </r>
    <r>
      <rPr>
        <sz val="11"/>
        <color indexed="8"/>
        <rFont val="Arial"/>
        <family val="2"/>
      </rPr>
      <t>Sv/jaar)</t>
    </r>
  </si>
  <si>
    <t>achterblijven in bestralingsruimte tijdens bestraling</t>
  </si>
  <si>
    <t>The NCS frequently publishes reports for fellow professionals in which recommendations are given for</t>
  </si>
  <si>
    <t>various quality control procedures or otherwise. The members of the NCS board and the members of</t>
  </si>
  <si>
    <t>the concerning subcommittee do not claim any authority exceeding that of their professional expertise.</t>
  </si>
  <si>
    <t>Responsibility on how the NCS recommendations are implemented lies with the user, taking into</t>
  </si>
  <si>
    <t>account the practice in his/her institution.</t>
  </si>
  <si>
    <t>This spreadsheet is to be used as a starting point, not as an exhaustive source.</t>
  </si>
  <si>
    <t>isocentrum</t>
  </si>
  <si>
    <t>(cGy/min)</t>
  </si>
  <si>
    <t>DLP per scan</t>
  </si>
  <si>
    <t>(mGycm)</t>
  </si>
  <si>
    <t>verstrooide straling</t>
  </si>
  <si>
    <t>lek           direct</t>
  </si>
  <si>
    <t>seperate berekening: zie hieronder</t>
  </si>
  <si>
    <t>Ingang labyrint: dosistempo tgv verstrooide straling</t>
  </si>
  <si>
    <t>dp2</t>
  </si>
  <si>
    <t>dz2</t>
  </si>
  <si>
    <t>dz5</t>
  </si>
  <si>
    <t>dp1</t>
  </si>
  <si>
    <t>dz1</t>
  </si>
  <si>
    <t>dz3</t>
  </si>
  <si>
    <t>dl1=dpat</t>
  </si>
  <si>
    <t>dz4</t>
  </si>
  <si>
    <t>dn2</t>
  </si>
  <si>
    <t>dn1</t>
  </si>
  <si>
    <t>A1</t>
  </si>
  <si>
    <t>A2</t>
  </si>
  <si>
    <t>A3</t>
  </si>
  <si>
    <t>A4</t>
  </si>
  <si>
    <t>A5</t>
  </si>
  <si>
    <t>S0</t>
  </si>
  <si>
    <t>S1</t>
  </si>
  <si>
    <t>Oppervlakten (m2)</t>
  </si>
  <si>
    <t>Sr</t>
  </si>
  <si>
    <t>(dp of dl)</t>
  </si>
  <si>
    <t>di</t>
  </si>
  <si>
    <t>ds</t>
  </si>
  <si>
    <t>Zie tabblad 'plattegronden Linac'</t>
  </si>
  <si>
    <t>parallel</t>
  </si>
  <si>
    <t xml:space="preserve">     n</t>
  </si>
  <si>
    <t>Patient-verstrooide straling</t>
  </si>
  <si>
    <t>scatter hoek</t>
  </si>
  <si>
    <t>patient verstooide</t>
  </si>
  <si>
    <t>tabel B.5a/b</t>
  </si>
  <si>
    <t>Patient-verstrooide straling, NCRP 151 tabel B 5.a en FFF uit Kry</t>
  </si>
  <si>
    <t>Lood</t>
  </si>
  <si>
    <t xml:space="preserve">Patient-verstrooide straling, NCRP tabel B.5b -&gt; uitbreiding uit shielding design methods for linear accelerator_AAPM51_july2009_ppt </t>
  </si>
  <si>
    <t>lood (TVT1/TVTe)</t>
  </si>
  <si>
    <t>3,3/3,7</t>
  </si>
  <si>
    <t>3,8/4,4</t>
  </si>
  <si>
    <t>4,3/4,5</t>
  </si>
  <si>
    <t>2,4/3,1</t>
  </si>
  <si>
    <t>2,8/3,4</t>
  </si>
  <si>
    <t>3,1/3,6</t>
  </si>
  <si>
    <t>1,8/2,5</t>
  </si>
  <si>
    <t>1,9/2,6</t>
  </si>
  <si>
    <t>2,1/2,7</t>
  </si>
  <si>
    <t>7,3/1,9</t>
  </si>
  <si>
    <t>1,4/1,9</t>
  </si>
  <si>
    <t>1,5/1,9</t>
  </si>
  <si>
    <t>0,9/1,3</t>
  </si>
  <si>
    <t>1,0/1,5</t>
  </si>
  <si>
    <t>1,2/1,6</t>
  </si>
  <si>
    <t>0,7/1,2</t>
  </si>
  <si>
    <t>0,95/1,4</t>
  </si>
  <si>
    <t>0,5/0,8</t>
  </si>
  <si>
    <t>0,8/1,4</t>
  </si>
  <si>
    <t xml:space="preserve">Patient-verstrooide straling, uit: shielding design methods for linear accelerator_AAPM51_july2009_ppt </t>
  </si>
  <si>
    <r>
      <t>T</t>
    </r>
    <r>
      <rPr>
        <vertAlign val="subscript"/>
        <sz val="11"/>
        <color indexed="8"/>
        <rFont val="Arial"/>
        <family val="2"/>
      </rPr>
      <t>Bundelstop</t>
    </r>
  </si>
  <si>
    <t>Potentiele blootstelling</t>
  </si>
  <si>
    <t xml:space="preserve"> TVT (cm) van afschermingsmateriaal</t>
  </si>
  <si>
    <t>periodiek in te vullen cel</t>
  </si>
  <si>
    <t>eenmalig in te vullen cel</t>
  </si>
  <si>
    <t>inhoud van de cel is het resultaat van verwijzing naar cellen op ander tabblad</t>
  </si>
  <si>
    <t>dosisberekening terreingrens</t>
  </si>
  <si>
    <t>I-125 zaadjes bereiden</t>
  </si>
  <si>
    <t>I-125 zaadjes implanteren</t>
  </si>
  <si>
    <t xml:space="preserve">Potentiele blootstelling </t>
  </si>
  <si>
    <t>bedieningsruimte CT1</t>
  </si>
  <si>
    <t>Fitparameters voor secundaire straling CT (tbv transmissie strooistraling CT-scanner)</t>
  </si>
  <si>
    <t>Toestel specifieke gegevens</t>
  </si>
  <si>
    <t>Dosering (Gy/fractie)</t>
  </si>
  <si>
    <t>Patientscatterfactoren</t>
  </si>
  <si>
    <t>Transmissie primaire bundel door patient</t>
  </si>
  <si>
    <r>
      <t>scatterfactor, a (bij scatterhoek 90</t>
    </r>
    <r>
      <rPr>
        <vertAlign val="superscript"/>
        <sz val="11"/>
        <color indexed="8"/>
        <rFont val="Arial"/>
        <family val="2"/>
      </rPr>
      <t>0</t>
    </r>
    <r>
      <rPr>
        <sz val="11"/>
        <color indexed="8"/>
        <rFont val="Arial"/>
        <family val="2"/>
      </rPr>
      <t>)</t>
    </r>
  </si>
  <si>
    <t>Linac 5</t>
  </si>
  <si>
    <t>Linac 6</t>
  </si>
  <si>
    <t>Linac 7</t>
  </si>
  <si>
    <t>Linac 8</t>
  </si>
  <si>
    <t>Linac 9</t>
  </si>
  <si>
    <t>Linac 10</t>
  </si>
  <si>
    <t>B5</t>
  </si>
  <si>
    <t>B6</t>
  </si>
  <si>
    <t>B7</t>
  </si>
  <si>
    <t>B8</t>
  </si>
  <si>
    <t>B9</t>
  </si>
  <si>
    <t>B10</t>
  </si>
  <si>
    <t>L5</t>
  </si>
  <si>
    <t>L6</t>
  </si>
  <si>
    <t>L7</t>
  </si>
  <si>
    <t>L8</t>
  </si>
  <si>
    <t>L9</t>
  </si>
  <si>
    <t>L10</t>
  </si>
  <si>
    <t>aantal fracties per jaar</t>
  </si>
  <si>
    <t>Bron specifieke gegevens</t>
  </si>
  <si>
    <r>
      <t>h(10), bronconstante (µSv.m</t>
    </r>
    <r>
      <rPr>
        <vertAlign val="superscript"/>
        <sz val="11"/>
        <color indexed="8"/>
        <rFont val="Arial"/>
        <family val="2"/>
      </rPr>
      <t>2</t>
    </r>
    <r>
      <rPr>
        <sz val="11"/>
        <color indexed="8"/>
        <rFont val="Arial"/>
        <family val="2"/>
      </rPr>
      <t>.MBq</t>
    </r>
    <r>
      <rPr>
        <vertAlign val="superscript"/>
        <sz val="11"/>
        <color indexed="8"/>
        <rFont val="Arial"/>
        <family val="2"/>
      </rPr>
      <t>-1</t>
    </r>
    <r>
      <rPr>
        <sz val="11"/>
        <color indexed="8"/>
        <rFont val="Arial"/>
        <family val="2"/>
      </rPr>
      <t>.h</t>
    </r>
    <r>
      <rPr>
        <vertAlign val="superscript"/>
        <sz val="11"/>
        <color indexed="8"/>
        <rFont val="Arial"/>
        <family val="2"/>
      </rPr>
      <t>-1</t>
    </r>
    <r>
      <rPr>
        <sz val="11"/>
        <color indexed="8"/>
        <rFont val="Arial"/>
        <family val="2"/>
      </rPr>
      <t>)</t>
    </r>
  </si>
  <si>
    <t>Nuclide</t>
  </si>
  <si>
    <t>Transmissie door patient</t>
  </si>
  <si>
    <t xml:space="preserve">achterblijven in behandelruimte gedurende (deel van) fractie </t>
  </si>
  <si>
    <t>aantal pulsen per jaar</t>
  </si>
  <si>
    <r>
      <t>h(10), bronconstante (µSv.m</t>
    </r>
    <r>
      <rPr>
        <vertAlign val="superscript"/>
        <sz val="11"/>
        <color indexed="8"/>
        <rFont val="Arial"/>
        <family val="2"/>
      </rPr>
      <t>2.</t>
    </r>
    <r>
      <rPr>
        <sz val="11"/>
        <color indexed="8"/>
        <rFont val="Arial"/>
        <family val="2"/>
      </rPr>
      <t>MBq</t>
    </r>
    <r>
      <rPr>
        <vertAlign val="superscript"/>
        <sz val="11"/>
        <color indexed="8"/>
        <rFont val="Arial"/>
        <family val="2"/>
      </rPr>
      <t>-1</t>
    </r>
    <r>
      <rPr>
        <sz val="11"/>
        <color indexed="8"/>
        <rFont val="Arial"/>
        <family val="2"/>
      </rPr>
      <t>.h</t>
    </r>
    <r>
      <rPr>
        <vertAlign val="superscript"/>
        <sz val="11"/>
        <color indexed="8"/>
        <rFont val="Arial"/>
        <family val="2"/>
      </rPr>
      <t>-1</t>
    </r>
    <r>
      <rPr>
        <sz val="11"/>
        <color indexed="8"/>
        <rFont val="Arial"/>
        <family val="2"/>
      </rPr>
      <t>)</t>
    </r>
  </si>
  <si>
    <t>TVT (cm) van afschermingsmateriaal</t>
  </si>
  <si>
    <t>*: alleen die pulsen tellen waarbij een medewerker aanwezig is.</t>
  </si>
  <si>
    <t>puls (min)</t>
  </si>
  <si>
    <t>Extremiteitendosis</t>
  </si>
  <si>
    <t xml:space="preserve">achterblijven in behandelingsruimte gedurende (deel van) fractie </t>
  </si>
  <si>
    <t>fractie (min)</t>
  </si>
  <si>
    <t>achterblijven in behandelruimte gedurende een (fractie van) patient scan</t>
  </si>
  <si>
    <r>
      <t>Γ</t>
    </r>
    <r>
      <rPr>
        <vertAlign val="subscript"/>
        <sz val="11"/>
        <color indexed="8"/>
        <rFont val="Arial"/>
        <family val="2"/>
      </rPr>
      <t xml:space="preserve">10 </t>
    </r>
    <r>
      <rPr>
        <sz val="11"/>
        <color indexed="8"/>
        <rFont val="Arial"/>
        <family val="2"/>
      </rPr>
      <t>(µGy.m</t>
    </r>
    <r>
      <rPr>
        <vertAlign val="superscript"/>
        <sz val="11"/>
        <color indexed="8"/>
        <rFont val="Arial"/>
        <family val="2"/>
      </rPr>
      <t>2</t>
    </r>
    <r>
      <rPr>
        <sz val="11"/>
        <color indexed="8"/>
        <rFont val="Arial"/>
        <family val="2"/>
      </rPr>
      <t>.h</t>
    </r>
    <r>
      <rPr>
        <vertAlign val="superscript"/>
        <sz val="11"/>
        <color indexed="8"/>
        <rFont val="Arial"/>
        <family val="2"/>
      </rPr>
      <t>-1.</t>
    </r>
    <r>
      <rPr>
        <sz val="11"/>
        <color indexed="8"/>
        <rFont val="Arial"/>
        <family val="2"/>
      </rPr>
      <t>MBq</t>
    </r>
    <r>
      <rPr>
        <vertAlign val="superscript"/>
        <sz val="11"/>
        <color indexed="8"/>
        <rFont val="Arial"/>
        <family val="2"/>
      </rPr>
      <t>-1</t>
    </r>
    <r>
      <rPr>
        <sz val="11"/>
        <color indexed="8"/>
        <rFont val="Arial"/>
        <family val="2"/>
      </rPr>
      <t>)</t>
    </r>
  </si>
  <si>
    <t>I-125-2</t>
  </si>
  <si>
    <t>aantal onderzoeken per jaar</t>
  </si>
  <si>
    <r>
      <t>h(10), bronconstante (µSv.m</t>
    </r>
    <r>
      <rPr>
        <vertAlign val="superscript"/>
        <sz val="11"/>
        <color indexed="8"/>
        <rFont val="Arial"/>
        <family val="2"/>
      </rPr>
      <t>2</t>
    </r>
    <r>
      <rPr>
        <sz val="11"/>
        <color indexed="8"/>
        <rFont val="Arial"/>
        <family val="2"/>
      </rPr>
      <t>.h</t>
    </r>
    <r>
      <rPr>
        <vertAlign val="superscript"/>
        <sz val="11"/>
        <color indexed="8"/>
        <rFont val="Arial"/>
        <family val="2"/>
      </rPr>
      <t>-1.</t>
    </r>
    <r>
      <rPr>
        <sz val="11"/>
        <color indexed="8"/>
        <rFont val="Arial"/>
        <family val="2"/>
      </rPr>
      <t>MBq</t>
    </r>
    <r>
      <rPr>
        <vertAlign val="superscript"/>
        <sz val="11"/>
        <color indexed="8"/>
        <rFont val="Arial"/>
        <family val="2"/>
      </rPr>
      <t>-1</t>
    </r>
    <r>
      <rPr>
        <sz val="11"/>
        <color indexed="8"/>
        <rFont val="Arial"/>
        <family val="2"/>
      </rPr>
      <t>)</t>
    </r>
  </si>
  <si>
    <t>HVT (mm)</t>
  </si>
  <si>
    <t>lood (mm)</t>
  </si>
  <si>
    <t>(mSv/scan</t>
  </si>
  <si>
    <t xml:space="preserve">begeleiding en positionering van de patiënt bij een scanonderzoek (tijdsduur 5 minuten). </t>
  </si>
  <si>
    <t xml:space="preserve">Er is van uitgegaan dat de laborant tijdens het scanonderzoek achter een afscherming plaatsneemt. </t>
  </si>
  <si>
    <t>Wanneer dit niet het geval is wordt de blootstellingstijd langer, de afstand tot de bron wordt dan echter ook groter.</t>
  </si>
  <si>
    <t>PC1</t>
  </si>
  <si>
    <t>achterblijven in behandelruinte</t>
  </si>
  <si>
    <t>blootstelling aan onafgeschermde I-125 bronnen</t>
  </si>
  <si>
    <t>langdurig een ingespoten patient begeleiden</t>
  </si>
  <si>
    <t>achterblijven in scanruimte gedurende een (fractie van) patient scan</t>
  </si>
  <si>
    <t>achterblijven in scanruimte</t>
  </si>
  <si>
    <t>achterblijven in behandelruimte</t>
  </si>
  <si>
    <t>uitvoeren noodprocedure</t>
  </si>
  <si>
    <t>achterblijven I-125 zaadjes  in behandelruimte</t>
  </si>
  <si>
    <t>Deze kunnen voor de RI&amp;E worden gebruikt alsmede voor afschermingsberekeningen.</t>
  </si>
  <si>
    <t>Voor lineaire versnellers is ook de dosis op de terreingrens weergegeven.</t>
  </si>
  <si>
    <t>De handelingen worden uitgevoerd in de bedieningsruimte van het toestel</t>
  </si>
  <si>
    <t>Brachy PDR</t>
  </si>
  <si>
    <t>Versneller Technicus</t>
  </si>
  <si>
    <t>Bijbehorende dosis (mSv)</t>
  </si>
  <si>
    <t>versneller laborant</t>
  </si>
  <si>
    <t>CT laborant</t>
  </si>
  <si>
    <t>mSv/jr</t>
  </si>
  <si>
    <t>Bijbehorende dosis (mSv/jr)</t>
  </si>
  <si>
    <t>Klinisch Fys Medew</t>
  </si>
  <si>
    <t xml:space="preserve"> laborant 1</t>
  </si>
  <si>
    <t xml:space="preserve"> laborant 2</t>
  </si>
  <si>
    <t xml:space="preserve"> laborant 3</t>
  </si>
  <si>
    <t>%: is percentage van de workload/handelingen (dus niet deeltijdfactor)</t>
  </si>
  <si>
    <t>Dosis per FTE</t>
  </si>
  <si>
    <t>Arts 1</t>
  </si>
  <si>
    <t>Arts 2</t>
  </si>
  <si>
    <t>Dosis per keer (lichaam)</t>
  </si>
  <si>
    <t>Dosis per keer (extremit)</t>
  </si>
  <si>
    <t>Reguliere blootstelling</t>
  </si>
  <si>
    <t>Samenvatting</t>
  </si>
  <si>
    <t>Hieronder een overzicht van de reguliere dosis (mSv/jaar) en de potentiele blootstelling (mSv).</t>
  </si>
  <si>
    <t>kans         (keer per jaar)</t>
  </si>
  <si>
    <t>Overzicht tbv RI&amp;E</t>
  </si>
  <si>
    <t>Identificatie blootgestelde werknemers</t>
  </si>
  <si>
    <t>Totaal</t>
  </si>
  <si>
    <t>indelingsklasse medewerker</t>
  </si>
  <si>
    <t>medewerkers radiotherapie blijven niet achter in behandelruimte!!!</t>
  </si>
  <si>
    <t>Voor de RI&amp;E worden de reguliere en de potentiele blootstelling gebruikt.</t>
  </si>
  <si>
    <t>Voor afschermingsberekeningen van bunkers, scan- en behandelkamers wordt de reguliere blootstelling gebruikt</t>
  </si>
  <si>
    <t>Kry</t>
  </si>
  <si>
    <t>Geldig voor FFF Varian</t>
  </si>
  <si>
    <t>uit tabel 4: loodrechte inval op beton</t>
  </si>
  <si>
    <r>
      <t>uit tabel 5: 45 graden inval op beton (per m</t>
    </r>
    <r>
      <rPr>
        <vertAlign val="superscript"/>
        <sz val="11"/>
        <color indexed="8"/>
        <rFont val="Arial"/>
        <family val="2"/>
      </rPr>
      <t xml:space="preserve">2 </t>
    </r>
    <r>
      <rPr>
        <sz val="11"/>
        <color indexed="8"/>
        <rFont val="Arial"/>
        <family val="2"/>
      </rPr>
      <t>op 1 m)</t>
    </r>
  </si>
  <si>
    <t xml:space="preserve">Tabel b.8b: 45 graden inval op beton </t>
  </si>
  <si>
    <t>15 MV interpolatie 10 en 18 MV</t>
  </si>
  <si>
    <r>
      <t>patient strooi  θ= 45</t>
    </r>
    <r>
      <rPr>
        <vertAlign val="superscript"/>
        <sz val="11"/>
        <color rgb="FFFFC000"/>
        <rFont val="Arial"/>
        <family val="2"/>
      </rPr>
      <t>0</t>
    </r>
  </si>
  <si>
    <t>richtings-</t>
  </si>
  <si>
    <t>veldgrootte,</t>
  </si>
  <si>
    <t>F (cm2)</t>
  </si>
  <si>
    <t>richtings- factor, Fr</t>
  </si>
  <si>
    <t xml:space="preserve"> factor, Fr</t>
  </si>
  <si>
    <t>1/2 tophoek</t>
  </si>
  <si>
    <t>Ox</t>
  </si>
  <si>
    <r>
      <t>(</t>
    </r>
    <r>
      <rPr>
        <sz val="11"/>
        <color indexed="8"/>
        <rFont val="Calibri"/>
        <family val="2"/>
      </rPr>
      <t>µ</t>
    </r>
    <r>
      <rPr>
        <sz val="11"/>
        <color indexed="8"/>
        <rFont val="Arial"/>
        <family val="2"/>
      </rPr>
      <t>Sv/keer)</t>
    </r>
  </si>
  <si>
    <t>Productiegegevens</t>
  </si>
  <si>
    <t xml:space="preserve">Dosis per Voorzien Onbedoelde Gebeurtenis </t>
  </si>
  <si>
    <t>NCRP-49</t>
  </si>
  <si>
    <t>tabel 27</t>
  </si>
  <si>
    <t>prim richting labyrint</t>
  </si>
  <si>
    <t>lek strooi  wand bunker</t>
  </si>
  <si>
    <t>bedieningsruimte Linac 1</t>
  </si>
  <si>
    <t>bedieningsruimte Linac 2</t>
  </si>
  <si>
    <t>bedieningsruimte Linac 3</t>
  </si>
  <si>
    <t>bedieningsruimte Linac 4</t>
  </si>
  <si>
    <t>bedieningsruimte Linac 5</t>
  </si>
  <si>
    <t>bedieningsruimte Linac 6</t>
  </si>
  <si>
    <t>bedieningsruimte Linac 7</t>
  </si>
  <si>
    <t>bedieningsruimte Linac 8</t>
  </si>
  <si>
    <t>bedieningsruimte Linac 9</t>
  </si>
  <si>
    <t>bedieningsruimte Linac 10</t>
  </si>
  <si>
    <t>ingang labyrint linac 1</t>
  </si>
  <si>
    <t>ingang labyrint linac 3</t>
  </si>
  <si>
    <t>ingang labyrint linac 4</t>
  </si>
  <si>
    <t>ingang labyrint linac 5</t>
  </si>
  <si>
    <t>ingang labyrint linac 6</t>
  </si>
  <si>
    <t>ingang labyrint linac 7</t>
  </si>
  <si>
    <t>ingang labyrint linac 8</t>
  </si>
  <si>
    <t>ingang labyrint linac 9</t>
  </si>
  <si>
    <t>ingang labyrint linac 10</t>
  </si>
  <si>
    <t>ingang labyrint linac 2</t>
  </si>
  <si>
    <t>vrij te kiezen</t>
  </si>
  <si>
    <t>vrij</t>
  </si>
  <si>
    <t>Bronnen die niet van toepassing zijn: rijen verwijderen</t>
  </si>
  <si>
    <t>overige bronnen</t>
  </si>
  <si>
    <t>linacs die er niet zijn: rijen verwijderen</t>
  </si>
  <si>
    <t>punten toevoegen: blokje kopieren en tussenvoegen</t>
  </si>
  <si>
    <t>linacs die er niet zijn: rijen in het blokje verwijderen</t>
  </si>
  <si>
    <t>Lx-punten die er niet zijn: hele blok verwijderen door de rijen te verwijderen</t>
  </si>
  <si>
    <t>Bx-punten die er niet zijn: hele blok verwijderen door de rijen te verwijderen</t>
  </si>
  <si>
    <t>Tx-punten die er niet zijn: hele blok verwijderen door de rijen te verwijderen</t>
  </si>
  <si>
    <t>lek direct</t>
  </si>
  <si>
    <t>primair direct</t>
  </si>
  <si>
    <t>bedieningsruimte Orthovolt</t>
  </si>
  <si>
    <t>bedieningsruimte HDR</t>
  </si>
  <si>
    <t>bedieningsruimte PDR</t>
  </si>
  <si>
    <t>per scan</t>
  </si>
  <si>
    <t>per fractie</t>
  </si>
  <si>
    <t>labyrint &lt; 5 m (kort)</t>
  </si>
  <si>
    <t>labyrint &gt; 5 m (lang)</t>
  </si>
  <si>
    <t>tbv transmissie deur aan begin labyrint</t>
  </si>
  <si>
    <t>fotonen</t>
  </si>
  <si>
    <r>
      <t>K (capture gamma-capture dosis/neutronenfluentie in punt A (Sv m</t>
    </r>
    <r>
      <rPr>
        <vertAlign val="superscript"/>
        <sz val="11"/>
        <color theme="1"/>
        <rFont val="Arial"/>
        <family val="2"/>
      </rPr>
      <t>2</t>
    </r>
    <r>
      <rPr>
        <sz val="11"/>
        <color theme="1"/>
        <rFont val="Arial"/>
        <family val="2"/>
      </rPr>
      <t>)</t>
    </r>
  </si>
  <si>
    <r>
      <t>TVD</t>
    </r>
    <r>
      <rPr>
        <vertAlign val="subscript"/>
        <sz val="11"/>
        <color theme="1"/>
        <rFont val="Arial"/>
        <family val="2"/>
      </rPr>
      <t>cg (m)</t>
    </r>
  </si>
  <si>
    <t>tbv dosis tgv capture-gamma fotonen (vanaf 15 MV)</t>
  </si>
  <si>
    <t>Verwijder de tabbladen van toestellen en bronnen die niet nodig zijn.</t>
  </si>
  <si>
    <t>2.</t>
  </si>
  <si>
    <t>3.</t>
  </si>
  <si>
    <t>Werk op het tabblad “samenvatting” de naamgeving van de punten en de omschrijving bij.</t>
  </si>
  <si>
    <t>4.</t>
  </si>
  <si>
    <t xml:space="preserve">Vul het tabblad “samenvatting” aan met het toegevoegde toestel of bron. </t>
  </si>
  <si>
    <t>5.</t>
  </si>
  <si>
    <t>6.</t>
  </si>
  <si>
    <t>Vul in het blokje “gebruikte TVT” de toe te passen waarden in voor de TVT’s (tenth value thickness).</t>
  </si>
  <si>
    <t>Vul in het blokje “gebruikte reflectiecoëfficiënten” de toe te passen waarden voor de reflectiecoëfficiënten in.</t>
  </si>
  <si>
    <t>Op dit tabblad is een selectie van reflectiecoëfficiënten uit de literatuur gegeven.</t>
  </si>
  <si>
    <t>8.</t>
  </si>
  <si>
    <t>Vul in het blokje “gebruikte scatterfactoren” de toe te passen waarden voor de scatterfactoren in.</t>
  </si>
  <si>
    <t>Op dit tabblad is een selectie van scatterfactoren uit de literatuur gegeven.</t>
  </si>
  <si>
    <t xml:space="preserve">Invullen Rekensheet </t>
  </si>
  <si>
    <t xml:space="preserve">1. </t>
  </si>
  <si>
    <t>Het password is: ncsrt </t>
  </si>
  <si>
    <t>Werk op het tabblad van een toestel of bron de naam van het toestel of de bron bij (cel C3)</t>
  </si>
  <si>
    <t>Voeg ontbrekende toestellen en bronnen toe: kopieer hiervoor een bestaand toestel of bron</t>
  </si>
  <si>
    <t>Als het een rekenpunt van een versneller betreft dan het toegevoegde rekenpunt punt op elk versneller tabblad toegevoegen.</t>
  </si>
  <si>
    <t xml:space="preserve">Extra rekenpunten toevoegen: kopieer op het tabblad van een toestel of bron een bestaand punt en voeg deze in. </t>
  </si>
  <si>
    <t xml:space="preserve">Vul het tabblad “samenvatting” aan met het toegevoegde rekenpunt. </t>
  </si>
  <si>
    <t xml:space="preserve">De (grote) variatie laat zien dat het (bijna) onmogelijk is voor de NCS om getalswaarden op te leggen voor de te gebruiken TVT. </t>
  </si>
  <si>
    <t xml:space="preserve">Op dit tabblad is een selectie van TVT’s uit de rapporten/literatuur, gebruikers en fabrikanten gegeven. </t>
  </si>
  <si>
    <t>Leidend kunnen zijn de TVT’s zoals toegepast bij de afschermingsberekening ten tijde van ingebruik name van het toestel of bron, of geupdate waarden uit recentere rapporten.</t>
  </si>
  <si>
    <t>Tabblad "Reflectiecoefficienten"</t>
  </si>
  <si>
    <t>note: Elekta FFF de niet-FFF waarden gebruiken</t>
  </si>
  <si>
    <t>NCRP 151 + FFF uit Kry (varian toestellen)</t>
  </si>
  <si>
    <t>Er zijn alleen reflectiecoefficienten voor inval op beton gegeven</t>
  </si>
  <si>
    <t>Tabblad "TVT's afscherming"</t>
  </si>
  <si>
    <t>Tabblad "patientscatterfactoren"</t>
  </si>
  <si>
    <t xml:space="preserve">Toegepaste TVT </t>
  </si>
  <si>
    <t>Gepubliceerde patientscatterfactoren</t>
  </si>
  <si>
    <t>Note voor Eleta toestellen: de FFF getalswaarden voor Varian toestellen gebruiken.</t>
  </si>
  <si>
    <t>7.</t>
  </si>
  <si>
    <t>9.</t>
  </si>
  <si>
    <t>10.</t>
  </si>
  <si>
    <t>11.</t>
  </si>
  <si>
    <t>NCS Rekensheet aanpassen eigen situatie :</t>
  </si>
  <si>
    <t xml:space="preserve">en de </t>
  </si>
  <si>
    <t>ingevuld worden</t>
  </si>
  <si>
    <r>
      <t xml:space="preserve">Bij de periodieke update alleen de </t>
    </r>
    <r>
      <rPr>
        <sz val="11"/>
        <color rgb="FF92D050"/>
        <rFont val="Arial"/>
        <family val="2"/>
      </rPr>
      <t/>
    </r>
  </si>
  <si>
    <t>opnieuw invullen</t>
  </si>
  <si>
    <r>
      <t xml:space="preserve">Bij de eerste keer invullen moeten de </t>
    </r>
    <r>
      <rPr>
        <sz val="11"/>
        <color rgb="FF92D050"/>
        <rFont val="Arial"/>
        <family val="2"/>
      </rPr>
      <t/>
    </r>
  </si>
  <si>
    <t>niet gebruikte energieen: maak de cellen van de niet gebruikte energieen op rij 4 leeg</t>
  </si>
  <si>
    <t>Voor gevorderden:</t>
  </si>
  <si>
    <t>hierna zullen de TVT's een dusdanig lage waarde krijgen en de reflectiecoefficienten en patienscatterfactoren op nul worden gezet zodat deze niet bestaande energie niet meer meedoet.</t>
  </si>
  <si>
    <t xml:space="preserve">de kolommen van de niet bestaande energie kunnen verwijderd worden maar dan moet de sommatie van het dosistempo bijgewerkt worden </t>
  </si>
  <si>
    <t xml:space="preserve">Elk  tablad is beveiligd met een password zodat essentiële cellen niet per ongeluk overschreven kunnen worden. </t>
  </si>
  <si>
    <t>Elekta FFF: de niet-FFF waarden gebruiken</t>
  </si>
  <si>
    <t>groene</t>
  </si>
  <si>
    <t>oranje</t>
  </si>
  <si>
    <t xml:space="preserve">De NCS heeft 10 lineaire versnellers, met 5 energieën, voorgedefinieerd. Het toevoegen van een extra versneller is op eigen risico </t>
  </si>
  <si>
    <t>Verwijder op het tabblad “samenvatting” alle toestellen en bronnen die niet nodig zijn.</t>
  </si>
  <si>
    <t>Verwijder daarvoor alle rijen die betrekking hebben op toestel/bronnen en rekenpunten die er niet zijn</t>
  </si>
  <si>
    <t>Tabblad voor versneller aanpassen (en Orthovolt)</t>
  </si>
  <si>
    <t>Als de primaire bundel een rekenpunt niet aanstraald (richtingsfactor, Fr = 0) dan kan de rij, op het tabblad van de versneller verwijderd worden.</t>
  </si>
  <si>
    <t>Als een versneller een rekenpunt vanwege grote afstand en/of tussenliggende afscherming niet aanstraald (verwaarloosbare bijdrage) dan kunnen de rijen van dit rekenpunt verwijderd worden.</t>
  </si>
  <si>
    <t>vervolgens op tabblad "samenvatting" de rij met de versneller bij het betreffende rekenpunt verwijderen.</t>
  </si>
  <si>
    <t xml:space="preserve">12. </t>
  </si>
  <si>
    <t xml:space="preserve">Het is aan te bevelen om de uitkomsten van de NCS rekensheet te vergelijken met eigen metingen. </t>
  </si>
  <si>
    <t>I-125 zaadjes bereider</t>
  </si>
  <si>
    <t>I-125 implantateerder</t>
  </si>
  <si>
    <t>Terreingrensdosis</t>
  </si>
  <si>
    <t>Uit RIAS-NG (2012), pg 25:</t>
  </si>
  <si>
    <t>Ontleend aan RIAS-NG 2012</t>
  </si>
  <si>
    <t>Uit: Bos (overgenomen uit ICRP-74, tabel A.17)</t>
  </si>
  <si>
    <t>dosisberekening potentiele blootstelling</t>
  </si>
  <si>
    <t>dosisberekening reguliere blootstelling</t>
  </si>
  <si>
    <t>eenmalig in te vullen cel met een aanwijzing</t>
  </si>
  <si>
    <r>
      <t>T</t>
    </r>
    <r>
      <rPr>
        <vertAlign val="subscript"/>
        <sz val="11"/>
        <color indexed="8"/>
        <rFont val="Arial"/>
        <family val="2"/>
      </rPr>
      <t>neutronen head shielding</t>
    </r>
    <r>
      <rPr>
        <sz val="11"/>
        <color indexed="8"/>
        <rFont val="Arial"/>
        <family val="2"/>
      </rPr>
      <t xml:space="preserve"> (β)</t>
    </r>
  </si>
  <si>
    <t>Het tabblad "Overzicht tbv RI&amp;E" is niet beveiligd: dit tabblad is een voorbeeld van hoe de resultaten geprensteerd kunnen worden.</t>
  </si>
  <si>
    <t>Versie december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</si>
</sst>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quot;€&quot;\ * #,##0.00_-;_-&quot;€&quot;\ * #,##0.00\-;_-&quot;€&quot;\ * &quot;-&quot;??_-;_-@_-"/>
    <numFmt numFmtId="165" formatCode="0.0E+00"/>
    <numFmt numFmtId="166" formatCode="0.0"/>
    <numFmt numFmtId="167" formatCode="0.000"/>
    <numFmt numFmtId="168" formatCode="0.0000"/>
    <numFmt numFmtId="169" formatCode="0.000E+00"/>
    <numFmt numFmtId="170" formatCode="#_-&quot;mm&quot;"/>
    <numFmt numFmtId="171" formatCode="&quot;fl&quot;\ #,##0_-;&quot;fl&quot;\ #,##0\-"/>
    <numFmt numFmtId="172" formatCode="0.00000"/>
    <numFmt numFmtId="173" formatCode="0.000000E+00"/>
    <numFmt numFmtId="174" formatCode="0.0000E+00"/>
  </numFmts>
  <fonts count="70" x14ac:knownFonts="1">
    <font>
      <sz val="11"/>
      <color theme="1"/>
      <name val="Calibri"/>
      <family val="2"/>
      <scheme val="minor"/>
    </font>
    <font>
      <sz val="11"/>
      <color indexed="8"/>
      <name val="Calibri"/>
      <family val="2"/>
    </font>
    <font>
      <sz val="11"/>
      <color indexed="10"/>
      <name val="Calibri"/>
      <family val="2"/>
    </font>
    <font>
      <sz val="10"/>
      <name val="Arial"/>
      <family val="2"/>
    </font>
    <font>
      <b/>
      <sz val="10"/>
      <name val="Arial"/>
      <family val="2"/>
    </font>
    <font>
      <sz val="10"/>
      <color indexed="10"/>
      <name val="Arial"/>
      <family val="2"/>
    </font>
    <font>
      <b/>
      <sz val="11"/>
      <color indexed="8"/>
      <name val="Calibri"/>
      <family val="2"/>
    </font>
    <font>
      <vertAlign val="subscript"/>
      <sz val="11"/>
      <color indexed="8"/>
      <name val="Calibri"/>
      <family val="2"/>
    </font>
    <font>
      <sz val="11"/>
      <color indexed="8"/>
      <name val="Arial"/>
      <family val="2"/>
    </font>
    <font>
      <sz val="11"/>
      <name val="Arial"/>
      <family val="2"/>
    </font>
    <font>
      <b/>
      <sz val="12"/>
      <name val="Arial"/>
      <family val="2"/>
    </font>
    <font>
      <sz val="10"/>
      <name val="Arial"/>
      <family val="2"/>
    </font>
    <font>
      <sz val="12"/>
      <name val="Arial"/>
      <family val="2"/>
    </font>
    <font>
      <b/>
      <sz val="20"/>
      <name val="Arial"/>
      <family val="2"/>
    </font>
    <font>
      <b/>
      <sz val="18"/>
      <name val="Arial"/>
      <family val="2"/>
    </font>
    <font>
      <b/>
      <sz val="12"/>
      <name val="Arial"/>
      <family val="2"/>
    </font>
    <font>
      <sz val="8"/>
      <color indexed="81"/>
      <name val="Tahoma"/>
      <family val="2"/>
    </font>
    <font>
      <b/>
      <sz val="8"/>
      <color indexed="81"/>
      <name val="Tahoma"/>
      <family val="2"/>
    </font>
    <font>
      <b/>
      <sz val="20"/>
      <color indexed="8"/>
      <name val="Arial"/>
      <family val="2"/>
    </font>
    <font>
      <sz val="10"/>
      <name val="Arial"/>
      <family val="2"/>
    </font>
    <font>
      <b/>
      <sz val="11"/>
      <name val="Arial"/>
      <family val="2"/>
    </font>
    <font>
      <b/>
      <sz val="14"/>
      <color indexed="8"/>
      <name val="Arial"/>
      <family val="2"/>
    </font>
    <font>
      <sz val="11"/>
      <color indexed="10"/>
      <name val="Arial"/>
      <family val="2"/>
    </font>
    <font>
      <sz val="12"/>
      <color indexed="8"/>
      <name val="Arial"/>
      <family val="2"/>
    </font>
    <font>
      <b/>
      <sz val="14"/>
      <name val="Arial"/>
      <family val="2"/>
    </font>
    <font>
      <sz val="14"/>
      <name val="Arial"/>
      <family val="2"/>
    </font>
    <font>
      <sz val="12"/>
      <color indexed="10"/>
      <name val="Arial"/>
      <family val="2"/>
    </font>
    <font>
      <b/>
      <sz val="11"/>
      <color indexed="8"/>
      <name val="Arial"/>
      <family val="2"/>
    </font>
    <font>
      <b/>
      <sz val="14"/>
      <color indexed="10"/>
      <name val="Arial"/>
      <family val="2"/>
    </font>
    <font>
      <vertAlign val="superscript"/>
      <sz val="11"/>
      <name val="Arial"/>
      <family val="2"/>
    </font>
    <font>
      <sz val="14"/>
      <color indexed="8"/>
      <name val="Arial"/>
      <family val="2"/>
    </font>
    <font>
      <sz val="11"/>
      <name val="Calibri"/>
      <family val="2"/>
    </font>
    <font>
      <vertAlign val="subscript"/>
      <sz val="11"/>
      <color indexed="8"/>
      <name val="Arial"/>
      <family val="2"/>
    </font>
    <font>
      <vertAlign val="superscript"/>
      <sz val="11"/>
      <color indexed="8"/>
      <name val="Arial"/>
      <family val="2"/>
    </font>
    <font>
      <i/>
      <sz val="11"/>
      <name val="Arial"/>
      <family val="2"/>
    </font>
    <font>
      <sz val="11"/>
      <color indexed="9"/>
      <name val="Arial"/>
      <family val="2"/>
    </font>
    <font>
      <b/>
      <sz val="20"/>
      <color indexed="9"/>
      <name val="Arial"/>
      <family val="2"/>
    </font>
    <font>
      <vertAlign val="subscript"/>
      <sz val="11"/>
      <name val="Arial"/>
      <family val="2"/>
    </font>
    <font>
      <vertAlign val="superscript"/>
      <sz val="11"/>
      <color indexed="8"/>
      <name val="Calibri"/>
      <family val="2"/>
    </font>
    <font>
      <sz val="11"/>
      <color indexed="17"/>
      <name val="Arial"/>
      <family val="2"/>
    </font>
    <font>
      <vertAlign val="subscript"/>
      <sz val="10"/>
      <name val="Arial"/>
      <family val="2"/>
    </font>
    <font>
      <sz val="8"/>
      <color indexed="8"/>
      <name val="Arial"/>
      <family val="2"/>
    </font>
    <font>
      <sz val="12"/>
      <color indexed="8"/>
      <name val="Calibri"/>
      <family val="2"/>
    </font>
    <font>
      <sz val="16"/>
      <color indexed="8"/>
      <name val="Calibri"/>
      <family val="2"/>
    </font>
    <font>
      <sz val="8"/>
      <color indexed="8"/>
      <name val="Calibri"/>
      <family val="2"/>
    </font>
    <font>
      <b/>
      <sz val="12"/>
      <color indexed="8"/>
      <name val="Arial"/>
      <family val="2"/>
    </font>
    <font>
      <b/>
      <sz val="12"/>
      <color indexed="10"/>
      <name val="Arial"/>
      <family val="2"/>
    </font>
    <font>
      <b/>
      <sz val="11"/>
      <color indexed="10"/>
      <name val="Arial"/>
      <family val="2"/>
    </font>
    <font>
      <sz val="36"/>
      <color indexed="8"/>
      <name val="Arial"/>
      <family val="2"/>
    </font>
    <font>
      <sz val="16"/>
      <color indexed="8"/>
      <name val="Arial"/>
      <family val="2"/>
    </font>
    <font>
      <sz val="8.4"/>
      <color indexed="8"/>
      <name val="Arial"/>
      <family val="2"/>
    </font>
    <font>
      <sz val="9"/>
      <color indexed="81"/>
      <name val="Tahoma"/>
      <family val="2"/>
    </font>
    <font>
      <b/>
      <sz val="9"/>
      <color indexed="81"/>
      <name val="Tahoma"/>
      <family val="2"/>
    </font>
    <font>
      <b/>
      <sz val="14"/>
      <color theme="1"/>
      <name val="Arial"/>
      <family val="2"/>
    </font>
    <font>
      <sz val="11"/>
      <color theme="1"/>
      <name val="Arial"/>
      <family val="2"/>
    </font>
    <font>
      <sz val="12"/>
      <color theme="1"/>
      <name val="Arial"/>
      <family val="2"/>
    </font>
    <font>
      <sz val="16"/>
      <color theme="1"/>
      <name val="Calibri"/>
      <family val="2"/>
      <scheme val="minor"/>
    </font>
    <font>
      <sz val="11"/>
      <color rgb="FFFFC000"/>
      <name val="Arial"/>
      <family val="2"/>
    </font>
    <font>
      <sz val="11"/>
      <color rgb="FF0070C0"/>
      <name val="Arial"/>
      <family val="2"/>
    </font>
    <font>
      <sz val="11"/>
      <color rgb="FF00C050"/>
      <name val="Arial"/>
      <family val="2"/>
    </font>
    <font>
      <vertAlign val="superscript"/>
      <sz val="11"/>
      <color rgb="FFFFC000"/>
      <name val="Arial"/>
      <family val="2"/>
    </font>
    <font>
      <sz val="11"/>
      <color rgb="FFC00000"/>
      <name val="Arial"/>
      <family val="2"/>
    </font>
    <font>
      <sz val="14"/>
      <color rgb="FFFF0000"/>
      <name val="Arial"/>
      <family val="2"/>
    </font>
    <font>
      <vertAlign val="superscript"/>
      <sz val="11"/>
      <color theme="1"/>
      <name val="Arial"/>
      <family val="2"/>
    </font>
    <font>
      <vertAlign val="subscript"/>
      <sz val="11"/>
      <color theme="1"/>
      <name val="Arial"/>
      <family val="2"/>
    </font>
    <font>
      <b/>
      <sz val="11"/>
      <color theme="1"/>
      <name val="Arial"/>
      <family val="2"/>
    </font>
    <font>
      <sz val="11"/>
      <color rgb="FF92D050"/>
      <name val="Arial"/>
      <family val="2"/>
    </font>
    <font>
      <b/>
      <sz val="20"/>
      <color indexed="8"/>
      <name val="Calibri"/>
      <family val="2"/>
    </font>
    <font>
      <b/>
      <sz val="20"/>
      <color theme="1"/>
      <name val="Calibri"/>
      <family val="2"/>
      <scheme val="minor"/>
    </font>
    <font>
      <sz val="10"/>
      <color indexed="8"/>
      <name val="Arial"/>
      <family val="2"/>
    </font>
  </fonts>
  <fills count="19">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10"/>
        <bgColor indexed="64"/>
      </patternFill>
    </fill>
    <fill>
      <patternFill patternType="solid">
        <fgColor indexed="31"/>
        <bgColor indexed="64"/>
      </patternFill>
    </fill>
    <fill>
      <patternFill patternType="solid">
        <fgColor indexed="8"/>
        <bgColor indexed="64"/>
      </patternFill>
    </fill>
    <fill>
      <patternFill patternType="solid">
        <fgColor indexed="44"/>
        <bgColor indexed="64"/>
      </patternFill>
    </fill>
    <fill>
      <patternFill patternType="solid">
        <fgColor indexed="42"/>
        <bgColor indexed="64"/>
      </patternFill>
    </fill>
    <fill>
      <patternFill patternType="solid">
        <fgColor indexed="51"/>
        <bgColor indexed="64"/>
      </patternFill>
    </fill>
    <fill>
      <patternFill patternType="solid">
        <fgColor rgb="FFCCCCFF"/>
        <bgColor indexed="64"/>
      </patternFill>
    </fill>
    <fill>
      <patternFill patternType="solid">
        <fgColor rgb="FF99CCFF"/>
        <bgColor indexed="64"/>
      </patternFill>
    </fill>
    <fill>
      <patternFill patternType="solid">
        <fgColor rgb="FFFFC000"/>
        <bgColor indexed="64"/>
      </patternFill>
    </fill>
    <fill>
      <patternFill patternType="solid">
        <fgColor theme="5" tint="0.79998168889431442"/>
        <bgColor indexed="64"/>
      </patternFill>
    </fill>
    <fill>
      <patternFill patternType="solid">
        <fgColor rgb="FFCCFFCC"/>
        <bgColor indexed="64"/>
      </patternFill>
    </fill>
    <fill>
      <patternFill patternType="solid">
        <fgColor theme="0" tint="-0.14999847407452621"/>
        <bgColor indexed="64"/>
      </patternFill>
    </fill>
    <fill>
      <patternFill patternType="solid">
        <fgColor rgb="FF92D050"/>
        <bgColor indexed="64"/>
      </patternFill>
    </fill>
    <fill>
      <patternFill patternType="solid">
        <fgColor rgb="FF00B050"/>
        <bgColor indexed="64"/>
      </patternFill>
    </fill>
    <fill>
      <patternFill patternType="solid">
        <fgColor rgb="FF00C050"/>
        <bgColor indexed="64"/>
      </patternFill>
    </fill>
  </fills>
  <borders count="163">
    <border>
      <left/>
      <right/>
      <top/>
      <bottom/>
      <diagonal/>
    </border>
    <border>
      <left/>
      <right/>
      <top style="double">
        <color indexed="8"/>
      </top>
      <bottom/>
      <diagonal/>
    </border>
    <border>
      <left/>
      <right style="medium">
        <color indexed="64"/>
      </right>
      <top/>
      <bottom style="medium">
        <color indexed="64"/>
      </bottom>
      <diagonal/>
    </border>
    <border>
      <left/>
      <right/>
      <top style="thin">
        <color indexed="64"/>
      </top>
      <bottom/>
      <diagonal/>
    </border>
    <border>
      <left style="medium">
        <color indexed="64"/>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right style="medium">
        <color indexed="64"/>
      </right>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dashed">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ashed">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dashed">
        <color indexed="64"/>
      </top>
      <bottom style="thin">
        <color indexed="64"/>
      </bottom>
      <diagonal/>
    </border>
    <border>
      <left style="thin">
        <color indexed="64"/>
      </left>
      <right/>
      <top style="thin">
        <color indexed="64"/>
      </top>
      <bottom style="dashed">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dashed">
        <color indexed="64"/>
      </top>
      <bottom style="thin">
        <color indexed="64"/>
      </bottom>
      <diagonal/>
    </border>
    <border>
      <left/>
      <right/>
      <top style="thin">
        <color auto="1"/>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medium">
        <color indexed="64"/>
      </bottom>
      <diagonal/>
    </border>
    <border>
      <left style="dashed">
        <color indexed="64"/>
      </left>
      <right style="dashed">
        <color indexed="64"/>
      </right>
      <top style="medium">
        <color indexed="64"/>
      </top>
      <bottom/>
      <diagonal/>
    </border>
    <border>
      <left style="dashed">
        <color indexed="64"/>
      </left>
      <right style="dashed">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top/>
      <bottom style="thin">
        <color indexed="64"/>
      </bottom>
      <diagonal/>
    </border>
    <border>
      <left style="thin">
        <color indexed="64"/>
      </left>
      <right style="thin">
        <color indexed="64"/>
      </right>
      <top style="thin">
        <color indexed="64"/>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thin">
        <color indexed="64"/>
      </top>
      <bottom/>
      <diagonal/>
    </border>
    <border>
      <left style="thin">
        <color auto="1"/>
      </left>
      <right style="medium">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style="thin">
        <color indexed="64"/>
      </left>
      <right style="thin">
        <color indexed="64"/>
      </right>
      <top/>
      <bottom style="thin">
        <color auto="1"/>
      </bottom>
      <diagonal/>
    </border>
    <border>
      <left style="medium">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auto="1"/>
      </top>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style="thin">
        <color auto="1"/>
      </top>
      <bottom style="thin">
        <color indexed="64"/>
      </bottom>
      <diagonal/>
    </border>
    <border>
      <left style="thin">
        <color indexed="64"/>
      </left>
      <right/>
      <top style="thin">
        <color indexed="64"/>
      </top>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medium">
        <color indexed="64"/>
      </right>
      <top style="thin">
        <color indexed="64"/>
      </top>
      <bottom style="dashed">
        <color indexed="64"/>
      </bottom>
      <diagonal/>
    </border>
    <border>
      <left style="thin">
        <color indexed="64"/>
      </left>
      <right style="medium">
        <color rgb="FFFF0000"/>
      </right>
      <top style="thin">
        <color indexed="64"/>
      </top>
      <bottom/>
      <diagonal/>
    </border>
    <border>
      <left style="thin">
        <color indexed="64"/>
      </left>
      <right style="medium">
        <color rgb="FFFF0000"/>
      </right>
      <top/>
      <bottom style="thin">
        <color indexed="64"/>
      </bottom>
      <diagonal/>
    </border>
  </borders>
  <cellStyleXfs count="18">
    <xf numFmtId="0" fontId="0" fillId="0" borderId="0"/>
    <xf numFmtId="3"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2" fontId="11" fillId="0" borderId="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1" fillId="0" borderId="0" applyNumberFormat="0" applyFill="0" applyBorder="0" applyAlignment="0" applyProtection="0"/>
    <xf numFmtId="0" fontId="3" fillId="0" borderId="0" applyNumberFormat="0" applyFont="0" applyFill="0" applyBorder="0" applyProtection="0"/>
    <xf numFmtId="9" fontId="1" fillId="0" borderId="0" applyFont="0" applyFill="0" applyBorder="0" applyAlignment="0" applyProtection="0"/>
    <xf numFmtId="9" fontId="11" fillId="0" borderId="0" applyFont="0" applyFill="0" applyBorder="0" applyAlignment="0" applyProtection="0"/>
    <xf numFmtId="0" fontId="11" fillId="0" borderId="0"/>
    <xf numFmtId="0" fontId="3" fillId="0" borderId="0"/>
    <xf numFmtId="0" fontId="19" fillId="0" borderId="0"/>
    <xf numFmtId="0" fontId="3" fillId="0" borderId="0"/>
    <xf numFmtId="0" fontId="11" fillId="0" borderId="0">
      <alignment vertical="top"/>
    </xf>
    <xf numFmtId="0" fontId="11" fillId="0" borderId="1" applyNumberFormat="0" applyFont="0" applyFill="0" applyAlignment="0" applyProtection="0"/>
    <xf numFmtId="164" fontId="11" fillId="0" borderId="0" applyFont="0" applyFill="0" applyBorder="0" applyAlignment="0" applyProtection="0"/>
  </cellStyleXfs>
  <cellXfs count="2128">
    <xf numFmtId="0" fontId="0" fillId="0" borderId="0" xfId="0"/>
    <xf numFmtId="0" fontId="8" fillId="2" borderId="0" xfId="0" applyFont="1" applyFill="1"/>
    <xf numFmtId="0" fontId="27" fillId="2" borderId="0" xfId="0" applyFont="1" applyFill="1"/>
    <xf numFmtId="0" fontId="8" fillId="2" borderId="16" xfId="0" applyFont="1" applyFill="1" applyBorder="1"/>
    <xf numFmtId="0" fontId="8" fillId="2" borderId="17" xfId="0" applyFont="1" applyFill="1" applyBorder="1"/>
    <xf numFmtId="0" fontId="3" fillId="2" borderId="0" xfId="15" applyFont="1" applyFill="1" applyBorder="1" applyAlignment="1" applyProtection="1">
      <alignment horizontal="center" textRotation="90" wrapText="1"/>
    </xf>
    <xf numFmtId="0" fontId="4" fillId="2" borderId="0" xfId="15" applyFont="1" applyFill="1" applyBorder="1" applyAlignment="1" applyProtection="1">
      <alignment horizontal="center" textRotation="90" wrapText="1"/>
    </xf>
    <xf numFmtId="2" fontId="4" fillId="2" borderId="0" xfId="17" applyNumberFormat="1" applyFont="1" applyFill="1" applyBorder="1" applyAlignment="1" applyProtection="1">
      <alignment horizontal="center" textRotation="90" wrapText="1"/>
    </xf>
    <xf numFmtId="0" fontId="3" fillId="2" borderId="0" xfId="15" applyFont="1" applyFill="1" applyAlignment="1" applyProtection="1">
      <alignment horizontal="center" textRotation="90" wrapText="1"/>
    </xf>
    <xf numFmtId="11" fontId="3" fillId="2" borderId="0" xfId="15" applyNumberFormat="1" applyFont="1" applyFill="1" applyAlignment="1" applyProtection="1">
      <alignment horizontal="center" textRotation="90" wrapText="1"/>
    </xf>
    <xf numFmtId="2" fontId="11" fillId="2" borderId="0" xfId="15" applyNumberFormat="1" applyFill="1" applyBorder="1" applyAlignment="1" applyProtection="1">
      <alignment horizontal="center"/>
    </xf>
    <xf numFmtId="11" fontId="11" fillId="2" borderId="0" xfId="0" applyNumberFormat="1" applyFont="1" applyFill="1" applyAlignment="1" applyProtection="1">
      <alignment horizontal="center"/>
    </xf>
    <xf numFmtId="167" fontId="11" fillId="2" borderId="0" xfId="11" applyNumberFormat="1" applyFill="1" applyAlignment="1" applyProtection="1">
      <alignment horizontal="center"/>
    </xf>
    <xf numFmtId="166" fontId="11" fillId="2" borderId="0" xfId="15" applyNumberFormat="1" applyFill="1" applyBorder="1" applyAlignment="1" applyProtection="1">
      <alignment horizontal="center"/>
    </xf>
    <xf numFmtId="0" fontId="8" fillId="2" borderId="0" xfId="0" applyFont="1" applyFill="1" applyAlignment="1">
      <alignment wrapText="1"/>
    </xf>
    <xf numFmtId="0" fontId="35" fillId="6" borderId="8" xfId="0" applyFont="1" applyFill="1" applyBorder="1"/>
    <xf numFmtId="0" fontId="35" fillId="6" borderId="8" xfId="0" applyFont="1" applyFill="1" applyBorder="1" applyAlignment="1">
      <alignment wrapText="1"/>
    </xf>
    <xf numFmtId="0" fontId="36" fillId="6" borderId="7" xfId="11" applyFont="1" applyFill="1" applyBorder="1"/>
    <xf numFmtId="0" fontId="8" fillId="2" borderId="16" xfId="0" applyFont="1" applyFill="1" applyBorder="1" applyAlignment="1">
      <alignment wrapText="1"/>
    </xf>
    <xf numFmtId="0" fontId="8" fillId="2" borderId="17" xfId="0" applyFont="1" applyFill="1" applyBorder="1" applyAlignment="1">
      <alignment wrapText="1"/>
    </xf>
    <xf numFmtId="0" fontId="35" fillId="6" borderId="15" xfId="0" applyFont="1" applyFill="1" applyBorder="1"/>
    <xf numFmtId="0" fontId="35" fillId="6" borderId="15" xfId="0" applyFont="1" applyFill="1" applyBorder="1" applyAlignment="1">
      <alignment wrapText="1"/>
    </xf>
    <xf numFmtId="14" fontId="8" fillId="2" borderId="16" xfId="0" applyNumberFormat="1" applyFont="1" applyFill="1" applyBorder="1" applyAlignment="1">
      <alignment horizontal="left"/>
    </xf>
    <xf numFmtId="0" fontId="9" fillId="2" borderId="17" xfId="15" applyFont="1" applyFill="1" applyBorder="1" applyAlignment="1" applyProtection="1">
      <alignment horizontal="center" vertical="center" wrapText="1"/>
    </xf>
    <xf numFmtId="0" fontId="0" fillId="8" borderId="0" xfId="0" applyFill="1"/>
    <xf numFmtId="0" fontId="0" fillId="7" borderId="0" xfId="0" applyFill="1"/>
    <xf numFmtId="0" fontId="8" fillId="0" borderId="0" xfId="0" applyFont="1"/>
    <xf numFmtId="0" fontId="9" fillId="2" borderId="19" xfId="0" applyFont="1" applyFill="1" applyBorder="1" applyAlignment="1" applyProtection="1">
      <alignment horizontal="center"/>
    </xf>
    <xf numFmtId="166" fontId="9" fillId="2" borderId="19" xfId="0" applyNumberFormat="1" applyFont="1" applyFill="1" applyBorder="1" applyAlignment="1" applyProtection="1">
      <alignment horizontal="center"/>
    </xf>
    <xf numFmtId="11" fontId="9" fillId="2" borderId="0" xfId="10" applyNumberFormat="1" applyFont="1" applyFill="1" applyBorder="1" applyAlignment="1" applyProtection="1">
      <alignment horizontal="center"/>
    </xf>
    <xf numFmtId="0" fontId="9" fillId="2" borderId="41" xfId="15" applyFont="1" applyFill="1" applyBorder="1" applyAlignment="1" applyProtection="1">
      <alignment horizontal="center" vertical="center" wrapText="1"/>
    </xf>
    <xf numFmtId="169" fontId="8" fillId="7" borderId="43" xfId="0" applyNumberFormat="1" applyFont="1" applyFill="1" applyBorder="1" applyAlignment="1" applyProtection="1">
      <alignment horizontal="center"/>
    </xf>
    <xf numFmtId="166" fontId="8" fillId="7" borderId="26" xfId="0" applyNumberFormat="1" applyFont="1" applyFill="1" applyBorder="1" applyAlignment="1" applyProtection="1">
      <alignment horizontal="center"/>
    </xf>
    <xf numFmtId="2" fontId="8" fillId="7" borderId="58"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9" fillId="2" borderId="0" xfId="0" applyNumberFormat="1" applyFont="1" applyFill="1" applyBorder="1" applyAlignment="1" applyProtection="1">
      <alignment horizontal="center"/>
    </xf>
    <xf numFmtId="0" fontId="20" fillId="2" borderId="0" xfId="0" applyFont="1" applyFill="1" applyAlignment="1" applyProtection="1">
      <alignment horizontal="center"/>
    </xf>
    <xf numFmtId="0" fontId="8" fillId="2" borderId="0" xfId="0" applyFont="1" applyFill="1" applyProtection="1"/>
    <xf numFmtId="0" fontId="20" fillId="2" borderId="0" xfId="0" applyFont="1" applyFill="1" applyProtection="1"/>
    <xf numFmtId="0" fontId="0" fillId="2" borderId="0" xfId="0" applyFill="1" applyProtection="1"/>
    <xf numFmtId="0" fontId="8" fillId="2" borderId="0" xfId="0" applyFont="1" applyFill="1" applyBorder="1" applyProtection="1"/>
    <xf numFmtId="17" fontId="8" fillId="0" borderId="0" xfId="0" applyNumberFormat="1" applyFont="1"/>
    <xf numFmtId="2" fontId="8" fillId="7" borderId="15" xfId="0" applyNumberFormat="1" applyFont="1" applyFill="1" applyBorder="1" applyAlignment="1" applyProtection="1">
      <alignment horizontal="center" vertical="center"/>
    </xf>
    <xf numFmtId="2" fontId="8" fillId="7" borderId="3" xfId="0" applyNumberFormat="1" applyFont="1" applyFill="1" applyBorder="1" applyAlignment="1" applyProtection="1">
      <alignment horizontal="center" vertical="center"/>
    </xf>
    <xf numFmtId="2" fontId="8" fillId="7" borderId="48" xfId="0" applyNumberFormat="1" applyFont="1" applyFill="1" applyBorder="1" applyAlignment="1" applyProtection="1">
      <alignment horizontal="center" vertical="center"/>
    </xf>
    <xf numFmtId="2" fontId="9" fillId="2" borderId="48" xfId="15" applyNumberFormat="1" applyFont="1" applyFill="1" applyBorder="1" applyAlignment="1" applyProtection="1">
      <alignment horizontal="center" vertical="center"/>
    </xf>
    <xf numFmtId="2" fontId="9" fillId="2" borderId="59" xfId="15" applyNumberFormat="1" applyFont="1" applyFill="1" applyBorder="1" applyAlignment="1" applyProtection="1">
      <alignment horizontal="center" vertical="center"/>
    </xf>
    <xf numFmtId="166" fontId="9" fillId="2" borderId="58" xfId="15" applyNumberFormat="1" applyFont="1" applyFill="1" applyBorder="1" applyAlignment="1" applyProtection="1">
      <alignment horizontal="center" vertical="center"/>
    </xf>
    <xf numFmtId="168" fontId="9" fillId="0" borderId="9" xfId="0" applyNumberFormat="1" applyFont="1" applyFill="1" applyBorder="1" applyAlignment="1" applyProtection="1">
      <alignment horizontal="center" vertical="center"/>
    </xf>
    <xf numFmtId="168" fontId="9" fillId="0" borderId="19" xfId="0" applyNumberFormat="1" applyFont="1" applyFill="1" applyBorder="1" applyAlignment="1" applyProtection="1">
      <alignment horizontal="center" vertical="center"/>
    </xf>
    <xf numFmtId="168" fontId="9" fillId="0" borderId="18" xfId="0" applyNumberFormat="1" applyFont="1" applyFill="1" applyBorder="1" applyAlignment="1" applyProtection="1">
      <alignment horizontal="center" vertical="center"/>
    </xf>
    <xf numFmtId="11" fontId="9" fillId="0" borderId="19" xfId="10" applyNumberFormat="1" applyFont="1" applyFill="1" applyBorder="1" applyAlignment="1" applyProtection="1">
      <alignment horizontal="center" vertical="center"/>
    </xf>
    <xf numFmtId="0" fontId="54" fillId="0" borderId="0" xfId="0" applyFont="1"/>
    <xf numFmtId="0" fontId="9" fillId="2" borderId="94" xfId="0" applyFont="1" applyFill="1" applyBorder="1" applyAlignment="1" applyProtection="1">
      <alignment horizontal="center"/>
    </xf>
    <xf numFmtId="0" fontId="9" fillId="2" borderId="112" xfId="0" applyFont="1" applyFill="1" applyBorder="1" applyAlignment="1" applyProtection="1">
      <alignment horizontal="center"/>
    </xf>
    <xf numFmtId="0" fontId="9" fillId="2" borderId="137" xfId="0" applyFont="1" applyFill="1" applyBorder="1" applyAlignment="1" applyProtection="1">
      <alignment horizontal="center" vertical="center"/>
    </xf>
    <xf numFmtId="0" fontId="9" fillId="2" borderId="136"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136" xfId="0" applyFont="1" applyFill="1" applyBorder="1" applyAlignment="1" applyProtection="1">
      <alignment horizontal="center" vertical="center"/>
    </xf>
    <xf numFmtId="0" fontId="54" fillId="0" borderId="0" xfId="0" applyFont="1" applyAlignment="1">
      <alignment horizontal="justify" vertical="center"/>
    </xf>
    <xf numFmtId="0" fontId="54" fillId="0" borderId="0" xfId="0" applyFont="1" applyAlignment="1">
      <alignment horizontal="center" vertical="center"/>
    </xf>
    <xf numFmtId="0" fontId="54" fillId="0" borderId="0" xfId="0" applyFont="1" applyAlignment="1">
      <alignment horizontal="left" vertical="center"/>
    </xf>
    <xf numFmtId="0" fontId="54" fillId="16" borderId="0" xfId="0" applyFont="1" applyFill="1"/>
    <xf numFmtId="0" fontId="54" fillId="9" borderId="0" xfId="0" applyFont="1" applyFill="1"/>
    <xf numFmtId="0" fontId="54" fillId="0" borderId="0" xfId="0" applyFont="1" applyFill="1"/>
    <xf numFmtId="0" fontId="54" fillId="5" borderId="0" xfId="0" applyFont="1" applyFill="1"/>
    <xf numFmtId="0" fontId="65" fillId="0" borderId="0" xfId="0" applyFont="1" applyAlignment="1">
      <alignment horizontal="left" vertical="center"/>
    </xf>
    <xf numFmtId="0" fontId="0" fillId="12" borderId="144" xfId="0" applyFill="1" applyBorder="1"/>
    <xf numFmtId="2" fontId="8" fillId="7" borderId="29" xfId="0" applyNumberFormat="1" applyFont="1" applyFill="1" applyBorder="1" applyAlignment="1" applyProtection="1">
      <alignment horizontal="center" vertical="center"/>
    </xf>
    <xf numFmtId="2" fontId="8" fillId="7" borderId="61" xfId="0" applyNumberFormat="1" applyFont="1" applyFill="1" applyBorder="1" applyAlignment="1" applyProtection="1">
      <alignment horizontal="center" vertical="center"/>
    </xf>
    <xf numFmtId="0" fontId="54" fillId="13" borderId="0" xfId="0" applyFont="1" applyFill="1"/>
    <xf numFmtId="2" fontId="8" fillId="0" borderId="15" xfId="0" applyNumberFormat="1" applyFont="1" applyFill="1" applyBorder="1" applyAlignment="1" applyProtection="1">
      <alignment horizontal="center" vertical="center"/>
    </xf>
    <xf numFmtId="11" fontId="8" fillId="0" borderId="15" xfId="0" applyNumberFormat="1" applyFont="1" applyFill="1" applyBorder="1" applyAlignment="1" applyProtection="1">
      <alignment horizontal="center" vertical="center"/>
    </xf>
    <xf numFmtId="2" fontId="8" fillId="0" borderId="48" xfId="0" applyNumberFormat="1" applyFont="1" applyFill="1" applyBorder="1" applyAlignment="1" applyProtection="1">
      <alignment horizontal="center" vertical="center"/>
    </xf>
    <xf numFmtId="2" fontId="8" fillId="0" borderId="125" xfId="0" applyNumberFormat="1" applyFont="1" applyFill="1" applyBorder="1" applyAlignment="1" applyProtection="1">
      <alignment horizontal="center" vertical="center"/>
    </xf>
    <xf numFmtId="11" fontId="8" fillId="0" borderId="125" xfId="0" applyNumberFormat="1" applyFont="1" applyFill="1" applyBorder="1" applyAlignment="1" applyProtection="1">
      <alignment horizontal="center" vertical="center"/>
    </xf>
    <xf numFmtId="2" fontId="8" fillId="0" borderId="59" xfId="0" applyNumberFormat="1" applyFont="1" applyFill="1" applyBorder="1" applyAlignment="1" applyProtection="1">
      <alignment horizontal="center" vertical="center"/>
    </xf>
    <xf numFmtId="11" fontId="8" fillId="0" borderId="126" xfId="0" applyNumberFormat="1" applyFont="1" applyFill="1" applyBorder="1" applyAlignment="1" applyProtection="1">
      <alignment horizontal="center" vertical="center"/>
    </xf>
    <xf numFmtId="0" fontId="9" fillId="0" borderId="126" xfId="0" applyFont="1" applyFill="1" applyBorder="1" applyAlignment="1" applyProtection="1">
      <alignment horizontal="center" vertical="center"/>
    </xf>
    <xf numFmtId="0" fontId="9" fillId="0" borderId="128" xfId="0" applyFont="1" applyFill="1" applyBorder="1" applyAlignment="1" applyProtection="1">
      <alignment horizontal="center" vertical="center"/>
    </xf>
    <xf numFmtId="11" fontId="8" fillId="0" borderId="118" xfId="0" applyNumberFormat="1" applyFont="1" applyFill="1" applyBorder="1" applyAlignment="1" applyProtection="1">
      <alignment horizontal="center" vertical="center"/>
    </xf>
    <xf numFmtId="0" fontId="9" fillId="0" borderId="118" xfId="0" applyFont="1" applyFill="1" applyBorder="1" applyAlignment="1" applyProtection="1">
      <alignment horizontal="center" vertical="center"/>
    </xf>
    <xf numFmtId="2" fontId="8" fillId="0" borderId="126" xfId="0" applyNumberFormat="1" applyFont="1" applyFill="1" applyBorder="1" applyAlignment="1" applyProtection="1">
      <alignment horizontal="center" vertical="center"/>
    </xf>
    <xf numFmtId="2" fontId="8" fillId="0" borderId="127" xfId="0" applyNumberFormat="1" applyFont="1" applyFill="1" applyBorder="1" applyAlignment="1" applyProtection="1">
      <alignment horizontal="center" vertical="center"/>
    </xf>
    <xf numFmtId="2" fontId="8" fillId="0" borderId="130" xfId="0" applyNumberFormat="1" applyFont="1" applyFill="1" applyBorder="1" applyAlignment="1" applyProtection="1">
      <alignment horizontal="center" vertical="center"/>
    </xf>
    <xf numFmtId="11" fontId="8" fillId="0" borderId="130" xfId="0" applyNumberFormat="1" applyFont="1" applyFill="1" applyBorder="1" applyAlignment="1" applyProtection="1">
      <alignment horizontal="center" vertical="center"/>
    </xf>
    <xf numFmtId="2" fontId="8" fillId="0" borderId="133" xfId="0" applyNumberFormat="1" applyFont="1" applyFill="1" applyBorder="1" applyAlignment="1" applyProtection="1">
      <alignment horizontal="center" vertical="center"/>
    </xf>
    <xf numFmtId="11" fontId="8" fillId="0" borderId="132" xfId="0" applyNumberFormat="1" applyFont="1" applyFill="1" applyBorder="1" applyAlignment="1" applyProtection="1">
      <alignment horizontal="center" vertical="center"/>
    </xf>
    <xf numFmtId="2" fontId="8" fillId="0" borderId="132" xfId="0" applyNumberFormat="1" applyFont="1" applyFill="1" applyBorder="1" applyAlignment="1" applyProtection="1">
      <alignment horizontal="center" vertical="center"/>
    </xf>
    <xf numFmtId="0" fontId="9" fillId="0" borderId="125" xfId="0" applyFont="1" applyFill="1" applyBorder="1" applyAlignment="1" applyProtection="1">
      <alignment horizontal="center" vertical="center"/>
    </xf>
    <xf numFmtId="0" fontId="9" fillId="0" borderId="59" xfId="0" applyFont="1" applyFill="1" applyBorder="1" applyAlignment="1" applyProtection="1">
      <alignment horizontal="center" vertical="center"/>
    </xf>
    <xf numFmtId="2" fontId="8" fillId="0" borderId="136" xfId="0" applyNumberFormat="1" applyFont="1" applyFill="1" applyBorder="1" applyAlignment="1" applyProtection="1">
      <alignment horizontal="center" vertical="center"/>
    </xf>
    <xf numFmtId="11" fontId="8" fillId="2" borderId="136" xfId="0" applyNumberFormat="1" applyFont="1" applyFill="1" applyBorder="1" applyAlignment="1" applyProtection="1">
      <alignment horizontal="center" vertical="center"/>
    </xf>
    <xf numFmtId="2" fontId="8" fillId="2" borderId="136" xfId="0" applyNumberFormat="1" applyFont="1" applyFill="1" applyBorder="1" applyAlignment="1" applyProtection="1">
      <alignment horizontal="center" vertical="center"/>
    </xf>
    <xf numFmtId="2" fontId="8" fillId="2" borderId="59" xfId="0" applyNumberFormat="1" applyFont="1" applyFill="1" applyBorder="1" applyAlignment="1" applyProtection="1">
      <alignment horizontal="center" vertical="center"/>
    </xf>
    <xf numFmtId="2" fontId="9" fillId="2" borderId="136" xfId="0" applyNumberFormat="1" applyFont="1" applyFill="1" applyBorder="1" applyAlignment="1" applyProtection="1">
      <alignment horizontal="center" vertical="center"/>
    </xf>
    <xf numFmtId="2" fontId="9" fillId="2" borderId="59" xfId="0" applyNumberFormat="1" applyFont="1" applyFill="1" applyBorder="1" applyAlignment="1" applyProtection="1">
      <alignment horizontal="center" vertical="center"/>
    </xf>
    <xf numFmtId="11" fontId="8" fillId="0" borderId="136" xfId="0" applyNumberFormat="1" applyFont="1" applyFill="1" applyBorder="1" applyAlignment="1" applyProtection="1">
      <alignment horizontal="center" vertical="center"/>
    </xf>
    <xf numFmtId="2" fontId="9" fillId="0" borderId="136" xfId="0" applyNumberFormat="1" applyFont="1" applyFill="1" applyBorder="1" applyAlignment="1" applyProtection="1">
      <alignment horizontal="center" vertical="center"/>
    </xf>
    <xf numFmtId="2" fontId="9" fillId="0" borderId="59" xfId="0" applyNumberFormat="1" applyFont="1" applyFill="1" applyBorder="1" applyAlignment="1" applyProtection="1">
      <alignment horizontal="center" vertical="center"/>
    </xf>
    <xf numFmtId="2" fontId="8" fillId="2" borderId="43" xfId="0" applyNumberFormat="1" applyFont="1" applyFill="1" applyBorder="1" applyAlignment="1" applyProtection="1">
      <alignment horizontal="center" vertical="center"/>
    </xf>
    <xf numFmtId="11" fontId="8" fillId="2" borderId="43" xfId="0" applyNumberFormat="1" applyFont="1" applyFill="1" applyBorder="1" applyAlignment="1" applyProtection="1">
      <alignment horizontal="center" vertical="center"/>
    </xf>
    <xf numFmtId="2" fontId="9" fillId="2" borderId="43" xfId="0" applyNumberFormat="1" applyFont="1" applyFill="1" applyBorder="1" applyAlignment="1" applyProtection="1">
      <alignment horizontal="center" vertical="center"/>
    </xf>
    <xf numFmtId="2" fontId="9" fillId="2" borderId="58" xfId="0" applyNumberFormat="1" applyFont="1" applyFill="1" applyBorder="1" applyAlignment="1" applyProtection="1">
      <alignment horizontal="center" vertical="center"/>
    </xf>
    <xf numFmtId="2" fontId="8" fillId="0" borderId="0" xfId="0" applyNumberFormat="1" applyFont="1" applyFill="1" applyAlignment="1" applyProtection="1">
      <alignment horizontal="center" vertical="center"/>
    </xf>
    <xf numFmtId="2" fontId="8" fillId="0" borderId="156" xfId="0" applyNumberFormat="1" applyFont="1" applyFill="1" applyBorder="1" applyAlignment="1" applyProtection="1">
      <alignment horizontal="center" vertical="center"/>
    </xf>
    <xf numFmtId="11" fontId="8" fillId="0" borderId="156" xfId="0" applyNumberFormat="1" applyFont="1" applyFill="1" applyBorder="1" applyAlignment="1" applyProtection="1">
      <alignment horizontal="center" vertical="center"/>
    </xf>
    <xf numFmtId="0" fontId="8" fillId="15" borderId="0" xfId="0" applyFont="1" applyFill="1" applyBorder="1" applyAlignment="1" applyProtection="1">
      <alignment horizontal="center" vertical="center" wrapText="1"/>
    </xf>
    <xf numFmtId="0" fontId="8" fillId="15" borderId="86" xfId="0" applyFont="1" applyFill="1" applyBorder="1" applyAlignment="1" applyProtection="1">
      <alignment horizontal="center" vertical="center" wrapText="1"/>
    </xf>
    <xf numFmtId="166" fontId="9" fillId="15" borderId="86" xfId="0" applyNumberFormat="1" applyFont="1" applyFill="1" applyBorder="1" applyAlignment="1" applyProtection="1">
      <alignment horizontal="center" vertical="center"/>
    </xf>
    <xf numFmtId="0" fontId="0" fillId="15" borderId="39" xfId="0" applyFill="1" applyBorder="1" applyAlignment="1" applyProtection="1">
      <alignment horizontal="center" vertical="center"/>
    </xf>
    <xf numFmtId="0" fontId="8" fillId="15" borderId="151" xfId="0" applyFont="1" applyFill="1" applyBorder="1" applyAlignment="1" applyProtection="1">
      <alignment horizontal="center" vertical="center"/>
    </xf>
    <xf numFmtId="0" fontId="8" fillId="15" borderId="152" xfId="0" applyFont="1" applyFill="1" applyBorder="1" applyAlignment="1" applyProtection="1">
      <alignment horizontal="center" vertical="center"/>
    </xf>
    <xf numFmtId="0" fontId="8" fillId="15" borderId="84" xfId="0" applyFont="1" applyFill="1" applyBorder="1" applyAlignment="1" applyProtection="1">
      <alignment horizontal="center" vertical="center"/>
    </xf>
    <xf numFmtId="0" fontId="8" fillId="15" borderId="90" xfId="0" applyFont="1" applyFill="1" applyBorder="1" applyAlignment="1" applyProtection="1">
      <alignment horizontal="center" vertical="center"/>
    </xf>
    <xf numFmtId="0" fontId="8" fillId="15" borderId="30" xfId="0" applyFont="1" applyFill="1" applyBorder="1" applyAlignment="1" applyProtection="1">
      <alignment horizontal="center" vertical="center"/>
    </xf>
    <xf numFmtId="0" fontId="8" fillId="15" borderId="119" xfId="0" applyFont="1" applyFill="1" applyBorder="1" applyAlignment="1" applyProtection="1">
      <alignment horizontal="center" vertical="center"/>
    </xf>
    <xf numFmtId="0" fontId="8" fillId="15" borderId="150" xfId="0" applyFont="1" applyFill="1" applyBorder="1" applyAlignment="1" applyProtection="1">
      <alignment horizontal="center" vertical="center"/>
    </xf>
    <xf numFmtId="0" fontId="8" fillId="15" borderId="148" xfId="0" applyFont="1" applyFill="1" applyBorder="1" applyAlignment="1" applyProtection="1">
      <alignment horizontal="center" vertical="center"/>
    </xf>
    <xf numFmtId="0" fontId="8" fillId="15" borderId="89" xfId="0" applyFont="1" applyFill="1" applyBorder="1" applyAlignment="1" applyProtection="1">
      <alignment horizontal="center" vertical="center"/>
    </xf>
    <xf numFmtId="0" fontId="8" fillId="15" borderId="155" xfId="0" applyFont="1" applyFill="1" applyBorder="1" applyAlignment="1" applyProtection="1">
      <alignment horizontal="center" vertical="center"/>
    </xf>
    <xf numFmtId="0" fontId="8" fillId="15" borderId="132" xfId="0" applyFont="1" applyFill="1" applyBorder="1" applyAlignment="1" applyProtection="1">
      <alignment horizontal="center" vertical="center"/>
    </xf>
    <xf numFmtId="0" fontId="9" fillId="15" borderId="0" xfId="0" applyFont="1" applyFill="1" applyBorder="1" applyAlignment="1" applyProtection="1">
      <alignment horizontal="center" vertical="center"/>
    </xf>
    <xf numFmtId="0" fontId="9" fillId="15" borderId="137" xfId="0" applyFont="1" applyFill="1" applyBorder="1" applyAlignment="1" applyProtection="1">
      <alignment horizontal="center" vertical="center"/>
    </xf>
    <xf numFmtId="0" fontId="9" fillId="15" borderId="138" xfId="0" applyFont="1" applyFill="1" applyBorder="1" applyAlignment="1" applyProtection="1">
      <alignment horizontal="center" vertical="center"/>
    </xf>
    <xf numFmtId="0" fontId="8" fillId="15" borderId="14" xfId="0" applyFont="1" applyFill="1" applyBorder="1" applyAlignment="1" applyProtection="1">
      <alignment horizontal="center" vertical="center"/>
    </xf>
    <xf numFmtId="0" fontId="8" fillId="15" borderId="53" xfId="0" applyFont="1" applyFill="1" applyBorder="1" applyAlignment="1" applyProtection="1">
      <alignment horizontal="center" vertical="center"/>
    </xf>
    <xf numFmtId="0" fontId="9" fillId="15" borderId="108" xfId="0" applyFont="1" applyFill="1" applyBorder="1" applyAlignment="1" applyProtection="1">
      <alignment horizontal="center" vertical="center"/>
    </xf>
    <xf numFmtId="0" fontId="9" fillId="15" borderId="107" xfId="0" applyFont="1" applyFill="1" applyBorder="1" applyAlignment="1" applyProtection="1">
      <alignment horizontal="center" vertical="center"/>
    </xf>
    <xf numFmtId="0" fontId="9" fillId="15" borderId="86" xfId="0" applyFont="1" applyFill="1" applyBorder="1" applyAlignment="1" applyProtection="1">
      <alignment horizontal="center" vertical="center"/>
    </xf>
    <xf numFmtId="0" fontId="9" fillId="15" borderId="89" xfId="0" applyFont="1" applyFill="1" applyBorder="1" applyAlignment="1" applyProtection="1">
      <alignment horizontal="center" vertical="center"/>
    </xf>
    <xf numFmtId="0" fontId="8" fillId="15" borderId="39" xfId="0" applyFont="1" applyFill="1" applyBorder="1" applyAlignment="1" applyProtection="1">
      <alignment horizontal="center" vertical="center"/>
    </xf>
    <xf numFmtId="0" fontId="9" fillId="15" borderId="90" xfId="0" applyFont="1" applyFill="1" applyBorder="1" applyAlignment="1" applyProtection="1">
      <alignment horizontal="center" vertical="center"/>
    </xf>
    <xf numFmtId="0" fontId="9" fillId="15" borderId="148" xfId="0" applyFont="1" applyFill="1" applyBorder="1" applyAlignment="1" applyProtection="1">
      <alignment horizontal="center" vertical="center"/>
    </xf>
    <xf numFmtId="0" fontId="8" fillId="15" borderId="86" xfId="0" applyFont="1" applyFill="1" applyBorder="1" applyAlignment="1" applyProtection="1">
      <alignment horizontal="center" vertical="center"/>
    </xf>
    <xf numFmtId="0" fontId="9" fillId="15" borderId="115" xfId="0" applyFont="1" applyFill="1" applyBorder="1" applyAlignment="1" applyProtection="1">
      <alignment horizontal="center" vertical="center"/>
    </xf>
    <xf numFmtId="0" fontId="8" fillId="15" borderId="26" xfId="0" applyFont="1" applyFill="1" applyBorder="1" applyAlignment="1" applyProtection="1">
      <alignment horizontal="center" vertical="center"/>
    </xf>
    <xf numFmtId="0" fontId="8" fillId="15" borderId="116" xfId="0" applyFont="1" applyFill="1" applyBorder="1" applyAlignment="1" applyProtection="1">
      <alignment horizontal="center" vertical="center"/>
    </xf>
    <xf numFmtId="0" fontId="8" fillId="15" borderId="111" xfId="0" applyFont="1" applyFill="1" applyBorder="1" applyAlignment="1" applyProtection="1">
      <alignment horizontal="center" vertical="center"/>
    </xf>
    <xf numFmtId="0" fontId="9" fillId="15" borderId="116" xfId="0" applyFont="1" applyFill="1" applyBorder="1" applyAlignment="1" applyProtection="1">
      <alignment horizontal="center" vertical="center"/>
    </xf>
    <xf numFmtId="0" fontId="9" fillId="15" borderId="111" xfId="0" applyFont="1" applyFill="1" applyBorder="1" applyAlignment="1" applyProtection="1">
      <alignment horizontal="center" vertical="center"/>
    </xf>
    <xf numFmtId="0" fontId="8" fillId="15" borderId="120" xfId="0" applyFont="1" applyFill="1" applyBorder="1" applyAlignment="1" applyProtection="1">
      <alignment horizontal="center" vertical="center"/>
    </xf>
    <xf numFmtId="0" fontId="9" fillId="15" borderId="120" xfId="0" applyFont="1" applyFill="1" applyBorder="1" applyAlignment="1" applyProtection="1">
      <alignment horizontal="center" vertical="center"/>
    </xf>
    <xf numFmtId="0" fontId="8" fillId="15" borderId="110" xfId="0" applyFont="1" applyFill="1" applyBorder="1" applyAlignment="1" applyProtection="1">
      <alignment horizontal="center" vertical="center"/>
    </xf>
    <xf numFmtId="0" fontId="9" fillId="15" borderId="121" xfId="0" applyFont="1" applyFill="1" applyBorder="1" applyAlignment="1" applyProtection="1">
      <alignment horizontal="center" vertical="center"/>
    </xf>
    <xf numFmtId="0" fontId="9" fillId="15" borderId="125" xfId="0" applyFont="1" applyFill="1" applyBorder="1" applyAlignment="1" applyProtection="1">
      <alignment horizontal="center" vertical="center"/>
    </xf>
    <xf numFmtId="0" fontId="8" fillId="15" borderId="121" xfId="0" applyFont="1" applyFill="1" applyBorder="1" applyAlignment="1" applyProtection="1">
      <alignment horizontal="center" vertical="center"/>
    </xf>
    <xf numFmtId="0" fontId="8" fillId="15" borderId="43" xfId="0" applyFont="1" applyFill="1" applyBorder="1" applyAlignment="1" applyProtection="1">
      <alignment horizontal="center" vertical="center"/>
    </xf>
    <xf numFmtId="0" fontId="8" fillId="15" borderId="42" xfId="0" applyFont="1" applyFill="1" applyBorder="1" applyAlignment="1" applyProtection="1">
      <alignment horizontal="center" vertical="center"/>
    </xf>
    <xf numFmtId="0" fontId="9" fillId="15" borderId="149" xfId="0" applyNumberFormat="1" applyFont="1" applyFill="1" applyBorder="1" applyAlignment="1" applyProtection="1">
      <alignment horizontal="center" vertical="center"/>
    </xf>
    <xf numFmtId="0" fontId="9" fillId="15" borderId="153" xfId="0" applyNumberFormat="1" applyFont="1" applyFill="1" applyBorder="1" applyAlignment="1" applyProtection="1">
      <alignment horizontal="center" vertical="center"/>
    </xf>
    <xf numFmtId="1" fontId="9" fillId="15" borderId="153" xfId="0" applyNumberFormat="1" applyFont="1" applyFill="1" applyBorder="1" applyAlignment="1" applyProtection="1">
      <alignment horizontal="center" vertical="center"/>
    </xf>
    <xf numFmtId="1" fontId="9" fillId="15" borderId="154" xfId="0" applyNumberFormat="1" applyFont="1" applyFill="1" applyBorder="1" applyAlignment="1" applyProtection="1">
      <alignment horizontal="center" vertical="center"/>
    </xf>
    <xf numFmtId="0" fontId="9" fillId="15" borderId="133" xfId="0" applyNumberFormat="1" applyFont="1" applyFill="1" applyBorder="1" applyAlignment="1" applyProtection="1">
      <alignment vertical="center"/>
    </xf>
    <xf numFmtId="0" fontId="9" fillId="15" borderId="132" xfId="0" applyNumberFormat="1" applyFont="1" applyFill="1" applyBorder="1" applyAlignment="1" applyProtection="1">
      <alignment vertical="center"/>
    </xf>
    <xf numFmtId="1" fontId="9" fillId="15" borderId="132" xfId="0" applyNumberFormat="1" applyFont="1" applyFill="1" applyBorder="1" applyAlignment="1" applyProtection="1">
      <alignment vertical="center"/>
    </xf>
    <xf numFmtId="0" fontId="9" fillId="15" borderId="152" xfId="0" applyNumberFormat="1" applyFont="1" applyFill="1" applyBorder="1" applyAlignment="1" applyProtection="1">
      <alignment vertical="center"/>
    </xf>
    <xf numFmtId="0" fontId="9" fillId="15" borderId="122" xfId="0" applyNumberFormat="1" applyFont="1" applyFill="1" applyBorder="1" applyAlignment="1" applyProtection="1">
      <alignment vertical="center"/>
    </xf>
    <xf numFmtId="0" fontId="9" fillId="15" borderId="123" xfId="0" applyNumberFormat="1" applyFont="1" applyFill="1" applyBorder="1" applyAlignment="1" applyProtection="1">
      <alignment vertical="center"/>
    </xf>
    <xf numFmtId="1" fontId="9" fillId="15" borderId="123" xfId="0" applyNumberFormat="1" applyFont="1" applyFill="1" applyBorder="1" applyAlignment="1" applyProtection="1">
      <alignment vertical="center"/>
    </xf>
    <xf numFmtId="0" fontId="9" fillId="15" borderId="124" xfId="0" applyNumberFormat="1" applyFont="1" applyFill="1" applyBorder="1" applyAlignment="1" applyProtection="1">
      <alignment vertical="center"/>
    </xf>
    <xf numFmtId="1" fontId="9" fillId="15" borderId="0" xfId="0" applyNumberFormat="1" applyFont="1" applyFill="1" applyBorder="1" applyAlignment="1" applyProtection="1">
      <alignment horizontal="center" vertical="center"/>
    </xf>
    <xf numFmtId="166" fontId="9" fillId="15" borderId="0" xfId="0" applyNumberFormat="1" applyFont="1" applyFill="1" applyBorder="1" applyAlignment="1" applyProtection="1">
      <alignment horizontal="center" vertical="center"/>
    </xf>
    <xf numFmtId="0" fontId="9" fillId="15" borderId="14" xfId="0" applyFont="1" applyFill="1" applyBorder="1" applyAlignment="1" applyProtection="1">
      <alignment horizontal="center" vertical="center"/>
    </xf>
    <xf numFmtId="0" fontId="9" fillId="15" borderId="30" xfId="0" applyNumberFormat="1" applyFont="1" applyFill="1" applyBorder="1" applyAlignment="1" applyProtection="1">
      <alignment horizontal="center" vertical="center"/>
    </xf>
    <xf numFmtId="166" fontId="9" fillId="15" borderId="30" xfId="0" applyNumberFormat="1" applyFont="1" applyFill="1" applyBorder="1" applyAlignment="1" applyProtection="1">
      <alignment horizontal="center" vertical="center"/>
    </xf>
    <xf numFmtId="0" fontId="9" fillId="15" borderId="30" xfId="0" applyFont="1" applyFill="1" applyBorder="1" applyAlignment="1" applyProtection="1">
      <alignment horizontal="center" vertical="center"/>
    </xf>
    <xf numFmtId="0" fontId="9" fillId="15" borderId="35" xfId="0" applyFont="1" applyFill="1" applyBorder="1" applyAlignment="1" applyProtection="1">
      <alignment horizontal="center" vertical="center"/>
    </xf>
    <xf numFmtId="1" fontId="9" fillId="15" borderId="110" xfId="0" applyNumberFormat="1" applyFont="1" applyFill="1" applyBorder="1" applyAlignment="1" applyProtection="1">
      <alignment horizontal="center" vertical="center"/>
    </xf>
    <xf numFmtId="0" fontId="0" fillId="15" borderId="110" xfId="0" applyFont="1" applyFill="1" applyBorder="1" applyAlignment="1" applyProtection="1">
      <alignment vertical="center"/>
    </xf>
    <xf numFmtId="1" fontId="9" fillId="15" borderId="35" xfId="0" applyNumberFormat="1" applyFont="1" applyFill="1" applyBorder="1" applyAlignment="1" applyProtection="1">
      <alignment horizontal="center" vertical="center"/>
    </xf>
    <xf numFmtId="2" fontId="54" fillId="0" borderId="136" xfId="0" applyNumberFormat="1" applyFont="1" applyFill="1" applyBorder="1" applyAlignment="1" applyProtection="1">
      <alignment horizontal="center" vertical="center"/>
    </xf>
    <xf numFmtId="2" fontId="8" fillId="0" borderId="42" xfId="0" applyNumberFormat="1" applyFont="1" applyFill="1" applyBorder="1" applyAlignment="1" applyProtection="1">
      <alignment horizontal="center" vertical="center"/>
    </xf>
    <xf numFmtId="11" fontId="8" fillId="0" borderId="42" xfId="0" applyNumberFormat="1" applyFont="1" applyFill="1" applyBorder="1" applyAlignment="1" applyProtection="1">
      <alignment horizontal="center" vertical="center"/>
    </xf>
    <xf numFmtId="2" fontId="9" fillId="0" borderId="39" xfId="0" applyNumberFormat="1" applyFont="1" applyFill="1" applyBorder="1" applyAlignment="1" applyProtection="1">
      <alignment horizontal="center" vertical="center"/>
    </xf>
    <xf numFmtId="2" fontId="9" fillId="0" borderId="42" xfId="0" applyNumberFormat="1" applyFont="1" applyFill="1" applyBorder="1" applyAlignment="1" applyProtection="1">
      <alignment horizontal="center" vertical="center"/>
    </xf>
    <xf numFmtId="2" fontId="8" fillId="0" borderId="53" xfId="0" applyNumberFormat="1" applyFont="1" applyFill="1" applyBorder="1" applyAlignment="1" applyProtection="1">
      <alignment horizontal="center" vertical="center"/>
    </xf>
    <xf numFmtId="2" fontId="9" fillId="0" borderId="40"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16" xfId="0" applyFont="1" applyFill="1" applyBorder="1" applyAlignment="1" applyProtection="1">
      <alignment horizontal="center" vertical="center"/>
    </xf>
    <xf numFmtId="0" fontId="9" fillId="0" borderId="32" xfId="0" applyFont="1" applyFill="1" applyBorder="1" applyAlignment="1" applyProtection="1">
      <alignment horizontal="center" vertical="center"/>
    </xf>
    <xf numFmtId="0" fontId="18" fillId="3" borderId="7" xfId="0" applyFont="1" applyFill="1" applyBorder="1" applyAlignment="1" applyProtection="1">
      <alignment vertical="center"/>
    </xf>
    <xf numFmtId="0" fontId="23" fillId="3" borderId="8" xfId="0" applyFont="1" applyFill="1" applyBorder="1" applyAlignment="1" applyProtection="1">
      <alignment vertical="center"/>
    </xf>
    <xf numFmtId="0" fontId="18" fillId="3" borderId="8" xfId="0" applyFont="1" applyFill="1" applyBorder="1" applyAlignment="1" applyProtection="1">
      <alignment vertical="center"/>
    </xf>
    <xf numFmtId="0" fontId="8" fillId="3" borderId="8" xfId="0" applyFont="1" applyFill="1" applyBorder="1" applyAlignment="1" applyProtection="1">
      <alignment vertical="center"/>
    </xf>
    <xf numFmtId="0" fontId="0" fillId="3" borderId="8" xfId="0" applyFill="1" applyBorder="1" applyAlignment="1" applyProtection="1">
      <alignment vertical="center"/>
    </xf>
    <xf numFmtId="0" fontId="0" fillId="0" borderId="4" xfId="0" applyFill="1" applyBorder="1" applyAlignment="1" applyProtection="1">
      <alignment vertical="center"/>
    </xf>
    <xf numFmtId="0" fontId="0" fillId="0" borderId="0" xfId="0" applyFill="1" applyBorder="1" applyAlignment="1" applyProtection="1">
      <alignment vertical="center"/>
    </xf>
    <xf numFmtId="0" fontId="21" fillId="0" borderId="0" xfId="0" applyFont="1" applyFill="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30" fillId="0" borderId="27" xfId="0" applyFont="1" applyFill="1" applyBorder="1" applyAlignment="1" applyProtection="1">
      <alignment vertical="center"/>
    </xf>
    <xf numFmtId="0" fontId="30" fillId="0" borderId="23" xfId="0" applyFont="1" applyFill="1" applyBorder="1" applyAlignment="1" applyProtection="1">
      <alignment vertical="center"/>
    </xf>
    <xf numFmtId="0" fontId="0" fillId="16" borderId="0" xfId="0" applyFill="1" applyProtection="1"/>
    <xf numFmtId="0" fontId="54" fillId="0" borderId="0" xfId="0" applyFont="1" applyProtection="1"/>
    <xf numFmtId="0" fontId="0" fillId="0" borderId="0" xfId="0" applyProtection="1"/>
    <xf numFmtId="0" fontId="25" fillId="0" borderId="53" xfId="0" applyFont="1" applyFill="1" applyBorder="1" applyAlignment="1" applyProtection="1">
      <alignment horizontal="left" vertical="center"/>
    </xf>
    <xf numFmtId="0" fontId="25" fillId="0" borderId="30" xfId="0" applyFont="1" applyFill="1" applyBorder="1" applyAlignment="1" applyProtection="1">
      <alignment horizontal="right" vertical="center"/>
    </xf>
    <xf numFmtId="0" fontId="25" fillId="12" borderId="39" xfId="0" applyFont="1" applyFill="1" applyBorder="1" applyAlignment="1" applyProtection="1">
      <alignment horizontal="center" vertical="center"/>
    </xf>
    <xf numFmtId="0" fontId="25" fillId="12" borderId="42" xfId="0" applyFont="1" applyFill="1" applyBorder="1" applyAlignment="1" applyProtection="1">
      <alignment horizontal="center" vertical="center"/>
    </xf>
    <xf numFmtId="0" fontId="25" fillId="12" borderId="40" xfId="0" applyFont="1" applyFill="1" applyBorder="1" applyAlignment="1" applyProtection="1">
      <alignment horizontal="center" vertical="center"/>
    </xf>
    <xf numFmtId="0" fontId="23" fillId="0" borderId="0" xfId="0" applyFont="1" applyFill="1" applyAlignment="1" applyProtection="1">
      <alignment vertical="center"/>
    </xf>
    <xf numFmtId="0" fontId="0" fillId="0" borderId="0" xfId="0" applyFill="1" applyAlignment="1" applyProtection="1">
      <alignment vertical="center"/>
    </xf>
    <xf numFmtId="0" fontId="30" fillId="0" borderId="0" xfId="0" applyFont="1" applyFill="1" applyAlignment="1" applyProtection="1">
      <alignment vertical="center"/>
    </xf>
    <xf numFmtId="0" fontId="30" fillId="0" borderId="103" xfId="0" applyFont="1" applyFill="1" applyBorder="1" applyAlignment="1" applyProtection="1">
      <alignment vertical="center"/>
    </xf>
    <xf numFmtId="0" fontId="23" fillId="0" borderId="103" xfId="0" applyFont="1" applyFill="1" applyBorder="1" applyAlignment="1" applyProtection="1">
      <alignment vertical="center"/>
    </xf>
    <xf numFmtId="0" fontId="26" fillId="0" borderId="103" xfId="0" applyFont="1" applyFill="1" applyBorder="1" applyAlignment="1" applyProtection="1">
      <alignment vertical="center"/>
    </xf>
    <xf numFmtId="0" fontId="26" fillId="0" borderId="0" xfId="0" applyFont="1" applyFill="1" applyAlignment="1" applyProtection="1">
      <alignment vertical="center"/>
    </xf>
    <xf numFmtId="0" fontId="24"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0" fillId="9" borderId="0" xfId="0" applyFill="1" applyProtection="1"/>
    <xf numFmtId="0" fontId="8" fillId="0" borderId="0" xfId="0" applyFont="1" applyFill="1" applyBorder="1" applyAlignment="1" applyProtection="1">
      <alignment horizontal="center" vertical="center"/>
    </xf>
    <xf numFmtId="0" fontId="0" fillId="0" borderId="0" xfId="0" applyFont="1" applyFill="1" applyAlignment="1" applyProtection="1">
      <alignment vertical="center"/>
    </xf>
    <xf numFmtId="0" fontId="0" fillId="0" borderId="102" xfId="0" applyFont="1" applyFill="1" applyBorder="1" applyAlignment="1" applyProtection="1">
      <alignment vertical="center"/>
    </xf>
    <xf numFmtId="0" fontId="0" fillId="0" borderId="0" xfId="0" applyFill="1" applyProtection="1"/>
    <xf numFmtId="0" fontId="8" fillId="0" borderId="27" xfId="0" applyFont="1" applyFill="1" applyBorder="1" applyAlignment="1" applyProtection="1">
      <alignment vertical="center"/>
    </xf>
    <xf numFmtId="0" fontId="8" fillId="0" borderId="23" xfId="0" applyFont="1" applyFill="1" applyBorder="1" applyAlignment="1" applyProtection="1">
      <alignment vertical="center"/>
    </xf>
    <xf numFmtId="166" fontId="9" fillId="0" borderId="36" xfId="0" applyNumberFormat="1" applyFont="1" applyFill="1" applyBorder="1" applyAlignment="1" applyProtection="1">
      <alignment horizontal="center" vertical="center"/>
    </xf>
    <xf numFmtId="166" fontId="9" fillId="0" borderId="73" xfId="0" applyNumberFormat="1" applyFont="1" applyFill="1" applyBorder="1" applyAlignment="1" applyProtection="1">
      <alignment horizontal="center" vertical="center"/>
    </xf>
    <xf numFmtId="0" fontId="0" fillId="12" borderId="144" xfId="0" applyFill="1" applyBorder="1" applyProtection="1"/>
    <xf numFmtId="0" fontId="8" fillId="0" borderId="0" xfId="0" applyFont="1" applyFill="1" applyBorder="1" applyAlignment="1" applyProtection="1">
      <alignment horizontal="left" vertical="center"/>
    </xf>
    <xf numFmtId="0" fontId="8" fillId="0" borderId="4" xfId="0" applyFont="1" applyFill="1" applyBorder="1" applyAlignment="1" applyProtection="1">
      <alignment vertical="center"/>
    </xf>
    <xf numFmtId="0" fontId="8" fillId="0" borderId="0" xfId="0" applyFont="1" applyFill="1" applyBorder="1" applyAlignment="1" applyProtection="1">
      <alignment vertical="center"/>
    </xf>
    <xf numFmtId="0" fontId="0" fillId="5" borderId="0" xfId="0" applyFill="1" applyProtection="1"/>
    <xf numFmtId="0" fontId="0" fillId="0" borderId="0" xfId="0" applyFont="1" applyProtection="1"/>
    <xf numFmtId="0" fontId="0" fillId="0" borderId="0" xfId="0" applyFont="1" applyFill="1" applyBorder="1" applyAlignment="1" applyProtection="1">
      <alignment vertical="center"/>
    </xf>
    <xf numFmtId="0" fontId="8" fillId="0" borderId="25" xfId="0" applyFont="1" applyFill="1" applyBorder="1" applyAlignment="1" applyProtection="1">
      <alignment vertical="center"/>
    </xf>
    <xf numFmtId="0" fontId="8" fillId="0" borderId="26" xfId="0" applyFont="1" applyFill="1" applyBorder="1" applyAlignment="1" applyProtection="1">
      <alignment vertical="center"/>
    </xf>
    <xf numFmtId="0" fontId="0" fillId="7" borderId="0" xfId="0" applyFill="1" applyProtection="1"/>
    <xf numFmtId="0" fontId="9" fillId="0" borderId="103" xfId="0" applyFont="1" applyFill="1" applyBorder="1" applyAlignment="1" applyProtection="1">
      <alignment horizontal="center" vertical="center"/>
    </xf>
    <xf numFmtId="0" fontId="21" fillId="0" borderId="0" xfId="0" applyFont="1" applyFill="1" applyBorder="1" applyAlignment="1" applyProtection="1">
      <alignment vertical="center"/>
    </xf>
    <xf numFmtId="0" fontId="9" fillId="0" borderId="102" xfId="0" applyFont="1" applyFill="1" applyBorder="1" applyAlignment="1" applyProtection="1">
      <alignment horizontal="center" vertical="center"/>
    </xf>
    <xf numFmtId="0" fontId="0" fillId="8" borderId="0" xfId="0" applyFill="1" applyProtection="1"/>
    <xf numFmtId="2" fontId="8" fillId="0" borderId="0" xfId="0" applyNumberFormat="1" applyFont="1" applyFill="1" applyBorder="1" applyAlignment="1" applyProtection="1">
      <alignment vertical="center"/>
    </xf>
    <xf numFmtId="0" fontId="8" fillId="0" borderId="55" xfId="0" applyFont="1" applyFill="1" applyBorder="1" applyAlignment="1" applyProtection="1">
      <alignment vertical="center"/>
    </xf>
    <xf numFmtId="0" fontId="54" fillId="0" borderId="0" xfId="0" applyFont="1" applyFill="1" applyProtection="1"/>
    <xf numFmtId="0" fontId="8" fillId="0" borderId="45" xfId="0" applyFont="1" applyFill="1" applyBorder="1" applyAlignment="1" applyProtection="1">
      <alignment vertical="center"/>
    </xf>
    <xf numFmtId="0" fontId="8" fillId="0" borderId="53" xfId="0" applyFont="1" applyFill="1" applyBorder="1" applyAlignment="1" applyProtection="1">
      <alignment vertical="center"/>
    </xf>
    <xf numFmtId="0" fontId="9" fillId="0" borderId="30" xfId="0" applyFont="1" applyFill="1" applyBorder="1" applyAlignment="1" applyProtection="1">
      <alignment horizontal="center" vertical="center"/>
    </xf>
    <xf numFmtId="0" fontId="9" fillId="0" borderId="76" xfId="0" applyFont="1" applyFill="1" applyBorder="1" applyAlignment="1" applyProtection="1">
      <alignment horizontal="center" vertical="center"/>
    </xf>
    <xf numFmtId="0" fontId="27" fillId="0" borderId="0" xfId="0" applyFont="1" applyFill="1" applyBorder="1" applyAlignment="1" applyProtection="1">
      <alignment vertical="center"/>
    </xf>
    <xf numFmtId="0" fontId="54" fillId="13" borderId="0" xfId="0" applyFont="1" applyFill="1" applyProtection="1"/>
    <xf numFmtId="11" fontId="8" fillId="0" borderId="0" xfId="0" applyNumberFormat="1" applyFont="1" applyFill="1" applyBorder="1" applyAlignment="1" applyProtection="1">
      <alignment vertical="center"/>
    </xf>
    <xf numFmtId="0" fontId="9" fillId="0" borderId="26"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8" fillId="0" borderId="7" xfId="0" applyFont="1" applyFill="1" applyBorder="1" applyAlignment="1" applyProtection="1">
      <alignment vertical="center"/>
    </xf>
    <xf numFmtId="0" fontId="8" fillId="0" borderId="93" xfId="0" applyFont="1" applyFill="1" applyBorder="1" applyAlignment="1" applyProtection="1">
      <alignment vertical="center"/>
    </xf>
    <xf numFmtId="0" fontId="21" fillId="0" borderId="4" xfId="0" applyFont="1" applyFill="1" applyBorder="1" applyAlignment="1" applyProtection="1">
      <alignment vertical="center"/>
    </xf>
    <xf numFmtId="0" fontId="22" fillId="0" borderId="27" xfId="0" applyFont="1" applyFill="1" applyBorder="1" applyAlignment="1" applyProtection="1">
      <alignment vertical="center"/>
    </xf>
    <xf numFmtId="0" fontId="0" fillId="0" borderId="77" xfId="0" applyFont="1" applyFill="1" applyBorder="1" applyAlignment="1" applyProtection="1">
      <alignment vertical="center"/>
    </xf>
    <xf numFmtId="0" fontId="8" fillId="0" borderId="74" xfId="0" applyFont="1" applyFill="1" applyBorder="1" applyAlignment="1" applyProtection="1">
      <alignment horizontal="left" vertical="center"/>
    </xf>
    <xf numFmtId="0" fontId="8" fillId="0" borderId="36" xfId="0" applyFont="1" applyFill="1" applyBorder="1" applyAlignment="1" applyProtection="1">
      <alignment horizontal="center" vertical="center"/>
    </xf>
    <xf numFmtId="0" fontId="8" fillId="0" borderId="73" xfId="0" applyFont="1" applyFill="1" applyBorder="1" applyAlignment="1" applyProtection="1">
      <alignment horizontal="center" vertical="center"/>
    </xf>
    <xf numFmtId="0" fontId="8" fillId="0" borderId="98" xfId="0" applyFont="1" applyFill="1" applyBorder="1" applyAlignment="1" applyProtection="1">
      <alignment horizontal="center" vertical="center"/>
    </xf>
    <xf numFmtId="0" fontId="9" fillId="5" borderId="97" xfId="0" applyNumberFormat="1" applyFont="1" applyFill="1" applyBorder="1" applyAlignment="1" applyProtection="1">
      <alignment horizontal="center" vertical="center"/>
    </xf>
    <xf numFmtId="0" fontId="9" fillId="5" borderId="91" xfId="0" applyNumberFormat="1" applyFont="1" applyFill="1" applyBorder="1" applyAlignment="1" applyProtection="1">
      <alignment horizontal="center" vertical="center"/>
    </xf>
    <xf numFmtId="0" fontId="9" fillId="5" borderId="92" xfId="0" applyNumberFormat="1" applyFont="1" applyFill="1" applyBorder="1" applyAlignment="1" applyProtection="1">
      <alignment horizontal="center" vertical="center"/>
    </xf>
    <xf numFmtId="0" fontId="0" fillId="0" borderId="4" xfId="0" applyFont="1" applyFill="1" applyBorder="1" applyAlignment="1" applyProtection="1">
      <alignment vertical="center"/>
    </xf>
    <xf numFmtId="0" fontId="9" fillId="5" borderId="16" xfId="0" applyNumberFormat="1" applyFont="1" applyFill="1" applyBorder="1" applyAlignment="1" applyProtection="1">
      <alignment horizontal="center" vertical="center"/>
    </xf>
    <xf numFmtId="0" fontId="9" fillId="5" borderId="32" xfId="0" applyNumberFormat="1" applyFont="1" applyFill="1" applyBorder="1" applyAlignment="1" applyProtection="1">
      <alignment horizontal="center" vertical="center"/>
    </xf>
    <xf numFmtId="0" fontId="0" fillId="0" borderId="4" xfId="0" applyFill="1" applyBorder="1" applyAlignment="1" applyProtection="1">
      <alignment horizontal="center" vertical="center"/>
    </xf>
    <xf numFmtId="0" fontId="6" fillId="0" borderId="0" xfId="0" applyFont="1" applyFill="1" applyBorder="1" applyAlignment="1" applyProtection="1">
      <alignment vertical="center"/>
    </xf>
    <xf numFmtId="0" fontId="6" fillId="0" borderId="0" xfId="0" applyFont="1" applyFill="1" applyAlignment="1" applyProtection="1">
      <alignment vertical="center"/>
    </xf>
    <xf numFmtId="0" fontId="9" fillId="5" borderId="11" xfId="0" applyNumberFormat="1" applyFont="1" applyFill="1" applyBorder="1" applyAlignment="1" applyProtection="1">
      <alignment horizontal="center" vertical="center"/>
    </xf>
    <xf numFmtId="0" fontId="6" fillId="0" borderId="4" xfId="0" applyFont="1" applyFill="1" applyBorder="1" applyAlignment="1" applyProtection="1">
      <alignment vertical="center"/>
    </xf>
    <xf numFmtId="0" fontId="22" fillId="0" borderId="0" xfId="0" applyFont="1" applyFill="1" applyBorder="1" applyAlignment="1" applyProtection="1">
      <alignment vertical="center"/>
    </xf>
    <xf numFmtId="0" fontId="8" fillId="0" borderId="0" xfId="0" applyFont="1" applyFill="1" applyBorder="1" applyAlignment="1" applyProtection="1">
      <alignment horizontal="right" vertical="center"/>
    </xf>
    <xf numFmtId="0" fontId="9" fillId="0" borderId="0" xfId="0" applyFont="1" applyFill="1" applyBorder="1" applyAlignment="1" applyProtection="1">
      <alignment vertical="center"/>
    </xf>
    <xf numFmtId="0" fontId="0" fillId="0" borderId="98" xfId="0" applyFont="1" applyFill="1" applyBorder="1" applyAlignment="1" applyProtection="1">
      <alignment vertical="center"/>
    </xf>
    <xf numFmtId="0" fontId="8" fillId="0" borderId="89" xfId="0" applyFont="1" applyFill="1" applyBorder="1" applyAlignment="1" applyProtection="1">
      <alignment horizontal="center" vertical="center"/>
    </xf>
    <xf numFmtId="0" fontId="8" fillId="0" borderId="90"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0" fontId="0" fillId="0" borderId="25" xfId="0" applyFont="1" applyFill="1" applyBorder="1" applyAlignment="1" applyProtection="1">
      <alignment vertical="center"/>
    </xf>
    <xf numFmtId="0" fontId="8" fillId="0" borderId="26" xfId="0" applyFont="1" applyFill="1" applyBorder="1" applyAlignment="1" applyProtection="1">
      <alignment horizontal="center" vertical="center"/>
    </xf>
    <xf numFmtId="0" fontId="9" fillId="5" borderId="51" xfId="0" applyNumberFormat="1" applyFont="1" applyFill="1" applyBorder="1" applyAlignment="1" applyProtection="1">
      <alignment horizontal="center" vertical="center"/>
    </xf>
    <xf numFmtId="0" fontId="9" fillId="5" borderId="43" xfId="0" applyNumberFormat="1" applyFont="1" applyFill="1" applyBorder="1" applyAlignment="1" applyProtection="1">
      <alignment horizontal="center" vertical="center"/>
    </xf>
    <xf numFmtId="0" fontId="9" fillId="5" borderId="58" xfId="0" applyNumberFormat="1" applyFont="1" applyFill="1" applyBorder="1" applyAlignment="1" applyProtection="1">
      <alignment horizontal="center" vertical="center"/>
    </xf>
    <xf numFmtId="0" fontId="24" fillId="0" borderId="0" xfId="0" applyFont="1" applyFill="1" applyAlignment="1" applyProtection="1">
      <alignment vertical="center"/>
    </xf>
    <xf numFmtId="0" fontId="10" fillId="0" borderId="0" xfId="0" applyFont="1" applyFill="1" applyAlignment="1" applyProtection="1">
      <alignment vertical="center"/>
    </xf>
    <xf numFmtId="0" fontId="10" fillId="0" borderId="0" xfId="0" applyFont="1" applyFill="1" applyAlignment="1" applyProtection="1">
      <alignment horizontal="center" vertical="center"/>
    </xf>
    <xf numFmtId="0" fontId="0" fillId="0" borderId="0" xfId="0" applyFill="1" applyAlignment="1" applyProtection="1">
      <alignment horizontal="center" vertical="center"/>
    </xf>
    <xf numFmtId="0" fontId="0" fillId="0" borderId="0" xfId="0" applyFill="1" applyBorder="1" applyAlignment="1" applyProtection="1">
      <alignment horizontal="center" vertical="center"/>
    </xf>
    <xf numFmtId="0" fontId="21" fillId="11" borderId="0" xfId="0" applyFont="1" applyFill="1" applyAlignment="1" applyProtection="1">
      <alignment vertical="center"/>
    </xf>
    <xf numFmtId="0" fontId="10" fillId="11" borderId="0" xfId="0" applyFont="1" applyFill="1" applyAlignment="1" applyProtection="1">
      <alignment vertical="center"/>
    </xf>
    <xf numFmtId="0" fontId="25" fillId="0" borderId="0" xfId="0" applyFont="1" applyFill="1" applyBorder="1" applyAlignment="1" applyProtection="1">
      <alignment vertical="center"/>
    </xf>
    <xf numFmtId="0" fontId="25" fillId="0" borderId="0" xfId="0" applyFont="1" applyFill="1" applyBorder="1" applyAlignment="1" applyProtection="1">
      <alignment horizontal="center" vertical="center"/>
    </xf>
    <xf numFmtId="0" fontId="30" fillId="0" borderId="0" xfId="0" applyFont="1" applyFill="1" applyBorder="1" applyAlignment="1" applyProtection="1">
      <alignment vertical="center"/>
    </xf>
    <xf numFmtId="0" fontId="23" fillId="0" borderId="0" xfId="0" applyFont="1" applyFill="1" applyBorder="1" applyAlignment="1" applyProtection="1">
      <alignment vertical="center"/>
    </xf>
    <xf numFmtId="0" fontId="23" fillId="0" borderId="0" xfId="0" applyFont="1" applyFill="1" applyBorder="1" applyAlignment="1" applyProtection="1">
      <alignment vertical="center" wrapText="1"/>
    </xf>
    <xf numFmtId="0" fontId="23" fillId="0" borderId="0" xfId="0" applyFont="1" applyFill="1" applyBorder="1" applyAlignment="1" applyProtection="1">
      <alignment horizontal="center" vertical="center" wrapText="1"/>
    </xf>
    <xf numFmtId="0" fontId="0" fillId="0" borderId="137" xfId="0" applyFont="1" applyFill="1" applyBorder="1" applyAlignment="1" applyProtection="1">
      <alignment vertical="center"/>
    </xf>
    <xf numFmtId="0" fontId="23" fillId="0" borderId="6"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0" fillId="0" borderId="6" xfId="0" applyFont="1" applyFill="1" applyBorder="1" applyAlignment="1" applyProtection="1">
      <alignment vertical="center"/>
    </xf>
    <xf numFmtId="0" fontId="23" fillId="0" borderId="38" xfId="0"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0" fontId="8" fillId="0" borderId="24"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8" fillId="0" borderId="15" xfId="0" applyFont="1" applyFill="1" applyBorder="1" applyAlignment="1" applyProtection="1">
      <alignment horizontal="center" vertical="center" wrapText="1"/>
    </xf>
    <xf numFmtId="0" fontId="0" fillId="0" borderId="15" xfId="0" applyFont="1" applyFill="1" applyBorder="1" applyAlignment="1" applyProtection="1">
      <alignment vertical="center"/>
    </xf>
    <xf numFmtId="0" fontId="8" fillId="0" borderId="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8" fillId="0" borderId="87"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9" fontId="9" fillId="0" borderId="0" xfId="9" applyFont="1" applyFill="1" applyBorder="1" applyAlignment="1" applyProtection="1">
      <alignment vertical="center"/>
    </xf>
    <xf numFmtId="0" fontId="8" fillId="0" borderId="121" xfId="0" applyFont="1" applyFill="1" applyBorder="1" applyAlignment="1" applyProtection="1">
      <alignment horizontal="center" vertical="center"/>
    </xf>
    <xf numFmtId="0" fontId="8" fillId="0" borderId="121" xfId="0" applyFont="1" applyFill="1" applyBorder="1" applyAlignment="1" applyProtection="1">
      <alignment horizontal="center" vertical="center" wrapText="1"/>
    </xf>
    <xf numFmtId="11" fontId="8" fillId="0" borderId="121" xfId="0" applyNumberFormat="1" applyFont="1" applyFill="1" applyBorder="1" applyAlignment="1" applyProtection="1">
      <alignment horizontal="center" vertical="center"/>
    </xf>
    <xf numFmtId="0" fontId="9" fillId="0" borderId="121"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8" fillId="0" borderId="126" xfId="0" applyFont="1" applyFill="1" applyBorder="1" applyAlignment="1" applyProtection="1">
      <alignment horizontal="center" vertical="center"/>
    </xf>
    <xf numFmtId="0" fontId="8" fillId="0" borderId="126" xfId="0" applyFont="1" applyFill="1" applyBorder="1" applyAlignment="1" applyProtection="1">
      <alignment horizontal="center" vertical="center" wrapText="1"/>
    </xf>
    <xf numFmtId="0" fontId="9" fillId="0" borderId="7" xfId="0" applyFont="1" applyFill="1" applyBorder="1" applyAlignment="1" applyProtection="1">
      <alignment horizontal="center" vertical="center"/>
    </xf>
    <xf numFmtId="0" fontId="9" fillId="0" borderId="78" xfId="0" applyFont="1" applyFill="1" applyBorder="1" applyAlignment="1" applyProtection="1">
      <alignment horizontal="center" vertical="center"/>
    </xf>
    <xf numFmtId="0" fontId="8" fillId="0" borderId="52" xfId="0" applyFont="1" applyFill="1" applyBorder="1" applyAlignment="1" applyProtection="1">
      <alignment horizontal="center" vertical="center"/>
    </xf>
    <xf numFmtId="0" fontId="0" fillId="10" borderId="126" xfId="0" applyFont="1" applyFill="1" applyBorder="1" applyAlignment="1" applyProtection="1">
      <alignment vertical="center"/>
    </xf>
    <xf numFmtId="0" fontId="8" fillId="2" borderId="15" xfId="0" applyFont="1" applyFill="1" applyBorder="1" applyAlignment="1" applyProtection="1">
      <alignment horizontal="center" vertical="center" wrapText="1"/>
    </xf>
    <xf numFmtId="2" fontId="8" fillId="7" borderId="54" xfId="0" applyNumberFormat="1" applyFont="1" applyFill="1" applyBorder="1" applyAlignment="1" applyProtection="1">
      <alignment horizontal="center" vertical="center"/>
    </xf>
    <xf numFmtId="2" fontId="0" fillId="11" borderId="41" xfId="0" applyNumberFormat="1" applyFont="1" applyFill="1" applyBorder="1" applyAlignment="1" applyProtection="1">
      <alignment vertical="center"/>
    </xf>
    <xf numFmtId="0" fontId="0" fillId="11" borderId="24" xfId="0" applyFont="1" applyFill="1" applyBorder="1" applyAlignment="1" applyProtection="1">
      <alignment vertical="center"/>
    </xf>
    <xf numFmtId="0" fontId="0" fillId="0" borderId="0" xfId="0" applyAlignment="1" applyProtection="1">
      <alignment vertical="center"/>
    </xf>
    <xf numFmtId="11" fontId="8" fillId="0" borderId="0" xfId="0" applyNumberFormat="1" applyFont="1" applyFill="1" applyBorder="1" applyAlignment="1" applyProtection="1">
      <alignment horizontal="center" vertical="center"/>
    </xf>
    <xf numFmtId="0" fontId="8" fillId="10" borderId="130" xfId="0" applyFont="1" applyFill="1" applyBorder="1" applyAlignment="1" applyProtection="1">
      <alignment horizontal="center" vertical="center"/>
    </xf>
    <xf numFmtId="0" fontId="8" fillId="5" borderId="130" xfId="0" applyFont="1" applyFill="1" applyBorder="1" applyAlignment="1" applyProtection="1">
      <alignment vertical="center" wrapText="1"/>
    </xf>
    <xf numFmtId="0" fontId="8" fillId="2" borderId="125" xfId="0" applyFont="1" applyFill="1" applyBorder="1" applyAlignment="1" applyProtection="1">
      <alignment horizontal="center" vertical="center" wrapText="1"/>
    </xf>
    <xf numFmtId="2" fontId="8" fillId="7" borderId="33" xfId="0" applyNumberFormat="1" applyFont="1" applyFill="1" applyBorder="1" applyAlignment="1" applyProtection="1">
      <alignment horizontal="center" vertical="center"/>
    </xf>
    <xf numFmtId="2" fontId="8" fillId="7" borderId="51" xfId="0" applyNumberFormat="1" applyFont="1" applyFill="1" applyBorder="1" applyAlignment="1" applyProtection="1">
      <alignment horizontal="center" vertical="center"/>
    </xf>
    <xf numFmtId="2" fontId="8" fillId="7" borderId="58" xfId="0" applyNumberFormat="1" applyFont="1" applyFill="1" applyBorder="1" applyAlignment="1" applyProtection="1">
      <alignment horizontal="center" vertical="center"/>
    </xf>
    <xf numFmtId="0" fontId="9" fillId="0" borderId="129" xfId="0" applyFont="1" applyFill="1" applyBorder="1" applyAlignment="1" applyProtection="1">
      <alignment horizontal="center" vertical="center"/>
    </xf>
    <xf numFmtId="2" fontId="9" fillId="0" borderId="11" xfId="0" applyNumberFormat="1" applyFont="1" applyFill="1" applyBorder="1" applyAlignment="1" applyProtection="1">
      <alignment horizontal="center" vertical="center"/>
    </xf>
    <xf numFmtId="0" fontId="8" fillId="10" borderId="94" xfId="0" applyFont="1" applyFill="1" applyBorder="1" applyAlignment="1" applyProtection="1">
      <alignment horizontal="center" vertical="center"/>
    </xf>
    <xf numFmtId="0" fontId="8" fillId="10" borderId="94" xfId="0" applyFont="1" applyFill="1" applyBorder="1" applyAlignment="1" applyProtection="1">
      <alignment vertical="center" wrapText="1"/>
    </xf>
    <xf numFmtId="2" fontId="8" fillId="7" borderId="50" xfId="0" applyNumberFormat="1" applyFont="1" applyFill="1" applyBorder="1" applyAlignment="1" applyProtection="1">
      <alignment horizontal="center" vertical="center"/>
    </xf>
    <xf numFmtId="0" fontId="8" fillId="0" borderId="118" xfId="0" applyFont="1" applyFill="1" applyBorder="1" applyAlignment="1" applyProtection="1">
      <alignment horizontal="center" vertical="center"/>
    </xf>
    <xf numFmtId="0" fontId="8" fillId="0" borderId="118" xfId="0" applyFont="1" applyFill="1" applyBorder="1" applyAlignment="1" applyProtection="1">
      <alignment horizontal="center" vertical="center" wrapText="1"/>
    </xf>
    <xf numFmtId="2" fontId="9" fillId="0" borderId="118" xfId="0" applyNumberFormat="1" applyFont="1" applyFill="1" applyBorder="1" applyAlignment="1" applyProtection="1">
      <alignment horizontal="center" vertical="center"/>
    </xf>
    <xf numFmtId="0" fontId="8" fillId="5" borderId="94" xfId="0" applyFont="1" applyFill="1" applyBorder="1" applyAlignment="1" applyProtection="1">
      <alignment horizontal="center" vertical="center"/>
    </xf>
    <xf numFmtId="2" fontId="9" fillId="0" borderId="128" xfId="0" applyNumberFormat="1" applyFont="1" applyFill="1" applyBorder="1" applyAlignment="1" applyProtection="1">
      <alignment horizontal="center" vertical="center"/>
    </xf>
    <xf numFmtId="0" fontId="8" fillId="0" borderId="127" xfId="0" applyFont="1" applyFill="1" applyBorder="1" applyAlignment="1" applyProtection="1">
      <alignment horizontal="center" vertical="center"/>
    </xf>
    <xf numFmtId="0" fontId="8" fillId="10" borderId="11" xfId="0" applyFont="1" applyFill="1" applyBorder="1" applyAlignment="1" applyProtection="1">
      <alignment vertical="center" wrapText="1"/>
    </xf>
    <xf numFmtId="0" fontId="9" fillId="0" borderId="57" xfId="0" applyFont="1" applyFill="1" applyBorder="1" applyAlignment="1" applyProtection="1">
      <alignment horizontal="center" vertical="center"/>
    </xf>
    <xf numFmtId="0" fontId="8" fillId="2" borderId="126" xfId="0" applyFont="1" applyFill="1" applyBorder="1" applyAlignment="1" applyProtection="1">
      <alignment horizontal="center" vertical="center" wrapText="1"/>
    </xf>
    <xf numFmtId="2" fontId="0" fillId="11" borderId="56" xfId="0" applyNumberFormat="1" applyFont="1" applyFill="1" applyBorder="1" applyAlignment="1" applyProtection="1">
      <alignment vertical="center"/>
    </xf>
    <xf numFmtId="0" fontId="0" fillId="11" borderId="47" xfId="0" applyFont="1" applyFill="1" applyBorder="1" applyAlignment="1" applyProtection="1">
      <alignment vertical="center"/>
    </xf>
    <xf numFmtId="0" fontId="8" fillId="5" borderId="121" xfId="0" applyFont="1" applyFill="1" applyBorder="1" applyAlignment="1" applyProtection="1">
      <alignment horizontal="center" vertical="center"/>
    </xf>
    <xf numFmtId="0" fontId="8" fillId="10" borderId="121" xfId="0" applyFont="1" applyFill="1" applyBorder="1" applyAlignment="1" applyProtection="1">
      <alignment vertical="center" wrapText="1"/>
    </xf>
    <xf numFmtId="0" fontId="61" fillId="2" borderId="20"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xf>
    <xf numFmtId="2" fontId="8" fillId="7" borderId="31" xfId="0" applyNumberFormat="1" applyFont="1" applyFill="1" applyBorder="1" applyAlignment="1" applyProtection="1">
      <alignment horizontal="center" vertical="center"/>
    </xf>
    <xf numFmtId="2" fontId="8" fillId="7" borderId="11" xfId="0" applyNumberFormat="1" applyFont="1" applyFill="1" applyBorder="1" applyAlignment="1" applyProtection="1">
      <alignment horizontal="center" vertical="center"/>
    </xf>
    <xf numFmtId="168" fontId="8" fillId="7" borderId="32" xfId="0" applyNumberFormat="1" applyFont="1" applyFill="1" applyBorder="1" applyAlignment="1" applyProtection="1">
      <alignment horizontal="center" vertical="center"/>
    </xf>
    <xf numFmtId="0" fontId="8" fillId="5" borderId="0" xfId="0" applyFont="1" applyFill="1" applyBorder="1" applyAlignment="1" applyProtection="1">
      <alignment horizontal="center" vertical="center"/>
    </xf>
    <xf numFmtId="0" fontId="8" fillId="10" borderId="17" xfId="0" applyFont="1" applyFill="1" applyBorder="1" applyAlignment="1" applyProtection="1">
      <alignment horizontal="left" vertical="center"/>
    </xf>
    <xf numFmtId="0" fontId="8" fillId="2" borderId="62" xfId="0" applyFont="1" applyFill="1" applyBorder="1" applyAlignment="1" applyProtection="1">
      <alignment horizontal="center" vertical="center" wrapText="1"/>
    </xf>
    <xf numFmtId="0" fontId="9" fillId="0" borderId="62" xfId="0" applyFont="1" applyFill="1" applyBorder="1" applyAlignment="1" applyProtection="1">
      <alignment horizontal="left" vertical="center"/>
    </xf>
    <xf numFmtId="0" fontId="9" fillId="0" borderId="62" xfId="0" applyFont="1" applyFill="1" applyBorder="1" applyAlignment="1" applyProtection="1">
      <alignment horizontal="center" vertical="center"/>
    </xf>
    <xf numFmtId="2" fontId="8" fillId="7" borderId="43" xfId="0" applyNumberFormat="1" applyFont="1" applyFill="1" applyBorder="1" applyAlignment="1" applyProtection="1">
      <alignment horizontal="center" vertical="center"/>
    </xf>
    <xf numFmtId="2" fontId="8" fillId="7" borderId="58" xfId="0" applyNumberFormat="1" applyFont="1" applyFill="1" applyBorder="1" applyAlignment="1" applyProtection="1">
      <alignment vertical="center"/>
    </xf>
    <xf numFmtId="0" fontId="9" fillId="0" borderId="54" xfId="0" applyFont="1" applyFill="1" applyBorder="1" applyAlignment="1" applyProtection="1">
      <alignment horizontal="center" vertical="center"/>
    </xf>
    <xf numFmtId="0" fontId="9" fillId="0" borderId="31" xfId="0" applyFont="1" applyFill="1" applyBorder="1" applyAlignment="1" applyProtection="1">
      <alignment horizontal="center" vertical="center"/>
    </xf>
    <xf numFmtId="0" fontId="8" fillId="0" borderId="125"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2" fontId="8" fillId="0" borderId="0" xfId="0" applyNumberFormat="1" applyFont="1" applyFill="1" applyBorder="1" applyAlignment="1" applyProtection="1">
      <alignment horizontal="center" vertical="center"/>
    </xf>
    <xf numFmtId="2" fontId="8" fillId="0" borderId="23" xfId="0" applyNumberFormat="1" applyFont="1" applyFill="1" applyBorder="1" applyAlignment="1" applyProtection="1">
      <alignment vertical="center"/>
    </xf>
    <xf numFmtId="2" fontId="8" fillId="0" borderId="8" xfId="0" applyNumberFormat="1" applyFont="1" applyFill="1" applyBorder="1" applyAlignment="1" applyProtection="1">
      <alignment horizontal="center" vertical="center"/>
    </xf>
    <xf numFmtId="2" fontId="8" fillId="0" borderId="26" xfId="0" applyNumberFormat="1" applyFont="1" applyFill="1" applyBorder="1" applyAlignment="1" applyProtection="1">
      <alignment vertical="center"/>
    </xf>
    <xf numFmtId="0" fontId="21" fillId="11" borderId="27" xfId="0" applyFont="1" applyFill="1" applyBorder="1" applyAlignment="1" applyProtection="1">
      <alignment vertical="center"/>
    </xf>
    <xf numFmtId="0" fontId="25" fillId="11" borderId="23" xfId="0" applyFont="1" applyFill="1" applyBorder="1" applyAlignment="1" applyProtection="1">
      <alignment vertical="center"/>
    </xf>
    <xf numFmtId="0" fontId="24" fillId="11" borderId="23" xfId="0" applyFont="1" applyFill="1" applyBorder="1" applyAlignment="1" applyProtection="1">
      <alignment vertical="center"/>
    </xf>
    <xf numFmtId="0" fontId="25" fillId="11" borderId="23" xfId="0" applyFont="1" applyFill="1" applyBorder="1" applyAlignment="1" applyProtection="1">
      <alignment horizontal="center" vertical="center"/>
    </xf>
    <xf numFmtId="0" fontId="30" fillId="11" borderId="23" xfId="0" applyFont="1" applyFill="1" applyBorder="1" applyAlignment="1" applyProtection="1">
      <alignment vertical="center"/>
    </xf>
    <xf numFmtId="0" fontId="23" fillId="11" borderId="23" xfId="0" applyFont="1" applyFill="1" applyBorder="1" applyAlignment="1" applyProtection="1">
      <alignment vertical="center"/>
    </xf>
    <xf numFmtId="0" fontId="23" fillId="0" borderId="23" xfId="0" applyFont="1" applyFill="1" applyBorder="1" applyAlignment="1" applyProtection="1">
      <alignment vertical="center"/>
    </xf>
    <xf numFmtId="0" fontId="23" fillId="0" borderId="23" xfId="0" applyFont="1" applyFill="1" applyBorder="1" applyAlignment="1" applyProtection="1">
      <alignment horizontal="center" vertical="center"/>
    </xf>
    <xf numFmtId="0" fontId="23" fillId="0" borderId="23" xfId="0" applyFont="1" applyFill="1" applyBorder="1" applyAlignment="1" applyProtection="1">
      <alignment vertical="center" wrapText="1"/>
    </xf>
    <xf numFmtId="0" fontId="0" fillId="0" borderId="23" xfId="0" applyFill="1" applyBorder="1" applyAlignment="1" applyProtection="1">
      <alignment vertical="center"/>
    </xf>
    <xf numFmtId="0" fontId="0" fillId="0" borderId="23" xfId="0" applyFill="1" applyBorder="1" applyAlignment="1" applyProtection="1">
      <alignment horizontal="center" vertical="center"/>
    </xf>
    <xf numFmtId="0" fontId="45" fillId="0" borderId="25" xfId="0" applyFont="1" applyFill="1" applyBorder="1" applyAlignment="1" applyProtection="1">
      <alignment vertical="center"/>
    </xf>
    <xf numFmtId="0" fontId="12" fillId="0" borderId="26" xfId="0" applyFont="1" applyFill="1" applyBorder="1" applyAlignment="1" applyProtection="1">
      <alignment vertical="center"/>
    </xf>
    <xf numFmtId="0" fontId="10" fillId="0" borderId="26" xfId="0" applyFont="1" applyFill="1" applyBorder="1" applyAlignment="1" applyProtection="1">
      <alignment vertical="center"/>
    </xf>
    <xf numFmtId="0" fontId="12" fillId="0" borderId="26" xfId="0" applyFont="1" applyFill="1" applyBorder="1" applyAlignment="1" applyProtection="1">
      <alignment horizontal="center" vertical="center"/>
    </xf>
    <xf numFmtId="0" fontId="23" fillId="0" borderId="26" xfId="0" applyFont="1" applyFill="1" applyBorder="1" applyAlignment="1" applyProtection="1">
      <alignment vertical="center"/>
    </xf>
    <xf numFmtId="0" fontId="0" fillId="0" borderId="23" xfId="0" applyFont="1" applyFill="1" applyBorder="1" applyAlignment="1" applyProtection="1">
      <alignment vertical="center"/>
    </xf>
    <xf numFmtId="0" fontId="0" fillId="0" borderId="26" xfId="0" applyFont="1" applyFill="1" applyBorder="1" applyAlignment="1" applyProtection="1">
      <alignment vertical="center"/>
    </xf>
    <xf numFmtId="0" fontId="20" fillId="0" borderId="27" xfId="0" applyFont="1" applyFill="1" applyBorder="1" applyAlignment="1" applyProtection="1">
      <alignment horizontal="left" vertical="center"/>
    </xf>
    <xf numFmtId="0" fontId="9" fillId="0" borderId="23" xfId="0" applyFont="1" applyFill="1" applyBorder="1" applyAlignment="1" applyProtection="1">
      <alignment horizontal="left" vertical="center"/>
    </xf>
    <xf numFmtId="0" fontId="8" fillId="0" borderId="56" xfId="0" applyFont="1" applyFill="1" applyBorder="1" applyAlignment="1" applyProtection="1">
      <alignment horizontal="center" vertical="center" wrapText="1"/>
    </xf>
    <xf numFmtId="0" fontId="8" fillId="0" borderId="24" xfId="0" applyFont="1" applyFill="1" applyBorder="1" applyAlignment="1" applyProtection="1">
      <alignment vertical="center"/>
    </xf>
    <xf numFmtId="0" fontId="8" fillId="0" borderId="0" xfId="0" applyFont="1" applyFill="1" applyBorder="1" applyAlignment="1" applyProtection="1">
      <alignment horizontal="center"/>
    </xf>
    <xf numFmtId="0" fontId="54" fillId="0" borderId="27" xfId="0" applyFont="1" applyFill="1" applyBorder="1" applyAlignment="1" applyProtection="1">
      <alignment vertical="center"/>
    </xf>
    <xf numFmtId="0" fontId="23" fillId="0" borderId="24" xfId="0" applyFont="1" applyFill="1" applyBorder="1" applyAlignment="1" applyProtection="1">
      <alignment vertical="center"/>
    </xf>
    <xf numFmtId="0" fontId="0" fillId="0" borderId="23" xfId="0" applyFont="1" applyFill="1" applyBorder="1" applyProtection="1"/>
    <xf numFmtId="0" fontId="0" fillId="0" borderId="24" xfId="0" applyFont="1" applyFill="1" applyBorder="1" applyAlignment="1" applyProtection="1">
      <alignment vertical="center"/>
    </xf>
    <xf numFmtId="0" fontId="0" fillId="0" borderId="0" xfId="0" applyFont="1" applyFill="1" applyBorder="1" applyProtection="1"/>
    <xf numFmtId="0" fontId="9" fillId="0" borderId="4" xfId="0" applyFont="1" applyFill="1" applyBorder="1" applyAlignment="1" applyProtection="1">
      <alignment vertical="center"/>
    </xf>
    <xf numFmtId="0" fontId="8" fillId="0" borderId="11" xfId="0" applyFont="1" applyFill="1" applyBorder="1" applyAlignment="1" applyProtection="1">
      <alignment horizontal="center" vertical="center" wrapText="1"/>
    </xf>
    <xf numFmtId="0" fontId="8" fillId="0" borderId="132" xfId="0" applyFont="1" applyFill="1" applyBorder="1" applyAlignment="1" applyProtection="1">
      <alignment horizontal="right" vertical="center"/>
    </xf>
    <xf numFmtId="0" fontId="8" fillId="0" borderId="21" xfId="0" applyFont="1" applyFill="1" applyBorder="1" applyAlignment="1" applyProtection="1">
      <alignment vertical="center"/>
    </xf>
    <xf numFmtId="0" fontId="54" fillId="0" borderId="44" xfId="0" applyFont="1" applyFill="1" applyBorder="1" applyProtection="1"/>
    <xf numFmtId="0" fontId="0" fillId="0" borderId="115" xfId="0" applyFont="1" applyFill="1" applyBorder="1" applyProtection="1"/>
    <xf numFmtId="0" fontId="0" fillId="0" borderId="49" xfId="0" applyFont="1" applyFill="1" applyBorder="1" applyProtection="1"/>
    <xf numFmtId="0" fontId="54" fillId="0" borderId="27" xfId="0" quotePrefix="1" applyFont="1" applyBorder="1" applyAlignment="1" applyProtection="1">
      <alignment horizontal="left" vertical="center"/>
    </xf>
    <xf numFmtId="0" fontId="8" fillId="0" borderId="12" xfId="0" applyFont="1" applyFill="1" applyBorder="1" applyAlignment="1" applyProtection="1">
      <alignment horizontal="center" vertical="center"/>
    </xf>
    <xf numFmtId="0" fontId="8" fillId="0" borderId="94" xfId="0" applyFont="1" applyFill="1" applyBorder="1" applyAlignment="1" applyProtection="1">
      <alignment horizontal="right" vertical="center"/>
    </xf>
    <xf numFmtId="0" fontId="8" fillId="0" borderId="88" xfId="0" applyFont="1" applyFill="1" applyBorder="1" applyAlignment="1" applyProtection="1">
      <alignment horizontal="center" vertical="center"/>
    </xf>
    <xf numFmtId="0" fontId="8" fillId="0" borderId="59" xfId="0" applyFont="1" applyFill="1" applyBorder="1" applyAlignment="1" applyProtection="1">
      <alignment horizontal="center" vertical="center"/>
    </xf>
    <xf numFmtId="0" fontId="0" fillId="0" borderId="29" xfId="0" applyFont="1" applyFill="1" applyBorder="1" applyAlignment="1" applyProtection="1">
      <alignment vertical="center"/>
    </xf>
    <xf numFmtId="0" fontId="8" fillId="0" borderId="128" xfId="0" applyFont="1" applyFill="1" applyBorder="1" applyAlignment="1" applyProtection="1">
      <alignment horizontal="center" vertical="center"/>
    </xf>
    <xf numFmtId="0" fontId="8" fillId="0" borderId="91" xfId="0" applyFont="1" applyFill="1" applyBorder="1" applyAlignment="1" applyProtection="1">
      <alignment horizontal="center" vertical="center"/>
    </xf>
    <xf numFmtId="0" fontId="8" fillId="0" borderId="92" xfId="0" applyFont="1" applyFill="1" applyBorder="1" applyAlignment="1" applyProtection="1">
      <alignment horizontal="center" vertical="center"/>
    </xf>
    <xf numFmtId="0" fontId="0" fillId="0" borderId="2" xfId="0" applyFont="1" applyFill="1" applyBorder="1" applyAlignment="1" applyProtection="1">
      <alignment vertical="center"/>
    </xf>
    <xf numFmtId="0" fontId="9" fillId="0" borderId="29" xfId="0" applyFont="1" applyFill="1" applyBorder="1" applyAlignment="1" applyProtection="1">
      <alignment horizontal="left" vertical="center"/>
    </xf>
    <xf numFmtId="0" fontId="9" fillId="0" borderId="85" xfId="0" applyFont="1" applyFill="1" applyBorder="1" applyAlignment="1" applyProtection="1">
      <alignment horizontal="center" vertical="center"/>
    </xf>
    <xf numFmtId="0" fontId="8" fillId="0" borderId="85" xfId="0" applyFont="1" applyFill="1" applyBorder="1" applyAlignment="1" applyProtection="1">
      <alignment horizontal="center" vertical="center"/>
    </xf>
    <xf numFmtId="0" fontId="8" fillId="0" borderId="13" xfId="0" applyFont="1" applyFill="1" applyBorder="1" applyAlignment="1" applyProtection="1">
      <alignment vertical="center"/>
    </xf>
    <xf numFmtId="0" fontId="22" fillId="5" borderId="11" xfId="0" applyFont="1" applyFill="1" applyBorder="1" applyAlignment="1" applyProtection="1">
      <alignment vertical="center"/>
    </xf>
    <xf numFmtId="168" fontId="9" fillId="5" borderId="11" xfId="0" applyNumberFormat="1" applyFont="1" applyFill="1" applyBorder="1" applyAlignment="1" applyProtection="1">
      <alignment horizontal="center" vertical="center"/>
    </xf>
    <xf numFmtId="168" fontId="9" fillId="5" borderId="16" xfId="0" applyNumberFormat="1" applyFont="1" applyFill="1" applyBorder="1" applyAlignment="1" applyProtection="1">
      <alignment horizontal="center" vertical="center"/>
    </xf>
    <xf numFmtId="168" fontId="9" fillId="5" borderId="32" xfId="0" applyNumberFormat="1" applyFont="1" applyFill="1" applyBorder="1" applyAlignment="1" applyProtection="1">
      <alignment horizontal="center" vertical="center"/>
    </xf>
    <xf numFmtId="0" fontId="54" fillId="0" borderId="4" xfId="0" applyFont="1" applyFill="1" applyBorder="1" applyAlignment="1" applyProtection="1">
      <alignment vertical="center"/>
    </xf>
    <xf numFmtId="0" fontId="0" fillId="0" borderId="21" xfId="0" applyFont="1" applyFill="1" applyBorder="1" applyAlignment="1" applyProtection="1">
      <alignment vertical="center"/>
    </xf>
    <xf numFmtId="0" fontId="9" fillId="0" borderId="4" xfId="0" applyFont="1" applyFill="1" applyBorder="1" applyAlignment="1" applyProtection="1">
      <alignment horizontal="left" vertical="center"/>
    </xf>
    <xf numFmtId="0" fontId="22" fillId="5" borderId="0" xfId="0" applyFont="1" applyFill="1" applyBorder="1" applyAlignment="1" applyProtection="1">
      <alignment vertical="center"/>
    </xf>
    <xf numFmtId="0" fontId="9" fillId="0" borderId="89" xfId="0" applyFont="1" applyFill="1" applyBorder="1" applyAlignment="1" applyProtection="1">
      <alignment horizontal="center" vertical="center"/>
    </xf>
    <xf numFmtId="0" fontId="0" fillId="0" borderId="26" xfId="0" applyFont="1" applyFill="1" applyBorder="1" applyProtection="1"/>
    <xf numFmtId="168" fontId="9" fillId="5" borderId="0" xfId="0" applyNumberFormat="1" applyFont="1" applyFill="1" applyBorder="1" applyAlignment="1" applyProtection="1">
      <alignment horizontal="center" vertical="center"/>
    </xf>
    <xf numFmtId="168" fontId="22" fillId="5" borderId="11" xfId="0" applyNumberFormat="1" applyFont="1" applyFill="1" applyBorder="1" applyAlignment="1" applyProtection="1">
      <alignment horizontal="center" vertical="center"/>
    </xf>
    <xf numFmtId="0" fontId="8" fillId="0" borderId="131" xfId="0" applyFont="1" applyFill="1" applyBorder="1" applyAlignment="1" applyProtection="1">
      <alignment horizontal="center" vertical="center"/>
    </xf>
    <xf numFmtId="0" fontId="9" fillId="5" borderId="141" xfId="0" applyNumberFormat="1" applyFont="1" applyFill="1" applyBorder="1" applyAlignment="1" applyProtection="1">
      <alignment horizontal="center" vertical="center"/>
    </xf>
    <xf numFmtId="0" fontId="9" fillId="5" borderId="127" xfId="0" applyNumberFormat="1" applyFont="1" applyFill="1" applyBorder="1" applyAlignment="1" applyProtection="1">
      <alignment horizontal="center" vertical="center"/>
    </xf>
    <xf numFmtId="0" fontId="8" fillId="5" borderId="144" xfId="0" applyFont="1" applyFill="1" applyBorder="1" applyAlignment="1" applyProtection="1">
      <alignment horizontal="center" vertical="center"/>
    </xf>
    <xf numFmtId="0" fontId="8" fillId="0" borderId="25" xfId="0" applyFont="1" applyFill="1" applyBorder="1" applyAlignment="1" applyProtection="1">
      <alignment horizontal="center" vertical="center"/>
    </xf>
    <xf numFmtId="0" fontId="0" fillId="0" borderId="51" xfId="0" applyFont="1" applyFill="1" applyBorder="1" applyAlignment="1" applyProtection="1">
      <alignment vertical="center"/>
    </xf>
    <xf numFmtId="0" fontId="0" fillId="0" borderId="58" xfId="0" applyFont="1" applyFill="1" applyBorder="1" applyAlignment="1" applyProtection="1">
      <alignment vertical="center"/>
    </xf>
    <xf numFmtId="0" fontId="9" fillId="0" borderId="7" xfId="0" applyFont="1" applyFill="1" applyBorder="1" applyAlignment="1" applyProtection="1">
      <alignment horizontal="left" vertical="center"/>
    </xf>
    <xf numFmtId="0" fontId="9" fillId="0" borderId="8"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8" xfId="0" applyFont="1" applyFill="1" applyBorder="1" applyAlignment="1" applyProtection="1">
      <alignment vertical="center"/>
    </xf>
    <xf numFmtId="168" fontId="9" fillId="0" borderId="8" xfId="0" applyNumberFormat="1" applyFont="1" applyFill="1" applyBorder="1" applyAlignment="1" applyProtection="1">
      <alignment horizontal="center" vertical="center"/>
    </xf>
    <xf numFmtId="0" fontId="22" fillId="0" borderId="8" xfId="0" applyFont="1" applyFill="1" applyBorder="1" applyAlignment="1" applyProtection="1">
      <alignment vertical="center"/>
    </xf>
    <xf numFmtId="0" fontId="20" fillId="0" borderId="4" xfId="0" applyFont="1" applyFill="1" applyBorder="1" applyAlignment="1" applyProtection="1">
      <alignment horizontal="left" vertical="center"/>
    </xf>
    <xf numFmtId="0" fontId="8" fillId="0" borderId="74" xfId="0" applyFont="1" applyFill="1" applyBorder="1" applyAlignment="1" applyProtection="1">
      <alignment horizontal="right" vertical="center"/>
    </xf>
    <xf numFmtId="0" fontId="0" fillId="0" borderId="73" xfId="0" applyFont="1" applyFill="1" applyBorder="1" applyAlignment="1" applyProtection="1">
      <alignment vertical="center"/>
    </xf>
    <xf numFmtId="0" fontId="8" fillId="0" borderId="11" xfId="0" applyFont="1" applyFill="1" applyBorder="1" applyAlignment="1" applyProtection="1">
      <alignment horizontal="left" vertical="center"/>
    </xf>
    <xf numFmtId="0" fontId="9" fillId="0" borderId="14" xfId="0" applyFont="1" applyFill="1" applyBorder="1" applyAlignment="1" applyProtection="1">
      <alignment horizontal="center" vertical="center"/>
    </xf>
    <xf numFmtId="0" fontId="9" fillId="0" borderId="0" xfId="0"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center" vertical="center"/>
    </xf>
    <xf numFmtId="49" fontId="8" fillId="0" borderId="29" xfId="0" applyNumberFormat="1" applyFont="1" applyFill="1" applyBorder="1" applyAlignment="1" applyProtection="1">
      <alignment horizontal="left" vertical="center"/>
    </xf>
    <xf numFmtId="0" fontId="9" fillId="0" borderId="83" xfId="0" applyFont="1" applyFill="1" applyBorder="1" applyAlignment="1" applyProtection="1">
      <alignment horizontal="left" vertical="center"/>
    </xf>
    <xf numFmtId="0" fontId="9" fillId="0" borderId="86" xfId="0" applyFont="1" applyFill="1" applyBorder="1" applyAlignment="1" applyProtection="1">
      <alignment horizontal="left" vertical="center"/>
    </xf>
    <xf numFmtId="0" fontId="8" fillId="0" borderId="83" xfId="0" applyFont="1" applyFill="1" applyBorder="1" applyAlignment="1" applyProtection="1">
      <alignment vertical="center"/>
    </xf>
    <xf numFmtId="0" fontId="22" fillId="0" borderId="87" xfId="0" applyFont="1" applyFill="1" applyBorder="1" applyAlignment="1" applyProtection="1">
      <alignment vertical="center"/>
    </xf>
    <xf numFmtId="49" fontId="8" fillId="0" borderId="4" xfId="0" applyNumberFormat="1" applyFont="1" applyFill="1" applyBorder="1" applyAlignment="1" applyProtection="1">
      <alignment horizontal="left" vertical="center"/>
    </xf>
    <xf numFmtId="0" fontId="9" fillId="0" borderId="11" xfId="0" applyFont="1" applyFill="1" applyBorder="1" applyAlignment="1" applyProtection="1">
      <alignment horizontal="left" vertical="center"/>
    </xf>
    <xf numFmtId="0" fontId="22" fillId="0" borderId="13" xfId="0" applyFont="1" applyFill="1" applyBorder="1" applyAlignment="1" applyProtection="1">
      <alignment vertical="center"/>
    </xf>
    <xf numFmtId="168" fontId="9" fillId="0" borderId="13" xfId="0" applyNumberFormat="1" applyFont="1" applyFill="1" applyBorder="1" applyAlignment="1" applyProtection="1">
      <alignment horizontal="center" vertical="center"/>
    </xf>
    <xf numFmtId="168" fontId="9" fillId="5" borderId="51" xfId="0" applyNumberFormat="1" applyFont="1" applyFill="1" applyBorder="1" applyAlignment="1" applyProtection="1">
      <alignment horizontal="center" vertical="center"/>
    </xf>
    <xf numFmtId="168" fontId="9" fillId="5" borderId="58" xfId="0" applyNumberFormat="1" applyFont="1" applyFill="1" applyBorder="1" applyAlignment="1" applyProtection="1">
      <alignment horizontal="center" vertical="center"/>
    </xf>
    <xf numFmtId="49" fontId="8" fillId="0" borderId="7" xfId="0" applyNumberFormat="1" applyFont="1" applyFill="1" applyBorder="1" applyAlignment="1" applyProtection="1">
      <alignment horizontal="left" vertical="center"/>
    </xf>
    <xf numFmtId="0" fontId="9" fillId="0" borderId="8" xfId="0" applyFont="1" applyFill="1" applyBorder="1" applyAlignment="1" applyProtection="1">
      <alignment horizontal="left" vertical="center"/>
    </xf>
    <xf numFmtId="168" fontId="9" fillId="0" borderId="0" xfId="0" applyNumberFormat="1" applyFont="1" applyFill="1" applyBorder="1" applyAlignment="1" applyProtection="1">
      <alignment horizontal="center" vertical="center"/>
    </xf>
    <xf numFmtId="0" fontId="9" fillId="0" borderId="25" xfId="0" applyFont="1" applyFill="1" applyBorder="1" applyAlignment="1" applyProtection="1">
      <alignment vertical="center"/>
    </xf>
    <xf numFmtId="0" fontId="0" fillId="0" borderId="4" xfId="0" applyFont="1" applyFill="1" applyBorder="1" applyProtection="1"/>
    <xf numFmtId="0" fontId="8" fillId="0" borderId="109" xfId="0" applyFont="1" applyFill="1" applyBorder="1" applyAlignment="1" applyProtection="1">
      <alignment horizontal="center" wrapText="1"/>
    </xf>
    <xf numFmtId="0" fontId="8" fillId="0" borderId="109" xfId="0" applyFont="1" applyFill="1" applyBorder="1" applyAlignment="1" applyProtection="1">
      <alignment horizontal="center"/>
    </xf>
    <xf numFmtId="0" fontId="0" fillId="0" borderId="86" xfId="0" applyFont="1" applyFill="1" applyBorder="1" applyAlignment="1" applyProtection="1">
      <alignment vertical="center"/>
    </xf>
    <xf numFmtId="0" fontId="23" fillId="0" borderId="90" xfId="0" applyFont="1" applyFill="1" applyBorder="1" applyAlignment="1" applyProtection="1">
      <alignment horizontal="center" vertical="center"/>
    </xf>
    <xf numFmtId="0" fontId="23" fillId="0" borderId="84" xfId="0" applyFont="1" applyFill="1" applyBorder="1" applyAlignment="1" applyProtection="1">
      <alignment horizontal="center" vertical="center"/>
    </xf>
    <xf numFmtId="0" fontId="0" fillId="0" borderId="89" xfId="0" applyFont="1" applyFill="1" applyBorder="1" applyAlignment="1" applyProtection="1">
      <alignment vertical="center"/>
    </xf>
    <xf numFmtId="0" fontId="0" fillId="0" borderId="90" xfId="0" applyFont="1" applyFill="1" applyBorder="1" applyAlignment="1" applyProtection="1">
      <alignment vertical="center"/>
    </xf>
    <xf numFmtId="0" fontId="8" fillId="11" borderId="27" xfId="0" applyFont="1" applyFill="1" applyBorder="1" applyAlignment="1" applyProtection="1">
      <alignment horizontal="left" vertical="center"/>
    </xf>
    <xf numFmtId="0" fontId="8" fillId="11" borderId="24" xfId="0" applyFont="1" applyFill="1" applyBorder="1" applyAlignment="1" applyProtection="1">
      <alignment horizontal="center" vertical="center"/>
    </xf>
    <xf numFmtId="0" fontId="8" fillId="0" borderId="69" xfId="0" applyFont="1" applyFill="1" applyBorder="1" applyAlignment="1" applyProtection="1">
      <alignment horizontal="center"/>
    </xf>
    <xf numFmtId="0" fontId="8" fillId="0" borderId="85" xfId="0" applyFont="1" applyFill="1" applyBorder="1" applyAlignment="1" applyProtection="1"/>
    <xf numFmtId="0" fontId="8" fillId="0" borderId="85" xfId="0" applyFont="1" applyFill="1" applyBorder="1" applyAlignment="1" applyProtection="1">
      <alignment horizontal="center" wrapText="1"/>
    </xf>
    <xf numFmtId="0" fontId="8" fillId="0" borderId="83" xfId="0" applyFont="1" applyFill="1" applyBorder="1" applyAlignment="1" applyProtection="1">
      <alignment horizontal="center" wrapText="1"/>
    </xf>
    <xf numFmtId="0" fontId="0" fillId="0" borderId="82" xfId="0" applyFont="1" applyFill="1" applyBorder="1" applyAlignment="1" applyProtection="1">
      <alignment vertical="center"/>
    </xf>
    <xf numFmtId="0" fontId="8" fillId="0" borderId="83" xfId="0" applyFont="1" applyFill="1" applyBorder="1" applyAlignment="1" applyProtection="1">
      <alignment horizontal="left"/>
    </xf>
    <xf numFmtId="0" fontId="8" fillId="0" borderId="83" xfId="0" applyFont="1" applyFill="1" applyBorder="1" applyAlignment="1" applyProtection="1">
      <alignment horizontal="center"/>
    </xf>
    <xf numFmtId="0" fontId="8" fillId="0" borderId="87" xfId="0" applyFont="1" applyFill="1" applyBorder="1" applyAlignment="1" applyProtection="1">
      <alignment horizontal="center" wrapText="1"/>
    </xf>
    <xf numFmtId="0" fontId="8" fillId="0" borderId="86" xfId="0" applyFont="1" applyFill="1" applyBorder="1" applyAlignment="1" applyProtection="1">
      <alignment horizontal="left"/>
    </xf>
    <xf numFmtId="0" fontId="0" fillId="0" borderId="108" xfId="0" applyFont="1" applyFill="1" applyBorder="1" applyAlignment="1" applyProtection="1">
      <alignment vertical="center"/>
    </xf>
    <xf numFmtId="0" fontId="8" fillId="0" borderId="91" xfId="0" applyFont="1" applyFill="1" applyBorder="1" applyAlignment="1" applyProtection="1">
      <alignment horizontal="center" wrapText="1"/>
    </xf>
    <xf numFmtId="0" fontId="8" fillId="0" borderId="87" xfId="0" applyFont="1" applyFill="1" applyBorder="1" applyAlignment="1" applyProtection="1">
      <alignment horizontal="center"/>
    </xf>
    <xf numFmtId="0" fontId="0" fillId="0" borderId="91" xfId="0" applyFont="1" applyFill="1" applyBorder="1" applyAlignment="1" applyProtection="1">
      <alignment vertical="center"/>
    </xf>
    <xf numFmtId="0" fontId="8" fillId="0" borderId="86" xfId="0" applyFont="1" applyFill="1" applyBorder="1" applyAlignment="1" applyProtection="1">
      <alignment horizontal="center"/>
    </xf>
    <xf numFmtId="0" fontId="8" fillId="0" borderId="91" xfId="0" applyFont="1" applyFill="1" applyBorder="1" applyAlignment="1" applyProtection="1">
      <alignment horizontal="center"/>
    </xf>
    <xf numFmtId="0" fontId="8" fillId="11" borderId="4" xfId="0" applyFont="1" applyFill="1" applyBorder="1" applyAlignment="1" applyProtection="1">
      <alignment vertical="center"/>
    </xf>
    <xf numFmtId="0" fontId="8" fillId="11" borderId="21" xfId="0" applyFont="1" applyFill="1" applyBorder="1" applyAlignment="1" applyProtection="1">
      <alignment horizontal="center" vertical="center"/>
    </xf>
    <xf numFmtId="0" fontId="8" fillId="0" borderId="31" xfId="0" applyFont="1" applyFill="1" applyBorder="1" applyAlignment="1" applyProtection="1">
      <alignment horizontal="center" vertical="center"/>
    </xf>
    <xf numFmtId="0" fontId="8" fillId="0" borderId="16" xfId="0" applyFont="1" applyFill="1" applyBorder="1" applyAlignment="1" applyProtection="1"/>
    <xf numFmtId="0" fontId="8" fillId="0" borderId="16"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8" fillId="0" borderId="11" xfId="0" applyFont="1" applyFill="1" applyBorder="1" applyAlignment="1" applyProtection="1">
      <alignment horizontal="center"/>
    </xf>
    <xf numFmtId="0" fontId="8" fillId="0" borderId="16" xfId="0" applyFont="1" applyFill="1" applyBorder="1" applyAlignment="1" applyProtection="1">
      <alignment horizontal="center"/>
    </xf>
    <xf numFmtId="0" fontId="8" fillId="0" borderId="13" xfId="0" applyFont="1" applyFill="1" applyBorder="1" applyAlignment="1" applyProtection="1">
      <alignment horizontal="center"/>
    </xf>
    <xf numFmtId="11" fontId="8" fillId="0" borderId="16" xfId="0" applyNumberFormat="1" applyFont="1" applyFill="1" applyBorder="1" applyAlignment="1" applyProtection="1">
      <alignment horizontal="center"/>
    </xf>
    <xf numFmtId="11" fontId="8" fillId="0" borderId="0" xfId="0" applyNumberFormat="1" applyFont="1" applyFill="1" applyBorder="1" applyAlignment="1" applyProtection="1">
      <alignment horizontal="center"/>
    </xf>
    <xf numFmtId="11" fontId="8" fillId="0" borderId="17" xfId="0" applyNumberFormat="1"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11" fontId="8" fillId="0" borderId="16" xfId="0" applyNumberFormat="1" applyFont="1" applyFill="1" applyBorder="1" applyAlignment="1" applyProtection="1">
      <alignment horizontal="center" vertical="center"/>
    </xf>
    <xf numFmtId="0" fontId="9" fillId="11" borderId="25" xfId="0" applyFont="1" applyFill="1" applyBorder="1" applyAlignment="1" applyProtection="1">
      <alignment horizontal="center" vertical="center"/>
    </xf>
    <xf numFmtId="0" fontId="8" fillId="11" borderId="58" xfId="0" applyFont="1" applyFill="1" applyBorder="1" applyAlignment="1" applyProtection="1">
      <alignment horizontal="center" vertical="center"/>
    </xf>
    <xf numFmtId="0" fontId="9" fillId="0" borderId="29" xfId="0" applyFont="1" applyFill="1" applyBorder="1" applyAlignment="1" applyProtection="1">
      <alignment horizontal="center" vertical="center"/>
    </xf>
    <xf numFmtId="0" fontId="8" fillId="0" borderId="86" xfId="0" applyFont="1" applyFill="1" applyBorder="1" applyAlignment="1" applyProtection="1">
      <alignment vertical="center"/>
    </xf>
    <xf numFmtId="0" fontId="58" fillId="0" borderId="85" xfId="0" applyFont="1" applyFill="1" applyBorder="1" applyAlignment="1" applyProtection="1">
      <alignment horizontal="center" vertical="center" wrapText="1"/>
    </xf>
    <xf numFmtId="2" fontId="8" fillId="11" borderId="69" xfId="0" applyNumberFormat="1" applyFont="1" applyFill="1" applyBorder="1" applyAlignment="1" applyProtection="1">
      <alignment horizontal="center" vertical="center"/>
    </xf>
    <xf numFmtId="2" fontId="8" fillId="11" borderId="21" xfId="0" applyNumberFormat="1" applyFont="1" applyFill="1" applyBorder="1" applyAlignment="1" applyProtection="1">
      <alignment horizontal="center" vertical="center"/>
    </xf>
    <xf numFmtId="0" fontId="59" fillId="0" borderId="85" xfId="0" applyFont="1" applyFill="1" applyBorder="1" applyAlignment="1" applyProtection="1">
      <alignment horizontal="center" vertical="center" wrapText="1"/>
    </xf>
    <xf numFmtId="2" fontId="8" fillId="11" borderId="21" xfId="0" applyNumberFormat="1" applyFont="1" applyFill="1" applyBorder="1" applyAlignment="1" applyProtection="1">
      <alignment vertical="center"/>
    </xf>
    <xf numFmtId="0" fontId="8" fillId="0" borderId="11" xfId="0" applyFont="1" applyFill="1" applyBorder="1" applyAlignment="1" applyProtection="1">
      <alignment vertical="center"/>
    </xf>
    <xf numFmtId="0" fontId="57" fillId="0" borderId="85" xfId="0" applyFont="1" applyFill="1" applyBorder="1" applyAlignment="1" applyProtection="1">
      <alignment horizontal="center" vertical="center" wrapText="1"/>
    </xf>
    <xf numFmtId="2" fontId="8" fillId="11" borderId="28" xfId="0" applyNumberFormat="1" applyFont="1" applyFill="1" applyBorder="1" applyAlignment="1" applyProtection="1">
      <alignment horizontal="center" vertical="center"/>
    </xf>
    <xf numFmtId="2" fontId="8" fillId="0" borderId="0" xfId="0" applyNumberFormat="1" applyFont="1" applyFill="1" applyAlignment="1" applyProtection="1">
      <alignment vertical="center"/>
    </xf>
    <xf numFmtId="0" fontId="57" fillId="2" borderId="85" xfId="0" applyFont="1" applyFill="1" applyBorder="1" applyAlignment="1" applyProtection="1">
      <alignment horizontal="center" vertical="center" wrapText="1"/>
    </xf>
    <xf numFmtId="0" fontId="0" fillId="0" borderId="0" xfId="0" applyFont="1" applyFill="1" applyAlignment="1" applyProtection="1">
      <alignment horizontal="center" vertical="center"/>
    </xf>
    <xf numFmtId="166" fontId="9" fillId="0" borderId="85" xfId="0" applyNumberFormat="1" applyFont="1" applyFill="1" applyBorder="1" applyAlignment="1" applyProtection="1">
      <alignment horizontal="center" vertical="center"/>
    </xf>
    <xf numFmtId="0" fontId="8" fillId="0" borderId="51" xfId="0" applyFont="1" applyFill="1" applyBorder="1" applyAlignment="1" applyProtection="1">
      <alignment vertical="center"/>
    </xf>
    <xf numFmtId="0" fontId="0" fillId="0" borderId="42" xfId="0" applyFill="1" applyBorder="1" applyAlignment="1" applyProtection="1">
      <alignment horizontal="center" vertical="center"/>
    </xf>
    <xf numFmtId="2" fontId="8" fillId="11" borderId="61" xfId="0" applyNumberFormat="1" applyFont="1" applyFill="1" applyBorder="1" applyAlignment="1" applyProtection="1">
      <alignment horizontal="center" vertical="center"/>
    </xf>
    <xf numFmtId="2" fontId="8" fillId="11" borderId="2" xfId="0" applyNumberFormat="1" applyFont="1" applyFill="1" applyBorder="1" applyAlignment="1" applyProtection="1">
      <alignment vertical="center"/>
    </xf>
    <xf numFmtId="166" fontId="9"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center" vertical="center"/>
    </xf>
    <xf numFmtId="2" fontId="9" fillId="0" borderId="0" xfId="0" applyNumberFormat="1" applyFont="1" applyFill="1" applyBorder="1" applyAlignment="1" applyProtection="1">
      <alignment horizontal="center" vertical="center"/>
    </xf>
    <xf numFmtId="169" fontId="8" fillId="0" borderId="0" xfId="0" applyNumberFormat="1" applyFont="1" applyFill="1" applyBorder="1" applyAlignment="1" applyProtection="1">
      <alignment horizontal="center" vertical="center"/>
    </xf>
    <xf numFmtId="0" fontId="21" fillId="13" borderId="0" xfId="0" applyFont="1" applyFill="1" applyBorder="1" applyAlignment="1" applyProtection="1">
      <alignment vertical="center"/>
    </xf>
    <xf numFmtId="0" fontId="24" fillId="13" borderId="0" xfId="0" applyFont="1" applyFill="1" applyAlignment="1" applyProtection="1">
      <alignment vertical="center"/>
    </xf>
    <xf numFmtId="0" fontId="8" fillId="2" borderId="5" xfId="0" applyFont="1" applyFill="1" applyBorder="1" applyAlignment="1" applyProtection="1">
      <alignment horizontal="center" vertical="center" wrapText="1"/>
    </xf>
    <xf numFmtId="0" fontId="8" fillId="0" borderId="5" xfId="0" applyFont="1" applyFill="1" applyBorder="1" applyAlignment="1" applyProtection="1">
      <alignment horizontal="center" vertical="center" wrapText="1"/>
    </xf>
    <xf numFmtId="0" fontId="8" fillId="2" borderId="5" xfId="0" applyFont="1" applyFill="1" applyBorder="1" applyAlignment="1" applyProtection="1">
      <alignment horizontal="center" vertical="center"/>
    </xf>
    <xf numFmtId="0" fontId="23" fillId="0" borderId="89" xfId="0" applyFont="1" applyFill="1" applyBorder="1" applyAlignment="1" applyProtection="1">
      <alignment vertical="center"/>
    </xf>
    <xf numFmtId="0" fontId="0" fillId="2" borderId="0" xfId="0" applyFont="1" applyFill="1" applyAlignment="1" applyProtection="1">
      <alignment vertical="center"/>
    </xf>
    <xf numFmtId="0" fontId="8" fillId="2" borderId="16" xfId="0" applyFont="1" applyFill="1" applyBorder="1" applyAlignment="1" applyProtection="1">
      <alignment horizontal="center" vertical="center" wrapText="1"/>
    </xf>
    <xf numFmtId="0" fontId="8" fillId="0" borderId="87"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87" xfId="0" applyFont="1" applyFill="1" applyBorder="1" applyAlignment="1" applyProtection="1">
      <alignment horizontal="center" vertical="center"/>
    </xf>
    <xf numFmtId="0" fontId="8" fillId="13" borderId="4" xfId="0" applyFont="1" applyFill="1" applyBorder="1" applyAlignment="1" applyProtection="1">
      <alignment horizontal="center" vertical="center"/>
    </xf>
    <xf numFmtId="0" fontId="0" fillId="2" borderId="0" xfId="0" applyFont="1" applyFill="1" applyBorder="1" applyAlignment="1" applyProtection="1">
      <alignment vertical="center"/>
    </xf>
    <xf numFmtId="0" fontId="8" fillId="2" borderId="121" xfId="0" applyFont="1" applyFill="1" applyBorder="1" applyAlignment="1" applyProtection="1">
      <alignment horizontal="center" vertical="center" wrapText="1"/>
    </xf>
    <xf numFmtId="0" fontId="8" fillId="2" borderId="121" xfId="0" applyFont="1" applyFill="1" applyBorder="1" applyAlignment="1" applyProtection="1">
      <alignment horizontal="center" vertical="center"/>
    </xf>
    <xf numFmtId="0" fontId="9" fillId="13" borderId="4" xfId="0" applyFont="1" applyFill="1" applyBorder="1" applyAlignment="1" applyProtection="1">
      <alignment horizontal="center" vertical="center"/>
    </xf>
    <xf numFmtId="0" fontId="9" fillId="13" borderId="121" xfId="0" applyFont="1" applyFill="1" applyBorder="1" applyAlignment="1" applyProtection="1">
      <alignment horizontal="center" vertical="center"/>
    </xf>
    <xf numFmtId="0" fontId="8" fillId="13" borderId="32" xfId="0"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0" fillId="10" borderId="128" xfId="0" applyFont="1" applyFill="1" applyBorder="1" applyAlignment="1" applyProtection="1">
      <alignment vertical="center"/>
    </xf>
    <xf numFmtId="2" fontId="8" fillId="13" borderId="75" xfId="0" applyNumberFormat="1" applyFont="1" applyFill="1" applyBorder="1" applyAlignment="1" applyProtection="1">
      <alignment horizontal="center" vertical="center"/>
    </xf>
    <xf numFmtId="2" fontId="0" fillId="13" borderId="41" xfId="0" applyNumberFormat="1" applyFont="1" applyFill="1" applyBorder="1" applyAlignment="1" applyProtection="1">
      <alignment vertical="center"/>
    </xf>
    <xf numFmtId="0" fontId="0" fillId="13" borderId="47" xfId="0" applyFont="1" applyFill="1" applyBorder="1" applyAlignment="1" applyProtection="1">
      <alignment vertical="center"/>
    </xf>
    <xf numFmtId="174" fontId="0" fillId="2" borderId="0" xfId="0" applyNumberFormat="1" applyFont="1" applyFill="1" applyAlignment="1" applyProtection="1">
      <alignment vertical="center"/>
    </xf>
    <xf numFmtId="0" fontId="9" fillId="10" borderId="11" xfId="0" applyFont="1" applyFill="1" applyBorder="1" applyAlignment="1" applyProtection="1">
      <alignment horizontal="center" vertical="center"/>
    </xf>
    <xf numFmtId="0" fontId="8" fillId="10" borderId="121" xfId="0" applyFont="1" applyFill="1" applyBorder="1" applyAlignment="1" applyProtection="1">
      <alignment horizontal="left" vertical="center"/>
    </xf>
    <xf numFmtId="0" fontId="8" fillId="2" borderId="125" xfId="0" applyNumberFormat="1" applyFont="1" applyFill="1" applyBorder="1" applyAlignment="1" applyProtection="1">
      <alignment horizontal="center" vertical="center"/>
    </xf>
    <xf numFmtId="2" fontId="8" fillId="13" borderId="28" xfId="0" applyNumberFormat="1" applyFont="1" applyFill="1" applyBorder="1" applyAlignment="1" applyProtection="1">
      <alignment horizontal="center" vertical="center"/>
    </xf>
    <xf numFmtId="2" fontId="8" fillId="13" borderId="121" xfId="0" applyNumberFormat="1" applyFont="1" applyFill="1" applyBorder="1" applyAlignment="1" applyProtection="1">
      <alignment horizontal="center" vertical="center"/>
    </xf>
    <xf numFmtId="2" fontId="8" fillId="13" borderId="32" xfId="0" applyNumberFormat="1"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0" fillId="0" borderId="123" xfId="0" applyFont="1" applyFill="1" applyBorder="1" applyAlignment="1" applyProtection="1">
      <alignment vertical="center"/>
    </xf>
    <xf numFmtId="2" fontId="0" fillId="13" borderId="121" xfId="0" applyNumberFormat="1" applyFont="1" applyFill="1" applyBorder="1" applyAlignment="1" applyProtection="1">
      <alignment vertical="center"/>
    </xf>
    <xf numFmtId="0" fontId="0" fillId="13" borderId="32" xfId="0" applyFont="1" applyFill="1" applyBorder="1" applyAlignment="1" applyProtection="1">
      <alignment vertical="center"/>
    </xf>
    <xf numFmtId="0" fontId="44" fillId="2" borderId="0" xfId="0" applyFont="1" applyFill="1" applyAlignment="1" applyProtection="1">
      <alignment vertical="center"/>
    </xf>
    <xf numFmtId="0" fontId="9" fillId="2" borderId="125" xfId="0" applyFont="1" applyFill="1" applyBorder="1" applyAlignment="1" applyProtection="1">
      <alignment horizontal="center" vertical="center"/>
    </xf>
    <xf numFmtId="2" fontId="8" fillId="13" borderId="61" xfId="0" applyNumberFormat="1" applyFont="1" applyFill="1" applyBorder="1" applyAlignment="1" applyProtection="1">
      <alignment horizontal="center" vertical="center"/>
    </xf>
    <xf numFmtId="2" fontId="0" fillId="13" borderId="43" xfId="0" applyNumberFormat="1" applyFont="1" applyFill="1" applyBorder="1" applyAlignment="1" applyProtection="1">
      <alignment vertical="center"/>
    </xf>
    <xf numFmtId="0" fontId="0" fillId="13" borderId="58" xfId="0" applyFont="1" applyFill="1" applyBorder="1" applyAlignment="1" applyProtection="1">
      <alignment vertical="center"/>
    </xf>
    <xf numFmtId="173" fontId="0" fillId="2" borderId="0" xfId="0" applyNumberFormat="1" applyFont="1" applyFill="1" applyAlignment="1" applyProtection="1">
      <alignment vertical="center"/>
    </xf>
    <xf numFmtId="173" fontId="0" fillId="2" borderId="0" xfId="0" applyNumberFormat="1" applyFont="1" applyFill="1" applyBorder="1" applyAlignment="1" applyProtection="1">
      <alignment vertical="center"/>
    </xf>
    <xf numFmtId="0" fontId="9" fillId="0" borderId="122" xfId="0" applyFont="1" applyFill="1" applyBorder="1" applyAlignment="1" applyProtection="1">
      <alignment horizontal="center" vertical="center"/>
    </xf>
    <xf numFmtId="0" fontId="8" fillId="0" borderId="125" xfId="0" applyFont="1" applyFill="1" applyBorder="1" applyAlignment="1" applyProtection="1">
      <alignment horizontal="left" vertical="center"/>
    </xf>
    <xf numFmtId="0" fontId="8" fillId="0" borderId="125" xfId="0" applyFont="1" applyFill="1" applyBorder="1" applyAlignment="1" applyProtection="1">
      <alignment horizontal="center" vertical="center" wrapText="1"/>
    </xf>
    <xf numFmtId="2" fontId="8" fillId="0" borderId="31" xfId="0" applyNumberFormat="1" applyFont="1" applyFill="1" applyBorder="1" applyAlignment="1" applyProtection="1">
      <alignment horizontal="center" vertical="center"/>
    </xf>
    <xf numFmtId="2" fontId="0" fillId="0" borderId="11" xfId="0" applyNumberFormat="1" applyFont="1" applyFill="1" applyBorder="1" applyAlignment="1" applyProtection="1">
      <alignment vertical="center"/>
    </xf>
    <xf numFmtId="0" fontId="0" fillId="0" borderId="32" xfId="0" applyFont="1" applyFill="1" applyBorder="1" applyAlignment="1" applyProtection="1">
      <alignment vertical="center"/>
    </xf>
    <xf numFmtId="173" fontId="0" fillId="0" borderId="0" xfId="0" applyNumberFormat="1" applyFont="1" applyFill="1" applyAlignment="1" applyProtection="1">
      <alignment vertical="center"/>
    </xf>
    <xf numFmtId="173" fontId="0" fillId="0" borderId="0" xfId="0" applyNumberFormat="1" applyFont="1" applyFill="1" applyBorder="1" applyAlignment="1" applyProtection="1">
      <alignment vertical="center"/>
    </xf>
    <xf numFmtId="0" fontId="9" fillId="10" borderId="96" xfId="0" applyFont="1" applyFill="1" applyBorder="1" applyAlignment="1" applyProtection="1">
      <alignment horizontal="center" vertical="center"/>
    </xf>
    <xf numFmtId="0" fontId="8" fillId="10" borderId="94" xfId="0" applyFont="1" applyFill="1" applyBorder="1" applyAlignment="1" applyProtection="1">
      <alignment horizontal="left" vertical="center"/>
    </xf>
    <xf numFmtId="0" fontId="8" fillId="2" borderId="136" xfId="0" applyFont="1" applyFill="1" applyBorder="1" applyAlignment="1" applyProtection="1">
      <alignment horizontal="center" vertical="center" wrapText="1"/>
    </xf>
    <xf numFmtId="0" fontId="9" fillId="12" borderId="136" xfId="0" applyFont="1" applyFill="1" applyBorder="1" applyAlignment="1" applyProtection="1">
      <alignment horizontal="center" vertical="center"/>
    </xf>
    <xf numFmtId="11" fontId="9" fillId="0" borderId="0" xfId="0" applyNumberFormat="1" applyFont="1" applyFill="1" applyBorder="1" applyAlignment="1" applyProtection="1">
      <alignment horizontal="center" vertical="center"/>
    </xf>
    <xf numFmtId="11" fontId="0" fillId="0" borderId="0" xfId="0" applyNumberFormat="1" applyFont="1" applyFill="1" applyBorder="1" applyAlignment="1" applyProtection="1">
      <alignment vertical="center"/>
    </xf>
    <xf numFmtId="165" fontId="12" fillId="0" borderId="0" xfId="0" applyNumberFormat="1" applyFont="1" applyFill="1" applyBorder="1" applyAlignment="1" applyProtection="1">
      <alignment vertical="center"/>
    </xf>
    <xf numFmtId="2" fontId="12" fillId="0" borderId="0" xfId="0" applyNumberFormat="1" applyFont="1" applyFill="1" applyBorder="1" applyAlignment="1" applyProtection="1">
      <alignment vertical="center"/>
    </xf>
    <xf numFmtId="165" fontId="12" fillId="0" borderId="0" xfId="0" applyNumberFormat="1" applyFont="1" applyFill="1" applyAlignment="1" applyProtection="1">
      <alignment vertical="center"/>
    </xf>
    <xf numFmtId="0" fontId="12" fillId="0" borderId="0" xfId="0" applyFont="1" applyFill="1" applyAlignment="1" applyProtection="1">
      <alignment vertical="center"/>
    </xf>
    <xf numFmtId="11" fontId="12" fillId="0" borderId="0" xfId="0" applyNumberFormat="1" applyFont="1" applyFill="1" applyAlignment="1" applyProtection="1">
      <alignment vertical="center"/>
    </xf>
    <xf numFmtId="2" fontId="3" fillId="0" borderId="0" xfId="0" applyNumberFormat="1" applyFont="1" applyFill="1" applyBorder="1" applyAlignment="1" applyProtection="1">
      <alignment horizontal="center" vertical="center"/>
    </xf>
    <xf numFmtId="11" fontId="3" fillId="0" borderId="0" xfId="0" applyNumberFormat="1" applyFont="1" applyFill="1" applyBorder="1" applyAlignment="1" applyProtection="1">
      <alignment horizontal="center" vertical="center"/>
    </xf>
    <xf numFmtId="0" fontId="24" fillId="14" borderId="0" xfId="14" applyFont="1" applyFill="1" applyBorder="1" applyAlignment="1" applyProtection="1">
      <alignment vertical="center"/>
    </xf>
    <xf numFmtId="0" fontId="30" fillId="14" borderId="0" xfId="0" applyFont="1" applyFill="1" applyBorder="1" applyAlignment="1" applyProtection="1">
      <alignment vertical="center"/>
    </xf>
    <xf numFmtId="0" fontId="22" fillId="2" borderId="0" xfId="0" applyFont="1" applyFill="1" applyBorder="1" applyAlignment="1" applyProtection="1">
      <alignment horizontal="left"/>
    </xf>
    <xf numFmtId="0" fontId="8" fillId="0" borderId="0" xfId="0" applyFont="1" applyFill="1" applyBorder="1" applyAlignment="1" applyProtection="1">
      <alignment horizontal="left"/>
    </xf>
    <xf numFmtId="0" fontId="22" fillId="2" borderId="0" xfId="0" applyFont="1" applyFill="1" applyBorder="1" applyAlignment="1" applyProtection="1">
      <alignment horizontal="center"/>
    </xf>
    <xf numFmtId="2" fontId="8" fillId="2" borderId="0" xfId="0" applyNumberFormat="1" applyFont="1" applyFill="1" applyBorder="1" applyAlignment="1" applyProtection="1">
      <alignment horizontal="center"/>
    </xf>
    <xf numFmtId="11" fontId="8" fillId="2"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0" fontId="0" fillId="2" borderId="0" xfId="0" applyFont="1" applyFill="1" applyBorder="1" applyProtection="1"/>
    <xf numFmtId="0" fontId="0" fillId="2" borderId="0" xfId="0" applyFont="1" applyFill="1" applyProtection="1"/>
    <xf numFmtId="0" fontId="12" fillId="2" borderId="0" xfId="11" applyFont="1" applyFill="1" applyAlignment="1" applyProtection="1">
      <alignment vertical="center"/>
    </xf>
    <xf numFmtId="0" fontId="23" fillId="0" borderId="9" xfId="0" applyFont="1" applyFill="1" applyBorder="1" applyAlignment="1" applyProtection="1">
      <alignment vertical="center"/>
    </xf>
    <xf numFmtId="0" fontId="23" fillId="0" borderId="15" xfId="0" applyFont="1" applyFill="1" applyBorder="1" applyAlignment="1" applyProtection="1">
      <alignment horizontal="center" vertical="center"/>
    </xf>
    <xf numFmtId="0" fontId="23" fillId="0" borderId="15" xfId="0" applyFont="1" applyFill="1" applyBorder="1" applyAlignment="1" applyProtection="1">
      <alignment vertical="center"/>
    </xf>
    <xf numFmtId="0" fontId="23" fillId="0" borderId="3" xfId="0" applyFont="1" applyFill="1" applyBorder="1" applyAlignment="1" applyProtection="1">
      <alignment horizontal="center" vertical="center"/>
    </xf>
    <xf numFmtId="0" fontId="23" fillId="0" borderId="0" xfId="0" applyFont="1" applyFill="1" applyBorder="1" applyAlignment="1" applyProtection="1">
      <alignment horizontal="right" vertical="center"/>
    </xf>
    <xf numFmtId="0" fontId="8" fillId="0" borderId="13" xfId="0" applyFont="1" applyFill="1" applyBorder="1" applyAlignment="1" applyProtection="1">
      <alignment horizontal="center" vertical="center"/>
    </xf>
    <xf numFmtId="0" fontId="23" fillId="0" borderId="11" xfId="0" applyFont="1" applyFill="1" applyBorder="1" applyAlignment="1" applyProtection="1">
      <alignment horizontal="center" vertical="center" wrapText="1"/>
    </xf>
    <xf numFmtId="0" fontId="23" fillId="0" borderId="16" xfId="0" applyFont="1" applyFill="1" applyBorder="1" applyAlignment="1" applyProtection="1">
      <alignment horizontal="center" vertical="center" wrapText="1"/>
    </xf>
    <xf numFmtId="0" fontId="23" fillId="0" borderId="16"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23" fillId="0" borderId="17" xfId="0" applyFont="1" applyFill="1" applyBorder="1" applyAlignment="1" applyProtection="1">
      <alignment horizontal="center" vertical="center" wrapText="1"/>
    </xf>
    <xf numFmtId="0" fontId="8" fillId="0" borderId="97" xfId="0" applyFont="1" applyFill="1" applyBorder="1" applyAlignment="1" applyProtection="1">
      <alignment vertical="center"/>
    </xf>
    <xf numFmtId="0" fontId="23" fillId="0" borderId="18" xfId="0" applyFont="1" applyFill="1" applyBorder="1" applyAlignment="1" applyProtection="1">
      <alignment vertical="center"/>
    </xf>
    <xf numFmtId="0" fontId="8" fillId="0" borderId="155" xfId="0" applyFont="1" applyFill="1" applyBorder="1" applyAlignment="1" applyProtection="1">
      <alignment horizontal="center" vertical="center"/>
    </xf>
    <xf numFmtId="166" fontId="8" fillId="8" borderId="18" xfId="0" applyNumberFormat="1" applyFont="1" applyFill="1" applyBorder="1" applyAlignment="1" applyProtection="1">
      <alignment horizontal="center" vertical="center" wrapText="1"/>
    </xf>
    <xf numFmtId="166" fontId="8" fillId="8" borderId="15" xfId="0" applyNumberFormat="1" applyFont="1" applyFill="1" applyBorder="1" applyAlignment="1" applyProtection="1">
      <alignment horizontal="center" vertical="center" wrapText="1"/>
    </xf>
    <xf numFmtId="0" fontId="8" fillId="0" borderId="17" xfId="0" applyFont="1" applyFill="1" applyBorder="1" applyAlignment="1" applyProtection="1">
      <alignment vertical="center"/>
    </xf>
    <xf numFmtId="0" fontId="8" fillId="0" borderId="133" xfId="0" applyFont="1" applyFill="1" applyBorder="1" applyAlignment="1" applyProtection="1">
      <alignment horizontal="center" vertical="center"/>
    </xf>
    <xf numFmtId="0" fontId="8" fillId="0" borderId="124" xfId="0"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166" fontId="8" fillId="8" borderId="17" xfId="0" applyNumberFormat="1" applyFont="1" applyFill="1" applyBorder="1" applyAlignment="1" applyProtection="1">
      <alignment horizontal="center" vertical="center" wrapText="1"/>
    </xf>
    <xf numFmtId="0" fontId="23" fillId="0" borderId="11"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23" fillId="10" borderId="18" xfId="0" applyNumberFormat="1" applyFont="1" applyFill="1" applyBorder="1" applyAlignment="1" applyProtection="1">
      <alignment vertical="center"/>
    </xf>
    <xf numFmtId="0" fontId="8" fillId="8" borderId="18" xfId="0" applyFont="1" applyFill="1" applyBorder="1" applyAlignment="1" applyProtection="1">
      <alignment horizontal="center" vertical="center"/>
    </xf>
    <xf numFmtId="166" fontId="8" fillId="0" borderId="11" xfId="0" applyNumberFormat="1" applyFont="1" applyFill="1" applyBorder="1" applyAlignment="1" applyProtection="1">
      <alignment horizontal="center" vertical="center" wrapText="1"/>
    </xf>
    <xf numFmtId="0" fontId="12" fillId="0" borderId="0" xfId="14" applyFont="1" applyFill="1" applyBorder="1" applyAlignment="1" applyProtection="1">
      <alignment vertical="center"/>
    </xf>
    <xf numFmtId="2" fontId="8" fillId="0" borderId="11"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3" xfId="0" applyFont="1" applyFill="1" applyBorder="1" applyAlignment="1" applyProtection="1">
      <alignment horizontal="center" vertical="center"/>
    </xf>
    <xf numFmtId="0" fontId="23" fillId="0" borderId="151" xfId="0" applyFont="1" applyFill="1" applyBorder="1" applyAlignment="1" applyProtection="1">
      <alignment vertical="center"/>
    </xf>
    <xf numFmtId="0" fontId="8" fillId="0" borderId="11" xfId="0" applyFont="1" applyFill="1" applyBorder="1" applyAlignment="1" applyProtection="1">
      <alignment horizontal="center" vertical="center"/>
    </xf>
    <xf numFmtId="0" fontId="8" fillId="0" borderId="149" xfId="0" applyFont="1" applyFill="1" applyBorder="1" applyAlignment="1" applyProtection="1">
      <alignment vertical="center"/>
    </xf>
    <xf numFmtId="0" fontId="8" fillId="0" borderId="154" xfId="0" applyFont="1" applyFill="1" applyBorder="1" applyAlignment="1" applyProtection="1">
      <alignment vertical="center"/>
    </xf>
    <xf numFmtId="2" fontId="8" fillId="8" borderId="54" xfId="0" applyNumberFormat="1" applyFont="1" applyFill="1" applyBorder="1" applyAlignment="1" applyProtection="1">
      <alignment horizontal="center" vertical="center"/>
    </xf>
    <xf numFmtId="2" fontId="8" fillId="8" borderId="24" xfId="0" applyNumberFormat="1" applyFont="1" applyFill="1" applyBorder="1" applyAlignment="1" applyProtection="1">
      <alignment horizontal="center" vertical="center"/>
    </xf>
    <xf numFmtId="0" fontId="9" fillId="0" borderId="64" xfId="0" applyFont="1" applyFill="1" applyBorder="1" applyAlignment="1" applyProtection="1">
      <alignment horizontal="center" vertical="center"/>
    </xf>
    <xf numFmtId="2" fontId="8" fillId="8" borderId="50" xfId="0" applyNumberFormat="1" applyFont="1" applyFill="1" applyBorder="1" applyAlignment="1" applyProtection="1">
      <alignment horizontal="center" vertical="center"/>
    </xf>
    <xf numFmtId="2" fontId="8" fillId="8" borderId="58"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xf>
    <xf numFmtId="0" fontId="23" fillId="0" borderId="0" xfId="0" applyFont="1" applyFill="1" applyAlignment="1" applyProtection="1">
      <alignment vertical="center" wrapText="1"/>
    </xf>
    <xf numFmtId="0" fontId="25" fillId="0" borderId="53" xfId="0" applyFont="1" applyFill="1" applyBorder="1" applyAlignment="1" applyProtection="1">
      <alignment horizontal="right" vertical="center"/>
    </xf>
    <xf numFmtId="0" fontId="30" fillId="0" borderId="102" xfId="0" applyFont="1" applyFill="1" applyBorder="1" applyAlignment="1" applyProtection="1">
      <alignment vertical="center"/>
    </xf>
    <xf numFmtId="0" fontId="23" fillId="0" borderId="102" xfId="0" applyFont="1" applyFill="1" applyBorder="1" applyAlignment="1" applyProtection="1">
      <alignment vertical="center"/>
    </xf>
    <xf numFmtId="0" fontId="26" fillId="0" borderId="102" xfId="0" applyFont="1" applyFill="1" applyBorder="1" applyAlignment="1" applyProtection="1">
      <alignment vertical="center"/>
    </xf>
    <xf numFmtId="0" fontId="0" fillId="0" borderId="19" xfId="0" applyFont="1" applyFill="1" applyBorder="1" applyAlignment="1" applyProtection="1">
      <alignment vertical="center"/>
    </xf>
    <xf numFmtId="2" fontId="8" fillId="7" borderId="27" xfId="0" applyNumberFormat="1" applyFont="1" applyFill="1" applyBorder="1" applyAlignment="1" applyProtection="1">
      <alignment horizontal="center" vertical="center"/>
    </xf>
    <xf numFmtId="2" fontId="8" fillId="7" borderId="25" xfId="0" applyNumberFormat="1" applyFont="1" applyFill="1" applyBorder="1" applyAlignment="1" applyProtection="1">
      <alignment horizontal="center" vertical="center"/>
    </xf>
    <xf numFmtId="0" fontId="8" fillId="10" borderId="130" xfId="0" applyFont="1" applyFill="1" applyBorder="1" applyAlignment="1" applyProtection="1">
      <alignment vertical="center" wrapText="1"/>
    </xf>
    <xf numFmtId="0" fontId="8" fillId="5" borderId="130" xfId="0" applyFont="1" applyFill="1" applyBorder="1" applyAlignment="1" applyProtection="1">
      <alignment horizontal="center" vertical="center"/>
    </xf>
    <xf numFmtId="0" fontId="8" fillId="10" borderId="133" xfId="0" applyFont="1" applyFill="1" applyBorder="1" applyAlignment="1" applyProtection="1">
      <alignment vertical="center" wrapText="1"/>
    </xf>
    <xf numFmtId="2" fontId="8" fillId="0" borderId="11" xfId="0" applyNumberFormat="1" applyFont="1" applyFill="1" applyBorder="1" applyAlignment="1" applyProtection="1">
      <alignment vertical="center"/>
    </xf>
    <xf numFmtId="2" fontId="8" fillId="0" borderId="32" xfId="0" applyNumberFormat="1" applyFont="1" applyFill="1" applyBorder="1" applyAlignment="1" applyProtection="1">
      <alignment vertical="center"/>
    </xf>
    <xf numFmtId="0" fontId="8" fillId="10" borderId="11" xfId="0" applyFont="1" applyFill="1" applyBorder="1" applyAlignment="1" applyProtection="1">
      <alignment horizontal="center" vertical="center"/>
    </xf>
    <xf numFmtId="2" fontId="8" fillId="7" borderId="121" xfId="0" applyNumberFormat="1" applyFont="1" applyFill="1" applyBorder="1" applyAlignment="1" applyProtection="1">
      <alignment horizontal="center" vertical="center"/>
    </xf>
    <xf numFmtId="2" fontId="8" fillId="7" borderId="32" xfId="0" applyNumberFormat="1" applyFont="1" applyFill="1" applyBorder="1" applyAlignment="1" applyProtection="1">
      <alignment horizontal="center" vertical="center"/>
    </xf>
    <xf numFmtId="0" fontId="8" fillId="10" borderId="133" xfId="0" applyFont="1" applyFill="1" applyBorder="1" applyAlignment="1" applyProtection="1">
      <alignment horizontal="center" vertical="center"/>
    </xf>
    <xf numFmtId="0" fontId="8" fillId="10" borderId="130" xfId="0" applyFont="1" applyFill="1" applyBorder="1" applyAlignment="1" applyProtection="1">
      <alignment horizontal="left" vertical="center"/>
    </xf>
    <xf numFmtId="0" fontId="9" fillId="0" borderId="125" xfId="0" applyFont="1" applyFill="1" applyBorder="1" applyAlignment="1" applyProtection="1">
      <alignment horizontal="left" vertical="center"/>
    </xf>
    <xf numFmtId="2" fontId="8" fillId="0" borderId="122" xfId="0" applyNumberFormat="1" applyFont="1" applyFill="1" applyBorder="1" applyAlignment="1" applyProtection="1">
      <alignment horizontal="center" vertical="center"/>
    </xf>
    <xf numFmtId="11" fontId="8" fillId="0" borderId="123" xfId="0" applyNumberFormat="1" applyFont="1" applyFill="1" applyBorder="1" applyAlignment="1" applyProtection="1">
      <alignment horizontal="center" vertical="center"/>
    </xf>
    <xf numFmtId="2" fontId="8" fillId="0" borderId="123" xfId="0" applyNumberFormat="1" applyFont="1" applyFill="1" applyBorder="1" applyAlignment="1" applyProtection="1">
      <alignment horizontal="center" vertical="center"/>
    </xf>
    <xf numFmtId="2" fontId="8" fillId="0" borderId="38" xfId="0" applyNumberFormat="1" applyFont="1" applyFill="1" applyBorder="1" applyAlignment="1" applyProtection="1">
      <alignment horizontal="center" vertical="center"/>
    </xf>
    <xf numFmtId="0" fontId="8" fillId="0" borderId="121" xfId="0" applyFont="1" applyFill="1" applyBorder="1" applyAlignment="1" applyProtection="1">
      <alignment horizontal="left" vertical="center"/>
    </xf>
    <xf numFmtId="2" fontId="8" fillId="0" borderId="11" xfId="0" applyNumberFormat="1" applyFont="1" applyFill="1" applyBorder="1" applyAlignment="1" applyProtection="1">
      <alignment horizontal="center" vertical="center"/>
    </xf>
    <xf numFmtId="0" fontId="8" fillId="0" borderId="134" xfId="0" applyFont="1" applyFill="1" applyBorder="1" applyAlignment="1" applyProtection="1">
      <alignment horizontal="center" vertical="center"/>
    </xf>
    <xf numFmtId="0" fontId="8" fillId="0" borderId="134" xfId="0" applyFont="1" applyFill="1" applyBorder="1" applyAlignment="1" applyProtection="1">
      <alignment horizontal="left" vertical="center"/>
    </xf>
    <xf numFmtId="0" fontId="8" fillId="0" borderId="134" xfId="0" applyFont="1" applyFill="1" applyBorder="1" applyAlignment="1" applyProtection="1">
      <alignment horizontal="center" vertical="center" wrapText="1"/>
    </xf>
    <xf numFmtId="0" fontId="9" fillId="0" borderId="134" xfId="0" applyFont="1" applyFill="1" applyBorder="1" applyAlignment="1" applyProtection="1">
      <alignment horizontal="center" vertical="center"/>
    </xf>
    <xf numFmtId="2" fontId="8" fillId="0" borderId="134" xfId="0" applyNumberFormat="1" applyFont="1" applyFill="1" applyBorder="1" applyAlignment="1" applyProtection="1">
      <alignment horizontal="center" vertical="center"/>
    </xf>
    <xf numFmtId="11" fontId="8" fillId="0" borderId="134" xfId="0" applyNumberFormat="1" applyFont="1" applyFill="1" applyBorder="1" applyAlignment="1" applyProtection="1">
      <alignment horizontal="center" vertical="center"/>
    </xf>
    <xf numFmtId="0" fontId="9" fillId="13" borderId="16" xfId="0" applyFont="1" applyFill="1" applyBorder="1" applyAlignment="1" applyProtection="1">
      <alignment horizontal="center" vertical="center"/>
    </xf>
    <xf numFmtId="0" fontId="8" fillId="0" borderId="123" xfId="0" applyFont="1" applyFill="1" applyBorder="1" applyAlignment="1" applyProtection="1">
      <alignment horizontal="center" vertical="center"/>
    </xf>
    <xf numFmtId="0" fontId="8" fillId="0" borderId="122" xfId="0" applyFont="1" applyFill="1" applyBorder="1" applyAlignment="1" applyProtection="1">
      <alignment horizontal="center" vertical="center"/>
    </xf>
    <xf numFmtId="0" fontId="8" fillId="0" borderId="63" xfId="0" applyFont="1" applyFill="1" applyBorder="1" applyAlignment="1" applyProtection="1">
      <alignment horizontal="center" vertical="center"/>
    </xf>
    <xf numFmtId="0" fontId="9" fillId="10" borderId="133" xfId="0" applyFont="1" applyFill="1" applyBorder="1" applyAlignment="1" applyProtection="1">
      <alignment horizontal="center" vertical="center"/>
    </xf>
    <xf numFmtId="0" fontId="8" fillId="0" borderId="15" xfId="0" applyFont="1" applyFill="1" applyBorder="1" applyAlignment="1" applyProtection="1">
      <alignment vertical="center"/>
    </xf>
    <xf numFmtId="0" fontId="8" fillId="0" borderId="9" xfId="0" applyFont="1" applyFill="1" applyBorder="1" applyAlignment="1" applyProtection="1">
      <alignment horizontal="left" vertical="center"/>
    </xf>
    <xf numFmtId="2" fontId="23" fillId="0" borderId="0" xfId="0" applyNumberFormat="1" applyFont="1" applyFill="1" applyAlignment="1" applyProtection="1">
      <alignment horizontal="center" vertical="center"/>
    </xf>
    <xf numFmtId="0" fontId="30" fillId="0" borderId="7" xfId="0" applyFont="1" applyFill="1" applyBorder="1" applyAlignment="1" applyProtection="1">
      <alignment vertical="center"/>
    </xf>
    <xf numFmtId="0" fontId="30" fillId="0" borderId="8" xfId="0" applyFont="1" applyFill="1" applyBorder="1" applyAlignment="1" applyProtection="1">
      <alignment vertical="center"/>
    </xf>
    <xf numFmtId="0" fontId="25" fillId="0" borderId="7" xfId="0" applyFont="1" applyFill="1" applyBorder="1" applyAlignment="1" applyProtection="1">
      <alignment vertical="center"/>
    </xf>
    <xf numFmtId="0" fontId="25" fillId="0" borderId="8" xfId="0" applyFont="1" applyFill="1" applyBorder="1" applyAlignment="1" applyProtection="1">
      <alignment vertical="center"/>
    </xf>
    <xf numFmtId="0" fontId="25" fillId="12" borderId="78" xfId="0" applyFont="1" applyFill="1" applyBorder="1" applyAlignment="1" applyProtection="1">
      <alignment horizontal="center" vertical="center"/>
    </xf>
    <xf numFmtId="0" fontId="25" fillId="12" borderId="79" xfId="0" applyFont="1" applyFill="1" applyBorder="1" applyAlignment="1" applyProtection="1">
      <alignment horizontal="center" vertical="center"/>
    </xf>
    <xf numFmtId="0" fontId="25" fillId="12" borderId="52" xfId="0" applyFont="1" applyFill="1" applyBorder="1" applyAlignment="1" applyProtection="1">
      <alignment horizontal="center" vertical="center"/>
    </xf>
    <xf numFmtId="0" fontId="8" fillId="0" borderId="136" xfId="0" applyFont="1" applyFill="1" applyBorder="1" applyAlignment="1" applyProtection="1">
      <alignment horizontal="center" vertical="center"/>
    </xf>
    <xf numFmtId="0" fontId="8" fillId="0" borderId="136" xfId="0" applyFont="1" applyFill="1" applyBorder="1" applyAlignment="1" applyProtection="1">
      <alignment horizontal="center" vertical="center" wrapText="1"/>
    </xf>
    <xf numFmtId="0" fontId="9" fillId="0" borderId="135" xfId="0" applyFont="1" applyFill="1" applyBorder="1" applyAlignment="1" applyProtection="1">
      <alignment horizontal="center" vertical="center"/>
    </xf>
    <xf numFmtId="2" fontId="8" fillId="0" borderId="135" xfId="0" applyNumberFormat="1" applyFont="1" applyFill="1" applyBorder="1" applyAlignment="1" applyProtection="1">
      <alignment horizontal="center" vertical="center"/>
    </xf>
    <xf numFmtId="2" fontId="8" fillId="7" borderId="41" xfId="0" applyNumberFormat="1" applyFont="1" applyFill="1" applyBorder="1" applyAlignment="1" applyProtection="1">
      <alignment vertical="center"/>
    </xf>
    <xf numFmtId="2" fontId="8" fillId="7" borderId="47" xfId="0" applyNumberFormat="1" applyFont="1" applyFill="1" applyBorder="1" applyAlignment="1" applyProtection="1">
      <alignment vertical="center"/>
    </xf>
    <xf numFmtId="0" fontId="8" fillId="5" borderId="130" xfId="0" applyFont="1" applyFill="1" applyBorder="1" applyAlignment="1" applyProtection="1">
      <alignment horizontal="left" vertical="center"/>
    </xf>
    <xf numFmtId="0" fontId="9" fillId="0" borderId="136" xfId="0" applyFont="1" applyFill="1" applyBorder="1" applyAlignment="1" applyProtection="1">
      <alignment horizontal="left" vertical="center"/>
    </xf>
    <xf numFmtId="2" fontId="8" fillId="0" borderId="137" xfId="0" applyNumberFormat="1" applyFont="1" applyFill="1" applyBorder="1" applyAlignment="1" applyProtection="1">
      <alignment horizontal="center" vertical="center"/>
    </xf>
    <xf numFmtId="11" fontId="8" fillId="0" borderId="138" xfId="0" applyNumberFormat="1" applyFont="1" applyFill="1" applyBorder="1" applyAlignment="1" applyProtection="1">
      <alignment horizontal="center" vertical="center"/>
    </xf>
    <xf numFmtId="2" fontId="8" fillId="0" borderId="138" xfId="0" applyNumberFormat="1" applyFont="1" applyFill="1" applyBorder="1" applyAlignment="1" applyProtection="1">
      <alignment horizontal="center" vertical="center"/>
    </xf>
    <xf numFmtId="2" fontId="8" fillId="0" borderId="139" xfId="0" applyNumberFormat="1" applyFont="1" applyFill="1" applyBorder="1" applyAlignment="1" applyProtection="1">
      <alignment horizontal="center" vertical="center"/>
    </xf>
    <xf numFmtId="2" fontId="8" fillId="7" borderId="43" xfId="0" applyNumberFormat="1" applyFont="1" applyFill="1" applyBorder="1" applyAlignment="1" applyProtection="1">
      <alignment vertical="center"/>
    </xf>
    <xf numFmtId="2" fontId="8" fillId="0" borderId="43" xfId="0" applyNumberFormat="1" applyFont="1" applyFill="1" applyBorder="1" applyAlignment="1" applyProtection="1">
      <alignment horizontal="center" vertical="center"/>
    </xf>
    <xf numFmtId="2" fontId="8" fillId="0" borderId="58" xfId="0" applyNumberFormat="1" applyFont="1" applyFill="1" applyBorder="1" applyAlignment="1" applyProtection="1">
      <alignment vertical="center"/>
    </xf>
    <xf numFmtId="0" fontId="9" fillId="0" borderId="14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8" xfId="0" applyNumberFormat="1" applyFont="1" applyFill="1" applyBorder="1" applyAlignment="1" applyProtection="1">
      <alignment vertical="center"/>
    </xf>
    <xf numFmtId="0" fontId="8" fillId="0" borderId="86" xfId="0" applyFont="1" applyFill="1" applyBorder="1" applyAlignment="1" applyProtection="1">
      <alignment vertical="center" wrapText="1"/>
    </xf>
    <xf numFmtId="0" fontId="8" fillId="0" borderId="138" xfId="0" applyFont="1" applyFill="1" applyBorder="1" applyAlignment="1" applyProtection="1">
      <alignment horizontal="center" vertical="center"/>
    </xf>
    <xf numFmtId="0" fontId="8" fillId="0" borderId="137" xfId="0" applyFont="1" applyFill="1" applyBorder="1" applyAlignment="1" applyProtection="1">
      <alignment horizontal="center" vertical="center"/>
    </xf>
    <xf numFmtId="0" fontId="8" fillId="0" borderId="130" xfId="0" applyFont="1" applyFill="1" applyBorder="1" applyAlignment="1" applyProtection="1">
      <alignment horizontal="center" vertical="center"/>
    </xf>
    <xf numFmtId="0" fontId="8" fillId="0" borderId="130" xfId="0" applyFont="1" applyFill="1" applyBorder="1" applyAlignment="1" applyProtection="1">
      <alignment horizontal="left" vertical="center"/>
    </xf>
    <xf numFmtId="2" fontId="8" fillId="11" borderId="41" xfId="0" applyNumberFormat="1" applyFont="1" applyFill="1" applyBorder="1" applyAlignment="1" applyProtection="1">
      <alignment vertical="center"/>
    </xf>
    <xf numFmtId="2" fontId="8" fillId="11" borderId="47" xfId="0" applyNumberFormat="1" applyFont="1" applyFill="1" applyBorder="1" applyAlignment="1" applyProtection="1">
      <alignment vertical="center"/>
    </xf>
    <xf numFmtId="0" fontId="8" fillId="5" borderId="121" xfId="0" applyFont="1" applyFill="1" applyBorder="1" applyAlignment="1" applyProtection="1">
      <alignment vertical="center" wrapText="1"/>
    </xf>
    <xf numFmtId="2" fontId="8" fillId="11" borderId="43" xfId="0" applyNumberFormat="1" applyFont="1" applyFill="1" applyBorder="1" applyAlignment="1" applyProtection="1">
      <alignment vertical="center"/>
    </xf>
    <xf numFmtId="0" fontId="8" fillId="5" borderId="143" xfId="0" applyFont="1" applyFill="1" applyBorder="1" applyAlignment="1" applyProtection="1">
      <alignment horizontal="center" vertical="center"/>
    </xf>
    <xf numFmtId="0" fontId="8" fillId="2" borderId="138" xfId="0" applyFont="1" applyFill="1" applyBorder="1" applyAlignment="1" applyProtection="1">
      <alignment horizontal="center" vertical="center"/>
    </xf>
    <xf numFmtId="0" fontId="8" fillId="2" borderId="137" xfId="0" applyFont="1" applyFill="1" applyBorder="1" applyAlignment="1" applyProtection="1">
      <alignment horizontal="center" vertical="center"/>
    </xf>
    <xf numFmtId="0" fontId="8" fillId="2" borderId="136" xfId="0" applyFont="1" applyFill="1" applyBorder="1" applyAlignment="1" applyProtection="1">
      <alignment horizontal="center" vertical="center"/>
    </xf>
    <xf numFmtId="0" fontId="9" fillId="13" borderId="11" xfId="0" applyFont="1" applyFill="1" applyBorder="1" applyAlignment="1" applyProtection="1">
      <alignment horizontal="center" vertical="center"/>
    </xf>
    <xf numFmtId="0" fontId="0" fillId="10" borderId="141" xfId="0" applyFont="1" applyFill="1" applyBorder="1" applyAlignment="1" applyProtection="1">
      <alignment vertical="center"/>
    </xf>
    <xf numFmtId="0" fontId="8" fillId="5" borderId="133" xfId="0" applyFont="1" applyFill="1" applyBorder="1" applyAlignment="1" applyProtection="1">
      <alignment horizontal="center" vertical="center"/>
    </xf>
    <xf numFmtId="0" fontId="8" fillId="10" borderId="121" xfId="0" applyFont="1" applyFill="1" applyBorder="1" applyAlignment="1" applyProtection="1">
      <alignment horizontal="center" vertical="center"/>
    </xf>
    <xf numFmtId="0" fontId="0" fillId="10" borderId="130" xfId="0" applyFont="1" applyFill="1" applyBorder="1" applyAlignment="1" applyProtection="1">
      <alignment vertical="center"/>
    </xf>
    <xf numFmtId="0" fontId="0" fillId="0" borderId="121" xfId="0" applyFont="1" applyFill="1" applyBorder="1" applyAlignment="1" applyProtection="1">
      <alignment vertical="center"/>
    </xf>
    <xf numFmtId="0" fontId="13" fillId="3" borderId="7" xfId="11" applyFont="1" applyFill="1" applyBorder="1" applyProtection="1"/>
    <xf numFmtId="0" fontId="11" fillId="3" borderId="8" xfId="11" applyFill="1" applyBorder="1" applyProtection="1"/>
    <xf numFmtId="0" fontId="3" fillId="3" borderId="8" xfId="11" applyFont="1" applyFill="1" applyBorder="1" applyProtection="1"/>
    <xf numFmtId="0" fontId="3" fillId="3" borderId="63" xfId="11" applyFont="1" applyFill="1" applyBorder="1" applyProtection="1"/>
    <xf numFmtId="0" fontId="3" fillId="0" borderId="0" xfId="11" applyFont="1" applyFill="1" applyBorder="1" applyProtection="1"/>
    <xf numFmtId="0" fontId="11" fillId="0" borderId="0" xfId="11" applyFill="1" applyBorder="1" applyProtection="1"/>
    <xf numFmtId="0" fontId="21" fillId="2" borderId="0" xfId="0" applyFont="1" applyFill="1" applyAlignment="1" applyProtection="1">
      <alignment vertical="top"/>
    </xf>
    <xf numFmtId="0" fontId="8" fillId="2" borderId="0" xfId="0" applyFont="1" applyFill="1" applyAlignment="1" applyProtection="1">
      <alignment horizontal="center"/>
    </xf>
    <xf numFmtId="0" fontId="18" fillId="0" borderId="7" xfId="0" applyFont="1" applyFill="1" applyBorder="1" applyAlignment="1" applyProtection="1">
      <alignment vertical="top"/>
    </xf>
    <xf numFmtId="0" fontId="8" fillId="0" borderId="8" xfId="0" applyFont="1" applyFill="1" applyBorder="1" applyProtection="1"/>
    <xf numFmtId="0" fontId="8" fillId="0" borderId="4" xfId="0" applyFont="1" applyFill="1" applyBorder="1" applyAlignment="1" applyProtection="1">
      <alignment horizontal="center"/>
    </xf>
    <xf numFmtId="0" fontId="8" fillId="0" borderId="0" xfId="0" applyFont="1" applyFill="1" applyAlignment="1" applyProtection="1">
      <alignment horizontal="center"/>
    </xf>
    <xf numFmtId="0" fontId="8" fillId="0" borderId="0" xfId="0" applyFont="1" applyFill="1" applyProtection="1"/>
    <xf numFmtId="0" fontId="18" fillId="0" borderId="0" xfId="0" applyFont="1" applyFill="1" applyBorder="1" applyAlignment="1" applyProtection="1">
      <alignment vertical="top"/>
    </xf>
    <xf numFmtId="0" fontId="8" fillId="0" borderId="0" xfId="0" applyFont="1" applyFill="1" applyBorder="1" applyProtection="1"/>
    <xf numFmtId="0" fontId="18" fillId="0" borderId="0" xfId="0" applyFont="1" applyFill="1" applyBorder="1" applyProtection="1"/>
    <xf numFmtId="0" fontId="21" fillId="2" borderId="0" xfId="0" applyFont="1" applyFill="1" applyProtection="1"/>
    <xf numFmtId="0" fontId="30" fillId="2" borderId="0" xfId="0" applyFont="1" applyFill="1" applyProtection="1"/>
    <xf numFmtId="0" fontId="23" fillId="2" borderId="0" xfId="0" applyFont="1" applyFill="1" applyProtection="1"/>
    <xf numFmtId="0" fontId="8" fillId="2" borderId="41" xfId="0" applyFont="1" applyFill="1" applyBorder="1" applyAlignment="1" applyProtection="1">
      <alignment horizontal="center" vertical="center"/>
    </xf>
    <xf numFmtId="0" fontId="9" fillId="2" borderId="0" xfId="11" applyFont="1" applyFill="1" applyProtection="1"/>
    <xf numFmtId="0" fontId="8" fillId="2" borderId="17" xfId="0" applyFont="1" applyFill="1" applyBorder="1" applyAlignment="1" applyProtection="1">
      <alignment horizontal="center" vertical="center"/>
    </xf>
    <xf numFmtId="0" fontId="9" fillId="2" borderId="0" xfId="11" applyFont="1" applyFill="1" applyAlignment="1" applyProtection="1">
      <alignment horizontal="center"/>
    </xf>
    <xf numFmtId="0" fontId="8" fillId="2" borderId="15" xfId="0" applyFont="1" applyFill="1" applyBorder="1" applyAlignment="1" applyProtection="1">
      <alignment horizontal="center"/>
    </xf>
    <xf numFmtId="0" fontId="8" fillId="2" borderId="17" xfId="0" applyFont="1" applyFill="1" applyBorder="1" applyAlignment="1" applyProtection="1">
      <alignment horizontal="center"/>
    </xf>
    <xf numFmtId="0" fontId="8" fillId="2" borderId="43" xfId="0" applyFont="1" applyFill="1" applyBorder="1" applyAlignment="1" applyProtection="1">
      <alignment horizontal="center"/>
    </xf>
    <xf numFmtId="0" fontId="23" fillId="2" borderId="0" xfId="0" applyFont="1" applyFill="1" applyAlignment="1" applyProtection="1">
      <alignment horizontal="center"/>
    </xf>
    <xf numFmtId="0" fontId="24" fillId="2" borderId="0" xfId="11" applyFont="1" applyFill="1" applyProtection="1"/>
    <xf numFmtId="0" fontId="9" fillId="2" borderId="18" xfId="0" applyFont="1" applyFill="1" applyBorder="1" applyAlignment="1" applyProtection="1">
      <alignment horizontal="center"/>
    </xf>
    <xf numFmtId="1" fontId="8" fillId="2" borderId="18" xfId="0" applyNumberFormat="1" applyFont="1" applyFill="1" applyBorder="1" applyAlignment="1" applyProtection="1">
      <alignment horizontal="center"/>
    </xf>
    <xf numFmtId="2" fontId="8" fillId="2" borderId="18" xfId="0" applyNumberFormat="1" applyFont="1" applyFill="1" applyBorder="1" applyAlignment="1" applyProtection="1">
      <alignment horizontal="center"/>
    </xf>
    <xf numFmtId="0" fontId="9" fillId="2" borderId="88" xfId="0" applyFont="1" applyFill="1" applyBorder="1" applyAlignment="1" applyProtection="1">
      <alignment horizontal="center"/>
    </xf>
    <xf numFmtId="0" fontId="9" fillId="2" borderId="88" xfId="15" applyFont="1" applyFill="1" applyBorder="1" applyAlignment="1" applyProtection="1">
      <alignment horizontal="center"/>
    </xf>
    <xf numFmtId="1" fontId="9" fillId="2" borderId="88" xfId="11" applyNumberFormat="1" applyFont="1" applyFill="1" applyBorder="1" applyProtection="1"/>
    <xf numFmtId="0" fontId="9" fillId="2" borderId="88" xfId="11" applyFont="1" applyFill="1" applyBorder="1" applyAlignment="1" applyProtection="1">
      <alignment horizontal="center"/>
    </xf>
    <xf numFmtId="1" fontId="20" fillId="2" borderId="88" xfId="11" applyNumberFormat="1" applyFont="1" applyFill="1" applyBorder="1" applyProtection="1"/>
    <xf numFmtId="0" fontId="9" fillId="2" borderId="0" xfId="11" applyFont="1" applyFill="1" applyBorder="1" applyProtection="1"/>
    <xf numFmtId="170" fontId="9" fillId="2" borderId="0" xfId="11" applyNumberFormat="1" applyFont="1" applyFill="1" applyBorder="1" applyProtection="1"/>
    <xf numFmtId="1" fontId="9" fillId="2" borderId="0" xfId="11" applyNumberFormat="1" applyFont="1" applyFill="1" applyBorder="1" applyProtection="1"/>
    <xf numFmtId="0" fontId="10" fillId="2" borderId="0" xfId="0" applyFont="1" applyFill="1" applyProtection="1"/>
    <xf numFmtId="0" fontId="10" fillId="2" borderId="0" xfId="0" applyFont="1" applyFill="1" applyAlignment="1" applyProtection="1">
      <alignment horizontal="center"/>
    </xf>
    <xf numFmtId="0" fontId="0" fillId="2" borderId="0" xfId="0" applyFill="1" applyAlignment="1" applyProtection="1">
      <alignment horizontal="center"/>
    </xf>
    <xf numFmtId="0" fontId="8" fillId="2" borderId="26" xfId="0" applyFont="1" applyFill="1" applyBorder="1" applyProtection="1"/>
    <xf numFmtId="0" fontId="8" fillId="2" borderId="26" xfId="0" applyFont="1" applyFill="1" applyBorder="1" applyAlignment="1" applyProtection="1">
      <alignment horizontal="center"/>
    </xf>
    <xf numFmtId="0" fontId="0" fillId="2" borderId="0" xfId="0" applyFont="1" applyFill="1" applyAlignment="1" applyProtection="1">
      <alignment horizontal="center"/>
    </xf>
    <xf numFmtId="0" fontId="8" fillId="2" borderId="5" xfId="0" applyFont="1" applyFill="1" applyBorder="1" applyProtection="1"/>
    <xf numFmtId="0" fontId="8" fillId="2" borderId="49" xfId="0" applyFont="1" applyFill="1" applyBorder="1" applyAlignment="1" applyProtection="1">
      <alignment horizontal="center"/>
    </xf>
    <xf numFmtId="0" fontId="8" fillId="2" borderId="16" xfId="0" applyFont="1" applyFill="1" applyBorder="1" applyAlignment="1" applyProtection="1">
      <alignment horizontal="center"/>
    </xf>
    <xf numFmtId="0" fontId="8" fillId="2" borderId="11" xfId="0" applyFont="1" applyFill="1" applyBorder="1" applyAlignment="1" applyProtection="1">
      <alignment horizontal="center"/>
    </xf>
    <xf numFmtId="0" fontId="8" fillId="0" borderId="32" xfId="0" applyFont="1" applyFill="1" applyBorder="1" applyAlignment="1" applyProtection="1">
      <alignment horizontal="center"/>
    </xf>
    <xf numFmtId="0" fontId="8" fillId="2" borderId="19" xfId="0" applyFont="1" applyFill="1" applyBorder="1" applyAlignment="1" applyProtection="1">
      <alignment horizontal="center"/>
    </xf>
    <xf numFmtId="0" fontId="8" fillId="2" borderId="18" xfId="0" applyFont="1" applyFill="1" applyBorder="1" applyAlignment="1" applyProtection="1">
      <alignment horizontal="center"/>
    </xf>
    <xf numFmtId="0" fontId="8" fillId="2" borderId="12" xfId="0" applyFont="1" applyFill="1" applyBorder="1" applyAlignment="1" applyProtection="1">
      <alignment horizontal="center"/>
    </xf>
    <xf numFmtId="1" fontId="9" fillId="2" borderId="11" xfId="11" applyNumberFormat="1" applyFont="1" applyFill="1" applyBorder="1" applyAlignment="1" applyProtection="1">
      <alignment horizontal="center"/>
    </xf>
    <xf numFmtId="1" fontId="9" fillId="2" borderId="16" xfId="11" applyNumberFormat="1" applyFont="1" applyFill="1" applyBorder="1" applyAlignment="1" applyProtection="1">
      <alignment horizontal="center"/>
    </xf>
    <xf numFmtId="2" fontId="9" fillId="2" borderId="13" xfId="11" applyNumberFormat="1" applyFont="1" applyFill="1" applyBorder="1" applyAlignment="1" applyProtection="1">
      <alignment horizontal="center"/>
    </xf>
    <xf numFmtId="0" fontId="9" fillId="0" borderId="44" xfId="0" applyFont="1" applyFill="1" applyBorder="1" applyAlignment="1" applyProtection="1">
      <alignment horizontal="center"/>
    </xf>
    <xf numFmtId="0" fontId="9" fillId="0" borderId="17" xfId="0" applyFont="1" applyFill="1" applyBorder="1" applyAlignment="1" applyProtection="1">
      <alignment horizontal="center"/>
    </xf>
    <xf numFmtId="0" fontId="8" fillId="0" borderId="5" xfId="0" applyFont="1" applyFill="1" applyBorder="1" applyAlignment="1" applyProtection="1">
      <alignment horizontal="center"/>
    </xf>
    <xf numFmtId="0" fontId="8" fillId="0" borderId="37" xfId="0" applyFont="1" applyFill="1" applyBorder="1" applyAlignment="1" applyProtection="1">
      <alignment horizontal="center"/>
    </xf>
    <xf numFmtId="0" fontId="8" fillId="10" borderId="15" xfId="0" applyFont="1" applyFill="1" applyBorder="1" applyAlignment="1" applyProtection="1">
      <alignment horizontal="center" vertical="center"/>
    </xf>
    <xf numFmtId="0" fontId="8" fillId="10" borderId="15" xfId="0" applyFont="1" applyFill="1" applyBorder="1" applyAlignment="1" applyProtection="1">
      <alignment horizontal="center" vertical="center" wrapText="1"/>
    </xf>
    <xf numFmtId="0" fontId="8" fillId="2" borderId="15" xfId="0" applyFont="1" applyFill="1" applyBorder="1" applyAlignment="1" applyProtection="1">
      <alignment horizontal="center" vertical="center"/>
    </xf>
    <xf numFmtId="0" fontId="8" fillId="10" borderId="17" xfId="0" applyFont="1" applyFill="1" applyBorder="1" applyAlignment="1" applyProtection="1">
      <alignment horizontal="center" vertical="center"/>
    </xf>
    <xf numFmtId="0" fontId="8" fillId="10" borderId="17" xfId="0" applyFont="1" applyFill="1" applyBorder="1" applyAlignment="1" applyProtection="1">
      <alignment horizontal="center" vertical="center" wrapText="1"/>
    </xf>
    <xf numFmtId="0" fontId="8" fillId="2" borderId="18"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8" fillId="2" borderId="15" xfId="0" applyFont="1" applyFill="1" applyBorder="1" applyProtection="1"/>
    <xf numFmtId="0" fontId="8" fillId="2" borderId="9" xfId="0" applyFont="1" applyFill="1" applyBorder="1" applyProtection="1"/>
    <xf numFmtId="0" fontId="8" fillId="2" borderId="3" xfId="0" applyFont="1" applyFill="1" applyBorder="1" applyAlignment="1" applyProtection="1">
      <alignment horizontal="center"/>
    </xf>
    <xf numFmtId="0" fontId="23" fillId="0" borderId="0" xfId="0" applyFont="1" applyFill="1" applyBorder="1" applyAlignment="1" applyProtection="1"/>
    <xf numFmtId="0" fontId="9" fillId="0" borderId="0" xfId="11" applyFont="1" applyFill="1" applyBorder="1" applyProtection="1"/>
    <xf numFmtId="0" fontId="8" fillId="2" borderId="14" xfId="0" applyFont="1" applyFill="1" applyBorder="1" applyAlignment="1" applyProtection="1">
      <alignment horizontal="center"/>
    </xf>
    <xf numFmtId="0" fontId="8" fillId="2" borderId="5" xfId="0" applyFont="1" applyFill="1" applyBorder="1" applyAlignment="1" applyProtection="1">
      <alignment horizontal="center"/>
    </xf>
    <xf numFmtId="0" fontId="8" fillId="0" borderId="44" xfId="0" applyFont="1" applyFill="1" applyBorder="1" applyAlignment="1" applyProtection="1">
      <alignment horizontal="center"/>
    </xf>
    <xf numFmtId="2" fontId="8" fillId="0" borderId="0" xfId="0" applyNumberFormat="1" applyFont="1" applyFill="1" applyBorder="1" applyAlignment="1" applyProtection="1">
      <alignment horizontal="center"/>
    </xf>
    <xf numFmtId="0" fontId="9" fillId="2" borderId="0" xfId="0" applyFont="1" applyFill="1" applyBorder="1" applyAlignment="1" applyProtection="1">
      <alignment horizontal="center" vertical="center"/>
    </xf>
    <xf numFmtId="168" fontId="9" fillId="2" borderId="0" xfId="0" applyNumberFormat="1" applyFont="1" applyFill="1" applyBorder="1" applyAlignment="1" applyProtection="1">
      <alignment horizontal="center"/>
    </xf>
    <xf numFmtId="169" fontId="8" fillId="2" borderId="0" xfId="0" applyNumberFormat="1" applyFont="1" applyFill="1" applyBorder="1" applyAlignment="1" applyProtection="1">
      <alignment horizontal="center"/>
    </xf>
    <xf numFmtId="0" fontId="34" fillId="2" borderId="0" xfId="11" applyFont="1" applyFill="1" applyProtection="1"/>
    <xf numFmtId="0" fontId="11" fillId="2" borderId="0" xfId="11" applyFill="1" applyProtection="1"/>
    <xf numFmtId="0" fontId="4" fillId="2" borderId="0" xfId="11" applyFont="1" applyFill="1" applyBorder="1" applyProtection="1"/>
    <xf numFmtId="0" fontId="11" fillId="2" borderId="0" xfId="11" applyFill="1" applyBorder="1" applyProtection="1"/>
    <xf numFmtId="0" fontId="3" fillId="2" borderId="0" xfId="15" applyFont="1" applyFill="1" applyBorder="1" applyAlignment="1" applyProtection="1">
      <alignment horizontal="left"/>
    </xf>
    <xf numFmtId="0" fontId="4" fillId="2" borderId="0" xfId="15" applyFont="1" applyFill="1" applyBorder="1" applyAlignment="1" applyProtection="1">
      <alignment horizontal="left"/>
    </xf>
    <xf numFmtId="0" fontId="11" fillId="2" borderId="0" xfId="15" applyNumberFormat="1" applyFill="1" applyBorder="1" applyAlignment="1" applyProtection="1">
      <alignment horizontal="center"/>
    </xf>
    <xf numFmtId="165" fontId="11" fillId="2" borderId="0" xfId="15" applyNumberFormat="1" applyFont="1" applyFill="1" applyBorder="1" applyAlignment="1" applyProtection="1">
      <alignment horizontal="center"/>
    </xf>
    <xf numFmtId="0" fontId="11" fillId="2" borderId="0" xfId="15" applyFont="1" applyFill="1" applyBorder="1" applyAlignment="1" applyProtection="1">
      <alignment horizontal="center"/>
    </xf>
    <xf numFmtId="169" fontId="11" fillId="2" borderId="0" xfId="0" applyNumberFormat="1" applyFont="1" applyFill="1" applyAlignment="1" applyProtection="1">
      <alignment horizontal="center"/>
    </xf>
    <xf numFmtId="165" fontId="11" fillId="2" borderId="0" xfId="15" applyNumberFormat="1" applyFill="1" applyBorder="1" applyAlignment="1" applyProtection="1">
      <alignment horizontal="center"/>
    </xf>
    <xf numFmtId="2" fontId="11" fillId="2" borderId="0" xfId="11" applyNumberFormat="1" applyFill="1" applyBorder="1" applyProtection="1"/>
    <xf numFmtId="0" fontId="4" fillId="2" borderId="0" xfId="11" applyFont="1" applyFill="1" applyProtection="1"/>
    <xf numFmtId="1" fontId="11" fillId="2" borderId="0" xfId="11" applyNumberFormat="1" applyFill="1" applyProtection="1"/>
    <xf numFmtId="2" fontId="11" fillId="2" borderId="0" xfId="11" applyNumberFormat="1" applyFill="1" applyProtection="1"/>
    <xf numFmtId="0" fontId="11" fillId="2" borderId="0" xfId="15" applyFill="1" applyAlignment="1" applyProtection="1"/>
    <xf numFmtId="0" fontId="31" fillId="3" borderId="8" xfId="0" applyFont="1" applyFill="1" applyBorder="1" applyProtection="1"/>
    <xf numFmtId="0" fontId="31" fillId="3" borderId="63" xfId="0" applyFont="1" applyFill="1" applyBorder="1" applyProtection="1"/>
    <xf numFmtId="0" fontId="31" fillId="0" borderId="0" xfId="0" applyFont="1" applyFill="1" applyBorder="1" applyProtection="1"/>
    <xf numFmtId="0" fontId="8" fillId="2" borderId="46" xfId="0" applyFont="1" applyFill="1" applyBorder="1" applyProtection="1"/>
    <xf numFmtId="0" fontId="8" fillId="2" borderId="73" xfId="0" applyFont="1" applyFill="1" applyBorder="1" applyProtection="1"/>
    <xf numFmtId="0" fontId="8" fillId="2" borderId="46" xfId="0" applyFont="1" applyFill="1" applyBorder="1" applyAlignment="1" applyProtection="1">
      <alignment horizontal="right"/>
    </xf>
    <xf numFmtId="0" fontId="8" fillId="2" borderId="0" xfId="0" applyFont="1" applyFill="1" applyBorder="1" applyAlignment="1" applyProtection="1">
      <alignment horizontal="right"/>
    </xf>
    <xf numFmtId="0" fontId="9" fillId="0" borderId="101" xfId="0" applyFont="1" applyFill="1" applyBorder="1" applyAlignment="1" applyProtection="1">
      <alignment horizontal="center"/>
    </xf>
    <xf numFmtId="0" fontId="23" fillId="2" borderId="104" xfId="0" applyFont="1" applyFill="1" applyBorder="1" applyProtection="1"/>
    <xf numFmtId="0" fontId="8" fillId="2" borderId="74" xfId="0" applyFont="1" applyFill="1" applyBorder="1" applyProtection="1"/>
    <xf numFmtId="0" fontId="0" fillId="2" borderId="77" xfId="0" applyFont="1" applyFill="1" applyBorder="1" applyProtection="1"/>
    <xf numFmtId="0" fontId="8" fillId="2" borderId="45" xfId="0" applyFont="1" applyFill="1" applyBorder="1" applyProtection="1"/>
    <xf numFmtId="0" fontId="8" fillId="2" borderId="39" xfId="0" applyFont="1" applyFill="1" applyBorder="1" applyProtection="1"/>
    <xf numFmtId="0" fontId="0" fillId="2" borderId="53" xfId="0" applyFont="1" applyFill="1" applyBorder="1" applyProtection="1"/>
    <xf numFmtId="0" fontId="0" fillId="2" borderId="104" xfId="0" applyFill="1" applyBorder="1" applyProtection="1"/>
    <xf numFmtId="0" fontId="8" fillId="2" borderId="68" xfId="0" applyFont="1" applyFill="1" applyBorder="1" applyProtection="1"/>
    <xf numFmtId="0" fontId="8" fillId="2" borderId="89" xfId="0" applyFont="1" applyFill="1" applyBorder="1" applyProtection="1"/>
    <xf numFmtId="0" fontId="0" fillId="2" borderId="84" xfId="0" applyFont="1" applyFill="1" applyBorder="1" applyProtection="1"/>
    <xf numFmtId="0" fontId="8" fillId="0" borderId="90" xfId="0" applyFont="1" applyFill="1" applyBorder="1" applyAlignment="1" applyProtection="1">
      <alignment horizontal="center"/>
    </xf>
    <xf numFmtId="0" fontId="8" fillId="0" borderId="38" xfId="0" applyFont="1" applyFill="1" applyBorder="1" applyAlignment="1" applyProtection="1">
      <alignment horizontal="center"/>
    </xf>
    <xf numFmtId="0" fontId="0" fillId="2" borderId="102" xfId="0" applyFill="1" applyBorder="1" applyProtection="1"/>
    <xf numFmtId="0" fontId="8" fillId="2" borderId="27" xfId="0" applyFont="1" applyFill="1" applyBorder="1" applyProtection="1"/>
    <xf numFmtId="0" fontId="8" fillId="0" borderId="23" xfId="0" applyFont="1" applyFill="1" applyBorder="1" applyAlignment="1" applyProtection="1">
      <alignment horizontal="center"/>
    </xf>
    <xf numFmtId="0" fontId="8" fillId="2" borderId="23" xfId="0" applyFont="1" applyFill="1" applyBorder="1" applyAlignment="1" applyProtection="1">
      <alignment horizontal="left"/>
    </xf>
    <xf numFmtId="0" fontId="9" fillId="5" borderId="56" xfId="0" applyNumberFormat="1" applyFont="1" applyFill="1" applyBorder="1" applyAlignment="1" applyProtection="1">
      <alignment horizontal="center"/>
    </xf>
    <xf numFmtId="0" fontId="9" fillId="5" borderId="41" xfId="0" applyNumberFormat="1" applyFont="1" applyFill="1" applyBorder="1" applyAlignment="1" applyProtection="1">
      <alignment horizontal="center"/>
    </xf>
    <xf numFmtId="0" fontId="9" fillId="5" borderId="24" xfId="0" applyNumberFormat="1" applyFont="1" applyFill="1" applyBorder="1" applyAlignment="1" applyProtection="1">
      <alignment horizontal="center"/>
    </xf>
    <xf numFmtId="0" fontId="8" fillId="2" borderId="0" xfId="0" applyFont="1" applyFill="1" applyBorder="1" applyAlignment="1" applyProtection="1">
      <alignment horizontal="left"/>
    </xf>
    <xf numFmtId="0" fontId="8" fillId="2" borderId="0" xfId="0" applyFont="1" applyFill="1" applyAlignment="1" applyProtection="1">
      <alignment horizontal="center" vertical="center"/>
    </xf>
    <xf numFmtId="0" fontId="9" fillId="2" borderId="0" xfId="0" applyFont="1" applyFill="1" applyBorder="1" applyAlignment="1" applyProtection="1">
      <alignment horizontal="center"/>
    </xf>
    <xf numFmtId="0" fontId="8" fillId="2" borderId="4" xfId="0" applyFont="1" applyFill="1" applyBorder="1" applyProtection="1"/>
    <xf numFmtId="0" fontId="9" fillId="5" borderId="11" xfId="0" applyNumberFormat="1" applyFont="1" applyFill="1" applyBorder="1" applyAlignment="1" applyProtection="1">
      <alignment horizontal="center"/>
    </xf>
    <xf numFmtId="0" fontId="9" fillId="5" borderId="16" xfId="0" applyNumberFormat="1" applyFont="1" applyFill="1" applyBorder="1" applyAlignment="1" applyProtection="1">
      <alignment horizontal="center"/>
    </xf>
    <xf numFmtId="0" fontId="9" fillId="5" borderId="21" xfId="0" applyNumberFormat="1" applyFont="1" applyFill="1" applyBorder="1" applyAlignment="1" applyProtection="1">
      <alignment horizontal="center"/>
    </xf>
    <xf numFmtId="0" fontId="8" fillId="2" borderId="25" xfId="0" applyFont="1" applyFill="1" applyBorder="1" applyProtection="1"/>
    <xf numFmtId="0" fontId="8" fillId="2" borderId="26" xfId="0" applyFont="1" applyFill="1" applyBorder="1" applyAlignment="1" applyProtection="1">
      <alignment horizontal="left"/>
    </xf>
    <xf numFmtId="0" fontId="9" fillId="5" borderId="51" xfId="0" applyNumberFormat="1" applyFont="1" applyFill="1" applyBorder="1" applyAlignment="1" applyProtection="1">
      <alignment horizontal="center"/>
    </xf>
    <xf numFmtId="0" fontId="9" fillId="5" borderId="43" xfId="0" applyNumberFormat="1" applyFont="1" applyFill="1" applyBorder="1" applyAlignment="1" applyProtection="1">
      <alignment horizontal="center"/>
    </xf>
    <xf numFmtId="0" fontId="9" fillId="5" borderId="2" xfId="0" applyNumberFormat="1" applyFont="1" applyFill="1" applyBorder="1" applyAlignment="1" applyProtection="1">
      <alignment horizontal="center"/>
    </xf>
    <xf numFmtId="0" fontId="8" fillId="2" borderId="103" xfId="0" applyFont="1" applyFill="1" applyBorder="1" applyProtection="1"/>
    <xf numFmtId="0" fontId="8" fillId="2" borderId="0" xfId="0" applyFont="1" applyFill="1" applyAlignment="1" applyProtection="1">
      <alignment horizontal="right"/>
    </xf>
    <xf numFmtId="0" fontId="21" fillId="2" borderId="0" xfId="0" applyFont="1" applyFill="1" applyBorder="1" applyProtection="1"/>
    <xf numFmtId="0" fontId="8" fillId="2" borderId="102" xfId="0" applyFont="1" applyFill="1" applyBorder="1" applyProtection="1"/>
    <xf numFmtId="0" fontId="8" fillId="2" borderId="7" xfId="0" applyFont="1" applyFill="1" applyBorder="1" applyAlignment="1" applyProtection="1">
      <alignment horizontal="left"/>
    </xf>
    <xf numFmtId="0" fontId="8" fillId="2" borderId="8" xfId="0" applyFont="1" applyFill="1" applyBorder="1" applyAlignment="1" applyProtection="1">
      <alignment horizontal="left"/>
    </xf>
    <xf numFmtId="0" fontId="0" fillId="2" borderId="93" xfId="0" applyFont="1" applyFill="1" applyBorder="1" applyProtection="1"/>
    <xf numFmtId="0" fontId="22" fillId="2" borderId="0" xfId="0" applyFont="1" applyFill="1" applyBorder="1" applyProtection="1"/>
    <xf numFmtId="2" fontId="22" fillId="2" borderId="0" xfId="0" applyNumberFormat="1" applyFont="1" applyFill="1" applyBorder="1" applyAlignment="1" applyProtection="1">
      <alignment horizontal="center"/>
    </xf>
    <xf numFmtId="0" fontId="53" fillId="2" borderId="0" xfId="0" applyFont="1" applyFill="1" applyProtection="1"/>
    <xf numFmtId="0" fontId="8" fillId="2" borderId="7" xfId="0" applyFont="1" applyFill="1" applyBorder="1" applyProtection="1"/>
    <xf numFmtId="0" fontId="8" fillId="2" borderId="78" xfId="0" applyFont="1" applyFill="1" applyBorder="1" applyAlignment="1" applyProtection="1">
      <alignment horizontal="left"/>
    </xf>
    <xf numFmtId="0" fontId="9" fillId="5" borderId="79" xfId="0" applyNumberFormat="1" applyFont="1" applyFill="1" applyBorder="1" applyAlignment="1" applyProtection="1">
      <alignment horizontal="center"/>
    </xf>
    <xf numFmtId="0" fontId="9" fillId="5" borderId="52" xfId="0" applyNumberFormat="1" applyFont="1" applyFill="1" applyBorder="1" applyAlignment="1" applyProtection="1">
      <alignment horizontal="center"/>
    </xf>
    <xf numFmtId="0" fontId="23" fillId="2" borderId="0" xfId="0" applyFont="1" applyFill="1" applyBorder="1" applyProtection="1"/>
    <xf numFmtId="0" fontId="23" fillId="2" borderId="0" xfId="0" applyFont="1" applyFill="1" applyBorder="1" applyAlignment="1" applyProtection="1">
      <alignment horizontal="center"/>
    </xf>
    <xf numFmtId="0" fontId="0" fillId="2" borderId="0" xfId="0" applyFill="1" applyBorder="1" applyProtection="1"/>
    <xf numFmtId="166" fontId="8" fillId="2" borderId="0" xfId="0" applyNumberFormat="1" applyFont="1" applyFill="1" applyBorder="1" applyProtection="1"/>
    <xf numFmtId="0" fontId="9" fillId="2" borderId="0" xfId="0" applyFont="1" applyFill="1" applyBorder="1" applyAlignment="1" applyProtection="1">
      <alignment horizontal="left"/>
    </xf>
    <xf numFmtId="0" fontId="23" fillId="0" borderId="19" xfId="0" applyFont="1" applyFill="1" applyBorder="1" applyAlignment="1" applyProtection="1">
      <alignment horizontal="center"/>
    </xf>
    <xf numFmtId="0" fontId="0" fillId="2" borderId="0" xfId="0" applyFont="1" applyFill="1" applyBorder="1" applyAlignment="1" applyProtection="1">
      <alignment horizontal="center"/>
    </xf>
    <xf numFmtId="0" fontId="0" fillId="2" borderId="0" xfId="0" applyFont="1" applyFill="1" applyBorder="1" applyAlignment="1" applyProtection="1">
      <alignment horizontal="right"/>
    </xf>
    <xf numFmtId="0" fontId="8" fillId="2" borderId="16" xfId="0" applyFont="1" applyFill="1" applyBorder="1" applyProtection="1"/>
    <xf numFmtId="0" fontId="8" fillId="0" borderId="15" xfId="0" applyFont="1" applyFill="1" applyBorder="1" applyAlignment="1" applyProtection="1">
      <alignment horizontal="center"/>
    </xf>
    <xf numFmtId="0" fontId="8" fillId="0" borderId="121" xfId="0" applyFont="1" applyFill="1" applyBorder="1" applyAlignment="1" applyProtection="1">
      <alignment horizontal="center"/>
    </xf>
    <xf numFmtId="0" fontId="8" fillId="0" borderId="21" xfId="0" applyFont="1" applyFill="1" applyBorder="1" applyAlignment="1" applyProtection="1">
      <alignment horizontal="center"/>
    </xf>
    <xf numFmtId="11" fontId="0" fillId="2" borderId="0" xfId="0" applyNumberFormat="1" applyFont="1" applyFill="1" applyBorder="1" applyProtection="1"/>
    <xf numFmtId="9" fontId="9" fillId="2" borderId="0" xfId="9" applyFont="1" applyFill="1" applyBorder="1" applyProtection="1"/>
    <xf numFmtId="0" fontId="8" fillId="2" borderId="128" xfId="0" applyFont="1" applyFill="1" applyBorder="1" applyAlignment="1" applyProtection="1">
      <alignment horizontal="center"/>
    </xf>
    <xf numFmtId="0" fontId="8" fillId="2" borderId="141" xfId="0" applyFont="1" applyFill="1" applyBorder="1" applyProtection="1"/>
    <xf numFmtId="0" fontId="8" fillId="2" borderId="121" xfId="0" applyFont="1" applyFill="1" applyBorder="1" applyProtection="1"/>
    <xf numFmtId="0" fontId="8" fillId="2" borderId="121" xfId="0" applyFont="1" applyFill="1" applyBorder="1" applyAlignment="1" applyProtection="1">
      <alignment horizontal="center"/>
    </xf>
    <xf numFmtId="11" fontId="8" fillId="0" borderId="121" xfId="0" applyNumberFormat="1" applyFont="1" applyFill="1" applyBorder="1" applyAlignment="1" applyProtection="1">
      <alignment horizontal="center"/>
    </xf>
    <xf numFmtId="0" fontId="9" fillId="0" borderId="4" xfId="0" applyFont="1" applyFill="1" applyBorder="1" applyAlignment="1" applyProtection="1">
      <alignment horizontal="center"/>
    </xf>
    <xf numFmtId="0" fontId="9" fillId="0" borderId="11" xfId="0" applyFont="1" applyFill="1" applyBorder="1" applyAlignment="1" applyProtection="1">
      <alignment horizontal="center"/>
    </xf>
    <xf numFmtId="0" fontId="8" fillId="2" borderId="137" xfId="0" applyFont="1" applyFill="1" applyBorder="1" applyAlignment="1" applyProtection="1">
      <alignment horizontal="center"/>
    </xf>
    <xf numFmtId="0" fontId="8" fillId="2" borderId="136" xfId="0" applyFont="1" applyFill="1" applyBorder="1" applyProtection="1"/>
    <xf numFmtId="0" fontId="8" fillId="2" borderId="136" xfId="0" applyFont="1" applyFill="1" applyBorder="1" applyAlignment="1" applyProtection="1">
      <alignment horizontal="center"/>
    </xf>
    <xf numFmtId="0" fontId="8" fillId="2" borderId="138" xfId="0" applyFont="1" applyFill="1" applyBorder="1" applyAlignment="1" applyProtection="1">
      <alignment horizontal="center"/>
    </xf>
    <xf numFmtId="11" fontId="8" fillId="0" borderId="137" xfId="0" applyNumberFormat="1" applyFont="1" applyFill="1" applyBorder="1" applyAlignment="1" applyProtection="1">
      <alignment horizontal="center"/>
    </xf>
    <xf numFmtId="11" fontId="8" fillId="0" borderId="136" xfId="0" applyNumberFormat="1" applyFont="1" applyFill="1" applyBorder="1" applyAlignment="1" applyProtection="1">
      <alignment horizontal="center"/>
    </xf>
    <xf numFmtId="0" fontId="8" fillId="2" borderId="135" xfId="0" applyFont="1" applyFill="1" applyBorder="1" applyAlignment="1" applyProtection="1">
      <alignment horizontal="center"/>
    </xf>
    <xf numFmtId="0" fontId="9" fillId="0" borderId="7" xfId="0" applyFont="1" applyFill="1" applyBorder="1" applyAlignment="1" applyProtection="1">
      <alignment horizontal="center"/>
    </xf>
    <xf numFmtId="0" fontId="9" fillId="0" borderId="78" xfId="0" applyFont="1" applyFill="1" applyBorder="1" applyAlignment="1" applyProtection="1">
      <alignment horizontal="center"/>
    </xf>
    <xf numFmtId="0" fontId="8" fillId="0" borderId="79" xfId="0" applyFont="1" applyFill="1" applyBorder="1" applyAlignment="1" applyProtection="1">
      <alignment horizontal="center"/>
    </xf>
    <xf numFmtId="0" fontId="8" fillId="0" borderId="63" xfId="0" applyFont="1" applyFill="1" applyBorder="1" applyAlignment="1" applyProtection="1">
      <alignment horizontal="center"/>
    </xf>
    <xf numFmtId="0" fontId="0" fillId="10" borderId="141" xfId="0" applyFont="1" applyFill="1" applyBorder="1" applyProtection="1"/>
    <xf numFmtId="166" fontId="8" fillId="2" borderId="137" xfId="0" applyNumberFormat="1" applyFont="1" applyFill="1" applyBorder="1" applyAlignment="1" applyProtection="1">
      <alignment horizontal="center" vertical="center"/>
    </xf>
    <xf numFmtId="2" fontId="8" fillId="2" borderId="137" xfId="0" applyNumberFormat="1" applyFont="1" applyFill="1" applyBorder="1" applyAlignment="1" applyProtection="1">
      <alignment horizontal="center" vertical="center"/>
    </xf>
    <xf numFmtId="166" fontId="8" fillId="2" borderId="136" xfId="0" applyNumberFormat="1" applyFont="1" applyFill="1" applyBorder="1" applyAlignment="1" applyProtection="1">
      <alignment horizontal="center" vertical="center"/>
    </xf>
    <xf numFmtId="2" fontId="8" fillId="2" borderId="135" xfId="0" applyNumberFormat="1" applyFont="1" applyFill="1" applyBorder="1" applyAlignment="1" applyProtection="1">
      <alignment horizontal="center" vertical="center"/>
    </xf>
    <xf numFmtId="2" fontId="8" fillId="7" borderId="54" xfId="0" applyNumberFormat="1" applyFont="1" applyFill="1" applyBorder="1" applyAlignment="1" applyProtection="1">
      <alignment horizontal="center"/>
    </xf>
    <xf numFmtId="0" fontId="0" fillId="11" borderId="56" xfId="0" applyFont="1" applyFill="1" applyBorder="1" applyProtection="1"/>
    <xf numFmtId="0" fontId="0" fillId="11" borderId="41" xfId="0" applyFont="1" applyFill="1" applyBorder="1" applyProtection="1"/>
    <xf numFmtId="0" fontId="0" fillId="11" borderId="24" xfId="0" applyFont="1" applyFill="1" applyBorder="1" applyProtection="1"/>
    <xf numFmtId="0" fontId="8" fillId="10" borderId="121" xfId="0" applyFont="1" applyFill="1" applyBorder="1" applyAlignment="1" applyProtection="1">
      <alignment vertical="center"/>
    </xf>
    <xf numFmtId="2" fontId="8" fillId="7" borderId="31" xfId="0" applyNumberFormat="1" applyFont="1" applyFill="1" applyBorder="1" applyAlignment="1" applyProtection="1">
      <alignment horizontal="center"/>
    </xf>
    <xf numFmtId="167" fontId="8" fillId="7" borderId="11" xfId="0" applyNumberFormat="1" applyFont="1" applyFill="1" applyBorder="1" applyAlignment="1" applyProtection="1">
      <alignment horizontal="center"/>
    </xf>
    <xf numFmtId="2" fontId="8" fillId="7" borderId="121" xfId="0" applyNumberFormat="1" applyFont="1" applyFill="1" applyBorder="1" applyAlignment="1" applyProtection="1">
      <alignment horizontal="center"/>
    </xf>
    <xf numFmtId="2" fontId="8" fillId="7" borderId="21" xfId="0" applyNumberFormat="1" applyFont="1" applyFill="1" applyBorder="1" applyAlignment="1" applyProtection="1">
      <alignment horizontal="center"/>
    </xf>
    <xf numFmtId="0" fontId="8" fillId="10" borderId="94" xfId="0" applyFont="1" applyFill="1" applyBorder="1" applyAlignment="1" applyProtection="1">
      <alignment vertical="center"/>
    </xf>
    <xf numFmtId="2" fontId="8" fillId="7" borderId="50" xfId="0" applyNumberFormat="1" applyFont="1" applyFill="1" applyBorder="1" applyAlignment="1" applyProtection="1">
      <alignment horizontal="center"/>
    </xf>
    <xf numFmtId="0" fontId="8" fillId="7" borderId="51" xfId="0" applyFont="1" applyFill="1" applyBorder="1" applyProtection="1"/>
    <xf numFmtId="168" fontId="8" fillId="7" borderId="43" xfId="0" applyNumberFormat="1" applyFont="1" applyFill="1" applyBorder="1" applyProtection="1"/>
    <xf numFmtId="168" fontId="8" fillId="7" borderId="2" xfId="0" applyNumberFormat="1" applyFont="1" applyFill="1" applyBorder="1" applyAlignment="1" applyProtection="1">
      <alignment horizontal="center"/>
    </xf>
    <xf numFmtId="0" fontId="8" fillId="0" borderId="121" xfId="0" applyFont="1" applyFill="1" applyBorder="1" applyAlignment="1" applyProtection="1">
      <alignment vertical="center"/>
    </xf>
    <xf numFmtId="0" fontId="8" fillId="0" borderId="121" xfId="0" applyFont="1" applyFill="1" applyBorder="1" applyAlignment="1" applyProtection="1">
      <alignment vertical="center" wrapText="1"/>
    </xf>
    <xf numFmtId="166" fontId="8" fillId="0" borderId="137" xfId="0" applyNumberFormat="1" applyFont="1" applyFill="1" applyBorder="1" applyAlignment="1" applyProtection="1">
      <alignment horizontal="center" vertical="center"/>
    </xf>
    <xf numFmtId="166" fontId="8" fillId="0" borderId="136" xfId="0" applyNumberFormat="1" applyFont="1" applyFill="1" applyBorder="1" applyAlignment="1" applyProtection="1">
      <alignment horizontal="center" vertical="center"/>
    </xf>
    <xf numFmtId="2" fontId="8" fillId="0" borderId="31" xfId="0" applyNumberFormat="1" applyFont="1" applyFill="1" applyBorder="1" applyAlignment="1" applyProtection="1">
      <alignment horizontal="center"/>
    </xf>
    <xf numFmtId="0" fontId="8" fillId="0" borderId="11" xfId="0" applyFont="1" applyFill="1" applyBorder="1" applyProtection="1"/>
    <xf numFmtId="168" fontId="8" fillId="0" borderId="121" xfId="0" applyNumberFormat="1" applyFont="1" applyFill="1" applyBorder="1" applyProtection="1"/>
    <xf numFmtId="168" fontId="8" fillId="0" borderId="21" xfId="0" applyNumberFormat="1" applyFont="1" applyFill="1" applyBorder="1" applyAlignment="1" applyProtection="1">
      <alignment horizontal="center"/>
    </xf>
    <xf numFmtId="0" fontId="0" fillId="0" borderId="0" xfId="0" applyFont="1" applyFill="1" applyProtection="1"/>
    <xf numFmtId="0" fontId="0" fillId="0" borderId="0" xfId="0" applyFont="1" applyFill="1" applyBorder="1" applyAlignment="1" applyProtection="1">
      <alignment horizontal="center"/>
    </xf>
    <xf numFmtId="0" fontId="0" fillId="0" borderId="0" xfId="0" applyFont="1" applyFill="1" applyAlignment="1" applyProtection="1">
      <alignment horizontal="center"/>
    </xf>
    <xf numFmtId="166" fontId="8" fillId="0" borderId="0" xfId="0" applyNumberFormat="1" applyFont="1" applyFill="1" applyBorder="1" applyAlignment="1" applyProtection="1">
      <alignment horizontal="center" vertical="center"/>
    </xf>
    <xf numFmtId="166" fontId="8" fillId="0" borderId="142" xfId="0" applyNumberFormat="1" applyFont="1" applyFill="1" applyBorder="1" applyAlignment="1" applyProtection="1">
      <alignment horizontal="center" vertical="center"/>
    </xf>
    <xf numFmtId="168" fontId="8" fillId="0" borderId="0" xfId="0" applyNumberFormat="1" applyFont="1" applyFill="1" applyBorder="1" applyAlignment="1" applyProtection="1">
      <alignment horizontal="center"/>
    </xf>
    <xf numFmtId="168" fontId="8" fillId="0" borderId="0" xfId="0" applyNumberFormat="1" applyFont="1" applyFill="1" applyBorder="1" applyProtection="1"/>
    <xf numFmtId="168" fontId="0" fillId="2" borderId="0" xfId="0" applyNumberFormat="1" applyFont="1" applyFill="1" applyAlignment="1" applyProtection="1">
      <alignment horizontal="center"/>
    </xf>
    <xf numFmtId="166" fontId="8" fillId="2" borderId="0" xfId="0" applyNumberFormat="1" applyFont="1" applyFill="1" applyBorder="1" applyAlignment="1" applyProtection="1">
      <alignment horizontal="center" vertical="center"/>
    </xf>
    <xf numFmtId="0" fontId="8" fillId="2" borderId="0" xfId="0" applyFont="1" applyFill="1" applyBorder="1" applyAlignment="1" applyProtection="1">
      <alignment vertical="center"/>
    </xf>
    <xf numFmtId="0" fontId="8" fillId="2" borderId="18" xfId="0" applyFont="1" applyFill="1" applyBorder="1" applyProtection="1"/>
    <xf numFmtId="0" fontId="9" fillId="0" borderId="25" xfId="0" applyFont="1" applyFill="1" applyBorder="1" applyAlignment="1" applyProtection="1">
      <alignment horizontal="center"/>
    </xf>
    <xf numFmtId="0" fontId="9" fillId="0" borderId="58" xfId="0" applyFont="1" applyFill="1" applyBorder="1" applyAlignment="1" applyProtection="1">
      <alignment horizontal="center"/>
    </xf>
    <xf numFmtId="0" fontId="8" fillId="2" borderId="151" xfId="0" applyFont="1" applyFill="1" applyBorder="1" applyAlignment="1" applyProtection="1">
      <alignment horizontal="center"/>
    </xf>
    <xf numFmtId="0" fontId="8" fillId="2" borderId="155" xfId="0" applyFont="1" applyFill="1" applyBorder="1" applyProtection="1"/>
    <xf numFmtId="0" fontId="9" fillId="0" borderId="32" xfId="0" applyFont="1" applyFill="1" applyBorder="1" applyAlignment="1" applyProtection="1">
      <alignment horizontal="center"/>
    </xf>
    <xf numFmtId="0" fontId="0" fillId="2" borderId="141" xfId="0" applyFont="1" applyFill="1" applyBorder="1" applyProtection="1"/>
    <xf numFmtId="0" fontId="8" fillId="2" borderId="20"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167" fontId="0" fillId="2" borderId="160" xfId="0" applyNumberFormat="1" applyFont="1" applyFill="1" applyBorder="1" applyAlignment="1" applyProtection="1">
      <alignment horizontal="center" vertical="center"/>
    </xf>
    <xf numFmtId="0" fontId="8" fillId="2" borderId="57" xfId="0" applyFont="1" applyFill="1" applyBorder="1" applyAlignment="1" applyProtection="1">
      <alignment horizontal="center" vertical="center"/>
    </xf>
    <xf numFmtId="0" fontId="0" fillId="2" borderId="0" xfId="0" applyFont="1" applyFill="1" applyAlignment="1" applyProtection="1">
      <alignment horizontal="center" vertical="center"/>
    </xf>
    <xf numFmtId="168" fontId="8" fillId="2" borderId="0" xfId="0" applyNumberFormat="1" applyFont="1" applyFill="1" applyBorder="1" applyProtection="1"/>
    <xf numFmtId="168" fontId="8" fillId="2" borderId="0" xfId="0" applyNumberFormat="1" applyFont="1" applyFill="1" applyBorder="1" applyAlignment="1" applyProtection="1">
      <alignment horizontal="center"/>
    </xf>
    <xf numFmtId="0" fontId="8" fillId="0" borderId="94" xfId="0" applyFont="1" applyFill="1" applyBorder="1" applyAlignment="1" applyProtection="1">
      <alignment vertical="top" wrapText="1"/>
    </xf>
    <xf numFmtId="0" fontId="8" fillId="2" borderId="62" xfId="0" applyFont="1" applyFill="1" applyBorder="1" applyAlignment="1" applyProtection="1">
      <alignment horizontal="center" vertical="center"/>
    </xf>
    <xf numFmtId="0" fontId="8" fillId="0" borderId="94" xfId="0" applyFont="1" applyFill="1" applyBorder="1" applyAlignment="1" applyProtection="1">
      <alignment horizontal="center" vertical="center"/>
    </xf>
    <xf numFmtId="2" fontId="8" fillId="2" borderId="81" xfId="0" applyNumberFormat="1" applyFont="1" applyFill="1" applyBorder="1" applyAlignment="1" applyProtection="1">
      <alignment horizontal="center" vertical="center"/>
    </xf>
    <xf numFmtId="0" fontId="8" fillId="0" borderId="89" xfId="0" applyFont="1" applyFill="1" applyBorder="1" applyAlignment="1" applyProtection="1">
      <alignment vertical="center"/>
    </xf>
    <xf numFmtId="0" fontId="8" fillId="0" borderId="90" xfId="0" applyFont="1" applyFill="1" applyBorder="1" applyAlignment="1" applyProtection="1">
      <alignment vertical="center"/>
    </xf>
    <xf numFmtId="0" fontId="8" fillId="0" borderId="84" xfId="0" applyFont="1" applyFill="1" applyBorder="1" applyProtection="1"/>
    <xf numFmtId="0" fontId="9" fillId="2" borderId="46" xfId="0" applyFont="1" applyFill="1" applyBorder="1" applyAlignment="1" applyProtection="1">
      <alignment horizontal="left"/>
    </xf>
    <xf numFmtId="0" fontId="9" fillId="2" borderId="36" xfId="0" applyFont="1" applyFill="1" applyBorder="1" applyAlignment="1" applyProtection="1">
      <alignment horizontal="left"/>
    </xf>
    <xf numFmtId="0" fontId="0" fillId="2" borderId="36" xfId="0" applyFont="1" applyFill="1" applyBorder="1" applyProtection="1"/>
    <xf numFmtId="168" fontId="8" fillId="2" borderId="71" xfId="0" applyNumberFormat="1" applyFont="1" applyFill="1" applyBorder="1" applyAlignment="1" applyProtection="1">
      <alignment horizontal="center"/>
    </xf>
    <xf numFmtId="0" fontId="8" fillId="2" borderId="68" xfId="0" applyFont="1" applyFill="1" applyBorder="1" applyAlignment="1" applyProtection="1">
      <alignment horizontal="left"/>
    </xf>
    <xf numFmtId="0" fontId="8" fillId="2" borderId="6" xfId="0" applyFont="1" applyFill="1" applyBorder="1" applyAlignment="1" applyProtection="1">
      <alignment horizontal="left"/>
    </xf>
    <xf numFmtId="0" fontId="0" fillId="2" borderId="6" xfId="0" applyFont="1" applyFill="1" applyBorder="1" applyProtection="1"/>
    <xf numFmtId="0" fontId="8" fillId="2" borderId="59" xfId="0" applyFont="1" applyFill="1" applyBorder="1" applyAlignment="1" applyProtection="1">
      <alignment horizontal="center"/>
    </xf>
    <xf numFmtId="0" fontId="8" fillId="2" borderId="0" xfId="0" applyNumberFormat="1" applyFont="1" applyFill="1" applyBorder="1" applyAlignment="1" applyProtection="1">
      <alignment horizontal="center"/>
    </xf>
    <xf numFmtId="168" fontId="8" fillId="2" borderId="6" xfId="0" applyNumberFormat="1" applyFont="1" applyFill="1" applyBorder="1" applyAlignment="1" applyProtection="1">
      <alignment horizontal="left"/>
    </xf>
    <xf numFmtId="0" fontId="8" fillId="2" borderId="6" xfId="0" applyFont="1" applyFill="1" applyBorder="1" applyProtection="1"/>
    <xf numFmtId="167" fontId="8" fillId="2" borderId="0" xfId="0" applyNumberFormat="1" applyFont="1" applyFill="1" applyBorder="1" applyAlignment="1" applyProtection="1">
      <alignment horizontal="center"/>
    </xf>
    <xf numFmtId="0" fontId="21" fillId="0" borderId="26" xfId="0" applyFont="1" applyFill="1" applyBorder="1" applyAlignment="1" applyProtection="1">
      <alignment vertical="center"/>
    </xf>
    <xf numFmtId="0" fontId="8" fillId="2" borderId="27" xfId="0" applyFont="1" applyFill="1" applyBorder="1" applyAlignment="1" applyProtection="1">
      <alignment horizontal="left"/>
    </xf>
    <xf numFmtId="0" fontId="8" fillId="2" borderId="23" xfId="0" applyFont="1" applyFill="1" applyBorder="1" applyProtection="1"/>
    <xf numFmtId="0" fontId="54" fillId="2" borderId="23" xfId="0" applyFont="1" applyFill="1" applyBorder="1" applyProtection="1"/>
    <xf numFmtId="0" fontId="9" fillId="5" borderId="47" xfId="0" applyNumberFormat="1" applyFont="1" applyFill="1" applyBorder="1" applyAlignment="1" applyProtection="1">
      <alignment horizontal="center"/>
    </xf>
    <xf numFmtId="11" fontId="8" fillId="2" borderId="0" xfId="0" applyNumberFormat="1" applyFont="1" applyFill="1" applyBorder="1" applyProtection="1"/>
    <xf numFmtId="0" fontId="54" fillId="2" borderId="0" xfId="0" applyFont="1" applyFill="1" applyBorder="1" applyProtection="1"/>
    <xf numFmtId="0" fontId="9" fillId="5" borderId="32" xfId="0" applyNumberFormat="1" applyFont="1" applyFill="1" applyBorder="1" applyAlignment="1" applyProtection="1">
      <alignment horizontal="center"/>
    </xf>
    <xf numFmtId="0" fontId="54" fillId="2" borderId="26" xfId="0" applyFont="1" applyFill="1" applyBorder="1" applyProtection="1"/>
    <xf numFmtId="0" fontId="9" fillId="5" borderId="58" xfId="0" applyNumberFormat="1" applyFont="1" applyFill="1" applyBorder="1" applyAlignment="1" applyProtection="1">
      <alignment horizontal="center"/>
    </xf>
    <xf numFmtId="167" fontId="8" fillId="2" borderId="0" xfId="0" applyNumberFormat="1" applyFont="1" applyFill="1" applyBorder="1" applyProtection="1"/>
    <xf numFmtId="0" fontId="8" fillId="2" borderId="9" xfId="0" applyFont="1" applyFill="1" applyBorder="1" applyAlignment="1" applyProtection="1">
      <alignment horizontal="center" vertical="center" wrapText="1"/>
    </xf>
    <xf numFmtId="0" fontId="0" fillId="2" borderId="91" xfId="0" applyFont="1" applyFill="1" applyBorder="1" applyProtection="1"/>
    <xf numFmtId="0" fontId="8" fillId="2" borderId="9" xfId="0" applyFont="1" applyFill="1" applyBorder="1" applyAlignment="1" applyProtection="1">
      <alignment horizontal="center"/>
    </xf>
    <xf numFmtId="0" fontId="0" fillId="2" borderId="10" xfId="0" applyFont="1" applyFill="1" applyBorder="1" applyAlignment="1" applyProtection="1">
      <alignment horizontal="center"/>
    </xf>
    <xf numFmtId="0" fontId="8" fillId="2" borderId="48" xfId="0" applyFont="1" applyFill="1" applyBorder="1" applyAlignment="1" applyProtection="1">
      <alignment horizontal="center"/>
    </xf>
    <xf numFmtId="0" fontId="8" fillId="2" borderId="19" xfId="0" applyFont="1" applyFill="1" applyBorder="1" applyAlignment="1" applyProtection="1">
      <alignment horizontal="left"/>
    </xf>
    <xf numFmtId="0" fontId="8" fillId="2" borderId="12"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2" borderId="13" xfId="0" applyFont="1" applyFill="1" applyBorder="1" applyAlignment="1" applyProtection="1">
      <alignment horizontal="center"/>
    </xf>
    <xf numFmtId="0" fontId="8" fillId="7" borderId="31" xfId="0" applyFont="1" applyFill="1" applyBorder="1" applyAlignment="1" applyProtection="1">
      <alignment horizontal="center"/>
    </xf>
    <xf numFmtId="0" fontId="8" fillId="7" borderId="32" xfId="0" applyFont="1" applyFill="1" applyBorder="1" applyAlignment="1" applyProtection="1">
      <alignment horizontal="center"/>
    </xf>
    <xf numFmtId="0" fontId="8" fillId="10" borderId="18" xfId="0" applyFont="1" applyFill="1" applyBorder="1" applyAlignment="1" applyProtection="1">
      <alignment horizontal="center" vertical="center"/>
    </xf>
    <xf numFmtId="0" fontId="8" fillId="10" borderId="19" xfId="0" applyFont="1" applyFill="1" applyBorder="1" applyAlignment="1" applyProtection="1">
      <alignment horizontal="left" vertical="center"/>
    </xf>
    <xf numFmtId="2" fontId="8" fillId="2" borderId="19" xfId="0" applyNumberFormat="1" applyFont="1" applyFill="1" applyBorder="1" applyAlignment="1" applyProtection="1">
      <alignment horizontal="center" vertical="center"/>
    </xf>
    <xf numFmtId="11" fontId="8" fillId="2" borderId="19" xfId="0" applyNumberFormat="1" applyFont="1" applyFill="1" applyBorder="1" applyAlignment="1" applyProtection="1">
      <alignment horizontal="center" vertical="center"/>
    </xf>
    <xf numFmtId="2" fontId="8" fillId="7" borderId="4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xf>
    <xf numFmtId="166" fontId="9" fillId="0" borderId="0" xfId="0" applyNumberFormat="1" applyFont="1" applyFill="1" applyBorder="1" applyAlignment="1" applyProtection="1">
      <alignment horizontal="center"/>
    </xf>
    <xf numFmtId="0" fontId="23" fillId="2" borderId="0" xfId="0" applyFont="1" applyFill="1" applyBorder="1" applyAlignment="1" applyProtection="1">
      <alignment horizontal="left"/>
    </xf>
    <xf numFmtId="0" fontId="22" fillId="2" borderId="5" xfId="0" applyFont="1" applyFill="1" applyBorder="1" applyAlignment="1" applyProtection="1">
      <alignment horizontal="center"/>
    </xf>
    <xf numFmtId="0" fontId="8" fillId="2" borderId="13"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2" fontId="23" fillId="2" borderId="0" xfId="0" applyNumberFormat="1" applyFont="1" applyFill="1" applyBorder="1" applyAlignment="1" applyProtection="1">
      <alignment horizontal="center"/>
    </xf>
    <xf numFmtId="0" fontId="0" fillId="2" borderId="0" xfId="0" applyFill="1" applyBorder="1" applyAlignment="1" applyProtection="1">
      <alignment horizontal="center"/>
    </xf>
    <xf numFmtId="0" fontId="8" fillId="2" borderId="18" xfId="0" applyFont="1" applyFill="1" applyBorder="1" applyAlignment="1" applyProtection="1">
      <alignment horizontal="left"/>
    </xf>
    <xf numFmtId="0" fontId="8" fillId="2" borderId="17" xfId="0" applyFont="1" applyFill="1" applyBorder="1" applyAlignment="1" applyProtection="1">
      <alignment horizontal="center" vertical="center" wrapText="1"/>
    </xf>
    <xf numFmtId="0" fontId="8" fillId="8" borderId="44" xfId="0" applyFont="1" applyFill="1" applyBorder="1" applyAlignment="1" applyProtection="1">
      <alignment horizontal="center"/>
    </xf>
    <xf numFmtId="0" fontId="8" fillId="8" borderId="37" xfId="0" applyFont="1" applyFill="1" applyBorder="1" applyAlignment="1" applyProtection="1">
      <alignment horizontal="center"/>
    </xf>
    <xf numFmtId="0" fontId="8" fillId="2" borderId="15" xfId="0" applyFont="1" applyFill="1" applyBorder="1" applyAlignment="1" applyProtection="1">
      <alignment horizontal="left" vertical="center"/>
    </xf>
    <xf numFmtId="2" fontId="8" fillId="2" borderId="88" xfId="0" applyNumberFormat="1" applyFont="1" applyFill="1" applyBorder="1" applyAlignment="1" applyProtection="1">
      <alignment horizontal="center" vertical="center"/>
    </xf>
    <xf numFmtId="11" fontId="8" fillId="2" borderId="89" xfId="0" applyNumberFormat="1" applyFont="1" applyFill="1" applyBorder="1" applyAlignment="1" applyProtection="1">
      <alignment horizontal="center" vertical="center"/>
    </xf>
    <xf numFmtId="2" fontId="8" fillId="8" borderId="68" xfId="0" applyNumberFormat="1" applyFont="1" applyFill="1" applyBorder="1" applyAlignment="1" applyProtection="1">
      <alignment horizontal="center" vertical="center"/>
    </xf>
    <xf numFmtId="2" fontId="8" fillId="8" borderId="59" xfId="0" applyNumberFormat="1" applyFont="1" applyFill="1" applyBorder="1" applyAlignment="1" applyProtection="1">
      <alignment horizontal="center" vertical="center"/>
    </xf>
    <xf numFmtId="0" fontId="8" fillId="2" borderId="98" xfId="0" applyFont="1" applyFill="1" applyBorder="1" applyAlignment="1" applyProtection="1">
      <alignment horizontal="center" vertical="center"/>
    </xf>
    <xf numFmtId="0" fontId="8" fillId="2" borderId="98" xfId="0" applyFont="1" applyFill="1" applyBorder="1" applyAlignment="1" applyProtection="1">
      <alignment horizontal="left" vertical="center"/>
    </xf>
    <xf numFmtId="0" fontId="26" fillId="2" borderId="0" xfId="0" applyFont="1" applyFill="1" applyBorder="1" applyAlignment="1" applyProtection="1">
      <alignment horizontal="center"/>
    </xf>
    <xf numFmtId="11" fontId="23" fillId="2" borderId="0" xfId="0" applyNumberFormat="1" applyFont="1" applyFill="1" applyBorder="1" applyAlignment="1" applyProtection="1">
      <alignment horizontal="center"/>
    </xf>
    <xf numFmtId="167" fontId="23" fillId="2" borderId="0" xfId="0" applyNumberFormat="1" applyFont="1" applyFill="1" applyBorder="1" applyAlignment="1" applyProtection="1">
      <alignment horizontal="center"/>
    </xf>
    <xf numFmtId="166" fontId="23" fillId="2" borderId="0" xfId="0" applyNumberFormat="1" applyFont="1" applyFill="1" applyBorder="1" applyAlignment="1" applyProtection="1">
      <alignment horizontal="center"/>
    </xf>
    <xf numFmtId="0" fontId="8" fillId="2" borderId="14" xfId="0" applyFont="1" applyFill="1" applyBorder="1" applyAlignment="1" applyProtection="1">
      <alignment horizontal="center" vertical="center"/>
    </xf>
    <xf numFmtId="0" fontId="8" fillId="14" borderId="4" xfId="0" applyFont="1" applyFill="1" applyBorder="1" applyAlignment="1" applyProtection="1">
      <alignment horizontal="center" wrapText="1"/>
    </xf>
    <xf numFmtId="0" fontId="8" fillId="14" borderId="32" xfId="0" applyFont="1" applyFill="1" applyBorder="1" applyAlignment="1" applyProtection="1">
      <alignment horizontal="center"/>
    </xf>
    <xf numFmtId="2" fontId="8" fillId="2" borderId="18" xfId="0" applyNumberFormat="1" applyFont="1" applyFill="1" applyBorder="1" applyAlignment="1" applyProtection="1">
      <alignment horizontal="center" vertical="center"/>
    </xf>
    <xf numFmtId="2" fontId="8" fillId="8" borderId="4" xfId="0" applyNumberFormat="1" applyFont="1" applyFill="1" applyBorder="1" applyAlignment="1" applyProtection="1">
      <alignment horizontal="center" vertical="center"/>
    </xf>
    <xf numFmtId="2" fontId="8" fillId="8" borderId="32" xfId="0" applyNumberFormat="1" applyFont="1" applyFill="1" applyBorder="1" applyAlignment="1" applyProtection="1">
      <alignment horizontal="center" vertical="center"/>
    </xf>
    <xf numFmtId="0" fontId="8" fillId="0" borderId="68" xfId="0" applyFont="1" applyFill="1" applyBorder="1" applyAlignment="1" applyProtection="1">
      <alignment horizontal="center" vertical="center" wrapText="1"/>
    </xf>
    <xf numFmtId="0" fontId="0" fillId="2" borderId="45" xfId="0" applyFont="1" applyFill="1" applyBorder="1" applyAlignment="1" applyProtection="1">
      <alignment vertical="center"/>
    </xf>
    <xf numFmtId="0" fontId="0" fillId="2" borderId="76" xfId="0" applyFont="1" applyFill="1" applyBorder="1" applyAlignment="1" applyProtection="1">
      <alignment vertical="center"/>
    </xf>
    <xf numFmtId="2" fontId="8" fillId="8" borderId="45" xfId="0" applyNumberFormat="1" applyFont="1" applyFill="1" applyBorder="1" applyAlignment="1" applyProtection="1">
      <alignment horizontal="center" vertical="center"/>
    </xf>
    <xf numFmtId="2" fontId="8" fillId="8" borderId="40" xfId="0" applyNumberFormat="1" applyFont="1" applyFill="1" applyBorder="1" applyAlignment="1" applyProtection="1">
      <alignment horizontal="center" vertical="center"/>
    </xf>
    <xf numFmtId="0" fontId="22" fillId="2" borderId="3" xfId="0" applyFont="1" applyFill="1" applyBorder="1" applyAlignment="1" applyProtection="1">
      <alignment horizontal="center"/>
    </xf>
    <xf numFmtId="0" fontId="8" fillId="2" borderId="3" xfId="0" applyFont="1" applyFill="1" applyBorder="1" applyProtection="1"/>
    <xf numFmtId="0" fontId="0" fillId="2" borderId="3" xfId="0" applyFont="1" applyFill="1" applyBorder="1" applyProtection="1"/>
    <xf numFmtId="166" fontId="8" fillId="0" borderId="23" xfId="0" applyNumberFormat="1" applyFont="1" applyFill="1" applyBorder="1" applyAlignment="1" applyProtection="1">
      <alignment horizontal="center"/>
    </xf>
    <xf numFmtId="2" fontId="8" fillId="0" borderId="23" xfId="0" applyNumberFormat="1" applyFont="1" applyFill="1" applyBorder="1" applyAlignment="1" applyProtection="1">
      <alignment horizontal="center"/>
    </xf>
    <xf numFmtId="0" fontId="12" fillId="2" borderId="0" xfId="0" applyFont="1" applyFill="1" applyBorder="1" applyProtection="1"/>
    <xf numFmtId="0" fontId="12" fillId="2" borderId="0" xfId="15" applyFont="1" applyFill="1" applyBorder="1" applyAlignment="1" applyProtection="1"/>
    <xf numFmtId="0" fontId="12" fillId="2" borderId="0" xfId="11" applyFont="1" applyFill="1" applyProtection="1"/>
    <xf numFmtId="0" fontId="12" fillId="2" borderId="0" xfId="0" applyFont="1" applyFill="1" applyProtection="1"/>
    <xf numFmtId="0" fontId="12" fillId="2" borderId="0" xfId="15" applyFont="1" applyFill="1" applyAlignment="1" applyProtection="1"/>
    <xf numFmtId="0" fontId="12" fillId="2" borderId="0" xfId="15" applyFont="1" applyFill="1" applyAlignment="1" applyProtection="1">
      <alignment horizontal="center"/>
    </xf>
    <xf numFmtId="0" fontId="0" fillId="0" borderId="0" xfId="0" applyFill="1" applyBorder="1" applyProtection="1"/>
    <xf numFmtId="0" fontId="8" fillId="0" borderId="93" xfId="0" applyFont="1" applyFill="1" applyBorder="1" applyProtection="1"/>
    <xf numFmtId="0" fontId="8" fillId="2" borderId="71" xfId="0" applyFont="1" applyFill="1" applyBorder="1" applyAlignment="1" applyProtection="1">
      <alignment horizontal="center"/>
    </xf>
    <xf numFmtId="166" fontId="22" fillId="2" borderId="0" xfId="0" applyNumberFormat="1" applyFont="1" applyFill="1" applyBorder="1" applyAlignment="1" applyProtection="1">
      <alignment horizontal="center"/>
    </xf>
    <xf numFmtId="0" fontId="8" fillId="0" borderId="98" xfId="0" applyFont="1" applyFill="1" applyBorder="1" applyAlignment="1" applyProtection="1">
      <alignment horizontal="left"/>
    </xf>
    <xf numFmtId="0" fontId="0" fillId="0" borderId="98" xfId="0" applyFont="1" applyFill="1" applyBorder="1" applyProtection="1"/>
    <xf numFmtId="0" fontId="9" fillId="0" borderId="98" xfId="0" applyFont="1" applyFill="1" applyBorder="1" applyAlignment="1" applyProtection="1">
      <alignment horizontal="center"/>
    </xf>
    <xf numFmtId="0" fontId="22" fillId="0" borderId="0" xfId="0" applyFont="1" applyFill="1" applyBorder="1" applyAlignment="1" applyProtection="1">
      <alignment horizontal="center"/>
    </xf>
    <xf numFmtId="0" fontId="8" fillId="2" borderId="4" xfId="0" applyFont="1" applyFill="1" applyBorder="1" applyAlignment="1" applyProtection="1">
      <alignment horizontal="left"/>
    </xf>
    <xf numFmtId="2" fontId="9" fillId="0" borderId="0" xfId="0" applyNumberFormat="1" applyFont="1" applyFill="1" applyBorder="1" applyAlignment="1" applyProtection="1">
      <alignment horizontal="center"/>
    </xf>
    <xf numFmtId="11" fontId="23" fillId="2" borderId="0" xfId="0" applyNumberFormat="1" applyFont="1" applyFill="1" applyBorder="1" applyProtection="1"/>
    <xf numFmtId="0" fontId="0" fillId="2" borderId="8" xfId="0" applyFont="1" applyFill="1" applyBorder="1" applyProtection="1"/>
    <xf numFmtId="0" fontId="27" fillId="2" borderId="0" xfId="0" applyFont="1" applyFill="1" applyProtection="1"/>
    <xf numFmtId="0" fontId="27" fillId="2" borderId="0" xfId="0" applyFont="1" applyFill="1" applyAlignment="1" applyProtection="1">
      <alignment horizontal="center"/>
    </xf>
    <xf numFmtId="0" fontId="8" fillId="2" borderId="9" xfId="0" applyFont="1" applyFill="1" applyBorder="1" applyAlignment="1" applyProtection="1">
      <alignment horizontal="left"/>
    </xf>
    <xf numFmtId="0" fontId="8" fillId="2" borderId="10" xfId="0" applyFont="1" applyFill="1" applyBorder="1" applyAlignment="1" applyProtection="1">
      <alignment horizontal="center"/>
    </xf>
    <xf numFmtId="0" fontId="8" fillId="7" borderId="33" xfId="0" applyFont="1" applyFill="1" applyBorder="1" applyAlignment="1" applyProtection="1">
      <alignment horizontal="center"/>
    </xf>
    <xf numFmtId="0" fontId="8" fillId="7" borderId="37" xfId="0" applyFont="1" applyFill="1" applyBorder="1" applyAlignment="1" applyProtection="1">
      <alignment horizontal="center"/>
    </xf>
    <xf numFmtId="0" fontId="9" fillId="10" borderId="18" xfId="0" applyFont="1" applyFill="1" applyBorder="1" applyAlignment="1" applyProtection="1">
      <alignment horizontal="center"/>
    </xf>
    <xf numFmtId="0" fontId="9" fillId="10" borderId="18" xfId="0" applyFont="1" applyFill="1" applyBorder="1" applyAlignment="1" applyProtection="1">
      <alignment horizontal="left"/>
    </xf>
    <xf numFmtId="11" fontId="8" fillId="2" borderId="19" xfId="0" applyNumberFormat="1" applyFont="1" applyFill="1" applyBorder="1" applyAlignment="1" applyProtection="1">
      <alignment horizontal="center"/>
    </xf>
    <xf numFmtId="2" fontId="8" fillId="7" borderId="61" xfId="0" applyNumberFormat="1" applyFont="1" applyFill="1" applyBorder="1" applyAlignment="1" applyProtection="1">
      <alignment horizontal="center"/>
    </xf>
    <xf numFmtId="2" fontId="8" fillId="7" borderId="40" xfId="0" applyNumberFormat="1" applyFont="1" applyFill="1" applyBorder="1" applyAlignment="1" applyProtection="1">
      <alignment horizontal="center"/>
    </xf>
    <xf numFmtId="0" fontId="8" fillId="2" borderId="88" xfId="0" applyFont="1" applyFill="1" applyBorder="1" applyAlignment="1" applyProtection="1">
      <alignment horizontal="center" vertical="center"/>
    </xf>
    <xf numFmtId="0" fontId="8" fillId="2" borderId="88" xfId="0" applyFont="1" applyFill="1" applyBorder="1" applyAlignment="1" applyProtection="1">
      <alignment horizontal="left" vertical="center"/>
    </xf>
    <xf numFmtId="2" fontId="8" fillId="2" borderId="88" xfId="0" applyNumberFormat="1" applyFont="1" applyFill="1" applyBorder="1" applyAlignment="1" applyProtection="1">
      <alignment horizontal="center"/>
    </xf>
    <xf numFmtId="11" fontId="8" fillId="2" borderId="89" xfId="0" applyNumberFormat="1" applyFont="1" applyFill="1" applyBorder="1" applyAlignment="1" applyProtection="1">
      <alignment horizontal="center"/>
    </xf>
    <xf numFmtId="2" fontId="8" fillId="8" borderId="68" xfId="0" applyNumberFormat="1" applyFont="1" applyFill="1" applyBorder="1" applyAlignment="1" applyProtection="1">
      <alignment horizontal="center"/>
    </xf>
    <xf numFmtId="2" fontId="8" fillId="8" borderId="59" xfId="0" applyNumberFormat="1" applyFont="1" applyFill="1" applyBorder="1" applyAlignment="1" applyProtection="1">
      <alignment horizontal="center"/>
    </xf>
    <xf numFmtId="0" fontId="22" fillId="2" borderId="11" xfId="0" applyFont="1" applyFill="1" applyBorder="1" applyAlignment="1" applyProtection="1">
      <alignment horizontal="center"/>
    </xf>
    <xf numFmtId="0" fontId="23" fillId="2" borderId="5" xfId="0" applyFont="1" applyFill="1" applyBorder="1" applyAlignment="1" applyProtection="1">
      <alignment horizontal="left"/>
    </xf>
    <xf numFmtId="0" fontId="23" fillId="2" borderId="5" xfId="0" applyFont="1" applyFill="1" applyBorder="1" applyProtection="1"/>
    <xf numFmtId="0" fontId="8" fillId="2" borderId="17" xfId="0" applyFont="1" applyFill="1" applyBorder="1" applyAlignment="1" applyProtection="1">
      <alignment horizontal="left"/>
    </xf>
    <xf numFmtId="2" fontId="8" fillId="8" borderId="28" xfId="0" applyNumberFormat="1" applyFont="1" applyFill="1" applyBorder="1" applyAlignment="1" applyProtection="1">
      <alignment horizontal="center"/>
    </xf>
    <xf numFmtId="0" fontId="8" fillId="0" borderId="68" xfId="0" applyFont="1" applyFill="1" applyBorder="1" applyAlignment="1" applyProtection="1">
      <alignment horizontal="center" wrapText="1"/>
    </xf>
    <xf numFmtId="0" fontId="8" fillId="0" borderId="59" xfId="0" applyFont="1" applyFill="1" applyBorder="1" applyAlignment="1" applyProtection="1">
      <alignment horizontal="center"/>
    </xf>
    <xf numFmtId="0" fontId="0" fillId="2" borderId="25" xfId="0" applyFill="1" applyBorder="1" applyProtection="1"/>
    <xf numFmtId="0" fontId="0" fillId="2" borderId="2" xfId="0" applyFill="1" applyBorder="1" applyProtection="1"/>
    <xf numFmtId="2" fontId="8" fillId="8" borderId="45" xfId="0" applyNumberFormat="1" applyFont="1" applyFill="1" applyBorder="1" applyAlignment="1" applyProtection="1">
      <alignment horizontal="center"/>
    </xf>
    <xf numFmtId="2" fontId="8" fillId="8" borderId="40" xfId="0" applyNumberFormat="1" applyFont="1" applyFill="1" applyBorder="1" applyAlignment="1" applyProtection="1">
      <alignment horizontal="center"/>
    </xf>
    <xf numFmtId="0" fontId="23" fillId="2" borderId="11" xfId="0" applyFont="1" applyFill="1" applyBorder="1" applyAlignment="1" applyProtection="1">
      <alignment horizontal="left"/>
    </xf>
    <xf numFmtId="0" fontId="27" fillId="2" borderId="0" xfId="0" applyFont="1" applyFill="1" applyBorder="1" applyAlignment="1" applyProtection="1">
      <alignment horizontal="left"/>
    </xf>
    <xf numFmtId="0" fontId="8" fillId="2" borderId="0" xfId="0" applyFont="1" applyFill="1" applyBorder="1" applyAlignment="1" applyProtection="1">
      <alignment horizontal="left" vertical="center"/>
    </xf>
    <xf numFmtId="166" fontId="8" fillId="2" borderId="0" xfId="0" applyNumberFormat="1" applyFont="1" applyFill="1" applyBorder="1" applyAlignment="1" applyProtection="1">
      <alignment horizontal="left"/>
    </xf>
    <xf numFmtId="0" fontId="12" fillId="2" borderId="0" xfId="0" applyFont="1" applyFill="1" applyBorder="1" applyAlignment="1" applyProtection="1">
      <alignment horizontal="right"/>
    </xf>
    <xf numFmtId="1" fontId="23" fillId="2" borderId="0" xfId="0" applyNumberFormat="1" applyFont="1" applyFill="1" applyBorder="1" applyAlignment="1" applyProtection="1">
      <alignment horizontal="center"/>
    </xf>
    <xf numFmtId="0" fontId="3" fillId="0" borderId="4" xfId="11" applyFont="1" applyFill="1" applyBorder="1" applyProtection="1"/>
    <xf numFmtId="0" fontId="8" fillId="2" borderId="8" xfId="0" applyFont="1" applyFill="1" applyBorder="1" applyProtection="1"/>
    <xf numFmtId="0" fontId="9" fillId="2" borderId="59" xfId="0" applyFont="1" applyFill="1" applyBorder="1" applyAlignment="1" applyProtection="1">
      <alignment horizontal="center"/>
    </xf>
    <xf numFmtId="167" fontId="9" fillId="2" borderId="59" xfId="0" applyNumberFormat="1" applyFont="1" applyFill="1" applyBorder="1" applyAlignment="1" applyProtection="1">
      <alignment horizontal="center"/>
    </xf>
    <xf numFmtId="0" fontId="8" fillId="2" borderId="30" xfId="0" applyFont="1" applyFill="1" applyBorder="1" applyAlignment="1" applyProtection="1">
      <alignment horizontal="left"/>
    </xf>
    <xf numFmtId="0" fontId="0" fillId="2" borderId="30" xfId="0" applyFont="1" applyFill="1" applyBorder="1" applyProtection="1"/>
    <xf numFmtId="167" fontId="9" fillId="2" borderId="40" xfId="0" applyNumberFormat="1" applyFont="1" applyFill="1" applyBorder="1" applyAlignment="1" applyProtection="1">
      <alignment horizontal="center"/>
    </xf>
    <xf numFmtId="167" fontId="23" fillId="2" borderId="0" xfId="0" applyNumberFormat="1" applyFont="1" applyFill="1" applyBorder="1" applyProtection="1"/>
    <xf numFmtId="167" fontId="26" fillId="2" borderId="0" xfId="0" applyNumberFormat="1" applyFont="1" applyFill="1" applyBorder="1" applyAlignment="1" applyProtection="1">
      <alignment horizontal="center"/>
    </xf>
    <xf numFmtId="0" fontId="20" fillId="2" borderId="0" xfId="0" applyFont="1" applyFill="1" applyBorder="1" applyProtection="1"/>
    <xf numFmtId="0" fontId="20" fillId="2" borderId="0" xfId="0" applyFont="1" applyFill="1" applyBorder="1" applyAlignment="1" applyProtection="1">
      <alignment horizontal="center"/>
    </xf>
    <xf numFmtId="0" fontId="8" fillId="7" borderId="4" xfId="0" applyFont="1" applyFill="1" applyBorder="1" applyAlignment="1" applyProtection="1">
      <alignment horizontal="center" wrapText="1"/>
    </xf>
    <xf numFmtId="0" fontId="0" fillId="7" borderId="32" xfId="0" applyFont="1" applyFill="1" applyBorder="1" applyProtection="1"/>
    <xf numFmtId="0" fontId="8" fillId="7" borderId="44" xfId="0" applyFont="1" applyFill="1" applyBorder="1" applyAlignment="1" applyProtection="1">
      <alignment horizontal="center" wrapText="1"/>
    </xf>
    <xf numFmtId="166" fontId="8" fillId="7" borderId="28" xfId="0" applyNumberFormat="1" applyFont="1" applyFill="1" applyBorder="1" applyAlignment="1" applyProtection="1">
      <alignment horizontal="center"/>
    </xf>
    <xf numFmtId="2" fontId="8" fillId="7" borderId="59" xfId="0" applyNumberFormat="1" applyFont="1" applyFill="1" applyBorder="1" applyAlignment="1" applyProtection="1">
      <alignment horizontal="center"/>
    </xf>
    <xf numFmtId="0" fontId="0" fillId="0" borderId="28" xfId="0" applyFill="1" applyBorder="1" applyProtection="1"/>
    <xf numFmtId="0" fontId="0" fillId="0" borderId="59" xfId="0" applyFont="1" applyFill="1" applyBorder="1" applyProtection="1"/>
    <xf numFmtId="0" fontId="0" fillId="0" borderId="31" xfId="0" applyFont="1" applyFill="1" applyBorder="1" applyProtection="1"/>
    <xf numFmtId="0" fontId="0" fillId="0" borderId="32" xfId="0" applyFont="1" applyFill="1" applyBorder="1" applyProtection="1"/>
    <xf numFmtId="166" fontId="8" fillId="7" borderId="68" xfId="0" applyNumberFormat="1" applyFont="1" applyFill="1" applyBorder="1" applyAlignment="1" applyProtection="1">
      <alignment horizontal="center"/>
    </xf>
    <xf numFmtId="2" fontId="8" fillId="7" borderId="48" xfId="0" applyNumberFormat="1" applyFont="1" applyFill="1" applyBorder="1" applyAlignment="1" applyProtection="1">
      <alignment horizontal="center"/>
    </xf>
    <xf numFmtId="0" fontId="8" fillId="10" borderId="19" xfId="0" applyFont="1" applyFill="1" applyBorder="1" applyAlignment="1" applyProtection="1">
      <alignment horizontal="center" vertical="center" wrapText="1"/>
    </xf>
    <xf numFmtId="166" fontId="8" fillId="7" borderId="61" xfId="0" applyNumberFormat="1" applyFont="1" applyFill="1" applyBorder="1" applyAlignment="1" applyProtection="1">
      <alignment horizontal="center"/>
    </xf>
    <xf numFmtId="0" fontId="0" fillId="0" borderId="61" xfId="0" applyFont="1" applyFill="1" applyBorder="1" applyProtection="1"/>
    <xf numFmtId="0" fontId="0" fillId="0" borderId="40" xfId="0" applyFont="1" applyFill="1" applyBorder="1" applyProtection="1"/>
    <xf numFmtId="0" fontId="27" fillId="0" borderId="0" xfId="0" applyFont="1" applyFill="1" applyBorder="1" applyAlignment="1" applyProtection="1">
      <alignment horizontal="left"/>
    </xf>
    <xf numFmtId="0" fontId="47" fillId="0" borderId="0" xfId="0" applyFont="1" applyFill="1" applyBorder="1" applyAlignment="1" applyProtection="1">
      <alignment horizontal="center"/>
    </xf>
    <xf numFmtId="2" fontId="27" fillId="0" borderId="0" xfId="0" applyNumberFormat="1" applyFont="1" applyFill="1" applyBorder="1" applyAlignment="1" applyProtection="1">
      <alignment horizontal="center"/>
    </xf>
    <xf numFmtId="0" fontId="47" fillId="0" borderId="11" xfId="0" applyFont="1" applyFill="1" applyBorder="1" applyAlignment="1" applyProtection="1">
      <alignment horizontal="center"/>
    </xf>
    <xf numFmtId="0" fontId="23" fillId="2" borderId="15" xfId="0" applyFont="1" applyFill="1" applyBorder="1" applyAlignment="1" applyProtection="1">
      <alignment horizontal="center"/>
    </xf>
    <xf numFmtId="0" fontId="8" fillId="8" borderId="34" xfId="0" applyFont="1" applyFill="1" applyBorder="1" applyAlignment="1" applyProtection="1">
      <alignment horizontal="center"/>
    </xf>
    <xf numFmtId="0" fontId="8" fillId="2" borderId="12" xfId="0" applyFont="1" applyFill="1" applyBorder="1" applyAlignment="1" applyProtection="1">
      <alignment horizontal="left"/>
    </xf>
    <xf numFmtId="0" fontId="8" fillId="8" borderId="67" xfId="0" applyFont="1" applyFill="1" applyBorder="1" applyAlignment="1" applyProtection="1">
      <alignment horizontal="center"/>
    </xf>
    <xf numFmtId="0" fontId="8" fillId="2" borderId="18" xfId="0" applyFont="1" applyFill="1" applyBorder="1" applyAlignment="1" applyProtection="1">
      <alignment vertical="center"/>
    </xf>
    <xf numFmtId="0" fontId="8" fillId="0" borderId="18" xfId="0" applyFont="1" applyFill="1" applyBorder="1" applyAlignment="1" applyProtection="1">
      <alignment horizontal="left" vertical="center"/>
    </xf>
    <xf numFmtId="167" fontId="8" fillId="8" borderId="60" xfId="0" applyNumberFormat="1" applyFont="1" applyFill="1" applyBorder="1" applyAlignment="1" applyProtection="1">
      <alignment horizontal="center"/>
    </xf>
    <xf numFmtId="167" fontId="9" fillId="8" borderId="66" xfId="0" applyNumberFormat="1" applyFont="1" applyFill="1" applyBorder="1" applyAlignment="1" applyProtection="1">
      <alignment horizontal="center"/>
    </xf>
    <xf numFmtId="0" fontId="8" fillId="3" borderId="8" xfId="0" applyFont="1" applyFill="1" applyBorder="1" applyAlignment="1" applyProtection="1">
      <alignment horizontal="center"/>
    </xf>
    <xf numFmtId="0" fontId="8" fillId="3" borderId="8" xfId="0" applyFont="1" applyFill="1" applyBorder="1" applyProtection="1"/>
    <xf numFmtId="0" fontId="8" fillId="0" borderId="4" xfId="0" applyFont="1" applyFill="1" applyBorder="1" applyProtection="1"/>
    <xf numFmtId="0" fontId="23" fillId="0" borderId="0" xfId="0" applyFont="1" applyFill="1" applyProtection="1"/>
    <xf numFmtId="166" fontId="9" fillId="0" borderId="4" xfId="0" applyNumberFormat="1" applyFont="1" applyFill="1" applyBorder="1" applyAlignment="1" applyProtection="1">
      <alignment horizontal="center"/>
    </xf>
    <xf numFmtId="0" fontId="21" fillId="0" borderId="0" xfId="0" applyFont="1" applyFill="1" applyProtection="1"/>
    <xf numFmtId="0" fontId="30" fillId="0" borderId="0" xfId="0" applyFont="1" applyFill="1" applyProtection="1"/>
    <xf numFmtId="0" fontId="9" fillId="0" borderId="46" xfId="0" applyFont="1" applyFill="1" applyBorder="1" applyAlignment="1" applyProtection="1">
      <alignment horizontal="left"/>
    </xf>
    <xf numFmtId="0" fontId="9" fillId="0" borderId="36" xfId="0" applyFont="1" applyFill="1" applyBorder="1" applyAlignment="1" applyProtection="1">
      <alignment horizontal="left"/>
    </xf>
    <xf numFmtId="168" fontId="8" fillId="0" borderId="71" xfId="0" applyNumberFormat="1" applyFont="1" applyFill="1" applyBorder="1" applyAlignment="1" applyProtection="1">
      <alignment horizontal="center"/>
    </xf>
    <xf numFmtId="0" fontId="9" fillId="0" borderId="0" xfId="0" applyFont="1" applyFill="1" applyBorder="1" applyAlignment="1" applyProtection="1">
      <alignment horizontal="left"/>
    </xf>
    <xf numFmtId="0" fontId="8" fillId="0" borderId="68" xfId="0" applyFont="1" applyFill="1" applyBorder="1" applyAlignment="1" applyProtection="1">
      <alignment horizontal="left"/>
    </xf>
    <xf numFmtId="0" fontId="8" fillId="0" borderId="6" xfId="0" applyFont="1" applyFill="1" applyBorder="1" applyAlignment="1" applyProtection="1">
      <alignment horizontal="left"/>
    </xf>
    <xf numFmtId="0" fontId="8" fillId="0" borderId="0" xfId="0" applyFont="1" applyFill="1" applyAlignment="1" applyProtection="1">
      <alignment horizontal="left" vertical="top"/>
    </xf>
    <xf numFmtId="0" fontId="8" fillId="0" borderId="0" xfId="0" applyFont="1" applyFill="1" applyAlignment="1" applyProtection="1">
      <alignment horizontal="left" vertical="top" wrapText="1"/>
    </xf>
    <xf numFmtId="0" fontId="8" fillId="2" borderId="0" xfId="0" applyFont="1" applyFill="1" applyAlignment="1" applyProtection="1">
      <alignment horizontal="left" vertical="top" wrapText="1"/>
    </xf>
    <xf numFmtId="0" fontId="8" fillId="0" borderId="68" xfId="0" applyFont="1" applyFill="1" applyBorder="1" applyAlignment="1" applyProtection="1">
      <alignment vertical="center"/>
    </xf>
    <xf numFmtId="0" fontId="8" fillId="0" borderId="6" xfId="0" applyFont="1" applyFill="1" applyBorder="1" applyProtection="1"/>
    <xf numFmtId="0" fontId="8" fillId="0" borderId="98" xfId="0" applyFont="1" applyFill="1" applyBorder="1" applyAlignment="1" applyProtection="1">
      <alignment vertical="center"/>
    </xf>
    <xf numFmtId="0" fontId="8" fillId="0" borderId="98" xfId="0" applyFont="1" applyFill="1" applyBorder="1" applyProtection="1"/>
    <xf numFmtId="1" fontId="9" fillId="0" borderId="98" xfId="0" applyNumberFormat="1" applyFont="1" applyFill="1" applyBorder="1" applyAlignment="1" applyProtection="1">
      <alignment horizontal="center"/>
    </xf>
    <xf numFmtId="0" fontId="8" fillId="0" borderId="0" xfId="0" applyFont="1" applyFill="1" applyBorder="1" applyAlignment="1" applyProtection="1">
      <alignment horizontal="left" vertical="top" wrapText="1"/>
    </xf>
    <xf numFmtId="1" fontId="9" fillId="0" borderId="0" xfId="0" applyNumberFormat="1" applyFont="1" applyFill="1" applyBorder="1" applyAlignment="1" applyProtection="1">
      <alignment horizontal="center"/>
    </xf>
    <xf numFmtId="0" fontId="8" fillId="0" borderId="45" xfId="0" applyFont="1" applyFill="1" applyBorder="1" applyProtection="1"/>
    <xf numFmtId="0" fontId="8" fillId="0" borderId="30" xfId="0" applyFont="1" applyFill="1" applyBorder="1" applyProtection="1"/>
    <xf numFmtId="0" fontId="9" fillId="0" borderId="0" xfId="0" applyNumberFormat="1" applyFont="1" applyFill="1" applyBorder="1" applyAlignment="1" applyProtection="1">
      <alignment horizontal="center"/>
    </xf>
    <xf numFmtId="0" fontId="45" fillId="0" borderId="0" xfId="0" applyFont="1" applyFill="1" applyProtection="1"/>
    <xf numFmtId="0" fontId="12" fillId="0" borderId="0" xfId="0" applyFont="1" applyFill="1" applyProtection="1"/>
    <xf numFmtId="0" fontId="12" fillId="2" borderId="0" xfId="0" applyFont="1" applyFill="1" applyAlignment="1" applyProtection="1">
      <alignment horizontal="center"/>
    </xf>
    <xf numFmtId="0" fontId="23" fillId="0" borderId="0" xfId="0" applyFont="1" applyFill="1" applyAlignment="1" applyProtection="1">
      <alignment horizontal="center"/>
    </xf>
    <xf numFmtId="0" fontId="12" fillId="0" borderId="0" xfId="0" applyFont="1" applyFill="1" applyAlignment="1" applyProtection="1">
      <alignment horizontal="center"/>
    </xf>
    <xf numFmtId="0" fontId="54" fillId="2" borderId="0" xfId="0" applyFont="1" applyFill="1" applyProtection="1"/>
    <xf numFmtId="0" fontId="0" fillId="2" borderId="17" xfId="0" applyFill="1" applyBorder="1" applyAlignment="1" applyProtection="1">
      <alignment horizontal="center"/>
    </xf>
    <xf numFmtId="0" fontId="0" fillId="2" borderId="11" xfId="0" applyFont="1" applyFill="1" applyBorder="1" applyAlignment="1" applyProtection="1">
      <alignment horizontal="center"/>
    </xf>
    <xf numFmtId="0" fontId="8" fillId="7" borderId="31" xfId="0" applyFont="1" applyFill="1" applyBorder="1" applyAlignment="1" applyProtection="1">
      <alignment horizontal="center" vertical="center"/>
    </xf>
    <xf numFmtId="0" fontId="8" fillId="10" borderId="19" xfId="0" applyFont="1" applyFill="1" applyBorder="1" applyAlignment="1" applyProtection="1">
      <alignment horizontal="left"/>
    </xf>
    <xf numFmtId="2" fontId="8" fillId="7" borderId="45" xfId="0" applyNumberFormat="1" applyFont="1" applyFill="1" applyBorder="1" applyAlignment="1" applyProtection="1">
      <alignment horizontal="center"/>
    </xf>
    <xf numFmtId="166" fontId="8" fillId="0" borderId="0" xfId="0" applyNumberFormat="1" applyFont="1" applyFill="1" applyBorder="1" applyAlignment="1" applyProtection="1">
      <alignment horizontal="center"/>
    </xf>
    <xf numFmtId="0" fontId="46" fillId="0" borderId="0" xfId="0" applyFont="1" applyFill="1" applyBorder="1" applyAlignment="1" applyProtection="1">
      <alignment horizontal="center"/>
    </xf>
    <xf numFmtId="2" fontId="45" fillId="0" borderId="0" xfId="0" applyNumberFormat="1" applyFont="1" applyFill="1" applyBorder="1" applyAlignment="1" applyProtection="1">
      <alignment horizontal="center"/>
    </xf>
    <xf numFmtId="0" fontId="24" fillId="0" borderId="0" xfId="14" applyFont="1" applyFill="1" applyBorder="1" applyAlignment="1" applyProtection="1">
      <alignment vertical="center"/>
    </xf>
    <xf numFmtId="0" fontId="23" fillId="0" borderId="0" xfId="0" applyFont="1" applyFill="1" applyBorder="1" applyAlignment="1" applyProtection="1">
      <alignment horizontal="left"/>
    </xf>
    <xf numFmtId="0" fontId="46" fillId="0" borderId="5" xfId="0" applyFont="1" applyFill="1" applyBorder="1" applyAlignment="1" applyProtection="1">
      <alignment horizontal="center"/>
    </xf>
    <xf numFmtId="0" fontId="8" fillId="8" borderId="27" xfId="0" applyFont="1" applyFill="1" applyBorder="1" applyAlignment="1" applyProtection="1">
      <alignment horizontal="center"/>
    </xf>
    <xf numFmtId="0" fontId="9"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top" wrapText="1"/>
    </xf>
    <xf numFmtId="0" fontId="9" fillId="2" borderId="0" xfId="0" applyFont="1" applyFill="1" applyBorder="1" applyAlignment="1" applyProtection="1">
      <alignment vertical="top"/>
    </xf>
    <xf numFmtId="0" fontId="8" fillId="2" borderId="0" xfId="0" applyFont="1" applyFill="1" applyBorder="1" applyAlignment="1" applyProtection="1">
      <alignment vertical="top"/>
    </xf>
    <xf numFmtId="0" fontId="0" fillId="2" borderId="12" xfId="0" applyFill="1" applyBorder="1" applyAlignment="1" applyProtection="1">
      <alignment horizontal="center"/>
    </xf>
    <xf numFmtId="2" fontId="8" fillId="8" borderId="66" xfId="0" applyNumberFormat="1" applyFont="1" applyFill="1" applyBorder="1" applyAlignment="1" applyProtection="1">
      <alignment horizontal="center"/>
    </xf>
    <xf numFmtId="0" fontId="24" fillId="2" borderId="0" xfId="0" applyFont="1" applyFill="1" applyBorder="1" applyProtection="1"/>
    <xf numFmtId="0" fontId="9" fillId="2" borderId="0" xfId="0" applyFont="1" applyFill="1" applyBorder="1" applyProtection="1"/>
    <xf numFmtId="0" fontId="8" fillId="2" borderId="0" xfId="0" applyFont="1" applyFill="1" applyBorder="1" applyAlignment="1" applyProtection="1"/>
    <xf numFmtId="0" fontId="8" fillId="4" borderId="8" xfId="0" applyFont="1" applyFill="1" applyBorder="1" applyAlignment="1" applyProtection="1">
      <alignment horizontal="center"/>
    </xf>
    <xf numFmtId="0" fontId="13" fillId="4" borderId="7" xfId="11" applyFont="1" applyFill="1" applyBorder="1" applyProtection="1"/>
    <xf numFmtId="0" fontId="8" fillId="4" borderId="8" xfId="0" applyFont="1" applyFill="1" applyBorder="1" applyProtection="1"/>
    <xf numFmtId="0" fontId="28" fillId="2" borderId="23" xfId="0" applyFont="1" applyFill="1" applyBorder="1" applyProtection="1"/>
    <xf numFmtId="0" fontId="28" fillId="2" borderId="0" xfId="0" applyFont="1" applyFill="1" applyBorder="1" applyAlignment="1" applyProtection="1">
      <alignment horizontal="right"/>
    </xf>
    <xf numFmtId="0" fontId="8" fillId="2" borderId="23" xfId="0" applyFont="1" applyFill="1" applyBorder="1" applyAlignment="1" applyProtection="1">
      <alignment vertical="center"/>
    </xf>
    <xf numFmtId="0" fontId="8" fillId="2" borderId="24" xfId="0" applyFont="1" applyFill="1" applyBorder="1" applyProtection="1"/>
    <xf numFmtId="0" fontId="27" fillId="2" borderId="0" xfId="0" applyFont="1" applyFill="1" applyBorder="1" applyAlignment="1" applyProtection="1">
      <alignment horizontal="center"/>
    </xf>
    <xf numFmtId="0" fontId="8" fillId="2" borderId="21" xfId="0" applyFont="1" applyFill="1" applyBorder="1" applyProtection="1"/>
    <xf numFmtId="0" fontId="8" fillId="2" borderId="56" xfId="0" applyFont="1" applyFill="1" applyBorder="1" applyAlignment="1" applyProtection="1">
      <alignment horizontal="center"/>
    </xf>
    <xf numFmtId="0" fontId="8" fillId="2" borderId="23" xfId="0" applyFont="1" applyFill="1" applyBorder="1" applyAlignment="1" applyProtection="1">
      <alignment horizontal="center"/>
    </xf>
    <xf numFmtId="0" fontId="8" fillId="2" borderId="4" xfId="0" applyFont="1" applyFill="1" applyBorder="1" applyAlignment="1" applyProtection="1">
      <alignment horizontal="center"/>
    </xf>
    <xf numFmtId="0" fontId="21" fillId="2" borderId="27" xfId="0" applyFont="1" applyFill="1" applyBorder="1" applyProtection="1"/>
    <xf numFmtId="0" fontId="27" fillId="2" borderId="23" xfId="0" applyFont="1" applyFill="1" applyBorder="1" applyAlignment="1" applyProtection="1">
      <alignment horizontal="center"/>
    </xf>
    <xf numFmtId="0" fontId="8" fillId="2" borderId="24" xfId="0" applyFont="1" applyFill="1" applyBorder="1" applyAlignment="1" applyProtection="1">
      <alignment horizontal="center"/>
    </xf>
    <xf numFmtId="0" fontId="22" fillId="2" borderId="4" xfId="0" applyFont="1" applyFill="1" applyBorder="1" applyProtection="1"/>
    <xf numFmtId="0" fontId="27" fillId="2" borderId="4" xfId="0" applyFont="1" applyFill="1" applyBorder="1" applyProtection="1"/>
    <xf numFmtId="0" fontId="8" fillId="2" borderId="49" xfId="0" applyFont="1" applyFill="1" applyBorder="1" applyProtection="1"/>
    <xf numFmtId="0" fontId="27" fillId="2" borderId="44" xfId="0" applyFont="1" applyFill="1" applyBorder="1" applyProtection="1"/>
    <xf numFmtId="0" fontId="27" fillId="2" borderId="5" xfId="0" applyFont="1" applyFill="1" applyBorder="1" applyProtection="1"/>
    <xf numFmtId="0" fontId="8" fillId="2" borderId="12" xfId="0" applyFont="1" applyFill="1" applyBorder="1" applyAlignment="1" applyProtection="1">
      <alignment horizontal="center" vertical="center"/>
    </xf>
    <xf numFmtId="0" fontId="8" fillId="2" borderId="6" xfId="0" applyFont="1" applyFill="1" applyBorder="1" applyAlignment="1" applyProtection="1">
      <alignment horizontal="center"/>
    </xf>
    <xf numFmtId="0" fontId="8" fillId="2" borderId="22" xfId="0" applyFont="1" applyFill="1" applyBorder="1" applyAlignment="1" applyProtection="1">
      <alignment horizontal="center"/>
    </xf>
    <xf numFmtId="0" fontId="8" fillId="2" borderId="38" xfId="0" applyFont="1" applyFill="1" applyBorder="1" applyAlignment="1" applyProtection="1">
      <alignment horizontal="center"/>
    </xf>
    <xf numFmtId="0" fontId="39" fillId="2" borderId="4" xfId="0" applyFont="1" applyFill="1" applyBorder="1" applyProtection="1"/>
    <xf numFmtId="0" fontId="39" fillId="2" borderId="0" xfId="0" applyFont="1" applyFill="1" applyBorder="1" applyAlignment="1" applyProtection="1">
      <alignment vertical="center"/>
    </xf>
    <xf numFmtId="0" fontId="39" fillId="2" borderId="0" xfId="0" applyFont="1" applyFill="1" applyBorder="1" applyProtection="1"/>
    <xf numFmtId="0" fontId="8" fillId="2" borderId="29" xfId="0" applyFont="1" applyFill="1" applyBorder="1" applyAlignment="1" applyProtection="1">
      <alignment horizontal="left"/>
    </xf>
    <xf numFmtId="0" fontId="27" fillId="2" borderId="3" xfId="0" applyFont="1" applyFill="1" applyBorder="1" applyProtection="1"/>
    <xf numFmtId="0" fontId="8" fillId="2" borderId="10" xfId="0" applyFont="1" applyFill="1" applyBorder="1" applyProtection="1"/>
    <xf numFmtId="0" fontId="8" fillId="2" borderId="28" xfId="0" applyFont="1" applyFill="1" applyBorder="1" applyAlignment="1" applyProtection="1">
      <alignment horizontal="right"/>
    </xf>
    <xf numFmtId="0" fontId="8" fillId="2" borderId="44" xfId="0" applyFont="1" applyFill="1" applyBorder="1" applyAlignment="1" applyProtection="1">
      <alignment horizontal="center"/>
    </xf>
    <xf numFmtId="0" fontId="8" fillId="2" borderId="13" xfId="0" applyFont="1" applyFill="1" applyBorder="1" applyProtection="1"/>
    <xf numFmtId="0" fontId="8" fillId="2" borderId="16" xfId="0" applyFont="1" applyFill="1" applyBorder="1" applyAlignment="1" applyProtection="1">
      <alignment horizontal="center" vertical="center"/>
    </xf>
    <xf numFmtId="0" fontId="8" fillId="2" borderId="31" xfId="0" applyFont="1" applyFill="1" applyBorder="1" applyAlignment="1" applyProtection="1">
      <alignment horizontal="right"/>
    </xf>
    <xf numFmtId="0" fontId="8" fillId="2" borderId="89" xfId="0" applyFont="1" applyFill="1" applyBorder="1" applyAlignment="1" applyProtection="1">
      <alignment horizontal="center"/>
    </xf>
    <xf numFmtId="0" fontId="8" fillId="2" borderId="90" xfId="0" applyFont="1" applyFill="1" applyBorder="1" applyAlignment="1" applyProtection="1">
      <alignment horizontal="center"/>
    </xf>
    <xf numFmtId="0" fontId="8" fillId="2" borderId="84" xfId="0" applyFont="1" applyFill="1" applyBorder="1" applyAlignment="1" applyProtection="1">
      <alignment horizontal="center"/>
    </xf>
    <xf numFmtId="0" fontId="8" fillId="2" borderId="5" xfId="0" applyFont="1" applyFill="1" applyBorder="1" applyAlignment="1" applyProtection="1"/>
    <xf numFmtId="0" fontId="8" fillId="2" borderId="115" xfId="0" applyFont="1" applyFill="1" applyBorder="1" applyAlignment="1" applyProtection="1"/>
    <xf numFmtId="0" fontId="8" fillId="2" borderId="5" xfId="0" applyFont="1" applyFill="1" applyBorder="1" applyAlignment="1" applyProtection="1">
      <alignment vertical="center"/>
    </xf>
    <xf numFmtId="0" fontId="8" fillId="2" borderId="53" xfId="0" applyFont="1" applyFill="1" applyBorder="1" applyProtection="1"/>
    <xf numFmtId="0" fontId="8" fillId="2" borderId="31" xfId="0" applyFont="1" applyFill="1" applyBorder="1" applyAlignment="1" applyProtection="1">
      <alignment horizontal="center"/>
    </xf>
    <xf numFmtId="0" fontId="41" fillId="2" borderId="9" xfId="0" quotePrefix="1" applyFont="1" applyFill="1" applyBorder="1" applyAlignment="1" applyProtection="1">
      <alignment horizontal="center"/>
    </xf>
    <xf numFmtId="0" fontId="41" fillId="2" borderId="15" xfId="0" quotePrefix="1" applyFont="1" applyFill="1" applyBorder="1" applyAlignment="1" applyProtection="1">
      <alignment horizontal="center"/>
    </xf>
    <xf numFmtId="0" fontId="41" fillId="2" borderId="48" xfId="0" quotePrefix="1" applyFont="1" applyFill="1" applyBorder="1" applyAlignment="1" applyProtection="1">
      <alignment horizontal="center"/>
    </xf>
    <xf numFmtId="0" fontId="8" fillId="2" borderId="112" xfId="0" applyFont="1" applyFill="1" applyBorder="1" applyAlignment="1" applyProtection="1">
      <alignment horizontal="center"/>
    </xf>
    <xf numFmtId="0" fontId="39" fillId="2" borderId="15" xfId="0" applyFont="1" applyFill="1" applyBorder="1" applyProtection="1"/>
    <xf numFmtId="0" fontId="39" fillId="2" borderId="15" xfId="0" applyFont="1" applyFill="1" applyBorder="1" applyAlignment="1" applyProtection="1">
      <alignment horizontal="center"/>
    </xf>
    <xf numFmtId="0" fontId="39" fillId="2" borderId="9" xfId="0" applyFont="1" applyFill="1" applyBorder="1" applyAlignment="1" applyProtection="1">
      <alignment horizontal="center"/>
    </xf>
    <xf numFmtId="0" fontId="8" fillId="2" borderId="38" xfId="0" applyFont="1" applyFill="1" applyBorder="1" applyAlignment="1" applyProtection="1">
      <alignment horizontal="center" vertical="center"/>
    </xf>
    <xf numFmtId="0" fontId="8" fillId="2" borderId="23" xfId="0" applyFont="1" applyFill="1" applyBorder="1" applyAlignment="1" applyProtection="1">
      <alignment horizontal="center" vertical="center"/>
    </xf>
    <xf numFmtId="0" fontId="27" fillId="2" borderId="0" xfId="0" applyFont="1" applyFill="1" applyBorder="1" applyProtection="1"/>
    <xf numFmtId="0" fontId="39" fillId="2" borderId="16" xfId="0" applyFont="1" applyFill="1" applyBorder="1" applyAlignment="1" applyProtection="1">
      <alignment horizontal="center"/>
    </xf>
    <xf numFmtId="0" fontId="8" fillId="2" borderId="11" xfId="0" applyFont="1" applyFill="1" applyBorder="1" applyAlignment="1" applyProtection="1">
      <alignment horizontal="left"/>
    </xf>
    <xf numFmtId="0" fontId="8" fillId="2" borderId="11" xfId="0" applyFont="1" applyFill="1" applyBorder="1" applyAlignment="1" applyProtection="1"/>
    <xf numFmtId="0" fontId="8" fillId="2" borderId="92" xfId="0" applyFont="1" applyFill="1" applyBorder="1" applyAlignment="1" applyProtection="1"/>
    <xf numFmtId="0" fontId="39" fillId="2" borderId="11" xfId="0" applyFont="1" applyFill="1" applyBorder="1" applyAlignment="1" applyProtection="1">
      <alignment horizontal="center"/>
    </xf>
    <xf numFmtId="0" fontId="8" fillId="2" borderId="32" xfId="0" applyFont="1" applyFill="1" applyBorder="1" applyAlignment="1" applyProtection="1">
      <alignment horizontal="center"/>
    </xf>
    <xf numFmtId="0" fontId="8" fillId="2" borderId="26" xfId="0" applyFont="1" applyFill="1" applyBorder="1" applyAlignment="1" applyProtection="1">
      <alignment horizontal="center" vertical="center"/>
    </xf>
    <xf numFmtId="0" fontId="27" fillId="2" borderId="26" xfId="0" applyFont="1" applyFill="1" applyBorder="1" applyProtection="1"/>
    <xf numFmtId="0" fontId="8" fillId="2" borderId="69" xfId="0" applyFont="1" applyFill="1" applyBorder="1" applyAlignment="1" applyProtection="1">
      <alignment horizontal="left"/>
    </xf>
    <xf numFmtId="0" fontId="8" fillId="2" borderId="17" xfId="0" applyFont="1" applyFill="1" applyBorder="1" applyProtection="1"/>
    <xf numFmtId="0" fontId="39" fillId="2" borderId="11" xfId="0" applyFont="1" applyFill="1" applyBorder="1" applyProtection="1"/>
    <xf numFmtId="0" fontId="8" fillId="2" borderId="32" xfId="0" applyFont="1" applyFill="1" applyBorder="1" applyAlignment="1" applyProtection="1"/>
    <xf numFmtId="0" fontId="8" fillId="2" borderId="47" xfId="0" applyFont="1" applyFill="1" applyBorder="1" applyAlignment="1" applyProtection="1">
      <alignment horizontal="center"/>
    </xf>
    <xf numFmtId="0" fontId="8" fillId="2" borderId="69" xfId="0" applyFont="1" applyFill="1" applyBorder="1" applyAlignment="1" applyProtection="1">
      <alignment horizontal="center"/>
    </xf>
    <xf numFmtId="166" fontId="8" fillId="2" borderId="9" xfId="0" applyNumberFormat="1" applyFont="1" applyFill="1" applyBorder="1" applyAlignment="1" applyProtection="1">
      <alignment horizontal="center"/>
    </xf>
    <xf numFmtId="0" fontId="8" fillId="2" borderId="82" xfId="0" applyFont="1" applyFill="1" applyBorder="1" applyProtection="1"/>
    <xf numFmtId="0" fontId="8" fillId="2" borderId="92" xfId="0" applyFont="1" applyFill="1" applyBorder="1" applyProtection="1"/>
    <xf numFmtId="0" fontId="8" fillId="2" borderId="29" xfId="0" applyFont="1" applyFill="1" applyBorder="1" applyProtection="1"/>
    <xf numFmtId="0" fontId="8" fillId="2" borderId="11" xfId="0" applyFont="1" applyFill="1" applyBorder="1" applyProtection="1"/>
    <xf numFmtId="166" fontId="8" fillId="2" borderId="11" xfId="0" applyNumberFormat="1" applyFont="1" applyFill="1" applyBorder="1" applyAlignment="1" applyProtection="1">
      <alignment horizontal="center"/>
    </xf>
    <xf numFmtId="0" fontId="8" fillId="2" borderId="32" xfId="0" applyFont="1" applyFill="1" applyBorder="1" applyProtection="1"/>
    <xf numFmtId="0" fontId="8" fillId="2" borderId="14" xfId="0" applyFont="1" applyFill="1" applyBorder="1" applyProtection="1"/>
    <xf numFmtId="0" fontId="8" fillId="2" borderId="33" xfId="0" applyFont="1" applyFill="1" applyBorder="1" applyAlignment="1" applyProtection="1">
      <alignment horizontal="center"/>
    </xf>
    <xf numFmtId="0" fontId="8" fillId="2" borderId="94" xfId="0" applyFont="1" applyFill="1" applyBorder="1" applyAlignment="1" applyProtection="1">
      <alignment horizontal="center"/>
    </xf>
    <xf numFmtId="0" fontId="8" fillId="2" borderId="12" xfId="0" applyFont="1" applyFill="1" applyBorder="1" applyProtection="1"/>
    <xf numFmtId="0" fontId="8" fillId="2" borderId="30" xfId="0" applyFont="1" applyFill="1" applyBorder="1" applyProtection="1"/>
    <xf numFmtId="0" fontId="8" fillId="2" borderId="39" xfId="0" applyFont="1" applyFill="1" applyBorder="1" applyAlignment="1" applyProtection="1">
      <alignment horizontal="center"/>
    </xf>
    <xf numFmtId="0" fontId="8" fillId="2" borderId="42" xfId="0" applyFont="1" applyFill="1" applyBorder="1" applyAlignment="1" applyProtection="1">
      <alignment horizontal="center"/>
    </xf>
    <xf numFmtId="0" fontId="8" fillId="2" borderId="40" xfId="0" applyFont="1" applyFill="1" applyBorder="1" applyAlignment="1" applyProtection="1">
      <alignment horizontal="center"/>
    </xf>
    <xf numFmtId="1" fontId="3" fillId="2" borderId="31" xfId="9" applyNumberFormat="1" applyFont="1" applyFill="1" applyBorder="1" applyAlignment="1" applyProtection="1">
      <alignment horizontal="center"/>
    </xf>
    <xf numFmtId="0" fontId="27" fillId="2" borderId="33" xfId="0" applyFont="1" applyFill="1" applyBorder="1" applyAlignment="1" applyProtection="1">
      <alignment horizontal="center"/>
    </xf>
    <xf numFmtId="0" fontId="8" fillId="2" borderId="51" xfId="0" applyFont="1" applyFill="1" applyBorder="1" applyAlignment="1" applyProtection="1">
      <alignment horizontal="center"/>
    </xf>
    <xf numFmtId="0" fontId="8" fillId="2" borderId="82" xfId="0" applyFont="1" applyFill="1" applyBorder="1" applyAlignment="1" applyProtection="1">
      <alignment horizontal="center"/>
    </xf>
    <xf numFmtId="0" fontId="8" fillId="2" borderId="52" xfId="0" applyFont="1" applyFill="1" applyBorder="1" applyAlignment="1" applyProtection="1">
      <alignment horizontal="center"/>
    </xf>
    <xf numFmtId="0" fontId="22" fillId="2" borderId="72" xfId="0" applyFont="1" applyFill="1" applyBorder="1" applyAlignment="1" applyProtection="1">
      <alignment horizontal="center"/>
    </xf>
    <xf numFmtId="0" fontId="8" fillId="2" borderId="112" xfId="0" applyFont="1" applyFill="1" applyBorder="1" applyProtection="1"/>
    <xf numFmtId="0" fontId="41" fillId="2" borderId="90" xfId="0" applyFont="1" applyFill="1" applyBorder="1" applyAlignment="1" applyProtection="1">
      <alignment horizontal="left"/>
    </xf>
    <xf numFmtId="0" fontId="8" fillId="2" borderId="89" xfId="0" applyFont="1" applyFill="1" applyBorder="1" applyAlignment="1" applyProtection="1">
      <alignment horizontal="left"/>
    </xf>
    <xf numFmtId="0" fontId="8" fillId="2" borderId="90" xfId="0" applyFont="1" applyFill="1" applyBorder="1" applyAlignment="1" applyProtection="1">
      <alignment horizontal="center" vertical="center"/>
    </xf>
    <xf numFmtId="0" fontId="8" fillId="2" borderId="89" xfId="0" applyFont="1" applyFill="1" applyBorder="1" applyAlignment="1" applyProtection="1">
      <alignment horizontal="center" vertical="center"/>
    </xf>
    <xf numFmtId="0" fontId="8" fillId="2" borderId="37" xfId="0" applyFont="1" applyFill="1" applyBorder="1" applyAlignment="1" applyProtection="1">
      <alignment horizontal="center" vertical="center"/>
    </xf>
    <xf numFmtId="0" fontId="8" fillId="2" borderId="68" xfId="0" applyFont="1" applyFill="1" applyBorder="1" applyAlignment="1" applyProtection="1">
      <alignment horizontal="right"/>
    </xf>
    <xf numFmtId="0" fontId="8" fillId="2" borderId="94" xfId="0" applyFont="1" applyFill="1" applyBorder="1" applyProtection="1"/>
    <xf numFmtId="0" fontId="41" fillId="2" borderId="16" xfId="0" quotePrefix="1" applyFont="1" applyFill="1" applyBorder="1" applyAlignment="1" applyProtection="1">
      <alignment horizontal="center"/>
    </xf>
    <xf numFmtId="0" fontId="41" fillId="2" borderId="32" xfId="0" quotePrefix="1" applyFont="1" applyFill="1" applyBorder="1" applyAlignment="1" applyProtection="1">
      <alignment horizontal="center"/>
    </xf>
    <xf numFmtId="0" fontId="22" fillId="2" borderId="0" xfId="0" applyFont="1" applyFill="1" applyProtection="1"/>
    <xf numFmtId="0" fontId="8" fillId="2" borderId="82" xfId="0" applyFont="1" applyFill="1" applyBorder="1" applyAlignment="1" applyProtection="1">
      <alignment horizontal="center" vertical="center"/>
    </xf>
    <xf numFmtId="0" fontId="8" fillId="2" borderId="32" xfId="0" applyFont="1" applyFill="1" applyBorder="1" applyAlignment="1" applyProtection="1">
      <alignment horizontal="center" vertical="center"/>
    </xf>
    <xf numFmtId="0" fontId="22" fillId="2" borderId="21" xfId="0" applyFont="1" applyFill="1" applyBorder="1" applyAlignment="1" applyProtection="1">
      <alignment horizontal="center"/>
    </xf>
    <xf numFmtId="0" fontId="8" fillId="2" borderId="21" xfId="0" applyFont="1" applyFill="1" applyBorder="1" applyAlignment="1" applyProtection="1">
      <alignment horizontal="center"/>
    </xf>
    <xf numFmtId="0" fontId="27" fillId="2" borderId="15" xfId="0" applyFont="1" applyFill="1" applyBorder="1" applyAlignment="1" applyProtection="1">
      <alignment horizontal="center"/>
    </xf>
    <xf numFmtId="0" fontId="27" fillId="2" borderId="9" xfId="0"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3" xfId="0" applyFont="1" applyFill="1" applyBorder="1" applyAlignment="1" applyProtection="1">
      <alignment horizontal="center"/>
    </xf>
    <xf numFmtId="0" fontId="9" fillId="2" borderId="18" xfId="0" applyFont="1" applyFill="1" applyBorder="1" applyProtection="1"/>
    <xf numFmtId="0" fontId="27" fillId="2" borderId="16" xfId="0" applyFont="1" applyFill="1" applyBorder="1" applyAlignment="1" applyProtection="1">
      <alignment horizontal="center"/>
    </xf>
    <xf numFmtId="0" fontId="27" fillId="2" borderId="11" xfId="0" applyFont="1" applyFill="1" applyBorder="1" applyAlignment="1" applyProtection="1">
      <alignment horizontal="center"/>
    </xf>
    <xf numFmtId="0" fontId="27" fillId="2" borderId="13" xfId="0" applyFont="1" applyFill="1" applyBorder="1" applyAlignment="1" applyProtection="1">
      <alignment horizontal="center"/>
    </xf>
    <xf numFmtId="0" fontId="9" fillId="2" borderId="15" xfId="0" applyFont="1" applyFill="1" applyBorder="1" applyAlignment="1" applyProtection="1">
      <alignment horizontal="center"/>
    </xf>
    <xf numFmtId="0" fontId="22" fillId="2" borderId="4" xfId="0" applyFont="1" applyFill="1" applyBorder="1" applyAlignment="1" applyProtection="1">
      <alignment horizontal="center"/>
    </xf>
    <xf numFmtId="0" fontId="9" fillId="2" borderId="43" xfId="0" applyFont="1" applyFill="1" applyBorder="1" applyAlignment="1" applyProtection="1">
      <alignment horizontal="center"/>
    </xf>
    <xf numFmtId="0" fontId="8" fillId="2" borderId="2" xfId="0" applyFont="1" applyFill="1" applyBorder="1" applyAlignment="1" applyProtection="1">
      <alignment horizontal="center"/>
    </xf>
    <xf numFmtId="0" fontId="27" fillId="2" borderId="17" xfId="0" applyFont="1" applyFill="1" applyBorder="1" applyAlignment="1" applyProtection="1">
      <alignment horizontal="center"/>
    </xf>
    <xf numFmtId="0" fontId="27" fillId="2" borderId="12" xfId="0" applyFont="1" applyFill="1" applyBorder="1" applyAlignment="1" applyProtection="1">
      <alignment horizontal="center"/>
    </xf>
    <xf numFmtId="0" fontId="27" fillId="2" borderId="14" xfId="0" applyFont="1" applyFill="1" applyBorder="1" applyAlignment="1" applyProtection="1">
      <alignment horizontal="center"/>
    </xf>
    <xf numFmtId="0" fontId="27" fillId="2" borderId="5" xfId="0" applyFont="1" applyFill="1" applyBorder="1" applyAlignment="1" applyProtection="1">
      <alignment horizontal="center"/>
    </xf>
    <xf numFmtId="0" fontId="8" fillId="2" borderId="8" xfId="0" applyFont="1" applyFill="1" applyBorder="1" applyAlignment="1" applyProtection="1">
      <alignment horizontal="center"/>
    </xf>
    <xf numFmtId="0" fontId="21" fillId="2" borderId="4" xfId="0" applyFont="1" applyFill="1" applyBorder="1" applyProtection="1"/>
    <xf numFmtId="0" fontId="22" fillId="2" borderId="24" xfId="0" applyFont="1" applyFill="1" applyBorder="1" applyAlignment="1" applyProtection="1">
      <alignment horizontal="center"/>
    </xf>
    <xf numFmtId="0" fontId="8" fillId="2" borderId="15" xfId="0" applyFont="1" applyFill="1" applyBorder="1" applyAlignment="1" applyProtection="1">
      <alignment vertical="center"/>
    </xf>
    <xf numFmtId="1" fontId="3" fillId="2" borderId="0" xfId="9" applyNumberFormat="1" applyFont="1" applyFill="1" applyBorder="1" applyAlignment="1" applyProtection="1">
      <alignment horizontal="center"/>
    </xf>
    <xf numFmtId="0" fontId="8" fillId="2" borderId="155" xfId="0" applyFont="1" applyFill="1" applyBorder="1" applyAlignment="1" applyProtection="1">
      <alignment horizontal="center" vertical="center"/>
    </xf>
    <xf numFmtId="0" fontId="41" fillId="2" borderId="155" xfId="0" quotePrefix="1" applyFont="1" applyFill="1" applyBorder="1" applyAlignment="1" applyProtection="1">
      <alignment horizontal="center"/>
    </xf>
    <xf numFmtId="1" fontId="3" fillId="2" borderId="69" xfId="9" applyNumberFormat="1" applyFont="1" applyFill="1" applyBorder="1" applyAlignment="1" applyProtection="1">
      <alignment horizontal="center"/>
    </xf>
    <xf numFmtId="0" fontId="8" fillId="2" borderId="30" xfId="0" applyFont="1" applyFill="1" applyBorder="1" applyAlignment="1" applyProtection="1">
      <alignment horizontal="center"/>
    </xf>
    <xf numFmtId="0" fontId="8" fillId="2" borderId="36" xfId="0" applyFont="1" applyFill="1" applyBorder="1" applyAlignment="1" applyProtection="1">
      <alignment horizontal="center"/>
    </xf>
    <xf numFmtId="0" fontId="27" fillId="2" borderId="17" xfId="0" applyFont="1" applyFill="1" applyBorder="1" applyProtection="1"/>
    <xf numFmtId="0" fontId="27" fillId="2" borderId="94" xfId="0" applyFont="1" applyFill="1" applyBorder="1" applyProtection="1"/>
    <xf numFmtId="0" fontId="8" fillId="2" borderId="28" xfId="0" applyFont="1" applyFill="1" applyBorder="1" applyAlignment="1" applyProtection="1">
      <alignment horizontal="left"/>
    </xf>
    <xf numFmtId="0" fontId="8" fillId="2" borderId="28" xfId="0" applyFont="1" applyFill="1" applyBorder="1" applyAlignment="1" applyProtection="1">
      <alignment horizontal="center"/>
    </xf>
    <xf numFmtId="0" fontId="8" fillId="2" borderId="25" xfId="0" applyFont="1" applyFill="1" applyBorder="1" applyAlignment="1" applyProtection="1">
      <alignment horizontal="right"/>
    </xf>
    <xf numFmtId="0" fontId="22" fillId="2" borderId="26" xfId="0" applyFont="1" applyFill="1" applyBorder="1" applyAlignment="1" applyProtection="1">
      <alignment horizontal="center"/>
    </xf>
    <xf numFmtId="0" fontId="22" fillId="2" borderId="2" xfId="0" applyFont="1" applyFill="1" applyBorder="1" applyAlignment="1" applyProtection="1">
      <alignment horizontal="center"/>
    </xf>
    <xf numFmtId="0" fontId="8" fillId="2" borderId="25" xfId="0" applyFont="1" applyFill="1" applyBorder="1" applyAlignment="1" applyProtection="1">
      <alignment horizontal="left"/>
    </xf>
    <xf numFmtId="0" fontId="8" fillId="2" borderId="2" xfId="0" applyFont="1" applyFill="1" applyBorder="1" applyProtection="1"/>
    <xf numFmtId="0" fontId="8" fillId="2" borderId="44" xfId="0" applyFont="1" applyFill="1" applyBorder="1" applyProtection="1"/>
    <xf numFmtId="0" fontId="8" fillId="2" borderId="4" xfId="0" applyFont="1" applyFill="1" applyBorder="1" applyAlignment="1" applyProtection="1">
      <alignment horizontal="right"/>
    </xf>
    <xf numFmtId="0" fontId="8" fillId="2" borderId="59" xfId="0" applyFont="1" applyFill="1" applyBorder="1" applyAlignment="1" applyProtection="1">
      <alignment horizontal="center" vertical="center"/>
    </xf>
    <xf numFmtId="0" fontId="9" fillId="0" borderId="16" xfId="0" applyFont="1" applyFill="1" applyBorder="1" applyAlignment="1" applyProtection="1">
      <alignment horizontal="center"/>
    </xf>
    <xf numFmtId="0" fontId="41" fillId="0" borderId="0" xfId="0" quotePrefix="1" applyFont="1" applyFill="1" applyBorder="1" applyAlignment="1" applyProtection="1">
      <alignment horizontal="center"/>
    </xf>
    <xf numFmtId="0" fontId="8" fillId="2" borderId="50" xfId="0" applyFont="1" applyFill="1" applyBorder="1" applyAlignment="1" applyProtection="1">
      <alignment horizontal="center"/>
    </xf>
    <xf numFmtId="0" fontId="9" fillId="0" borderId="51" xfId="0" applyFont="1" applyFill="1" applyBorder="1" applyAlignment="1" applyProtection="1">
      <alignment horizontal="center"/>
    </xf>
    <xf numFmtId="0" fontId="8" fillId="0" borderId="43" xfId="0" applyFont="1" applyFill="1" applyBorder="1" applyAlignment="1" applyProtection="1">
      <alignment horizontal="center"/>
    </xf>
    <xf numFmtId="0" fontId="9" fillId="0" borderId="43" xfId="0" applyFont="1" applyFill="1" applyBorder="1" applyAlignment="1" applyProtection="1">
      <alignment horizontal="center"/>
    </xf>
    <xf numFmtId="0" fontId="8" fillId="2" borderId="47" xfId="0" applyFont="1" applyFill="1" applyBorder="1" applyProtection="1"/>
    <xf numFmtId="0" fontId="8" fillId="2" borderId="38" xfId="0" applyFont="1" applyFill="1" applyBorder="1" applyProtection="1"/>
    <xf numFmtId="0" fontId="8" fillId="2" borderId="29" xfId="0" applyFont="1" applyFill="1" applyBorder="1" applyAlignment="1" applyProtection="1">
      <alignment horizontal="right"/>
    </xf>
    <xf numFmtId="0" fontId="8" fillId="2" borderId="0" xfId="0" applyFont="1" applyFill="1" applyAlignment="1" applyProtection="1">
      <alignment vertical="center"/>
    </xf>
    <xf numFmtId="0" fontId="8" fillId="2" borderId="4" xfId="0" applyFont="1" applyFill="1" applyBorder="1" applyAlignment="1" applyProtection="1">
      <alignment vertical="center"/>
    </xf>
    <xf numFmtId="0" fontId="8" fillId="2" borderId="25" xfId="0" applyFont="1" applyFill="1" applyBorder="1" applyAlignment="1" applyProtection="1">
      <alignment vertical="center"/>
    </xf>
    <xf numFmtId="0" fontId="8" fillId="2" borderId="72" xfId="0" applyFont="1" applyFill="1" applyBorder="1" applyProtection="1"/>
    <xf numFmtId="166" fontId="8" fillId="2" borderId="12" xfId="0" applyNumberFormat="1" applyFont="1" applyFill="1" applyBorder="1" applyAlignment="1" applyProtection="1">
      <alignment horizontal="center"/>
    </xf>
    <xf numFmtId="0" fontId="8" fillId="2" borderId="69" xfId="0" applyFont="1" applyFill="1" applyBorder="1" applyProtection="1"/>
    <xf numFmtId="0" fontId="8" fillId="2" borderId="72" xfId="0" applyFont="1" applyFill="1" applyBorder="1" applyAlignment="1" applyProtection="1">
      <alignment horizontal="center"/>
    </xf>
    <xf numFmtId="0" fontId="27" fillId="2" borderId="31" xfId="0" applyFont="1" applyFill="1" applyBorder="1" applyProtection="1"/>
    <xf numFmtId="0" fontId="27" fillId="2" borderId="33" xfId="0" applyFont="1" applyFill="1" applyBorder="1" applyProtection="1"/>
    <xf numFmtId="0" fontId="27" fillId="2" borderId="50" xfId="0" applyFont="1" applyFill="1" applyBorder="1" applyProtection="1"/>
    <xf numFmtId="0" fontId="8" fillId="2" borderId="43" xfId="0" applyFont="1" applyFill="1" applyBorder="1" applyProtection="1"/>
    <xf numFmtId="0" fontId="8" fillId="2" borderId="36" xfId="0" applyFont="1" applyFill="1" applyBorder="1" applyProtection="1"/>
    <xf numFmtId="0" fontId="8" fillId="2" borderId="69" xfId="0" applyFont="1" applyFill="1" applyBorder="1" applyAlignment="1" applyProtection="1">
      <alignment vertical="center"/>
    </xf>
    <xf numFmtId="0" fontId="8" fillId="2" borderId="31" xfId="0" applyFont="1" applyFill="1" applyBorder="1" applyAlignment="1" applyProtection="1">
      <alignment horizontal="left"/>
    </xf>
    <xf numFmtId="0" fontId="8" fillId="2" borderId="33" xfId="0" applyFont="1" applyFill="1" applyBorder="1" applyAlignment="1" applyProtection="1">
      <alignment horizontal="left"/>
    </xf>
    <xf numFmtId="0" fontId="8" fillId="2" borderId="37" xfId="0" applyFont="1" applyFill="1" applyBorder="1" applyAlignment="1" applyProtection="1">
      <alignment horizontal="center"/>
    </xf>
    <xf numFmtId="0" fontId="8" fillId="2" borderId="69" xfId="0" applyFont="1" applyFill="1" applyBorder="1" applyAlignment="1" applyProtection="1">
      <alignment horizontal="left" vertical="center"/>
    </xf>
    <xf numFmtId="0" fontId="8" fillId="2" borderId="50" xfId="0" applyFont="1" applyFill="1" applyBorder="1" applyAlignment="1" applyProtection="1">
      <alignment horizontal="left"/>
    </xf>
    <xf numFmtId="0" fontId="8" fillId="2" borderId="35" xfId="0" applyFont="1" applyFill="1" applyBorder="1" applyAlignment="1" applyProtection="1">
      <alignment horizontal="center"/>
    </xf>
    <xf numFmtId="0" fontId="8" fillId="2" borderId="58" xfId="0" applyFont="1" applyFill="1" applyBorder="1" applyAlignment="1" applyProtection="1">
      <alignment horizontal="center"/>
    </xf>
    <xf numFmtId="0" fontId="28" fillId="4" borderId="8" xfId="0" applyFont="1" applyFill="1" applyBorder="1" applyProtection="1"/>
    <xf numFmtId="0" fontId="28" fillId="2" borderId="27" xfId="0" applyFont="1" applyFill="1" applyBorder="1" applyProtection="1"/>
    <xf numFmtId="0" fontId="28" fillId="2" borderId="4" xfId="0" applyFont="1" applyFill="1" applyBorder="1" applyProtection="1"/>
    <xf numFmtId="0" fontId="30" fillId="2" borderId="4" xfId="0" applyFont="1" applyFill="1" applyBorder="1" applyProtection="1"/>
    <xf numFmtId="0" fontId="9" fillId="2" borderId="4" xfId="0" applyFont="1" applyFill="1" applyBorder="1" applyProtection="1"/>
    <xf numFmtId="0" fontId="3" fillId="2" borderId="18" xfId="0" applyFont="1" applyFill="1" applyBorder="1" applyAlignment="1" applyProtection="1">
      <alignment horizontal="center"/>
    </xf>
    <xf numFmtId="0" fontId="22" fillId="2" borderId="32" xfId="0" applyFont="1" applyFill="1" applyBorder="1" applyAlignment="1" applyProtection="1">
      <alignment horizontal="center"/>
    </xf>
    <xf numFmtId="0" fontId="9" fillId="2" borderId="19" xfId="0" applyFont="1" applyFill="1" applyBorder="1" applyProtection="1"/>
    <xf numFmtId="0" fontId="8" fillId="2" borderId="13" xfId="0" applyFont="1" applyFill="1" applyBorder="1" applyAlignment="1" applyProtection="1">
      <alignment horizontal="left"/>
    </xf>
    <xf numFmtId="0" fontId="5" fillId="2" borderId="18" xfId="0" applyFont="1" applyFill="1" applyBorder="1" applyAlignment="1" applyProtection="1">
      <alignment horizontal="left"/>
    </xf>
    <xf numFmtId="1" fontId="9" fillId="0" borderId="18" xfId="0" applyNumberFormat="1" applyFont="1" applyFill="1" applyBorder="1" applyAlignment="1" applyProtection="1">
      <alignment horizontal="center"/>
    </xf>
    <xf numFmtId="168" fontId="9" fillId="2" borderId="18" xfId="0" applyNumberFormat="1" applyFont="1" applyFill="1" applyBorder="1" applyAlignment="1" applyProtection="1">
      <alignment horizontal="center"/>
    </xf>
    <xf numFmtId="1" fontId="9" fillId="2" borderId="18" xfId="9" applyNumberFormat="1" applyFont="1" applyFill="1" applyBorder="1" applyAlignment="1" applyProtection="1">
      <alignment horizontal="center"/>
    </xf>
    <xf numFmtId="0" fontId="22" fillId="2" borderId="21" xfId="0" applyFont="1" applyFill="1" applyBorder="1" applyProtection="1"/>
    <xf numFmtId="0" fontId="22" fillId="2" borderId="32" xfId="0" applyFont="1" applyFill="1" applyBorder="1" applyProtection="1"/>
    <xf numFmtId="168" fontId="9" fillId="2" borderId="0" xfId="0" applyNumberFormat="1" applyFont="1" applyFill="1" applyBorder="1" applyProtection="1"/>
    <xf numFmtId="0" fontId="22" fillId="2" borderId="44" xfId="0" applyFont="1" applyFill="1" applyBorder="1" applyProtection="1"/>
    <xf numFmtId="0" fontId="9" fillId="2" borderId="18" xfId="0" applyFont="1" applyFill="1" applyBorder="1" applyAlignment="1" applyProtection="1">
      <alignment horizontal="left"/>
    </xf>
    <xf numFmtId="0" fontId="8" fillId="2" borderId="90" xfId="0" applyFont="1" applyFill="1" applyBorder="1" applyProtection="1"/>
    <xf numFmtId="0" fontId="8" fillId="2" borderId="22" xfId="0" applyFont="1" applyFill="1" applyBorder="1" applyProtection="1"/>
    <xf numFmtId="1" fontId="3" fillId="2" borderId="18" xfId="9" applyNumberFormat="1" applyFont="1" applyFill="1" applyBorder="1" applyAlignment="1" applyProtection="1">
      <alignment horizontal="center"/>
    </xf>
    <xf numFmtId="0" fontId="8" fillId="2" borderId="97" xfId="0" applyFont="1" applyFill="1" applyBorder="1" applyProtection="1"/>
    <xf numFmtId="0" fontId="8" fillId="2" borderId="105" xfId="0" applyFont="1" applyFill="1" applyBorder="1" applyProtection="1"/>
    <xf numFmtId="0" fontId="8" fillId="2" borderId="105" xfId="0" applyFont="1" applyFill="1" applyBorder="1" applyAlignment="1" applyProtection="1">
      <alignment horizontal="center"/>
    </xf>
    <xf numFmtId="0" fontId="8" fillId="2" borderId="106" xfId="0" applyFont="1" applyFill="1" applyBorder="1" applyProtection="1"/>
    <xf numFmtId="0" fontId="8" fillId="2" borderId="97" xfId="0" applyFont="1" applyFill="1" applyBorder="1" applyAlignment="1" applyProtection="1">
      <alignment horizontal="left"/>
    </xf>
    <xf numFmtId="0" fontId="8" fillId="2" borderId="88" xfId="0" applyFont="1" applyFill="1" applyBorder="1" applyAlignment="1" applyProtection="1">
      <alignment horizontal="center"/>
    </xf>
    <xf numFmtId="0" fontId="8" fillId="2" borderId="91" xfId="0" applyFont="1" applyFill="1" applyBorder="1" applyAlignment="1" applyProtection="1">
      <alignment horizontal="center"/>
    </xf>
    <xf numFmtId="0" fontId="8" fillId="2" borderId="97" xfId="0" applyFont="1" applyFill="1" applyBorder="1" applyAlignment="1" applyProtection="1">
      <alignment horizontal="center"/>
    </xf>
    <xf numFmtId="0" fontId="8" fillId="2" borderId="96" xfId="0" applyFont="1" applyFill="1" applyBorder="1" applyProtection="1"/>
    <xf numFmtId="0" fontId="8" fillId="2" borderId="29" xfId="0" applyFont="1" applyFill="1" applyBorder="1" applyAlignment="1" applyProtection="1">
      <alignment horizontal="center"/>
    </xf>
    <xf numFmtId="0" fontId="8" fillId="2" borderId="129" xfId="0" applyFont="1" applyFill="1" applyBorder="1" applyAlignment="1" applyProtection="1">
      <alignment horizontal="center"/>
    </xf>
    <xf numFmtId="0" fontId="8" fillId="2" borderId="141" xfId="0" applyFont="1" applyFill="1" applyBorder="1" applyAlignment="1" applyProtection="1">
      <alignment horizontal="center"/>
    </xf>
    <xf numFmtId="168" fontId="8" fillId="2" borderId="11" xfId="0" applyNumberFormat="1" applyFont="1" applyFill="1" applyBorder="1" applyAlignment="1" applyProtection="1">
      <alignment horizontal="center"/>
    </xf>
    <xf numFmtId="168" fontId="8" fillId="2" borderId="21" xfId="0" applyNumberFormat="1" applyFont="1" applyFill="1" applyBorder="1" applyAlignment="1" applyProtection="1">
      <alignment horizontal="center"/>
    </xf>
    <xf numFmtId="168" fontId="8" fillId="2" borderId="15" xfId="0" applyNumberFormat="1" applyFont="1" applyFill="1" applyBorder="1" applyAlignment="1" applyProtection="1">
      <alignment horizontal="center"/>
    </xf>
    <xf numFmtId="172" fontId="8" fillId="2" borderId="15" xfId="0" applyNumberFormat="1" applyFont="1" applyFill="1" applyBorder="1" applyAlignment="1" applyProtection="1">
      <alignment horizontal="center"/>
    </xf>
    <xf numFmtId="168" fontId="8" fillId="2" borderId="18" xfId="0" applyNumberFormat="1" applyFont="1" applyFill="1" applyBorder="1" applyAlignment="1" applyProtection="1">
      <alignment horizontal="center"/>
    </xf>
    <xf numFmtId="1" fontId="3" fillId="2" borderId="28" xfId="9" applyNumberFormat="1" applyFont="1" applyFill="1" applyBorder="1" applyAlignment="1" applyProtection="1">
      <alignment horizontal="center"/>
    </xf>
    <xf numFmtId="168" fontId="8" fillId="2" borderId="16" xfId="0" applyNumberFormat="1" applyFont="1" applyFill="1" applyBorder="1" applyAlignment="1" applyProtection="1">
      <alignment horizontal="center"/>
    </xf>
    <xf numFmtId="0" fontId="9" fillId="2" borderId="45" xfId="0" applyFont="1" applyFill="1" applyBorder="1" applyAlignment="1" applyProtection="1">
      <alignment horizontal="center"/>
    </xf>
    <xf numFmtId="0" fontId="22" fillId="2" borderId="30" xfId="0" applyFont="1" applyFill="1" applyBorder="1" applyAlignment="1" applyProtection="1">
      <alignment horizontal="center"/>
    </xf>
    <xf numFmtId="0" fontId="8" fillId="2" borderId="69" xfId="0" applyFont="1" applyFill="1" applyBorder="1" applyAlignment="1" applyProtection="1">
      <alignment horizontal="center" vertical="center"/>
    </xf>
    <xf numFmtId="1" fontId="8" fillId="0" borderId="15" xfId="0" applyNumberFormat="1" applyFont="1" applyFill="1" applyBorder="1" applyAlignment="1" applyProtection="1">
      <alignment horizontal="center" vertical="center"/>
    </xf>
    <xf numFmtId="1" fontId="8" fillId="0" borderId="48" xfId="0" applyNumberFormat="1"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1" fontId="9" fillId="2" borderId="28" xfId="9" applyNumberFormat="1" applyFont="1" applyFill="1" applyBorder="1" applyAlignment="1" applyProtection="1">
      <alignment horizontal="center" vertical="center"/>
    </xf>
    <xf numFmtId="168" fontId="9" fillId="2" borderId="18" xfId="9" applyNumberFormat="1" applyFont="1" applyFill="1" applyBorder="1" applyAlignment="1" applyProtection="1">
      <alignment horizontal="center"/>
    </xf>
    <xf numFmtId="0" fontId="8" fillId="2" borderId="61" xfId="0" applyFont="1" applyFill="1" applyBorder="1" applyAlignment="1" applyProtection="1">
      <alignment horizontal="center"/>
    </xf>
    <xf numFmtId="168" fontId="8" fillId="2" borderId="0" xfId="0" applyNumberFormat="1" applyFont="1" applyFill="1" applyBorder="1" applyAlignment="1" applyProtection="1">
      <alignment horizontal="left"/>
    </xf>
    <xf numFmtId="0" fontId="3" fillId="2" borderId="0" xfId="0" applyFont="1" applyFill="1" applyBorder="1" applyAlignment="1" applyProtection="1">
      <alignment horizontal="center"/>
    </xf>
    <xf numFmtId="0" fontId="5" fillId="2" borderId="0" xfId="0" applyFont="1" applyFill="1" applyBorder="1" applyAlignment="1" applyProtection="1">
      <alignment horizontal="center"/>
    </xf>
    <xf numFmtId="0" fontId="62" fillId="2" borderId="0" xfId="0" applyFont="1" applyFill="1" applyBorder="1" applyAlignment="1" applyProtection="1">
      <alignment horizontal="left"/>
    </xf>
    <xf numFmtId="0" fontId="62" fillId="2" borderId="0" xfId="0" applyFont="1" applyFill="1" applyBorder="1" applyAlignment="1" applyProtection="1">
      <alignment horizontal="center"/>
    </xf>
    <xf numFmtId="0" fontId="23" fillId="12" borderId="54" xfId="0" applyFont="1" applyFill="1" applyBorder="1" applyAlignment="1" applyProtection="1">
      <alignment horizontal="center" vertical="center"/>
      <protection locked="0"/>
    </xf>
    <xf numFmtId="0" fontId="23" fillId="12" borderId="41" xfId="0" applyFont="1" applyFill="1" applyBorder="1" applyAlignment="1" applyProtection="1">
      <alignment vertical="center" wrapText="1"/>
      <protection locked="0"/>
    </xf>
    <xf numFmtId="0" fontId="23" fillId="12" borderId="31" xfId="0" applyFont="1" applyFill="1" applyBorder="1" applyAlignment="1" applyProtection="1">
      <alignment horizontal="center" vertical="center"/>
      <protection locked="0"/>
    </xf>
    <xf numFmtId="0" fontId="23" fillId="12" borderId="121" xfId="0" applyFont="1" applyFill="1" applyBorder="1" applyAlignment="1" applyProtection="1">
      <alignment vertical="center" wrapText="1"/>
      <protection locked="0"/>
    </xf>
    <xf numFmtId="0" fontId="23" fillId="12" borderId="13" xfId="0" applyFont="1" applyFill="1" applyBorder="1" applyAlignment="1" applyProtection="1">
      <alignment vertical="center" wrapText="1"/>
      <protection locked="0"/>
    </xf>
    <xf numFmtId="0" fontId="18" fillId="2" borderId="0" xfId="0" applyFont="1" applyFill="1" applyBorder="1" applyProtection="1"/>
    <xf numFmtId="0" fontId="23" fillId="0" borderId="0" xfId="0" applyFont="1" applyFill="1" applyBorder="1" applyProtection="1"/>
    <xf numFmtId="0" fontId="56" fillId="0" borderId="0" xfId="0" applyFont="1" applyProtection="1"/>
    <xf numFmtId="0" fontId="56" fillId="0" borderId="0" xfId="0" applyFont="1" applyAlignment="1" applyProtection="1">
      <alignment horizontal="center"/>
    </xf>
    <xf numFmtId="0" fontId="55" fillId="0" borderId="0" xfId="0" applyFont="1" applyProtection="1"/>
    <xf numFmtId="0" fontId="18" fillId="11" borderId="7" xfId="0" applyFont="1" applyFill="1" applyBorder="1" applyProtection="1"/>
    <xf numFmtId="0" fontId="8" fillId="11" borderId="8" xfId="0" applyFont="1" applyFill="1" applyBorder="1" applyAlignment="1" applyProtection="1">
      <alignment horizontal="center"/>
    </xf>
    <xf numFmtId="0" fontId="23" fillId="11" borderId="8" xfId="0" applyFont="1" applyFill="1" applyBorder="1" applyProtection="1"/>
    <xf numFmtId="0" fontId="23" fillId="11" borderId="8" xfId="0" applyFont="1" applyFill="1" applyBorder="1" applyAlignment="1" applyProtection="1">
      <alignment horizontal="center"/>
    </xf>
    <xf numFmtId="0" fontId="23" fillId="11" borderId="63" xfId="0" applyFont="1" applyFill="1" applyBorder="1" applyAlignment="1" applyProtection="1">
      <alignment horizontal="center"/>
    </xf>
    <xf numFmtId="0" fontId="23" fillId="0" borderId="0" xfId="0" applyFont="1" applyFill="1" applyBorder="1" applyAlignment="1" applyProtection="1">
      <alignment horizontal="center"/>
    </xf>
    <xf numFmtId="0" fontId="55" fillId="0" borderId="29" xfId="0" applyFont="1" applyBorder="1" applyAlignment="1" applyProtection="1">
      <alignment vertical="center"/>
    </xf>
    <xf numFmtId="0" fontId="23" fillId="0" borderId="82" xfId="0" applyFont="1" applyFill="1" applyBorder="1" applyAlignment="1" applyProtection="1">
      <alignment vertical="center"/>
    </xf>
    <xf numFmtId="0" fontId="23" fillId="0" borderId="82" xfId="0" applyFont="1" applyBorder="1" applyAlignment="1" applyProtection="1">
      <alignment vertical="center"/>
    </xf>
    <xf numFmtId="0" fontId="23" fillId="2" borderId="4"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42" fillId="0" borderId="0" xfId="0" applyFont="1" applyProtection="1"/>
    <xf numFmtId="0" fontId="42" fillId="13" borderId="0" xfId="0" applyFont="1" applyFill="1" applyProtection="1"/>
    <xf numFmtId="0" fontId="23" fillId="2" borderId="69" xfId="0" applyFont="1" applyFill="1" applyBorder="1" applyAlignment="1" applyProtection="1">
      <alignment horizontal="center" vertical="center"/>
    </xf>
    <xf numFmtId="0" fontId="23" fillId="0" borderId="15" xfId="0" applyFont="1" applyFill="1" applyBorder="1" applyAlignment="1" applyProtection="1">
      <alignment horizontal="left" vertical="center"/>
    </xf>
    <xf numFmtId="0" fontId="23" fillId="0" borderId="9" xfId="0" applyFont="1" applyBorder="1" applyAlignment="1" applyProtection="1">
      <alignment horizontal="center" vertical="center"/>
    </xf>
    <xf numFmtId="0" fontId="12" fillId="2" borderId="11" xfId="0" applyFont="1" applyFill="1" applyBorder="1" applyAlignment="1" applyProtection="1">
      <alignment horizontal="center" vertical="center"/>
    </xf>
    <xf numFmtId="0" fontId="23" fillId="2" borderId="32" xfId="0" applyFont="1" applyFill="1" applyBorder="1" applyAlignment="1" applyProtection="1">
      <alignment horizontal="center" vertical="center"/>
    </xf>
    <xf numFmtId="0" fontId="42" fillId="0" borderId="0" xfId="0" applyFont="1" applyAlignment="1" applyProtection="1"/>
    <xf numFmtId="0" fontId="0" fillId="0" borderId="0" xfId="0" applyAlignment="1" applyProtection="1">
      <alignment horizontal="center"/>
    </xf>
    <xf numFmtId="0" fontId="23" fillId="2" borderId="131" xfId="0" applyFont="1" applyFill="1" applyBorder="1" applyAlignment="1" applyProtection="1">
      <alignment horizontal="center" vertical="center"/>
    </xf>
    <xf numFmtId="0" fontId="23" fillId="0" borderId="126" xfId="0" applyFont="1" applyFill="1" applyBorder="1" applyAlignment="1" applyProtection="1">
      <alignment horizontal="left" vertical="center"/>
    </xf>
    <xf numFmtId="0" fontId="23" fillId="0" borderId="128" xfId="0" applyFont="1" applyBorder="1" applyAlignment="1" applyProtection="1">
      <alignment horizontal="center" vertical="center"/>
    </xf>
    <xf numFmtId="0" fontId="23" fillId="10" borderId="56" xfId="0" applyFont="1" applyFill="1" applyBorder="1" applyAlignment="1" applyProtection="1">
      <alignment horizontal="center" vertical="center"/>
    </xf>
    <xf numFmtId="2" fontId="23" fillId="7" borderId="41" xfId="0" applyNumberFormat="1" applyFont="1" applyFill="1" applyBorder="1" applyAlignment="1" applyProtection="1">
      <alignment horizontal="center" vertical="center"/>
    </xf>
    <xf numFmtId="2" fontId="23" fillId="7" borderId="47" xfId="0" applyNumberFormat="1" applyFont="1" applyFill="1" applyBorder="1" applyAlignment="1" applyProtection="1">
      <alignment horizontal="center" vertical="center"/>
    </xf>
    <xf numFmtId="2" fontId="23" fillId="0" borderId="4" xfId="0" applyNumberFormat="1" applyFont="1" applyFill="1" applyBorder="1" applyAlignment="1" applyProtection="1">
      <alignment horizontal="center" vertical="center"/>
    </xf>
    <xf numFmtId="2" fontId="23" fillId="0" borderId="0" xfId="0" applyNumberFormat="1" applyFont="1" applyFill="1" applyBorder="1" applyAlignment="1" applyProtection="1">
      <alignment horizontal="left" vertical="center"/>
    </xf>
    <xf numFmtId="0" fontId="0" fillId="0" borderId="0" xfId="0" applyAlignment="1" applyProtection="1"/>
    <xf numFmtId="0" fontId="0" fillId="0" borderId="4" xfId="0" applyBorder="1" applyProtection="1"/>
    <xf numFmtId="0" fontId="0" fillId="0" borderId="121" xfId="0" applyBorder="1" applyProtection="1"/>
    <xf numFmtId="0" fontId="23" fillId="10" borderId="11" xfId="0" applyFont="1" applyFill="1" applyBorder="1" applyAlignment="1" applyProtection="1">
      <alignment horizontal="center" vertical="center"/>
    </xf>
    <xf numFmtId="2" fontId="23" fillId="7" borderId="121" xfId="0" applyNumberFormat="1" applyFont="1" applyFill="1" applyBorder="1" applyAlignment="1" applyProtection="1">
      <alignment horizontal="center" vertical="center"/>
    </xf>
    <xf numFmtId="0" fontId="23" fillId="0" borderId="32" xfId="0" applyFont="1" applyFill="1" applyBorder="1" applyAlignment="1" applyProtection="1">
      <alignment horizontal="center" vertical="center"/>
    </xf>
    <xf numFmtId="0" fontId="23" fillId="0" borderId="4" xfId="0" applyFont="1" applyFill="1" applyBorder="1" applyAlignment="1" applyProtection="1">
      <alignment horizontal="center" vertical="center"/>
    </xf>
    <xf numFmtId="0" fontId="23" fillId="0" borderId="31" xfId="0" applyFont="1" applyFill="1" applyBorder="1" applyAlignment="1" applyProtection="1">
      <alignment horizontal="center" vertical="center"/>
    </xf>
    <xf numFmtId="0" fontId="23" fillId="0" borderId="11" xfId="0" applyFont="1" applyFill="1" applyBorder="1" applyAlignment="1" applyProtection="1">
      <alignment vertical="center" wrapText="1"/>
    </xf>
    <xf numFmtId="0" fontId="23" fillId="0" borderId="121" xfId="0" applyFont="1" applyFill="1" applyBorder="1" applyAlignment="1" applyProtection="1">
      <alignment vertical="center" wrapText="1"/>
    </xf>
    <xf numFmtId="0" fontId="23" fillId="0" borderId="50" xfId="0" applyFont="1" applyFill="1" applyBorder="1" applyAlignment="1" applyProtection="1">
      <alignment horizontal="center" vertical="center"/>
    </xf>
    <xf numFmtId="0" fontId="23" fillId="0" borderId="51" xfId="0" applyFont="1" applyFill="1" applyBorder="1" applyAlignment="1" applyProtection="1">
      <alignment vertical="center" wrapText="1"/>
    </xf>
    <xf numFmtId="0" fontId="23" fillId="10" borderId="51" xfId="0" applyFont="1" applyFill="1" applyBorder="1" applyAlignment="1" applyProtection="1">
      <alignment horizontal="center" vertical="center"/>
    </xf>
    <xf numFmtId="2" fontId="23" fillId="7" borderId="43" xfId="0" applyNumberFormat="1" applyFont="1" applyFill="1" applyBorder="1" applyAlignment="1" applyProtection="1">
      <alignment horizontal="center" vertical="center"/>
    </xf>
    <xf numFmtId="0" fontId="23" fillId="0" borderId="58" xfId="0" applyFont="1" applyFill="1" applyBorder="1" applyAlignment="1" applyProtection="1">
      <alignment horizontal="center" vertical="center"/>
    </xf>
    <xf numFmtId="0" fontId="42" fillId="0" borderId="0" xfId="0" applyFont="1" applyFill="1" applyProtection="1"/>
    <xf numFmtId="0" fontId="23" fillId="7" borderId="32" xfId="0" applyFont="1" applyFill="1" applyBorder="1" applyAlignment="1" applyProtection="1">
      <alignment horizontal="center" vertical="center"/>
    </xf>
    <xf numFmtId="0" fontId="0" fillId="0" borderId="27" xfId="0" applyBorder="1" applyProtection="1"/>
    <xf numFmtId="0" fontId="0" fillId="0" borderId="41" xfId="0" applyBorder="1" applyProtection="1"/>
    <xf numFmtId="0" fontId="0" fillId="0" borderId="47" xfId="0" applyFill="1" applyBorder="1" applyAlignment="1" applyProtection="1">
      <alignment horizontal="center"/>
    </xf>
    <xf numFmtId="2" fontId="23" fillId="7" borderId="32" xfId="0" applyNumberFormat="1" applyFont="1" applyFill="1" applyBorder="1" applyAlignment="1" applyProtection="1">
      <alignment horizontal="center" vertical="center"/>
    </xf>
    <xf numFmtId="0" fontId="30" fillId="0" borderId="0" xfId="0" applyFont="1" applyFill="1" applyBorder="1" applyAlignment="1" applyProtection="1">
      <alignment horizontal="left" vertical="center"/>
    </xf>
    <xf numFmtId="0" fontId="2" fillId="0" borderId="0" xfId="0" applyFont="1" applyProtection="1"/>
    <xf numFmtId="2" fontId="23" fillId="0" borderId="0" xfId="0" applyNumberFormat="1" applyFont="1" applyFill="1" applyBorder="1" applyAlignment="1" applyProtection="1">
      <alignment horizontal="center"/>
    </xf>
    <xf numFmtId="0" fontId="23" fillId="0" borderId="43" xfId="0" applyFont="1" applyFill="1" applyBorder="1" applyAlignment="1" applyProtection="1">
      <alignment vertical="center" wrapText="1"/>
    </xf>
    <xf numFmtId="0" fontId="0" fillId="0" borderId="54" xfId="0" applyBorder="1" applyProtection="1"/>
    <xf numFmtId="0" fontId="0" fillId="0" borderId="55" xfId="0" applyBorder="1" applyProtection="1"/>
    <xf numFmtId="2" fontId="23" fillId="0" borderId="0" xfId="0" applyNumberFormat="1" applyFont="1" applyFill="1" applyBorder="1" applyAlignment="1" applyProtection="1">
      <alignment horizontal="center" vertical="center"/>
    </xf>
    <xf numFmtId="0" fontId="23" fillId="0" borderId="13" xfId="0" applyFont="1" applyFill="1" applyBorder="1" applyAlignment="1" applyProtection="1">
      <alignment vertical="center" wrapText="1"/>
    </xf>
    <xf numFmtId="0" fontId="23" fillId="0" borderId="35" xfId="0" applyFont="1" applyFill="1" applyBorder="1" applyAlignment="1" applyProtection="1">
      <alignment vertical="center" wrapText="1"/>
    </xf>
    <xf numFmtId="0" fontId="0" fillId="0" borderId="0" xfId="0" applyFill="1" applyAlignment="1" applyProtection="1">
      <alignment horizontal="center"/>
    </xf>
    <xf numFmtId="0" fontId="23" fillId="0" borderId="0" xfId="0" applyFont="1" applyBorder="1" applyAlignment="1" applyProtection="1">
      <alignment horizontal="center" vertical="center"/>
    </xf>
    <xf numFmtId="0" fontId="23" fillId="10" borderId="41" xfId="0" applyFont="1" applyFill="1" applyBorder="1" applyAlignment="1" applyProtection="1">
      <alignment horizontal="center" vertical="center"/>
    </xf>
    <xf numFmtId="0" fontId="23" fillId="10" borderId="121" xfId="0" applyFont="1" applyFill="1" applyBorder="1" applyAlignment="1" applyProtection="1">
      <alignment horizontal="center" vertical="center"/>
    </xf>
    <xf numFmtId="0" fontId="23" fillId="10" borderId="43" xfId="0" applyFont="1" applyFill="1" applyBorder="1" applyAlignment="1" applyProtection="1">
      <alignment horizontal="center" vertical="center"/>
    </xf>
    <xf numFmtId="2" fontId="23" fillId="7" borderId="58" xfId="0" applyNumberFormat="1" applyFont="1" applyFill="1" applyBorder="1" applyAlignment="1" applyProtection="1">
      <alignment horizontal="center" vertical="center"/>
    </xf>
    <xf numFmtId="167" fontId="23" fillId="7" borderId="121" xfId="0" applyNumberFormat="1" applyFont="1" applyFill="1" applyBorder="1" applyAlignment="1" applyProtection="1">
      <alignment horizontal="center" vertical="center"/>
    </xf>
    <xf numFmtId="0" fontId="0" fillId="0" borderId="47" xfId="0" applyBorder="1" applyAlignment="1" applyProtection="1">
      <alignment horizontal="center"/>
    </xf>
    <xf numFmtId="2" fontId="23" fillId="11" borderId="32" xfId="0" applyNumberFormat="1" applyFont="1" applyFill="1" applyBorder="1" applyAlignment="1" applyProtection="1">
      <alignment horizontal="center" vertical="center"/>
    </xf>
    <xf numFmtId="2" fontId="23" fillId="11" borderId="58" xfId="0" applyNumberFormat="1" applyFont="1" applyFill="1" applyBorder="1" applyAlignment="1" applyProtection="1">
      <alignment horizontal="center" vertical="center"/>
    </xf>
    <xf numFmtId="0" fontId="23" fillId="11" borderId="32" xfId="0" applyFont="1" applyFill="1" applyBorder="1" applyAlignment="1" applyProtection="1">
      <alignment horizontal="center" vertical="center"/>
    </xf>
    <xf numFmtId="0" fontId="23" fillId="10" borderId="86" xfId="0" applyFont="1" applyFill="1" applyBorder="1" applyAlignment="1" applyProtection="1">
      <alignment horizontal="center" vertical="center"/>
    </xf>
    <xf numFmtId="2" fontId="23" fillId="7" borderId="91" xfId="0" applyNumberFormat="1" applyFont="1" applyFill="1" applyBorder="1" applyAlignment="1" applyProtection="1">
      <alignment horizontal="center" vertical="center"/>
    </xf>
    <xf numFmtId="2" fontId="23" fillId="11" borderId="92" xfId="0" applyNumberFormat="1" applyFont="1" applyFill="1" applyBorder="1" applyAlignment="1" applyProtection="1">
      <alignment horizontal="center" vertical="center"/>
    </xf>
    <xf numFmtId="0" fontId="23" fillId="0" borderId="0" xfId="0" applyFont="1" applyFill="1" applyBorder="1" applyAlignment="1" applyProtection="1">
      <alignment horizontal="left" vertical="center"/>
    </xf>
    <xf numFmtId="0" fontId="23" fillId="0" borderId="16" xfId="0" applyFont="1" applyFill="1" applyBorder="1" applyAlignment="1" applyProtection="1">
      <alignment vertical="center" wrapText="1"/>
    </xf>
    <xf numFmtId="2" fontId="23" fillId="7" borderId="16" xfId="0" applyNumberFormat="1" applyFont="1" applyFill="1" applyBorder="1" applyAlignment="1" applyProtection="1">
      <alignment horizontal="center" vertical="center"/>
    </xf>
    <xf numFmtId="0" fontId="23" fillId="10" borderId="16" xfId="0" applyFont="1" applyFill="1" applyBorder="1" applyAlignment="1" applyProtection="1">
      <alignment horizontal="center" vertical="center"/>
    </xf>
    <xf numFmtId="2" fontId="23" fillId="0" borderId="23" xfId="0" applyNumberFormat="1" applyFont="1" applyFill="1" applyBorder="1" applyAlignment="1" applyProtection="1">
      <alignment horizontal="center" vertical="center"/>
    </xf>
    <xf numFmtId="0" fontId="23" fillId="0" borderId="132" xfId="0" applyFont="1" applyFill="1" applyBorder="1" applyAlignment="1" applyProtection="1">
      <alignment horizontal="center" vertical="center"/>
    </xf>
    <xf numFmtId="0" fontId="23" fillId="0" borderId="132" xfId="0" applyFont="1" applyFill="1" applyBorder="1" applyAlignment="1" applyProtection="1">
      <alignment vertical="center" wrapText="1"/>
    </xf>
    <xf numFmtId="2" fontId="23" fillId="0" borderId="132" xfId="0" applyNumberFormat="1" applyFont="1" applyFill="1" applyBorder="1" applyAlignment="1" applyProtection="1">
      <alignment horizontal="center" vertical="center"/>
    </xf>
    <xf numFmtId="0" fontId="23" fillId="0" borderId="29" xfId="0" applyFont="1" applyBorder="1" applyAlignment="1" applyProtection="1">
      <alignment horizontal="left"/>
    </xf>
    <xf numFmtId="0" fontId="23" fillId="0" borderId="98" xfId="0" applyFont="1" applyBorder="1" applyAlignment="1" applyProtection="1"/>
    <xf numFmtId="0" fontId="23" fillId="0" borderId="98" xfId="0" applyFont="1" applyBorder="1" applyAlignment="1" applyProtection="1">
      <alignment horizontal="center"/>
    </xf>
    <xf numFmtId="0" fontId="42" fillId="0" borderId="0" xfId="0" applyFont="1" applyBorder="1" applyProtection="1"/>
    <xf numFmtId="0" fontId="23" fillId="2" borderId="69" xfId="0" applyFont="1" applyFill="1" applyBorder="1" applyAlignment="1" applyProtection="1">
      <alignment horizontal="center"/>
    </xf>
    <xf numFmtId="0" fontId="23" fillId="0" borderId="15" xfId="0" applyFont="1" applyFill="1" applyBorder="1" applyAlignment="1" applyProtection="1">
      <alignment horizontal="left"/>
    </xf>
    <xf numFmtId="0" fontId="23" fillId="0" borderId="9" xfId="0" applyFont="1" applyBorder="1" applyAlignment="1" applyProtection="1">
      <alignment horizontal="center"/>
    </xf>
    <xf numFmtId="0" fontId="23" fillId="2" borderId="16" xfId="0" applyFont="1" applyFill="1" applyBorder="1" applyAlignment="1" applyProtection="1"/>
    <xf numFmtId="0" fontId="23" fillId="2" borderId="94" xfId="0" applyFont="1" applyFill="1" applyBorder="1" applyAlignment="1" applyProtection="1"/>
    <xf numFmtId="0" fontId="23" fillId="2" borderId="49" xfId="0" applyFont="1" applyFill="1" applyBorder="1" applyAlignment="1" applyProtection="1">
      <alignment horizontal="center"/>
    </xf>
    <xf numFmtId="0" fontId="23" fillId="5" borderId="19" xfId="0" applyFont="1" applyFill="1" applyBorder="1" applyAlignment="1" applyProtection="1">
      <alignment horizontal="center"/>
    </xf>
    <xf numFmtId="2" fontId="42" fillId="7" borderId="89" xfId="0" applyNumberFormat="1" applyFont="1" applyFill="1" applyBorder="1" applyAlignment="1" applyProtection="1">
      <alignment horizontal="center"/>
    </xf>
    <xf numFmtId="2" fontId="23" fillId="7" borderId="88" xfId="0" applyNumberFormat="1" applyFont="1" applyFill="1" applyBorder="1" applyAlignment="1" applyProtection="1">
      <alignment horizontal="center"/>
    </xf>
    <xf numFmtId="0" fontId="42" fillId="0" borderId="5" xfId="0" applyFont="1" applyFill="1" applyBorder="1" applyAlignment="1" applyProtection="1"/>
    <xf numFmtId="0" fontId="42" fillId="0" borderId="37" xfId="0" applyFont="1" applyFill="1" applyBorder="1" applyAlignment="1" applyProtection="1"/>
    <xf numFmtId="0" fontId="42" fillId="0" borderId="89" xfId="0" applyFont="1" applyFill="1" applyBorder="1" applyAlignment="1" applyProtection="1">
      <alignment horizontal="center"/>
    </xf>
    <xf numFmtId="2" fontId="23" fillId="0" borderId="88" xfId="0" applyNumberFormat="1" applyFont="1" applyFill="1" applyBorder="1" applyAlignment="1" applyProtection="1">
      <alignment horizontal="center"/>
    </xf>
    <xf numFmtId="0" fontId="42" fillId="0" borderId="6" xfId="0" applyFont="1" applyFill="1" applyBorder="1" applyAlignment="1" applyProtection="1"/>
    <xf numFmtId="0" fontId="42" fillId="0" borderId="59" xfId="0" applyFont="1" applyFill="1" applyBorder="1" applyAlignment="1" applyProtection="1"/>
    <xf numFmtId="0" fontId="12" fillId="0" borderId="6" xfId="0" applyFont="1" applyFill="1" applyBorder="1" applyAlignment="1" applyProtection="1">
      <alignment horizontal="center"/>
    </xf>
    <xf numFmtId="0" fontId="23" fillId="0" borderId="59" xfId="0" applyFont="1" applyFill="1" applyBorder="1" applyAlignment="1" applyProtection="1">
      <alignment horizontal="center" wrapText="1"/>
    </xf>
    <xf numFmtId="2" fontId="23" fillId="0" borderId="6" xfId="0" applyNumberFormat="1" applyFont="1" applyFill="1" applyBorder="1" applyAlignment="1" applyProtection="1">
      <alignment horizontal="center"/>
    </xf>
    <xf numFmtId="2" fontId="23" fillId="0" borderId="59" xfId="0" applyNumberFormat="1" applyFont="1" applyFill="1" applyBorder="1" applyAlignment="1" applyProtection="1">
      <alignment horizontal="center"/>
    </xf>
    <xf numFmtId="0" fontId="23" fillId="0" borderId="88" xfId="0" applyFont="1" applyFill="1" applyBorder="1" applyAlignment="1" applyProtection="1"/>
    <xf numFmtId="0" fontId="23" fillId="0" borderId="89" xfId="0" applyFont="1" applyFill="1" applyBorder="1" applyAlignment="1" applyProtection="1">
      <alignment horizontal="center"/>
    </xf>
    <xf numFmtId="2" fontId="23" fillId="0" borderId="90" xfId="0" applyNumberFormat="1" applyFont="1" applyFill="1" applyBorder="1" applyAlignment="1" applyProtection="1">
      <alignment horizontal="center"/>
    </xf>
    <xf numFmtId="2" fontId="23" fillId="7" borderId="6" xfId="0" applyNumberFormat="1" applyFont="1" applyFill="1" applyBorder="1" applyAlignment="1" applyProtection="1">
      <alignment horizontal="center"/>
    </xf>
    <xf numFmtId="2" fontId="23" fillId="7" borderId="59" xfId="0" applyNumberFormat="1" applyFont="1" applyFill="1" applyBorder="1" applyAlignment="1" applyProtection="1">
      <alignment horizontal="center"/>
    </xf>
    <xf numFmtId="0" fontId="23" fillId="5" borderId="9" xfId="0" applyFont="1" applyFill="1" applyBorder="1" applyAlignment="1" applyProtection="1">
      <alignment horizontal="center"/>
    </xf>
    <xf numFmtId="2" fontId="23" fillId="7" borderId="91" xfId="0" applyNumberFormat="1" applyFont="1" applyFill="1" applyBorder="1" applyAlignment="1" applyProtection="1">
      <alignment horizontal="center"/>
    </xf>
    <xf numFmtId="2" fontId="23" fillId="0" borderId="3" xfId="0" applyNumberFormat="1" applyFont="1" applyFill="1" applyBorder="1" applyAlignment="1" applyProtection="1">
      <alignment horizontal="center"/>
    </xf>
    <xf numFmtId="2" fontId="23" fillId="0" borderId="48" xfId="0" applyNumberFormat="1" applyFont="1" applyFill="1" applyBorder="1" applyAlignment="1" applyProtection="1">
      <alignment horizontal="center"/>
    </xf>
    <xf numFmtId="0" fontId="0" fillId="0" borderId="19" xfId="0" applyBorder="1" applyProtection="1"/>
    <xf numFmtId="0" fontId="0" fillId="0" borderId="88" xfId="0" applyBorder="1" applyProtection="1"/>
    <xf numFmtId="0" fontId="0" fillId="0" borderId="88" xfId="0" applyBorder="1" applyAlignment="1" applyProtection="1">
      <alignment horizontal="center"/>
    </xf>
    <xf numFmtId="0" fontId="0" fillId="0" borderId="22" xfId="0" applyBorder="1" applyProtection="1"/>
    <xf numFmtId="0" fontId="0" fillId="0" borderId="59" xfId="0" applyBorder="1" applyAlignment="1" applyProtection="1">
      <alignment horizontal="center"/>
    </xf>
    <xf numFmtId="0" fontId="23" fillId="5" borderId="39" xfId="0" applyFont="1" applyFill="1" applyBorder="1" applyAlignment="1" applyProtection="1">
      <alignment horizontal="center"/>
    </xf>
    <xf numFmtId="2" fontId="23" fillId="7" borderId="42" xfId="0" applyNumberFormat="1" applyFont="1" applyFill="1" applyBorder="1" applyAlignment="1" applyProtection="1">
      <alignment horizontal="center"/>
    </xf>
    <xf numFmtId="2" fontId="23" fillId="0" borderId="30" xfId="0" applyNumberFormat="1" applyFont="1" applyFill="1" applyBorder="1" applyAlignment="1" applyProtection="1">
      <alignment horizontal="center"/>
    </xf>
    <xf numFmtId="2" fontId="23" fillId="0" borderId="40" xfId="0" applyNumberFormat="1" applyFont="1" applyFill="1" applyBorder="1" applyAlignment="1" applyProtection="1">
      <alignment horizontal="center"/>
    </xf>
    <xf numFmtId="0" fontId="18" fillId="8" borderId="7" xfId="0" applyFont="1" applyFill="1" applyBorder="1" applyAlignment="1" applyProtection="1">
      <alignment horizontal="left" vertical="center"/>
    </xf>
    <xf numFmtId="0" fontId="0" fillId="14" borderId="8" xfId="0" applyFill="1" applyBorder="1" applyProtection="1"/>
    <xf numFmtId="0" fontId="48" fillId="8" borderId="8" xfId="0" applyFont="1" applyFill="1" applyBorder="1" applyAlignment="1" applyProtection="1">
      <alignment horizontal="center" vertical="center"/>
    </xf>
    <xf numFmtId="0" fontId="3" fillId="14" borderId="63" xfId="14" applyFont="1" applyFill="1" applyBorder="1" applyProtection="1"/>
    <xf numFmtId="0" fontId="0" fillId="0" borderId="46" xfId="0" applyFill="1" applyBorder="1" applyProtection="1"/>
    <xf numFmtId="0" fontId="49" fillId="0" borderId="36" xfId="0" applyFont="1" applyFill="1" applyBorder="1" applyAlignment="1" applyProtection="1">
      <alignment horizontal="left" vertical="center"/>
    </xf>
    <xf numFmtId="0" fontId="23" fillId="0" borderId="77" xfId="0" applyFont="1" applyFill="1" applyBorder="1" applyProtection="1"/>
    <xf numFmtId="166" fontId="3" fillId="0" borderId="0" xfId="14" applyNumberFormat="1" applyFont="1" applyFill="1" applyProtection="1"/>
    <xf numFmtId="0" fontId="49" fillId="0" borderId="0" xfId="0" applyFont="1" applyFill="1" applyBorder="1" applyAlignment="1" applyProtection="1">
      <alignment horizontal="center"/>
    </xf>
    <xf numFmtId="0" fontId="3" fillId="0" borderId="0" xfId="14" applyFont="1" applyFill="1" applyProtection="1"/>
    <xf numFmtId="0" fontId="3" fillId="0" borderId="0" xfId="14" applyFont="1" applyFill="1" applyAlignment="1" applyProtection="1">
      <alignment horizontal="center"/>
    </xf>
    <xf numFmtId="0" fontId="23" fillId="0" borderId="88" xfId="0" applyFont="1" applyFill="1" applyBorder="1" applyAlignment="1" applyProtection="1">
      <alignment horizontal="center" vertical="center"/>
    </xf>
    <xf numFmtId="0" fontId="23" fillId="2" borderId="96"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3" fillId="0" borderId="150" xfId="14" applyFont="1" applyFill="1" applyBorder="1" applyProtection="1"/>
    <xf numFmtId="0" fontId="3" fillId="0" borderId="124" xfId="14" applyFont="1" applyFill="1" applyBorder="1" applyAlignment="1" applyProtection="1">
      <alignment horizontal="center"/>
    </xf>
    <xf numFmtId="0" fontId="23" fillId="0" borderId="151"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2" fontId="23" fillId="8" borderId="89" xfId="0" applyNumberFormat="1" applyFont="1" applyFill="1" applyBorder="1" applyAlignment="1" applyProtection="1">
      <alignment horizontal="center"/>
    </xf>
    <xf numFmtId="2" fontId="23" fillId="8" borderId="59" xfId="0" applyNumberFormat="1" applyFont="1" applyFill="1" applyBorder="1" applyAlignment="1" applyProtection="1">
      <alignment horizontal="center" vertical="center"/>
    </xf>
    <xf numFmtId="0" fontId="23" fillId="0" borderId="4" xfId="0" applyFont="1" applyFill="1" applyBorder="1" applyAlignment="1" applyProtection="1">
      <alignment horizontal="left"/>
    </xf>
    <xf numFmtId="0" fontId="23" fillId="0" borderId="68" xfId="0" applyFont="1" applyFill="1" applyBorder="1" applyAlignment="1" applyProtection="1">
      <alignment horizontal="left"/>
    </xf>
    <xf numFmtId="0" fontId="0" fillId="0" borderId="150" xfId="0" applyFill="1" applyBorder="1" applyProtection="1"/>
    <xf numFmtId="0" fontId="23" fillId="0" borderId="156" xfId="0" applyFont="1" applyFill="1" applyBorder="1" applyAlignment="1" applyProtection="1">
      <alignment horizontal="center" vertical="center"/>
    </xf>
    <xf numFmtId="2" fontId="23" fillId="0" borderId="137" xfId="0" applyNumberFormat="1" applyFont="1" applyFill="1" applyBorder="1" applyAlignment="1" applyProtection="1">
      <alignment horizontal="center"/>
    </xf>
    <xf numFmtId="2" fontId="23" fillId="0" borderId="135" xfId="0" applyNumberFormat="1" applyFont="1" applyFill="1" applyBorder="1" applyAlignment="1" applyProtection="1">
      <alignment horizontal="center" vertical="center"/>
    </xf>
    <xf numFmtId="0" fontId="23" fillId="10" borderId="91" xfId="0" applyFont="1" applyFill="1" applyBorder="1" applyAlignment="1" applyProtection="1">
      <alignment horizontal="center" vertical="center"/>
    </xf>
    <xf numFmtId="0" fontId="23" fillId="8" borderId="59" xfId="0" applyFont="1" applyFill="1" applyBorder="1" applyAlignment="1" applyProtection="1">
      <alignment horizontal="center" vertical="center"/>
    </xf>
    <xf numFmtId="2" fontId="23" fillId="0" borderId="4" xfId="0" applyNumberFormat="1" applyFont="1" applyFill="1" applyBorder="1" applyProtection="1"/>
    <xf numFmtId="2" fontId="23" fillId="0" borderId="0" xfId="0" applyNumberFormat="1" applyFont="1" applyFill="1" applyBorder="1" applyProtection="1"/>
    <xf numFmtId="0" fontId="23" fillId="10" borderId="94" xfId="0" applyFont="1" applyFill="1" applyBorder="1" applyAlignment="1" applyProtection="1">
      <alignment horizontal="center" vertical="center"/>
    </xf>
    <xf numFmtId="2" fontId="23" fillId="0" borderId="68" xfId="0" applyNumberFormat="1" applyFont="1" applyFill="1" applyBorder="1" applyProtection="1"/>
    <xf numFmtId="2" fontId="23" fillId="0" borderId="124" xfId="0" applyNumberFormat="1" applyFont="1" applyFill="1" applyBorder="1" applyProtection="1"/>
    <xf numFmtId="0" fontId="23" fillId="0" borderId="121" xfId="0" applyFont="1" applyFill="1" applyBorder="1" applyAlignment="1" applyProtection="1">
      <alignment horizontal="center" vertical="center"/>
    </xf>
    <xf numFmtId="0" fontId="23" fillId="0" borderId="135" xfId="0" applyFont="1" applyFill="1" applyBorder="1" applyAlignment="1" applyProtection="1">
      <alignment horizontal="center" vertical="center"/>
    </xf>
    <xf numFmtId="0" fontId="0" fillId="0" borderId="4" xfId="0" applyFill="1" applyBorder="1" applyProtection="1"/>
    <xf numFmtId="0" fontId="0" fillId="0" borderId="0" xfId="0" applyBorder="1" applyProtection="1"/>
    <xf numFmtId="2" fontId="23" fillId="0" borderId="25" xfId="0" applyNumberFormat="1" applyFont="1" applyFill="1" applyBorder="1" applyProtection="1"/>
    <xf numFmtId="2" fontId="23" fillId="0" borderId="26" xfId="0" applyNumberFormat="1" applyFont="1" applyFill="1" applyBorder="1" applyProtection="1"/>
    <xf numFmtId="2" fontId="23" fillId="8" borderId="39" xfId="0" applyNumberFormat="1" applyFont="1" applyFill="1" applyBorder="1" applyAlignment="1" applyProtection="1">
      <alignment horizontal="center"/>
    </xf>
    <xf numFmtId="2" fontId="23" fillId="8" borderId="40" xfId="0" applyNumberFormat="1" applyFont="1" applyFill="1" applyBorder="1" applyAlignment="1" applyProtection="1">
      <alignment horizontal="center" vertical="center"/>
    </xf>
    <xf numFmtId="2" fontId="23" fillId="0" borderId="8" xfId="0" applyNumberFormat="1" applyFont="1" applyFill="1" applyBorder="1" applyAlignment="1" applyProtection="1">
      <alignment horizontal="center"/>
    </xf>
    <xf numFmtId="0" fontId="8" fillId="0" borderId="27" xfId="0" applyFont="1" applyFill="1" applyBorder="1" applyProtection="1"/>
    <xf numFmtId="0" fontId="23" fillId="0" borderId="36" xfId="0" applyFont="1" applyFill="1" applyBorder="1" applyAlignment="1" applyProtection="1">
      <alignment horizontal="center" vertical="center"/>
    </xf>
    <xf numFmtId="0" fontId="49" fillId="0" borderId="23" xfId="0" applyFont="1" applyFill="1" applyBorder="1" applyAlignment="1" applyProtection="1">
      <alignment horizontal="center"/>
    </xf>
    <xf numFmtId="0" fontId="23" fillId="2" borderId="29" xfId="0" applyFont="1" applyFill="1" applyBorder="1" applyAlignment="1" applyProtection="1">
      <alignment horizontal="left" vertical="center"/>
    </xf>
    <xf numFmtId="0" fontId="43" fillId="2" borderId="98" xfId="0" applyFont="1" applyFill="1" applyBorder="1" applyProtection="1"/>
    <xf numFmtId="0" fontId="23" fillId="2" borderId="91" xfId="0" applyFont="1" applyFill="1" applyBorder="1" applyAlignment="1" applyProtection="1">
      <alignment horizontal="center" vertical="center"/>
    </xf>
    <xf numFmtId="0" fontId="23" fillId="2" borderId="11" xfId="0" applyFont="1" applyFill="1" applyBorder="1" applyAlignment="1" applyProtection="1">
      <alignment horizontal="center" vertical="center"/>
    </xf>
    <xf numFmtId="0" fontId="23" fillId="0" borderId="0" xfId="0" applyFont="1" applyProtection="1"/>
    <xf numFmtId="0" fontId="23" fillId="2" borderId="68" xfId="0" applyFont="1" applyFill="1" applyBorder="1" applyAlignment="1" applyProtection="1">
      <alignment horizontal="left" vertical="center"/>
    </xf>
    <xf numFmtId="0" fontId="43" fillId="2" borderId="150" xfId="0" applyFont="1" applyFill="1" applyBorder="1" applyProtection="1"/>
    <xf numFmtId="0" fontId="23" fillId="2" borderId="156" xfId="0" applyFont="1" applyFill="1" applyBorder="1" applyAlignment="1" applyProtection="1">
      <alignment horizontal="center" vertical="center"/>
    </xf>
    <xf numFmtId="0" fontId="23" fillId="2" borderId="137" xfId="0" applyFont="1" applyFill="1" applyBorder="1" applyAlignment="1" applyProtection="1">
      <alignment horizontal="center" vertical="center"/>
    </xf>
    <xf numFmtId="0" fontId="23" fillId="2" borderId="135" xfId="0" applyFont="1" applyFill="1" applyBorder="1" applyAlignment="1" applyProtection="1">
      <alignment horizontal="center" vertical="center"/>
    </xf>
    <xf numFmtId="0" fontId="12" fillId="5" borderId="88" xfId="0" applyFont="1" applyFill="1" applyBorder="1" applyAlignment="1" applyProtection="1">
      <alignment horizontal="center" vertical="center"/>
    </xf>
    <xf numFmtId="2" fontId="23" fillId="8" borderId="89" xfId="0" applyNumberFormat="1" applyFont="1" applyFill="1" applyBorder="1" applyAlignment="1" applyProtection="1">
      <alignment horizontal="center" vertical="center"/>
    </xf>
    <xf numFmtId="2" fontId="23" fillId="8" borderId="88" xfId="0" applyNumberFormat="1" applyFont="1" applyFill="1" applyBorder="1" applyAlignment="1" applyProtection="1">
      <alignment horizontal="center"/>
    </xf>
    <xf numFmtId="0" fontId="12" fillId="0" borderId="59" xfId="14" applyFont="1" applyFill="1" applyBorder="1" applyProtection="1"/>
    <xf numFmtId="0" fontId="23" fillId="0" borderId="0" xfId="0" applyFont="1" applyAlignment="1" applyProtection="1">
      <alignment horizontal="center"/>
    </xf>
    <xf numFmtId="0" fontId="12" fillId="0" borderId="16" xfId="0" applyFont="1" applyBorder="1" applyAlignment="1" applyProtection="1">
      <alignment horizontal="center" vertical="center"/>
    </xf>
    <xf numFmtId="2" fontId="23" fillId="0" borderId="96" xfId="0" applyNumberFormat="1" applyFont="1" applyFill="1" applyBorder="1" applyAlignment="1" applyProtection="1">
      <alignment horizontal="center" vertical="center"/>
    </xf>
    <xf numFmtId="0" fontId="23" fillId="0" borderId="88" xfId="0" applyFont="1" applyFill="1" applyBorder="1" applyAlignment="1" applyProtection="1">
      <alignment horizontal="center"/>
    </xf>
    <xf numFmtId="0" fontId="55" fillId="0" borderId="88" xfId="0" applyFont="1" applyFill="1" applyBorder="1" applyProtection="1"/>
    <xf numFmtId="0" fontId="55" fillId="0" borderId="59" xfId="0" applyFont="1" applyFill="1" applyBorder="1" applyProtection="1"/>
    <xf numFmtId="0" fontId="26" fillId="0" borderId="16" xfId="0" applyFont="1" applyBorder="1" applyProtection="1"/>
    <xf numFmtId="0" fontId="55" fillId="0" borderId="11" xfId="0" applyFont="1" applyFill="1" applyBorder="1" applyAlignment="1" applyProtection="1">
      <alignment horizontal="center"/>
    </xf>
    <xf numFmtId="0" fontId="55" fillId="0" borderId="88" xfId="0" applyFont="1" applyBorder="1" applyAlignment="1" applyProtection="1">
      <alignment horizontal="center"/>
    </xf>
    <xf numFmtId="0" fontId="23" fillId="5" borderId="88" xfId="0" applyFont="1" applyFill="1" applyBorder="1" applyAlignment="1" applyProtection="1">
      <alignment horizontal="center" vertical="center"/>
    </xf>
    <xf numFmtId="2" fontId="55" fillId="14" borderId="89" xfId="0" applyNumberFormat="1" applyFont="1" applyFill="1" applyBorder="1" applyAlignment="1" applyProtection="1">
      <alignment horizontal="center"/>
    </xf>
    <xf numFmtId="2" fontId="55" fillId="14" borderId="88" xfId="0" applyNumberFormat="1" applyFont="1" applyFill="1" applyBorder="1" applyAlignment="1" applyProtection="1">
      <alignment horizontal="center" vertical="center"/>
    </xf>
    <xf numFmtId="1" fontId="23" fillId="8" borderId="89" xfId="0" applyNumberFormat="1" applyFont="1" applyFill="1" applyBorder="1" applyAlignment="1" applyProtection="1">
      <alignment horizontal="center"/>
    </xf>
    <xf numFmtId="1" fontId="23" fillId="8" borderId="88" xfId="0" applyNumberFormat="1" applyFont="1" applyFill="1" applyBorder="1" applyAlignment="1" applyProtection="1">
      <alignment horizontal="center"/>
    </xf>
    <xf numFmtId="1" fontId="23" fillId="8" borderId="59" xfId="0" applyNumberFormat="1" applyFont="1" applyFill="1" applyBorder="1" applyAlignment="1" applyProtection="1">
      <alignment horizontal="center"/>
    </xf>
    <xf numFmtId="0" fontId="23" fillId="0" borderId="16" xfId="0" applyFont="1" applyBorder="1" applyProtection="1"/>
    <xf numFmtId="0" fontId="55" fillId="0" borderId="11" xfId="0" applyFont="1" applyBorder="1" applyAlignment="1" applyProtection="1">
      <alignment horizontal="center"/>
    </xf>
    <xf numFmtId="0" fontId="55" fillId="0" borderId="88" xfId="0" applyFont="1" applyBorder="1" applyProtection="1"/>
    <xf numFmtId="0" fontId="3" fillId="0" borderId="59" xfId="14" applyFont="1" applyFill="1" applyBorder="1" applyProtection="1"/>
    <xf numFmtId="0" fontId="55" fillId="0" borderId="59" xfId="0" applyFont="1" applyBorder="1" applyProtection="1"/>
    <xf numFmtId="2" fontId="55" fillId="14" borderId="88" xfId="0" applyNumberFormat="1" applyFont="1" applyFill="1" applyBorder="1" applyAlignment="1" applyProtection="1">
      <alignment horizontal="center"/>
    </xf>
    <xf numFmtId="2" fontId="55" fillId="14" borderId="59" xfId="0" applyNumberFormat="1" applyFont="1" applyFill="1" applyBorder="1" applyAlignment="1" applyProtection="1">
      <alignment horizontal="center"/>
    </xf>
    <xf numFmtId="0" fontId="12" fillId="5" borderId="91" xfId="0" applyFont="1" applyFill="1" applyBorder="1" applyAlignment="1" applyProtection="1">
      <alignment horizontal="center" vertical="center"/>
    </xf>
    <xf numFmtId="1" fontId="23" fillId="0" borderId="88" xfId="0" applyNumberFormat="1" applyFont="1" applyFill="1" applyBorder="1" applyAlignment="1" applyProtection="1"/>
    <xf numFmtId="0" fontId="12" fillId="5" borderId="9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1" fontId="23" fillId="0" borderId="97" xfId="0" applyNumberFormat="1" applyFont="1" applyFill="1" applyBorder="1" applyAlignment="1" applyProtection="1">
      <alignment horizontal="center"/>
    </xf>
    <xf numFmtId="1" fontId="23" fillId="0" borderId="88" xfId="0" applyNumberFormat="1" applyFont="1" applyFill="1" applyBorder="1" applyAlignment="1" applyProtection="1">
      <alignment horizontal="center"/>
    </xf>
    <xf numFmtId="0" fontId="12" fillId="5" borderId="42" xfId="0" applyFont="1" applyFill="1" applyBorder="1" applyAlignment="1" applyProtection="1">
      <alignment horizontal="center"/>
    </xf>
    <xf numFmtId="2" fontId="55" fillId="14" borderId="42" xfId="0" applyNumberFormat="1" applyFont="1" applyFill="1" applyBorder="1" applyAlignment="1" applyProtection="1">
      <alignment horizontal="center"/>
    </xf>
    <xf numFmtId="2" fontId="23" fillId="0" borderId="42" xfId="0" applyNumberFormat="1" applyFont="1" applyFill="1" applyBorder="1" applyAlignment="1" applyProtection="1">
      <alignment horizontal="center"/>
    </xf>
    <xf numFmtId="0" fontId="55" fillId="0" borderId="40" xfId="0" applyFont="1" applyBorder="1" applyProtection="1"/>
    <xf numFmtId="0" fontId="23" fillId="0" borderId="25" xfId="0" applyFont="1" applyFill="1" applyBorder="1" applyAlignment="1" applyProtection="1">
      <alignment horizontal="left"/>
    </xf>
    <xf numFmtId="0" fontId="55" fillId="0" borderId="26" xfId="0" applyFont="1" applyFill="1" applyBorder="1" applyProtection="1"/>
    <xf numFmtId="0" fontId="12" fillId="0" borderId="26" xfId="0" applyFont="1" applyFill="1" applyBorder="1" applyAlignment="1" applyProtection="1">
      <alignment horizontal="center"/>
    </xf>
    <xf numFmtId="2" fontId="23" fillId="0" borderId="26" xfId="0" applyNumberFormat="1" applyFont="1" applyFill="1" applyBorder="1" applyAlignment="1" applyProtection="1">
      <alignment horizontal="center"/>
    </xf>
    <xf numFmtId="2" fontId="55" fillId="0" borderId="26" xfId="0" applyNumberFormat="1" applyFont="1" applyFill="1" applyBorder="1" applyAlignment="1" applyProtection="1">
      <alignment horizontal="center"/>
    </xf>
    <xf numFmtId="0" fontId="55" fillId="0" borderId="2" xfId="0" applyFont="1" applyBorder="1" applyProtection="1"/>
    <xf numFmtId="0" fontId="67" fillId="0" borderId="0" xfId="0" applyFont="1" applyFill="1" applyBorder="1" applyAlignment="1" applyProtection="1">
      <alignment horizontal="center"/>
    </xf>
    <xf numFmtId="0" fontId="67" fillId="0" borderId="0" xfId="0" applyFont="1" applyBorder="1" applyProtection="1"/>
    <xf numFmtId="0" fontId="67" fillId="0" borderId="0" xfId="0" applyFont="1" applyProtection="1"/>
    <xf numFmtId="0" fontId="68" fillId="0" borderId="0" xfId="0" applyFont="1" applyProtection="1"/>
    <xf numFmtId="0" fontId="68" fillId="0" borderId="0" xfId="0" applyFont="1" applyAlignment="1" applyProtection="1">
      <alignment horizontal="center"/>
    </xf>
    <xf numFmtId="0" fontId="54" fillId="0" borderId="29" xfId="0" applyFont="1" applyFill="1" applyBorder="1" applyAlignment="1" applyProtection="1">
      <alignment horizontal="left" vertical="center"/>
    </xf>
    <xf numFmtId="0" fontId="23" fillId="0" borderId="82" xfId="0" applyFont="1" applyFill="1" applyBorder="1" applyProtection="1"/>
    <xf numFmtId="0" fontId="23" fillId="0" borderId="91" xfId="0" applyFont="1" applyFill="1" applyBorder="1" applyAlignment="1" applyProtection="1">
      <alignment horizontal="center"/>
    </xf>
    <xf numFmtId="0" fontId="23" fillId="0" borderId="86" xfId="0" applyFont="1" applyBorder="1" applyAlignment="1" applyProtection="1">
      <alignment horizontal="center"/>
    </xf>
    <xf numFmtId="0" fontId="12" fillId="2" borderId="11" xfId="0" applyFont="1" applyFill="1" applyBorder="1" applyAlignment="1" applyProtection="1">
      <alignment horizontal="center"/>
    </xf>
    <xf numFmtId="0" fontId="23" fillId="2" borderId="131" xfId="0" applyFont="1" applyFill="1" applyBorder="1" applyAlignment="1" applyProtection="1">
      <alignment horizontal="center"/>
    </xf>
    <xf numFmtId="0" fontId="23" fillId="0" borderId="126" xfId="0" applyFont="1" applyFill="1" applyBorder="1" applyAlignment="1" applyProtection="1">
      <alignment horizontal="center"/>
    </xf>
    <xf numFmtId="0" fontId="23" fillId="0" borderId="128" xfId="0" applyFont="1" applyBorder="1" applyAlignment="1" applyProtection="1">
      <alignment horizontal="center"/>
    </xf>
    <xf numFmtId="0" fontId="12" fillId="2" borderId="39" xfId="0" applyFont="1" applyFill="1" applyBorder="1" applyAlignment="1" applyProtection="1">
      <alignment horizontal="center"/>
    </xf>
    <xf numFmtId="0" fontId="23" fillId="2" borderId="40" xfId="0" applyFont="1" applyFill="1" applyBorder="1" applyAlignment="1" applyProtection="1">
      <alignment horizontal="center" vertical="center"/>
    </xf>
    <xf numFmtId="2" fontId="30" fillId="0" borderId="0" xfId="0" applyNumberFormat="1" applyFont="1" applyFill="1" applyBorder="1" applyAlignment="1" applyProtection="1">
      <alignment horizontal="left" vertical="center"/>
    </xf>
    <xf numFmtId="2" fontId="23" fillId="13" borderId="41" xfId="0" applyNumberFormat="1" applyFont="1" applyFill="1" applyBorder="1" applyAlignment="1" applyProtection="1">
      <alignment horizontal="center" vertical="center"/>
    </xf>
    <xf numFmtId="2" fontId="23" fillId="13" borderId="47" xfId="0" applyNumberFormat="1" applyFont="1" applyFill="1" applyBorder="1" applyAlignment="1" applyProtection="1">
      <alignment horizontal="center"/>
    </xf>
    <xf numFmtId="0" fontId="23" fillId="0" borderId="121" xfId="0" applyFont="1" applyFill="1" applyBorder="1" applyAlignment="1" applyProtection="1">
      <alignment horizontal="left" vertical="center"/>
    </xf>
    <xf numFmtId="2" fontId="23" fillId="13" borderId="121" xfId="0" applyNumberFormat="1" applyFont="1" applyFill="1" applyBorder="1" applyAlignment="1" applyProtection="1">
      <alignment horizontal="center" vertical="center"/>
    </xf>
    <xf numFmtId="0" fontId="23" fillId="13" borderId="32" xfId="0" applyFont="1" applyFill="1" applyBorder="1" applyAlignment="1" applyProtection="1">
      <alignment horizontal="center"/>
    </xf>
    <xf numFmtId="0" fontId="23" fillId="0" borderId="43" xfId="0" applyFont="1" applyFill="1" applyBorder="1" applyAlignment="1" applyProtection="1">
      <alignment horizontal="left" vertical="center"/>
    </xf>
    <xf numFmtId="2" fontId="23" fillId="13" borderId="43" xfId="0" applyNumberFormat="1" applyFont="1" applyFill="1" applyBorder="1" applyAlignment="1" applyProtection="1">
      <alignment horizontal="center" vertical="center"/>
    </xf>
    <xf numFmtId="0" fontId="23" fillId="13" borderId="58" xfId="0" applyFont="1" applyFill="1" applyBorder="1" applyAlignment="1" applyProtection="1">
      <alignment horizontal="center"/>
    </xf>
    <xf numFmtId="0" fontId="42" fillId="0" borderId="0" xfId="0" applyFont="1" applyFill="1" applyBorder="1" applyProtection="1"/>
    <xf numFmtId="0" fontId="0" fillId="0" borderId="0" xfId="0" applyFill="1" applyBorder="1" applyAlignment="1" applyProtection="1">
      <alignment horizontal="center"/>
    </xf>
    <xf numFmtId="0" fontId="0" fillId="0" borderId="0" xfId="0" applyBorder="1" applyAlignment="1" applyProtection="1">
      <alignment horizontal="center"/>
    </xf>
    <xf numFmtId="0" fontId="23" fillId="0" borderId="31" xfId="0" applyFont="1" applyFill="1" applyBorder="1" applyAlignment="1" applyProtection="1">
      <alignment vertical="center"/>
    </xf>
    <xf numFmtId="0" fontId="23" fillId="0" borderId="50" xfId="0" applyFont="1" applyFill="1" applyBorder="1" applyAlignment="1" applyProtection="1">
      <alignment vertical="center"/>
    </xf>
    <xf numFmtId="0" fontId="42" fillId="0" borderId="0" xfId="0" applyFont="1" applyAlignment="1" applyProtection="1">
      <alignment horizontal="center"/>
    </xf>
    <xf numFmtId="0" fontId="23" fillId="12" borderId="50" xfId="0" applyFont="1" applyFill="1" applyBorder="1" applyAlignment="1" applyProtection="1">
      <alignment horizontal="center" vertical="center"/>
      <protection locked="0"/>
    </xf>
    <xf numFmtId="0" fontId="23" fillId="12" borderId="43" xfId="0" applyFont="1" applyFill="1" applyBorder="1" applyAlignment="1" applyProtection="1">
      <alignment vertical="center" wrapText="1"/>
      <protection locked="0"/>
    </xf>
    <xf numFmtId="0" fontId="23" fillId="0" borderId="0" xfId="0" applyFont="1" applyFill="1" applyBorder="1" applyAlignment="1" applyProtection="1">
      <alignment horizontal="center" vertical="center"/>
      <protection locked="0"/>
    </xf>
    <xf numFmtId="0" fontId="23" fillId="0" borderId="121" xfId="0" applyFont="1" applyFill="1" applyBorder="1" applyAlignment="1" applyProtection="1">
      <alignment vertical="center" wrapText="1"/>
      <protection locked="0"/>
    </xf>
    <xf numFmtId="0" fontId="23" fillId="0" borderId="4" xfId="0" applyFont="1" applyFill="1" applyBorder="1" applyAlignment="1" applyProtection="1">
      <alignment horizontal="center" vertical="center"/>
      <protection locked="0"/>
    </xf>
    <xf numFmtId="0" fontId="23" fillId="12" borderId="29" xfId="0" applyFont="1" applyFill="1" applyBorder="1" applyAlignment="1" applyProtection="1">
      <alignment horizontal="center" vertical="center"/>
      <protection locked="0"/>
    </xf>
    <xf numFmtId="0" fontId="23" fillId="12" borderId="91" xfId="0" applyFont="1" applyFill="1" applyBorder="1" applyAlignment="1" applyProtection="1">
      <alignment vertical="center" wrapText="1"/>
      <protection locked="0"/>
    </xf>
    <xf numFmtId="0" fontId="23" fillId="12" borderId="28" xfId="0" applyFont="1" applyFill="1" applyBorder="1" applyAlignment="1" applyProtection="1">
      <alignment horizontal="center"/>
      <protection locked="0"/>
    </xf>
    <xf numFmtId="0" fontId="23" fillId="12" borderId="18" xfId="0" applyFont="1" applyFill="1" applyBorder="1" applyAlignment="1" applyProtection="1">
      <protection locked="0"/>
    </xf>
    <xf numFmtId="0" fontId="23" fillId="0" borderId="28" xfId="0" applyFont="1" applyFill="1" applyBorder="1" applyAlignment="1" applyProtection="1">
      <alignment horizontal="center"/>
      <protection locked="0"/>
    </xf>
    <xf numFmtId="0" fontId="23" fillId="0" borderId="18" xfId="0" applyFont="1" applyFill="1" applyBorder="1" applyAlignment="1" applyProtection="1">
      <protection locked="0"/>
    </xf>
    <xf numFmtId="0" fontId="23" fillId="0" borderId="28" xfId="0" applyFont="1" applyFill="1" applyBorder="1" applyAlignment="1" applyProtection="1">
      <protection locked="0"/>
    </xf>
    <xf numFmtId="0" fontId="23" fillId="0" borderId="88" xfId="0" applyFont="1" applyFill="1" applyBorder="1" applyAlignment="1" applyProtection="1">
      <protection locked="0"/>
    </xf>
    <xf numFmtId="0" fontId="23" fillId="12" borderId="69" xfId="0" applyFont="1" applyFill="1" applyBorder="1" applyAlignment="1" applyProtection="1">
      <alignment horizontal="center"/>
      <protection locked="0"/>
    </xf>
    <xf numFmtId="0" fontId="23" fillId="12" borderId="15" xfId="0" applyFont="1" applyFill="1" applyBorder="1" applyAlignment="1" applyProtection="1">
      <protection locked="0"/>
    </xf>
    <xf numFmtId="0" fontId="0" fillId="0" borderId="28" xfId="0" applyBorder="1" applyProtection="1">
      <protection locked="0"/>
    </xf>
    <xf numFmtId="0" fontId="0" fillId="0" borderId="18" xfId="0" applyBorder="1" applyProtection="1">
      <protection locked="0"/>
    </xf>
    <xf numFmtId="0" fontId="12" fillId="12" borderId="61" xfId="0" applyFont="1" applyFill="1" applyBorder="1" applyAlignment="1" applyProtection="1">
      <alignment horizontal="center"/>
      <protection locked="0"/>
    </xf>
    <xf numFmtId="0" fontId="23" fillId="12" borderId="42" xfId="0" applyFont="1" applyFill="1" applyBorder="1" applyAlignment="1" applyProtection="1">
      <protection locked="0"/>
    </xf>
    <xf numFmtId="0" fontId="23" fillId="12" borderId="29" xfId="0" applyFont="1" applyFill="1" applyBorder="1" applyAlignment="1" applyProtection="1">
      <alignment horizontal="left"/>
      <protection locked="0"/>
    </xf>
    <xf numFmtId="0" fontId="0" fillId="12" borderId="98" xfId="0" applyFill="1" applyBorder="1" applyProtection="1">
      <protection locked="0"/>
    </xf>
    <xf numFmtId="2" fontId="23" fillId="12" borderId="29" xfId="0" applyNumberFormat="1" applyFont="1" applyFill="1" applyBorder="1" applyProtection="1">
      <protection locked="0"/>
    </xf>
    <xf numFmtId="2" fontId="23" fillId="12" borderId="98" xfId="0" applyNumberFormat="1" applyFont="1" applyFill="1" applyBorder="1" applyProtection="1">
      <protection locked="0"/>
    </xf>
    <xf numFmtId="0" fontId="23" fillId="12" borderId="29" xfId="0" applyFont="1" applyFill="1" applyBorder="1" applyAlignment="1" applyProtection="1">
      <alignment vertical="center"/>
      <protection locked="0"/>
    </xf>
    <xf numFmtId="0" fontId="12" fillId="12" borderId="68" xfId="11" applyFont="1" applyFill="1" applyBorder="1" applyProtection="1">
      <protection locked="0"/>
    </xf>
    <xf numFmtId="0" fontId="55" fillId="12" borderId="90" xfId="0" applyFont="1" applyFill="1" applyBorder="1" applyAlignment="1" applyProtection="1">
      <alignment vertical="center"/>
      <protection locked="0"/>
    </xf>
    <xf numFmtId="0" fontId="23" fillId="0" borderId="68" xfId="0" applyFont="1" applyBorder="1" applyAlignment="1" applyProtection="1">
      <alignment vertical="center"/>
      <protection locked="0"/>
    </xf>
    <xf numFmtId="0" fontId="55" fillId="0" borderId="0" xfId="0" applyFont="1" applyBorder="1" applyAlignment="1" applyProtection="1">
      <alignment vertical="center"/>
      <protection locked="0"/>
    </xf>
    <xf numFmtId="0" fontId="55" fillId="0" borderId="4" xfId="0" applyFont="1" applyBorder="1" applyProtection="1">
      <protection locked="0"/>
    </xf>
    <xf numFmtId="0" fontId="55" fillId="0" borderId="0" xfId="0" applyFont="1" applyBorder="1" applyProtection="1">
      <protection locked="0"/>
    </xf>
    <xf numFmtId="0" fontId="55" fillId="12" borderId="90" xfId="0" applyFont="1" applyFill="1" applyBorder="1" applyProtection="1">
      <protection locked="0"/>
    </xf>
    <xf numFmtId="0" fontId="23" fillId="12" borderId="68" xfId="0" applyFont="1" applyFill="1" applyBorder="1" applyAlignment="1" applyProtection="1">
      <alignment horizontal="left"/>
      <protection locked="0"/>
    </xf>
    <xf numFmtId="0" fontId="23" fillId="12" borderId="90" xfId="0" applyFont="1" applyFill="1" applyBorder="1" applyAlignment="1" applyProtection="1">
      <alignment horizontal="left" vertical="center"/>
      <protection locked="0"/>
    </xf>
    <xf numFmtId="0" fontId="23" fillId="12" borderId="84" xfId="0" applyFont="1" applyFill="1" applyBorder="1" applyAlignment="1" applyProtection="1">
      <alignment horizontal="left" vertical="center"/>
      <protection locked="0"/>
    </xf>
    <xf numFmtId="0" fontId="23" fillId="12" borderId="89" xfId="0" applyFont="1" applyFill="1" applyBorder="1" applyAlignment="1" applyProtection="1">
      <alignment horizontal="left"/>
      <protection locked="0"/>
    </xf>
    <xf numFmtId="0" fontId="23" fillId="0" borderId="4" xfId="0" applyFont="1" applyFill="1" applyBorder="1" applyAlignment="1" applyProtection="1">
      <alignment horizontal="left"/>
      <protection locked="0"/>
    </xf>
    <xf numFmtId="0" fontId="55" fillId="0" borderId="0" xfId="0" applyFont="1" applyFill="1" applyBorder="1" applyProtection="1">
      <protection locked="0"/>
    </xf>
    <xf numFmtId="0" fontId="23" fillId="12" borderId="45" xfId="0" applyFont="1" applyFill="1" applyBorder="1" applyAlignment="1" applyProtection="1">
      <alignment horizontal="left"/>
      <protection locked="0"/>
    </xf>
    <xf numFmtId="0" fontId="55" fillId="12" borderId="53" xfId="0" applyFont="1" applyFill="1" applyBorder="1" applyProtection="1">
      <protection locked="0"/>
    </xf>
    <xf numFmtId="0" fontId="23" fillId="12" borderId="41" xfId="0" applyFont="1" applyFill="1" applyBorder="1" applyAlignment="1" applyProtection="1">
      <alignment horizontal="left" vertical="center"/>
      <protection locked="0"/>
    </xf>
    <xf numFmtId="0" fontId="18" fillId="0" borderId="0" xfId="0" applyFont="1" applyFill="1" applyBorder="1" applyProtection="1">
      <protection locked="0"/>
    </xf>
    <xf numFmtId="0" fontId="8" fillId="0" borderId="0" xfId="0" applyFont="1" applyFill="1" applyBorder="1" applyAlignment="1" applyProtection="1">
      <alignment horizontal="center"/>
      <protection locked="0"/>
    </xf>
    <xf numFmtId="0" fontId="23" fillId="0" borderId="0" xfId="0" applyFont="1" applyFill="1" applyBorder="1" applyProtection="1">
      <protection locked="0"/>
    </xf>
    <xf numFmtId="0" fontId="23" fillId="0" borderId="0" xfId="0" applyFont="1" applyFill="1" applyBorder="1" applyAlignment="1" applyProtection="1">
      <alignment horizontal="center"/>
      <protection locked="0"/>
    </xf>
    <xf numFmtId="0" fontId="8" fillId="0" borderId="0" xfId="0" applyFont="1" applyFill="1" applyBorder="1" applyProtection="1">
      <protection locked="0"/>
    </xf>
    <xf numFmtId="0" fontId="23" fillId="0" borderId="0" xfId="0" applyFont="1" applyFill="1" applyBorder="1" applyAlignment="1" applyProtection="1">
      <alignment vertical="center"/>
      <protection locked="0"/>
    </xf>
    <xf numFmtId="0" fontId="23" fillId="0" borderId="88" xfId="0" applyFont="1" applyFill="1" applyBorder="1" applyAlignment="1" applyProtection="1">
      <alignment vertical="center" wrapText="1"/>
      <protection locked="0"/>
    </xf>
    <xf numFmtId="0" fontId="23" fillId="0" borderId="113" xfId="0" applyFont="1" applyFill="1" applyBorder="1" applyAlignment="1" applyProtection="1">
      <alignment vertical="center" wrapText="1"/>
      <protection locked="0"/>
    </xf>
    <xf numFmtId="0" fontId="23" fillId="0" borderId="88" xfId="0" applyFont="1" applyFill="1" applyBorder="1" applyAlignment="1" applyProtection="1">
      <alignment horizontal="center" vertical="center" wrapText="1"/>
      <protection locked="0"/>
    </xf>
    <xf numFmtId="0" fontId="23" fillId="0" borderId="89" xfId="0" applyFont="1" applyFill="1" applyBorder="1" applyAlignment="1" applyProtection="1">
      <alignment horizontal="center" vertical="center" wrapText="1"/>
      <protection locked="0"/>
    </xf>
    <xf numFmtId="0" fontId="23" fillId="0" borderId="88" xfId="0" applyFont="1" applyFill="1" applyBorder="1" applyAlignment="1" applyProtection="1">
      <alignment vertical="center"/>
      <protection locked="0"/>
    </xf>
    <xf numFmtId="0" fontId="23" fillId="0" borderId="113" xfId="0" applyFont="1" applyFill="1" applyBorder="1" applyAlignment="1" applyProtection="1">
      <alignment vertical="center"/>
      <protection locked="0"/>
    </xf>
    <xf numFmtId="2" fontId="23" fillId="0" borderId="88"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vertical="center"/>
      <protection locked="0"/>
    </xf>
    <xf numFmtId="0" fontId="23" fillId="0" borderId="88" xfId="0" applyFont="1" applyFill="1" applyBorder="1" applyAlignment="1" applyProtection="1">
      <alignment horizontal="center" vertical="center"/>
      <protection locked="0"/>
    </xf>
    <xf numFmtId="2" fontId="8" fillId="0" borderId="88" xfId="0" applyNumberFormat="1" applyFont="1" applyFill="1" applyBorder="1" applyAlignment="1" applyProtection="1">
      <alignment horizontal="center" vertical="center"/>
      <protection locked="0"/>
    </xf>
    <xf numFmtId="0" fontId="18" fillId="11" borderId="0" xfId="0" applyFont="1" applyFill="1" applyBorder="1" applyProtection="1">
      <protection locked="0"/>
    </xf>
    <xf numFmtId="0" fontId="8" fillId="11" borderId="0" xfId="0" applyFont="1" applyFill="1" applyBorder="1" applyAlignment="1" applyProtection="1">
      <alignment horizontal="center"/>
      <protection locked="0"/>
    </xf>
    <xf numFmtId="0" fontId="23" fillId="11" borderId="0" xfId="0" applyFont="1" applyFill="1" applyBorder="1" applyProtection="1">
      <protection locked="0"/>
    </xf>
    <xf numFmtId="0" fontId="8" fillId="0" borderId="88" xfId="0" applyFont="1" applyFill="1" applyBorder="1" applyAlignment="1" applyProtection="1">
      <alignment horizontal="center" vertical="center" wrapText="1"/>
      <protection locked="0"/>
    </xf>
    <xf numFmtId="0" fontId="18" fillId="0" borderId="88" xfId="0" applyFont="1" applyFill="1" applyBorder="1" applyProtection="1">
      <protection locked="0"/>
    </xf>
    <xf numFmtId="0" fontId="8" fillId="0" borderId="88" xfId="0" applyFont="1" applyFill="1" applyBorder="1" applyAlignment="1" applyProtection="1">
      <alignment horizontal="center"/>
      <protection locked="0"/>
    </xf>
    <xf numFmtId="0" fontId="23" fillId="0" borderId="88" xfId="0" applyFont="1" applyFill="1" applyBorder="1" applyAlignment="1" applyProtection="1">
      <alignment horizontal="center"/>
      <protection locked="0"/>
    </xf>
    <xf numFmtId="0" fontId="18" fillId="0" borderId="156" xfId="0" applyFont="1" applyFill="1" applyBorder="1" applyProtection="1">
      <protection locked="0"/>
    </xf>
    <xf numFmtId="0" fontId="8" fillId="0" borderId="156" xfId="0" applyFont="1" applyFill="1" applyBorder="1" applyAlignment="1" applyProtection="1">
      <alignment horizontal="center"/>
      <protection locked="0"/>
    </xf>
    <xf numFmtId="0" fontId="23" fillId="0" borderId="156" xfId="0" applyFont="1" applyFill="1" applyBorder="1" applyAlignment="1" applyProtection="1">
      <alignment horizontal="center"/>
      <protection locked="0"/>
    </xf>
    <xf numFmtId="0" fontId="23" fillId="12" borderId="88" xfId="0" applyFont="1" applyFill="1" applyBorder="1" applyAlignment="1" applyProtection="1">
      <alignment vertical="center"/>
      <protection locked="0"/>
    </xf>
    <xf numFmtId="2" fontId="8" fillId="10" borderId="88" xfId="0" applyNumberFormat="1" applyFont="1" applyFill="1" applyBorder="1" applyAlignment="1" applyProtection="1">
      <alignment horizontal="center" vertical="center"/>
      <protection locked="0"/>
    </xf>
    <xf numFmtId="9" fontId="23" fillId="16" borderId="88" xfId="0" applyNumberFormat="1" applyFont="1" applyFill="1" applyBorder="1" applyAlignment="1" applyProtection="1">
      <alignment horizontal="center" vertical="center"/>
      <protection locked="0"/>
    </xf>
    <xf numFmtId="2" fontId="8" fillId="10" borderId="155" xfId="0" applyNumberFormat="1" applyFont="1" applyFill="1" applyBorder="1" applyAlignment="1" applyProtection="1">
      <alignment horizontal="center" vertical="center"/>
      <protection locked="0"/>
    </xf>
    <xf numFmtId="0" fontId="23" fillId="12" borderId="137" xfId="0" applyFont="1" applyFill="1" applyBorder="1" applyAlignment="1" applyProtection="1">
      <alignment vertical="center"/>
      <protection locked="0"/>
    </xf>
    <xf numFmtId="2" fontId="8" fillId="10" borderId="144" xfId="0" applyNumberFormat="1" applyFont="1" applyFill="1" applyBorder="1" applyAlignment="1" applyProtection="1">
      <alignment horizontal="center" vertical="center"/>
      <protection locked="0"/>
    </xf>
    <xf numFmtId="0" fontId="23" fillId="0" borderId="124" xfId="0" applyFont="1" applyFill="1" applyBorder="1" applyAlignment="1" applyProtection="1">
      <alignment horizontal="center" vertical="center"/>
      <protection locked="0"/>
    </xf>
    <xf numFmtId="2" fontId="8" fillId="10" borderId="130" xfId="0" applyNumberFormat="1" applyFont="1" applyFill="1" applyBorder="1" applyAlignment="1" applyProtection="1">
      <alignment horizontal="center" vertical="center"/>
      <protection locked="0"/>
    </xf>
    <xf numFmtId="0" fontId="23" fillId="12" borderId="125" xfId="0" applyFont="1" applyFill="1" applyBorder="1" applyAlignment="1" applyProtection="1">
      <alignment vertical="center"/>
      <protection locked="0"/>
    </xf>
    <xf numFmtId="2" fontId="8" fillId="10" borderId="125" xfId="0" applyNumberFormat="1" applyFont="1" applyFill="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9" fontId="23" fillId="16" borderId="125" xfId="0" applyNumberFormat="1" applyFont="1" applyFill="1" applyBorder="1" applyAlignment="1" applyProtection="1">
      <alignment horizontal="center" vertical="center"/>
      <protection locked="0"/>
    </xf>
    <xf numFmtId="2" fontId="23" fillId="0" borderId="125" xfId="0" applyNumberFormat="1" applyFont="1" applyFill="1" applyBorder="1" applyAlignment="1" applyProtection="1">
      <alignment horizontal="center" vertical="center"/>
      <protection locked="0"/>
    </xf>
    <xf numFmtId="0" fontId="23" fillId="0" borderId="156" xfId="0" applyFont="1" applyFill="1" applyBorder="1" applyAlignment="1" applyProtection="1">
      <alignment vertical="center"/>
      <protection locked="0"/>
    </xf>
    <xf numFmtId="2" fontId="8" fillId="0" borderId="156" xfId="0" applyNumberFormat="1" applyFont="1" applyFill="1" applyBorder="1" applyAlignment="1" applyProtection="1">
      <alignment horizontal="center" vertical="center"/>
      <protection locked="0"/>
    </xf>
    <xf numFmtId="0" fontId="23" fillId="0" borderId="156" xfId="0" applyFont="1" applyFill="1" applyBorder="1" applyAlignment="1" applyProtection="1">
      <alignment horizontal="center" vertical="center"/>
      <protection locked="0"/>
    </xf>
    <xf numFmtId="9" fontId="23" fillId="0" borderId="156" xfId="0" applyNumberFormat="1" applyFont="1" applyFill="1" applyBorder="1" applyAlignment="1" applyProtection="1">
      <alignment horizontal="center" vertical="center"/>
      <protection locked="0"/>
    </xf>
    <xf numFmtId="2" fontId="23" fillId="0" borderId="156" xfId="0" applyNumberFormat="1" applyFont="1" applyFill="1" applyBorder="1" applyAlignment="1" applyProtection="1">
      <alignment horizontal="center" vertical="center"/>
      <protection locked="0"/>
    </xf>
    <xf numFmtId="0" fontId="21" fillId="0" borderId="88" xfId="0" applyFont="1" applyFill="1" applyBorder="1" applyAlignment="1" applyProtection="1">
      <alignment vertical="center"/>
      <protection locked="0"/>
    </xf>
    <xf numFmtId="2" fontId="23" fillId="0" borderId="88" xfId="0" applyNumberFormat="1" applyFont="1" applyFill="1" applyBorder="1" applyAlignment="1" applyProtection="1">
      <alignment horizontal="center"/>
      <protection locked="0"/>
    </xf>
    <xf numFmtId="0" fontId="18" fillId="14" borderId="0" xfId="0" applyFont="1" applyFill="1" applyBorder="1" applyProtection="1">
      <protection locked="0"/>
    </xf>
    <xf numFmtId="0" fontId="23" fillId="14" borderId="0" xfId="0" applyFont="1" applyFill="1" applyBorder="1" applyAlignment="1" applyProtection="1">
      <alignment horizontal="center"/>
      <protection locked="0"/>
    </xf>
    <xf numFmtId="0" fontId="23" fillId="14" borderId="0" xfId="0" applyFont="1" applyFill="1" applyBorder="1" applyAlignment="1" applyProtection="1">
      <alignment horizontal="left"/>
      <protection locked="0"/>
    </xf>
    <xf numFmtId="0" fontId="9" fillId="0" borderId="0" xfId="14" applyFont="1" applyFill="1" applyBorder="1" applyAlignment="1" applyProtection="1">
      <alignment horizontal="left" vertical="center" wrapText="1"/>
      <protection locked="0"/>
    </xf>
    <xf numFmtId="166" fontId="9" fillId="0" borderId="0" xfId="14" applyNumberFormat="1" applyFont="1" applyFill="1" applyBorder="1" applyAlignment="1" applyProtection="1">
      <alignment horizontal="center"/>
      <protection locked="0"/>
    </xf>
    <xf numFmtId="0" fontId="9" fillId="0" borderId="0" xfId="14" applyFont="1" applyFill="1" applyBorder="1" applyAlignment="1" applyProtection="1">
      <alignment horizontal="center"/>
      <protection locked="0"/>
    </xf>
    <xf numFmtId="0" fontId="8" fillId="0" borderId="0" xfId="0" applyFont="1" applyFill="1" applyProtection="1">
      <protection locked="0"/>
    </xf>
    <xf numFmtId="0" fontId="23" fillId="0" borderId="75" xfId="0" applyFont="1" applyFill="1" applyBorder="1" applyAlignment="1" applyProtection="1">
      <alignment vertical="center" wrapText="1"/>
      <protection locked="0"/>
    </xf>
    <xf numFmtId="0" fontId="12" fillId="0" borderId="23" xfId="14" applyFont="1" applyFill="1" applyBorder="1" applyAlignment="1" applyProtection="1">
      <alignment horizontal="left" vertical="center"/>
      <protection locked="0"/>
    </xf>
    <xf numFmtId="0" fontId="12" fillId="0" borderId="23" xfId="14" applyFont="1" applyFill="1" applyBorder="1" applyProtection="1">
      <protection locked="0"/>
    </xf>
    <xf numFmtId="0" fontId="12" fillId="0" borderId="41" xfId="14" applyFont="1" applyFill="1" applyBorder="1" applyAlignment="1" applyProtection="1">
      <alignment horizontal="center" vertical="center" wrapText="1"/>
      <protection locked="0"/>
    </xf>
    <xf numFmtId="0" fontId="12" fillId="0" borderId="56" xfId="14" applyFont="1" applyFill="1" applyBorder="1" applyAlignment="1" applyProtection="1">
      <alignment horizontal="center" vertical="center" wrapText="1"/>
      <protection locked="0"/>
    </xf>
    <xf numFmtId="0" fontId="12" fillId="0" borderId="74" xfId="14" applyFont="1" applyFill="1" applyBorder="1" applyAlignment="1" applyProtection="1">
      <alignment horizontal="center" vertical="center" wrapText="1"/>
      <protection locked="0"/>
    </xf>
    <xf numFmtId="0" fontId="23" fillId="0" borderId="75" xfId="0" applyFont="1" applyFill="1" applyBorder="1" applyAlignment="1" applyProtection="1">
      <alignment horizontal="center" vertical="center" wrapText="1"/>
      <protection locked="0"/>
    </xf>
    <xf numFmtId="0" fontId="23" fillId="0" borderId="70" xfId="0" applyFont="1" applyFill="1" applyBorder="1" applyAlignment="1" applyProtection="1">
      <alignment horizontal="center" vertical="center" wrapText="1"/>
      <protection locked="0"/>
    </xf>
    <xf numFmtId="0" fontId="23" fillId="0" borderId="74" xfId="0" applyFont="1" applyFill="1" applyBorder="1" applyAlignment="1" applyProtection="1">
      <alignment horizontal="center" vertical="center" wrapText="1"/>
      <protection locked="0"/>
    </xf>
    <xf numFmtId="0" fontId="23" fillId="0" borderId="71" xfId="0" applyFont="1" applyFill="1" applyBorder="1" applyAlignment="1" applyProtection="1">
      <alignment horizontal="center" vertical="center" wrapText="1"/>
      <protection locked="0"/>
    </xf>
    <xf numFmtId="0" fontId="3" fillId="0" borderId="0" xfId="14" applyFont="1" applyFill="1" applyProtection="1">
      <protection locked="0"/>
    </xf>
    <xf numFmtId="0" fontId="12" fillId="12" borderId="54" xfId="14" applyFont="1" applyFill="1" applyBorder="1" applyAlignment="1" applyProtection="1">
      <alignment vertical="top"/>
      <protection locked="0"/>
    </xf>
    <xf numFmtId="0" fontId="12" fillId="10" borderId="89" xfId="14" applyFont="1" applyFill="1" applyBorder="1" applyAlignment="1" applyProtection="1">
      <alignment horizontal="left" vertical="center"/>
      <protection locked="0"/>
    </xf>
    <xf numFmtId="0" fontId="12" fillId="10" borderId="90" xfId="14" applyFont="1" applyFill="1" applyBorder="1" applyAlignment="1" applyProtection="1">
      <alignment horizontal="center" vertical="center"/>
      <protection locked="0"/>
    </xf>
    <xf numFmtId="0" fontId="25" fillId="10" borderId="90" xfId="14" applyFont="1" applyFill="1" applyBorder="1" applyAlignment="1" applyProtection="1">
      <alignment horizontal="center" vertical="center"/>
      <protection locked="0"/>
    </xf>
    <xf numFmtId="0" fontId="12" fillId="16" borderId="88" xfId="14" applyFont="1" applyFill="1" applyBorder="1" applyAlignment="1" applyProtection="1">
      <alignment horizontal="center" vertical="center"/>
      <protection locked="0"/>
    </xf>
    <xf numFmtId="2" fontId="12" fillId="0" borderId="88" xfId="14" applyNumberFormat="1" applyFont="1" applyFill="1" applyBorder="1" applyAlignment="1" applyProtection="1">
      <alignment horizontal="center" vertical="center"/>
      <protection locked="0"/>
    </xf>
    <xf numFmtId="0" fontId="12" fillId="0" borderId="89" xfId="14" applyFont="1" applyFill="1" applyBorder="1" applyAlignment="1" applyProtection="1">
      <alignment horizontal="center" vertical="center"/>
      <protection locked="0"/>
    </xf>
    <xf numFmtId="2" fontId="12" fillId="0" borderId="28" xfId="14" applyNumberFormat="1" applyFont="1" applyFill="1" applyBorder="1" applyAlignment="1" applyProtection="1">
      <alignment horizontal="center" vertical="center"/>
      <protection locked="0"/>
    </xf>
    <xf numFmtId="2" fontId="12" fillId="0" borderId="59" xfId="14" applyNumberFormat="1" applyFont="1" applyFill="1" applyBorder="1" applyAlignment="1" applyProtection="1">
      <alignment horizontal="center" vertical="center"/>
      <protection locked="0"/>
    </xf>
    <xf numFmtId="0" fontId="12" fillId="12" borderId="31" xfId="14" applyFont="1" applyFill="1" applyBorder="1" applyAlignment="1" applyProtection="1">
      <alignment horizontal="left" vertical="top"/>
      <protection locked="0"/>
    </xf>
    <xf numFmtId="2" fontId="12" fillId="10" borderId="89" xfId="14" applyNumberFormat="1" applyFont="1" applyFill="1" applyBorder="1" applyAlignment="1" applyProtection="1">
      <alignment horizontal="left" vertical="center"/>
      <protection locked="0"/>
    </xf>
    <xf numFmtId="2" fontId="12" fillId="10" borderId="90" xfId="14" applyNumberFormat="1" applyFont="1" applyFill="1" applyBorder="1" applyAlignment="1" applyProtection="1">
      <alignment horizontal="left" vertical="center"/>
      <protection locked="0"/>
    </xf>
    <xf numFmtId="0" fontId="12" fillId="12" borderId="69" xfId="14" applyFont="1" applyFill="1" applyBorder="1" applyAlignment="1" applyProtection="1">
      <alignment vertical="top"/>
      <protection locked="0"/>
    </xf>
    <xf numFmtId="0" fontId="12" fillId="12" borderId="69" xfId="14" applyFont="1" applyFill="1" applyBorder="1" applyAlignment="1" applyProtection="1">
      <alignment horizontal="left" vertical="top"/>
      <protection locked="0"/>
    </xf>
    <xf numFmtId="1" fontId="12" fillId="0" borderId="88" xfId="14" applyNumberFormat="1" applyFont="1" applyFill="1" applyBorder="1" applyAlignment="1" applyProtection="1">
      <alignment horizontal="center" vertical="center"/>
      <protection locked="0"/>
    </xf>
    <xf numFmtId="0" fontId="12" fillId="12" borderId="33" xfId="14" applyFont="1" applyFill="1" applyBorder="1" applyAlignment="1" applyProtection="1">
      <alignment horizontal="left" vertical="top"/>
      <protection locked="0"/>
    </xf>
    <xf numFmtId="0" fontId="23" fillId="10" borderId="89" xfId="0" applyFont="1" applyFill="1" applyBorder="1" applyAlignment="1" applyProtection="1">
      <alignment horizontal="left" vertical="center"/>
      <protection locked="0"/>
    </xf>
    <xf numFmtId="0" fontId="12" fillId="10" borderId="97" xfId="14" applyFont="1" applyFill="1" applyBorder="1" applyAlignment="1" applyProtection="1">
      <alignment horizontal="left" vertical="center"/>
      <protection locked="0"/>
    </xf>
    <xf numFmtId="0" fontId="12" fillId="10" borderId="98" xfId="14" applyFont="1" applyFill="1" applyBorder="1" applyAlignment="1" applyProtection="1">
      <alignment horizontal="center" vertical="center"/>
      <protection locked="0"/>
    </xf>
    <xf numFmtId="0" fontId="25" fillId="10" borderId="98" xfId="14" applyFont="1" applyFill="1" applyBorder="1" applyAlignment="1" applyProtection="1">
      <alignment horizontal="center" vertical="center"/>
      <protection locked="0"/>
    </xf>
    <xf numFmtId="0" fontId="12" fillId="16" borderId="91" xfId="14" applyFont="1" applyFill="1" applyBorder="1" applyAlignment="1" applyProtection="1">
      <alignment horizontal="center" vertical="center"/>
      <protection locked="0"/>
    </xf>
    <xf numFmtId="2" fontId="12" fillId="0" borderId="91" xfId="14" applyNumberFormat="1" applyFont="1" applyFill="1" applyBorder="1" applyAlignment="1" applyProtection="1">
      <alignment horizontal="center" vertical="center"/>
      <protection locked="0"/>
    </xf>
    <xf numFmtId="0" fontId="12" fillId="0" borderId="97" xfId="14" applyFont="1" applyFill="1" applyBorder="1" applyAlignment="1" applyProtection="1">
      <alignment horizontal="center" vertical="center"/>
      <protection locked="0"/>
    </xf>
    <xf numFmtId="0" fontId="3" fillId="0" borderId="0" xfId="14" applyFont="1" applyFill="1" applyBorder="1" applyProtection="1">
      <protection locked="0"/>
    </xf>
    <xf numFmtId="0" fontId="21" fillId="0" borderId="61" xfId="0" applyFont="1" applyFill="1" applyBorder="1" applyAlignment="1" applyProtection="1">
      <alignment vertical="center"/>
      <protection locked="0"/>
    </xf>
    <xf numFmtId="0" fontId="8" fillId="0" borderId="39" xfId="0" applyFont="1" applyFill="1" applyBorder="1" applyAlignment="1" applyProtection="1">
      <alignment horizontal="center"/>
      <protection locked="0"/>
    </xf>
    <xf numFmtId="2" fontId="23" fillId="0" borderId="30" xfId="0" applyNumberFormat="1" applyFont="1" applyFill="1" applyBorder="1" applyAlignment="1" applyProtection="1">
      <alignment horizontal="center"/>
      <protection locked="0"/>
    </xf>
    <xf numFmtId="0" fontId="23" fillId="0" borderId="30" xfId="0" applyFont="1" applyFill="1" applyBorder="1" applyAlignment="1" applyProtection="1">
      <alignment horizontal="center"/>
      <protection locked="0"/>
    </xf>
    <xf numFmtId="2" fontId="23" fillId="0" borderId="61" xfId="0" applyNumberFormat="1" applyFont="1" applyFill="1" applyBorder="1" applyAlignment="1" applyProtection="1">
      <alignment horizontal="center"/>
      <protection locked="0"/>
    </xf>
    <xf numFmtId="2" fontId="23" fillId="0" borderId="42" xfId="0" applyNumberFormat="1" applyFont="1" applyFill="1" applyBorder="1" applyAlignment="1" applyProtection="1">
      <alignment horizontal="center"/>
      <protection locked="0"/>
    </xf>
    <xf numFmtId="2" fontId="23" fillId="0" borderId="0" xfId="0" applyNumberFormat="1" applyFont="1" applyFill="1" applyBorder="1" applyAlignment="1" applyProtection="1">
      <alignment horizontal="center"/>
      <protection locked="0"/>
    </xf>
    <xf numFmtId="0" fontId="8" fillId="2" borderId="0" xfId="0" applyFont="1" applyFill="1" applyProtection="1">
      <protection locked="0"/>
    </xf>
    <xf numFmtId="0" fontId="8" fillId="2" borderId="0" xfId="0" applyFont="1" applyFill="1" applyAlignment="1" applyProtection="1">
      <alignment horizontal="center"/>
      <protection locked="0"/>
    </xf>
    <xf numFmtId="0" fontId="30" fillId="12" borderId="23" xfId="0" applyFont="1" applyFill="1" applyBorder="1" applyAlignment="1" applyProtection="1">
      <alignment vertical="center"/>
      <protection locked="0"/>
    </xf>
    <xf numFmtId="0" fontId="30" fillId="12" borderId="23" xfId="0" applyFont="1" applyFill="1" applyBorder="1" applyAlignment="1" applyProtection="1">
      <alignment horizontal="center" vertical="center"/>
      <protection locked="0"/>
    </xf>
    <xf numFmtId="0" fontId="30" fillId="12" borderId="24" xfId="0" applyFont="1" applyFill="1" applyBorder="1" applyAlignment="1" applyProtection="1">
      <alignment horizontal="center" vertical="center"/>
      <protection locked="0"/>
    </xf>
    <xf numFmtId="0" fontId="25" fillId="12" borderId="39" xfId="0" applyFont="1" applyFill="1" applyBorder="1" applyAlignment="1" applyProtection="1">
      <alignment horizontal="center" vertical="center"/>
      <protection locked="0"/>
    </xf>
    <xf numFmtId="0" fontId="25" fillId="12" borderId="42" xfId="0" applyFont="1" applyFill="1" applyBorder="1" applyAlignment="1" applyProtection="1">
      <alignment horizontal="center" vertical="center"/>
      <protection locked="0"/>
    </xf>
    <xf numFmtId="0" fontId="25" fillId="12" borderId="40" xfId="0" applyFont="1" applyFill="1" applyBorder="1" applyAlignment="1" applyProtection="1">
      <alignment horizontal="center" vertical="center"/>
      <protection locked="0"/>
    </xf>
    <xf numFmtId="166" fontId="9" fillId="16" borderId="74" xfId="0" applyNumberFormat="1" applyFont="1" applyFill="1" applyBorder="1" applyAlignment="1" applyProtection="1">
      <alignment horizontal="center" vertical="center"/>
      <protection locked="0"/>
    </xf>
    <xf numFmtId="0" fontId="9" fillId="16" borderId="56" xfId="0" applyFont="1" applyFill="1" applyBorder="1" applyAlignment="1" applyProtection="1">
      <alignment horizontal="center" vertical="center"/>
      <protection locked="0"/>
    </xf>
    <xf numFmtId="0" fontId="9" fillId="16" borderId="11" xfId="0" applyFont="1" applyFill="1" applyBorder="1" applyAlignment="1" applyProtection="1">
      <alignment horizontal="center" vertical="center"/>
      <protection locked="0"/>
    </xf>
    <xf numFmtId="0" fontId="9" fillId="16" borderId="41" xfId="0" applyFont="1" applyFill="1" applyBorder="1" applyAlignment="1" applyProtection="1">
      <alignment horizontal="center" vertical="center"/>
      <protection locked="0"/>
    </xf>
    <xf numFmtId="0" fontId="9" fillId="16" borderId="47" xfId="0" applyFont="1" applyFill="1" applyBorder="1" applyAlignment="1" applyProtection="1">
      <alignment horizontal="center" vertical="center"/>
      <protection locked="0"/>
    </xf>
    <xf numFmtId="0" fontId="9" fillId="16" borderId="16" xfId="0" applyFont="1" applyFill="1" applyBorder="1" applyAlignment="1" applyProtection="1">
      <alignment horizontal="center" vertical="center"/>
      <protection locked="0"/>
    </xf>
    <xf numFmtId="0" fontId="9" fillId="16" borderId="32" xfId="0" applyFont="1" applyFill="1" applyBorder="1" applyAlignment="1" applyProtection="1">
      <alignment horizontal="center" vertical="center"/>
      <protection locked="0"/>
    </xf>
    <xf numFmtId="0" fontId="9" fillId="16" borderId="51" xfId="0" applyFont="1" applyFill="1" applyBorder="1" applyAlignment="1" applyProtection="1">
      <alignment horizontal="center" vertical="center"/>
      <protection locked="0"/>
    </xf>
    <xf numFmtId="0" fontId="9" fillId="16" borderId="43" xfId="0" applyFont="1" applyFill="1" applyBorder="1" applyAlignment="1" applyProtection="1">
      <alignment horizontal="center" vertical="center"/>
      <protection locked="0"/>
    </xf>
    <xf numFmtId="0" fontId="9" fillId="16" borderId="58" xfId="0" applyFont="1" applyFill="1" applyBorder="1" applyAlignment="1" applyProtection="1">
      <alignment horizontal="center" vertical="center"/>
      <protection locked="0"/>
    </xf>
    <xf numFmtId="2" fontId="9" fillId="12" borderId="70" xfId="0" applyNumberFormat="1" applyFont="1" applyFill="1" applyBorder="1" applyAlignment="1" applyProtection="1">
      <alignment horizontal="center" vertical="center"/>
      <protection locked="0"/>
    </xf>
    <xf numFmtId="2" fontId="9" fillId="12" borderId="71" xfId="0" applyNumberFormat="1" applyFont="1" applyFill="1" applyBorder="1" applyAlignment="1" applyProtection="1">
      <alignment horizontal="center" vertical="center"/>
      <protection locked="0"/>
    </xf>
    <xf numFmtId="0" fontId="9" fillId="12" borderId="151" xfId="0" applyFont="1" applyFill="1" applyBorder="1" applyAlignment="1" applyProtection="1">
      <alignment horizontal="center" vertical="center"/>
      <protection locked="0"/>
    </xf>
    <xf numFmtId="0" fontId="9" fillId="12" borderId="144" xfId="0" applyFont="1" applyFill="1" applyBorder="1" applyAlignment="1" applyProtection="1">
      <alignment horizontal="center" vertical="center"/>
      <protection locked="0"/>
    </xf>
    <xf numFmtId="0" fontId="9" fillId="12" borderId="51" xfId="0" applyFont="1" applyFill="1" applyBorder="1" applyAlignment="1" applyProtection="1">
      <alignment horizontal="center" vertical="center"/>
      <protection locked="0"/>
    </xf>
    <xf numFmtId="0" fontId="9" fillId="12" borderId="79" xfId="0" applyFont="1" applyFill="1" applyBorder="1" applyAlignment="1" applyProtection="1">
      <alignment horizontal="center" vertical="center"/>
      <protection locked="0"/>
    </xf>
    <xf numFmtId="0" fontId="9" fillId="12" borderId="93" xfId="0" applyFont="1" applyFill="1" applyBorder="1" applyAlignment="1" applyProtection="1">
      <alignment horizontal="center" vertical="center"/>
      <protection locked="0"/>
    </xf>
    <xf numFmtId="0" fontId="9" fillId="12" borderId="78" xfId="0" applyFont="1" applyFill="1" applyBorder="1" applyAlignment="1" applyProtection="1">
      <alignment horizontal="center" vertical="center"/>
      <protection locked="0"/>
    </xf>
    <xf numFmtId="0" fontId="9" fillId="12" borderId="52" xfId="0" applyFont="1" applyFill="1" applyBorder="1" applyAlignment="1" applyProtection="1">
      <alignment horizontal="center" vertical="center"/>
      <protection locked="0"/>
    </xf>
    <xf numFmtId="0" fontId="9" fillId="12" borderId="15" xfId="0" applyFont="1" applyFill="1" applyBorder="1" applyAlignment="1" applyProtection="1">
      <alignment horizontal="center" vertical="center"/>
      <protection locked="0"/>
    </xf>
    <xf numFmtId="0" fontId="9" fillId="12" borderId="91" xfId="0" applyFont="1" applyFill="1" applyBorder="1" applyAlignment="1" applyProtection="1">
      <alignment horizontal="center" vertical="center"/>
      <protection locked="0"/>
    </xf>
    <xf numFmtId="0" fontId="9" fillId="12" borderId="125" xfId="0" applyFont="1" applyFill="1" applyBorder="1" applyAlignment="1" applyProtection="1">
      <alignment horizontal="center" vertical="center"/>
      <protection locked="0"/>
    </xf>
    <xf numFmtId="0" fontId="9" fillId="0" borderId="125" xfId="0" applyFont="1" applyFill="1" applyBorder="1" applyAlignment="1" applyProtection="1">
      <alignment horizontal="center" vertical="center"/>
      <protection locked="0"/>
    </xf>
    <xf numFmtId="0" fontId="8" fillId="0" borderId="126" xfId="0" applyFont="1" applyFill="1" applyBorder="1" applyAlignment="1" applyProtection="1">
      <alignment horizontal="center" vertical="center" wrapText="1"/>
      <protection locked="0"/>
    </xf>
    <xf numFmtId="0" fontId="8" fillId="0" borderId="126" xfId="0" applyFont="1" applyFill="1" applyBorder="1" applyAlignment="1" applyProtection="1">
      <alignment horizontal="center" vertical="center"/>
      <protection locked="0"/>
    </xf>
    <xf numFmtId="0" fontId="9" fillId="12" borderId="20" xfId="0" applyFont="1" applyFill="1" applyBorder="1" applyAlignment="1" applyProtection="1">
      <alignment horizontal="center" vertical="center"/>
      <protection locked="0"/>
    </xf>
    <xf numFmtId="0" fontId="8" fillId="0" borderId="118" xfId="0" applyFont="1" applyFill="1" applyBorder="1" applyAlignment="1" applyProtection="1">
      <alignment horizontal="center" vertical="center" wrapText="1"/>
      <protection locked="0"/>
    </xf>
    <xf numFmtId="0" fontId="8" fillId="0" borderId="118" xfId="0" applyFont="1" applyFill="1" applyBorder="1" applyAlignment="1" applyProtection="1">
      <alignment horizontal="center" vertical="center"/>
      <protection locked="0"/>
    </xf>
    <xf numFmtId="0" fontId="9" fillId="12" borderId="57" xfId="0" applyFont="1" applyFill="1" applyBorder="1" applyAlignment="1" applyProtection="1">
      <alignment horizontal="center" vertical="center"/>
      <protection locked="0"/>
    </xf>
    <xf numFmtId="0" fontId="9" fillId="12" borderId="126" xfId="0" applyFont="1" applyFill="1" applyBorder="1" applyAlignment="1" applyProtection="1">
      <alignment horizontal="center" vertical="center"/>
      <protection locked="0"/>
    </xf>
    <xf numFmtId="0" fontId="9" fillId="12" borderId="24" xfId="0" applyFont="1" applyFill="1" applyBorder="1" applyAlignment="1" applyProtection="1">
      <alignment horizontal="center" vertical="center"/>
      <protection locked="0"/>
    </xf>
    <xf numFmtId="0" fontId="9" fillId="12" borderId="2" xfId="0" applyFont="1" applyFill="1" applyBorder="1" applyAlignment="1" applyProtection="1">
      <alignment horizontal="center" vertical="center"/>
      <protection locked="0"/>
    </xf>
    <xf numFmtId="11" fontId="9" fillId="12" borderId="144" xfId="0" applyNumberFormat="1" applyFont="1" applyFill="1" applyBorder="1" applyAlignment="1" applyProtection="1">
      <alignment horizontal="center" vertical="center"/>
      <protection locked="0"/>
    </xf>
    <xf numFmtId="166" fontId="9" fillId="12" borderId="144" xfId="0" applyNumberFormat="1" applyFont="1" applyFill="1" applyBorder="1" applyAlignment="1" applyProtection="1">
      <alignment horizontal="center" vertical="center"/>
      <protection locked="0"/>
    </xf>
    <xf numFmtId="0" fontId="9" fillId="12" borderId="59" xfId="0" applyFont="1" applyFill="1" applyBorder="1" applyAlignment="1" applyProtection="1">
      <alignment horizontal="center" vertical="center"/>
      <protection locked="0"/>
    </xf>
    <xf numFmtId="0" fontId="9" fillId="12" borderId="40" xfId="0" applyFont="1" applyFill="1" applyBorder="1" applyAlignment="1" applyProtection="1">
      <alignment horizontal="center" vertical="center"/>
      <protection locked="0"/>
    </xf>
    <xf numFmtId="0" fontId="9" fillId="12" borderId="88" xfId="0" applyFont="1" applyFill="1" applyBorder="1" applyAlignment="1" applyProtection="1">
      <alignment horizontal="center" vertical="center"/>
      <protection locked="0"/>
    </xf>
    <xf numFmtId="0" fontId="8" fillId="12" borderId="144" xfId="0" applyFont="1" applyFill="1" applyBorder="1" applyAlignment="1" applyProtection="1">
      <alignment horizontal="center" vertical="center"/>
      <protection locked="0"/>
    </xf>
    <xf numFmtId="0" fontId="9" fillId="12" borderId="89" xfId="0" applyFont="1" applyFill="1" applyBorder="1" applyAlignment="1" applyProtection="1">
      <alignment horizontal="center" vertical="center"/>
      <protection locked="0"/>
    </xf>
    <xf numFmtId="0" fontId="9" fillId="12" borderId="84" xfId="0" applyFont="1" applyFill="1" applyBorder="1" applyAlignment="1" applyProtection="1">
      <alignment horizontal="center" vertical="center"/>
      <protection locked="0"/>
    </xf>
    <xf numFmtId="0" fontId="9" fillId="12" borderId="97" xfId="0" applyFont="1" applyFill="1" applyBorder="1" applyAlignment="1" applyProtection="1">
      <alignment horizontal="center" vertical="center"/>
      <protection locked="0"/>
    </xf>
    <xf numFmtId="0" fontId="9" fillId="12" borderId="144" xfId="0" applyNumberFormat="1" applyFont="1" applyFill="1" applyBorder="1" applyAlignment="1" applyProtection="1">
      <alignment horizontal="center" vertical="center"/>
      <protection locked="0"/>
    </xf>
    <xf numFmtId="1" fontId="9" fillId="12" borderId="144" xfId="0" applyNumberFormat="1" applyFont="1" applyFill="1" applyBorder="1" applyAlignment="1" applyProtection="1">
      <alignment horizontal="center" vertical="center"/>
      <protection locked="0"/>
    </xf>
    <xf numFmtId="1" fontId="9" fillId="12" borderId="110" xfId="0" applyNumberFormat="1" applyFont="1" applyFill="1" applyBorder="1" applyAlignment="1" applyProtection="1">
      <alignment horizontal="center" vertical="center"/>
      <protection locked="0"/>
    </xf>
    <xf numFmtId="0" fontId="9" fillId="12" borderId="136" xfId="0" applyFont="1" applyFill="1" applyBorder="1" applyAlignment="1" applyProtection="1">
      <alignment horizontal="center" vertical="center"/>
      <protection locked="0"/>
    </xf>
    <xf numFmtId="0" fontId="8" fillId="12" borderId="15" xfId="0" applyFont="1" applyFill="1" applyBorder="1" applyAlignment="1" applyProtection="1">
      <alignment horizontal="center" vertical="center"/>
      <protection locked="0"/>
    </xf>
    <xf numFmtId="0" fontId="8" fillId="12" borderId="18" xfId="0" applyFont="1" applyFill="1" applyBorder="1" applyAlignment="1" applyProtection="1">
      <alignment horizontal="center" vertical="center"/>
      <protection locked="0"/>
    </xf>
    <xf numFmtId="0" fontId="8" fillId="12" borderId="19" xfId="0" applyFont="1" applyFill="1" applyBorder="1" applyAlignment="1" applyProtection="1">
      <alignment horizontal="center" vertical="center"/>
      <protection locked="0"/>
    </xf>
    <xf numFmtId="0" fontId="9" fillId="12" borderId="65" xfId="0" applyFont="1" applyFill="1" applyBorder="1" applyAlignment="1" applyProtection="1">
      <alignment horizontal="center" vertical="center"/>
      <protection locked="0"/>
    </xf>
    <xf numFmtId="0" fontId="9" fillId="12" borderId="62" xfId="0" applyFont="1" applyFill="1" applyBorder="1" applyAlignment="1" applyProtection="1">
      <alignment horizontal="center" vertical="center"/>
      <protection locked="0"/>
    </xf>
    <xf numFmtId="0" fontId="9" fillId="12" borderId="156" xfId="0" applyFont="1" applyFill="1" applyBorder="1" applyAlignment="1" applyProtection="1">
      <alignment horizontal="center" vertical="center"/>
      <protection locked="0"/>
    </xf>
    <xf numFmtId="1" fontId="8" fillId="12" borderId="94" xfId="0" applyNumberFormat="1" applyFont="1" applyFill="1" applyBorder="1" applyAlignment="1" applyProtection="1">
      <alignment horizontal="center" vertical="center"/>
      <protection locked="0"/>
    </xf>
    <xf numFmtId="0" fontId="8" fillId="12" borderId="94" xfId="0" applyNumberFormat="1" applyFont="1" applyFill="1" applyBorder="1" applyAlignment="1" applyProtection="1">
      <alignment horizontal="center" vertical="center"/>
      <protection locked="0"/>
    </xf>
    <xf numFmtId="0" fontId="30" fillId="12" borderId="8" xfId="0" applyFont="1" applyFill="1" applyBorder="1" applyAlignment="1" applyProtection="1">
      <alignment vertical="center"/>
      <protection locked="0"/>
    </xf>
    <xf numFmtId="0" fontId="30" fillId="12" borderId="8" xfId="0" applyFont="1" applyFill="1" applyBorder="1" applyAlignment="1" applyProtection="1">
      <alignment horizontal="center" vertical="center"/>
      <protection locked="0"/>
    </xf>
    <xf numFmtId="0" fontId="30" fillId="12" borderId="63" xfId="0" applyFont="1" applyFill="1" applyBorder="1" applyAlignment="1" applyProtection="1">
      <alignment horizontal="center" vertical="center"/>
      <protection locked="0"/>
    </xf>
    <xf numFmtId="0" fontId="9" fillId="0" borderId="136" xfId="0" applyFont="1" applyFill="1" applyBorder="1" applyAlignment="1" applyProtection="1">
      <alignment horizontal="center" vertical="center"/>
      <protection locked="0"/>
    </xf>
    <xf numFmtId="0" fontId="9" fillId="0" borderId="136" xfId="0" applyFont="1" applyFill="1" applyBorder="1" applyAlignment="1" applyProtection="1">
      <alignment horizontal="left" vertical="center"/>
      <protection locked="0"/>
    </xf>
    <xf numFmtId="0" fontId="18" fillId="12" borderId="8" xfId="0" applyFont="1" applyFill="1" applyBorder="1" applyProtection="1">
      <protection locked="0"/>
    </xf>
    <xf numFmtId="0" fontId="8" fillId="12" borderId="8" xfId="0" applyFont="1" applyFill="1" applyBorder="1" applyProtection="1">
      <protection locked="0"/>
    </xf>
    <xf numFmtId="0" fontId="8" fillId="12" borderId="8" xfId="0" applyFont="1" applyFill="1" applyBorder="1" applyAlignment="1" applyProtection="1">
      <alignment horizontal="center"/>
      <protection locked="0"/>
    </xf>
    <xf numFmtId="0" fontId="9" fillId="16" borderId="3" xfId="0" applyFont="1" applyFill="1" applyBorder="1" applyAlignment="1" applyProtection="1">
      <alignment horizontal="center" vertical="center"/>
      <protection locked="0"/>
    </xf>
    <xf numFmtId="0" fontId="9" fillId="16" borderId="15" xfId="0" applyFont="1" applyFill="1" applyBorder="1" applyAlignment="1" applyProtection="1">
      <alignment horizontal="center" vertical="center"/>
      <protection locked="0"/>
    </xf>
    <xf numFmtId="0" fontId="9" fillId="16" borderId="19" xfId="0" applyFont="1" applyFill="1" applyBorder="1" applyAlignment="1" applyProtection="1">
      <alignment horizontal="center" vertical="center"/>
      <protection locked="0"/>
    </xf>
    <xf numFmtId="0" fontId="9" fillId="16" borderId="18" xfId="0" applyFont="1" applyFill="1" applyBorder="1" applyAlignment="1" applyProtection="1">
      <alignment horizontal="center" vertical="center"/>
      <protection locked="0"/>
    </xf>
    <xf numFmtId="0" fontId="9" fillId="16" borderId="26" xfId="0" applyFont="1" applyFill="1" applyBorder="1" applyAlignment="1" applyProtection="1">
      <alignment horizontal="center" vertical="center"/>
      <protection locked="0"/>
    </xf>
    <xf numFmtId="0" fontId="9" fillId="12" borderId="9" xfId="0" applyFont="1" applyFill="1" applyBorder="1" applyAlignment="1" applyProtection="1">
      <alignment horizontal="center" vertical="center"/>
      <protection locked="0"/>
    </xf>
    <xf numFmtId="0" fontId="8" fillId="12" borderId="63" xfId="0" applyFont="1" applyFill="1" applyBorder="1" applyProtection="1">
      <protection locked="0"/>
    </xf>
    <xf numFmtId="0" fontId="9" fillId="12" borderId="70" xfId="0" applyFont="1" applyFill="1" applyBorder="1" applyAlignment="1" applyProtection="1">
      <alignment horizontal="center"/>
      <protection locked="0"/>
    </xf>
    <xf numFmtId="0" fontId="9" fillId="12" borderId="71" xfId="0" applyFont="1" applyFill="1" applyBorder="1" applyAlignment="1" applyProtection="1">
      <alignment horizontal="center"/>
      <protection locked="0"/>
    </xf>
    <xf numFmtId="0" fontId="9" fillId="16" borderId="70" xfId="0" applyFont="1" applyFill="1" applyBorder="1" applyAlignment="1" applyProtection="1">
      <alignment horizontal="center"/>
      <protection locked="0"/>
    </xf>
    <xf numFmtId="0" fontId="9" fillId="16" borderId="71" xfId="0" applyFont="1" applyFill="1" applyBorder="1" applyAlignment="1" applyProtection="1">
      <alignment horizontal="center"/>
      <protection locked="0"/>
    </xf>
    <xf numFmtId="0" fontId="9" fillId="16" borderId="42" xfId="0" applyFont="1" applyFill="1" applyBorder="1" applyAlignment="1" applyProtection="1">
      <alignment horizontal="center"/>
      <protection locked="0"/>
    </xf>
    <xf numFmtId="0" fontId="9" fillId="16" borderId="40" xfId="0" applyFont="1" applyFill="1" applyBorder="1" applyAlignment="1" applyProtection="1">
      <alignment horizontal="center"/>
      <protection locked="0"/>
    </xf>
    <xf numFmtId="0" fontId="8" fillId="12" borderId="89" xfId="0" applyFont="1" applyFill="1" applyBorder="1" applyAlignment="1" applyProtection="1">
      <alignment horizontal="center"/>
      <protection locked="0"/>
    </xf>
    <xf numFmtId="0" fontId="9" fillId="12" borderId="88" xfId="0" applyFont="1" applyFill="1" applyBorder="1" applyAlignment="1" applyProtection="1">
      <alignment horizontal="center"/>
      <protection locked="0"/>
    </xf>
    <xf numFmtId="0" fontId="9" fillId="12" borderId="59" xfId="0" applyFont="1" applyFill="1" applyBorder="1" applyAlignment="1" applyProtection="1">
      <alignment horizontal="center"/>
      <protection locked="0"/>
    </xf>
    <xf numFmtId="0" fontId="9" fillId="12" borderId="42" xfId="0" applyFont="1" applyFill="1" applyBorder="1" applyAlignment="1" applyProtection="1">
      <alignment horizontal="center"/>
      <protection locked="0"/>
    </xf>
    <xf numFmtId="0" fontId="9" fillId="12" borderId="40" xfId="0" applyFont="1" applyFill="1" applyBorder="1" applyAlignment="1" applyProtection="1">
      <alignment horizontal="center"/>
      <protection locked="0"/>
    </xf>
    <xf numFmtId="2" fontId="9" fillId="12" borderId="79" xfId="0" applyNumberFormat="1" applyFont="1" applyFill="1" applyBorder="1" applyAlignment="1" applyProtection="1">
      <alignment horizontal="center"/>
      <protection locked="0"/>
    </xf>
    <xf numFmtId="2" fontId="9" fillId="12" borderId="52" xfId="0" applyNumberFormat="1" applyFont="1" applyFill="1" applyBorder="1" applyAlignment="1" applyProtection="1">
      <alignment horizontal="center"/>
      <protection locked="0"/>
    </xf>
    <xf numFmtId="0" fontId="23" fillId="12" borderId="144" xfId="0" applyFont="1" applyFill="1" applyBorder="1" applyAlignment="1" applyProtection="1">
      <alignment horizontal="center"/>
      <protection locked="0"/>
    </xf>
    <xf numFmtId="0" fontId="9" fillId="12" borderId="114" xfId="0" applyFont="1" applyFill="1" applyBorder="1" applyAlignment="1" applyProtection="1">
      <alignment horizontal="center" vertical="center"/>
      <protection locked="0"/>
    </xf>
    <xf numFmtId="0" fontId="8" fillId="12" borderId="121" xfId="0" applyFont="1" applyFill="1" applyBorder="1" applyAlignment="1" applyProtection="1">
      <alignment horizontal="center" vertical="center"/>
      <protection locked="0"/>
    </xf>
    <xf numFmtId="166" fontId="9" fillId="16" borderId="18" xfId="0" applyNumberFormat="1" applyFont="1" applyFill="1" applyBorder="1" applyAlignment="1" applyProtection="1">
      <alignment horizontal="center" vertical="center"/>
      <protection locked="0"/>
    </xf>
    <xf numFmtId="0" fontId="9" fillId="12" borderId="59" xfId="0" applyNumberFormat="1" applyFont="1" applyFill="1" applyBorder="1" applyAlignment="1" applyProtection="1">
      <alignment horizontal="center"/>
      <protection locked="0"/>
    </xf>
    <xf numFmtId="2" fontId="9" fillId="12" borderId="59" xfId="0" applyNumberFormat="1" applyFont="1" applyFill="1" applyBorder="1" applyAlignment="1" applyProtection="1">
      <alignment horizontal="center"/>
      <protection locked="0"/>
    </xf>
    <xf numFmtId="0" fontId="9" fillId="12" borderId="18" xfId="0" applyFont="1" applyFill="1" applyBorder="1" applyAlignment="1" applyProtection="1">
      <alignment horizontal="center" vertical="center"/>
      <protection locked="0"/>
    </xf>
    <xf numFmtId="0" fontId="9" fillId="12" borderId="19" xfId="0" applyFont="1" applyFill="1" applyBorder="1" applyAlignment="1" applyProtection="1">
      <alignment horizontal="center" vertical="center"/>
      <protection locked="0"/>
    </xf>
    <xf numFmtId="0" fontId="9" fillId="12" borderId="22" xfId="0" applyFont="1" applyFill="1" applyBorder="1" applyAlignment="1" applyProtection="1">
      <alignment horizontal="center" vertical="center"/>
      <protection locked="0"/>
    </xf>
    <xf numFmtId="0" fontId="8" fillId="12" borderId="88" xfId="0" applyFont="1" applyFill="1" applyBorder="1" applyAlignment="1" applyProtection="1">
      <alignment horizontal="center" vertical="center" wrapText="1"/>
      <protection locked="0"/>
    </xf>
    <xf numFmtId="166" fontId="9" fillId="16" borderId="52" xfId="0" applyNumberFormat="1" applyFont="1" applyFill="1" applyBorder="1" applyAlignment="1" applyProtection="1">
      <alignment horizontal="center"/>
      <protection locked="0"/>
    </xf>
    <xf numFmtId="166" fontId="9" fillId="12" borderId="59" xfId="0" applyNumberFormat="1" applyFont="1" applyFill="1" applyBorder="1" applyAlignment="1" applyProtection="1">
      <alignment horizontal="center"/>
      <protection locked="0"/>
    </xf>
    <xf numFmtId="0" fontId="9" fillId="12" borderId="18" xfId="0" applyFont="1" applyFill="1" applyBorder="1" applyAlignment="1" applyProtection="1">
      <alignment horizontal="center"/>
      <protection locked="0"/>
    </xf>
    <xf numFmtId="0" fontId="9" fillId="12" borderId="89" xfId="0" applyFont="1" applyFill="1" applyBorder="1" applyAlignment="1" applyProtection="1">
      <alignment horizontal="center"/>
      <protection locked="0"/>
    </xf>
    <xf numFmtId="0" fontId="9" fillId="12" borderId="19" xfId="0" applyFont="1" applyFill="1" applyBorder="1" applyAlignment="1" applyProtection="1">
      <alignment horizontal="center"/>
      <protection locked="0"/>
    </xf>
    <xf numFmtId="0" fontId="12" fillId="12" borderId="19" xfId="0" applyFont="1" applyFill="1" applyBorder="1" applyAlignment="1" applyProtection="1">
      <alignment horizontal="center"/>
      <protection locked="0"/>
    </xf>
    <xf numFmtId="0" fontId="9" fillId="2" borderId="19" xfId="0" applyFont="1" applyFill="1" applyBorder="1" applyAlignment="1" applyProtection="1">
      <alignment horizontal="center"/>
      <protection locked="0"/>
    </xf>
    <xf numFmtId="166" fontId="9" fillId="12" borderId="19" xfId="0" applyNumberFormat="1" applyFont="1" applyFill="1" applyBorder="1" applyAlignment="1" applyProtection="1">
      <alignment horizontal="center"/>
      <protection locked="0"/>
    </xf>
    <xf numFmtId="0" fontId="9" fillId="12" borderId="37" xfId="0" applyFont="1" applyFill="1" applyBorder="1" applyAlignment="1" applyProtection="1">
      <alignment horizontal="center"/>
      <protection locked="0"/>
    </xf>
    <xf numFmtId="1" fontId="9" fillId="12" borderId="59" xfId="0" applyNumberFormat="1" applyFont="1" applyFill="1" applyBorder="1" applyAlignment="1" applyProtection="1">
      <alignment horizontal="center"/>
      <protection locked="0"/>
    </xf>
    <xf numFmtId="0" fontId="9" fillId="12" borderId="40" xfId="0" applyNumberFormat="1" applyFont="1" applyFill="1" applyBorder="1" applyAlignment="1" applyProtection="1">
      <alignment horizontal="center"/>
      <protection locked="0"/>
    </xf>
    <xf numFmtId="0" fontId="9" fillId="17" borderId="16" xfId="0" applyFont="1" applyFill="1" applyBorder="1" applyAlignment="1" applyProtection="1">
      <alignment horizontal="center"/>
    </xf>
    <xf numFmtId="2" fontId="9" fillId="17" borderId="16" xfId="0" applyNumberFormat="1" applyFont="1" applyFill="1" applyBorder="1" applyAlignment="1" applyProtection="1">
      <alignment horizontal="center"/>
    </xf>
    <xf numFmtId="0" fontId="9" fillId="17" borderId="32" xfId="0" applyFont="1" applyFill="1" applyBorder="1" applyAlignment="1" applyProtection="1">
      <alignment horizontal="center"/>
    </xf>
    <xf numFmtId="0" fontId="9" fillId="17" borderId="11" xfId="0" applyFont="1" applyFill="1" applyBorder="1" applyAlignment="1" applyProtection="1">
      <alignment horizontal="center"/>
    </xf>
    <xf numFmtId="0" fontId="8" fillId="17" borderId="13" xfId="0" applyFont="1" applyFill="1" applyBorder="1" applyAlignment="1" applyProtection="1">
      <alignment horizontal="center"/>
    </xf>
    <xf numFmtId="0" fontId="9" fillId="17" borderId="12" xfId="0" applyFont="1" applyFill="1" applyBorder="1" applyAlignment="1" applyProtection="1">
      <alignment horizontal="center"/>
    </xf>
    <xf numFmtId="0" fontId="8" fillId="17" borderId="14" xfId="0" applyFont="1" applyFill="1" applyBorder="1" applyAlignment="1" applyProtection="1">
      <alignment horizontal="center"/>
    </xf>
    <xf numFmtId="0" fontId="9" fillId="17" borderId="17" xfId="0" applyFont="1" applyFill="1" applyBorder="1" applyAlignment="1" applyProtection="1">
      <alignment horizontal="center"/>
    </xf>
    <xf numFmtId="0" fontId="9" fillId="17" borderId="37" xfId="0" applyFont="1" applyFill="1" applyBorder="1" applyAlignment="1" applyProtection="1">
      <alignment horizontal="center"/>
    </xf>
    <xf numFmtId="0" fontId="9" fillId="18" borderId="16" xfId="0" applyFont="1" applyFill="1" applyBorder="1" applyAlignment="1" applyProtection="1">
      <alignment horizontal="center"/>
    </xf>
    <xf numFmtId="0" fontId="9" fillId="18" borderId="32" xfId="0" applyFont="1" applyFill="1" applyBorder="1" applyAlignment="1" applyProtection="1">
      <alignment horizontal="center"/>
    </xf>
    <xf numFmtId="0" fontId="9" fillId="18" borderId="17" xfId="0" applyFont="1" applyFill="1" applyBorder="1" applyAlignment="1" applyProtection="1">
      <alignment horizontal="center"/>
    </xf>
    <xf numFmtId="0" fontId="9" fillId="18" borderId="37" xfId="0" applyFont="1" applyFill="1" applyBorder="1" applyAlignment="1" applyProtection="1">
      <alignment horizontal="center"/>
    </xf>
    <xf numFmtId="0" fontId="8" fillId="18" borderId="0" xfId="0" applyFont="1" applyFill="1" applyAlignment="1" applyProtection="1">
      <alignment horizontal="center"/>
    </xf>
    <xf numFmtId="0" fontId="9" fillId="18" borderId="0" xfId="0" applyFont="1" applyFill="1" applyBorder="1" applyAlignment="1" applyProtection="1">
      <alignment horizontal="center"/>
    </xf>
    <xf numFmtId="0" fontId="8" fillId="18" borderId="0" xfId="0" applyFont="1" applyFill="1" applyBorder="1" applyAlignment="1" applyProtection="1">
      <alignment horizontal="center"/>
    </xf>
    <xf numFmtId="0" fontId="8" fillId="18" borderId="5" xfId="0" applyFont="1" applyFill="1" applyBorder="1" applyAlignment="1" applyProtection="1">
      <alignment horizontal="center"/>
    </xf>
    <xf numFmtId="0" fontId="9" fillId="18" borderId="5" xfId="0" applyFont="1" applyFill="1" applyBorder="1" applyAlignment="1" applyProtection="1">
      <alignment horizontal="center"/>
    </xf>
    <xf numFmtId="0" fontId="8" fillId="18" borderId="12" xfId="0" applyFont="1" applyFill="1" applyBorder="1" applyAlignment="1" applyProtection="1">
      <alignment horizontal="center"/>
    </xf>
    <xf numFmtId="0" fontId="9" fillId="18" borderId="18" xfId="0" applyFont="1" applyFill="1" applyBorder="1" applyAlignment="1" applyProtection="1">
      <alignment horizontal="center"/>
    </xf>
    <xf numFmtId="0" fontId="9" fillId="18" borderId="15" xfId="0" applyFont="1" applyFill="1" applyBorder="1" applyAlignment="1" applyProtection="1">
      <alignment horizontal="center"/>
    </xf>
    <xf numFmtId="0" fontId="9" fillId="18" borderId="43" xfId="0" applyFont="1" applyFill="1" applyBorder="1" applyAlignment="1" applyProtection="1">
      <alignment horizontal="center"/>
    </xf>
    <xf numFmtId="0" fontId="9" fillId="18" borderId="13" xfId="0" applyFont="1" applyFill="1" applyBorder="1" applyAlignment="1" applyProtection="1">
      <alignment horizontal="center"/>
    </xf>
    <xf numFmtId="0" fontId="9" fillId="18" borderId="121" xfId="0" applyFont="1" applyFill="1" applyBorder="1" applyAlignment="1" applyProtection="1">
      <alignment horizontal="center"/>
    </xf>
    <xf numFmtId="0" fontId="8" fillId="18" borderId="16" xfId="0" applyFont="1" applyFill="1" applyBorder="1" applyAlignment="1" applyProtection="1">
      <alignment horizontal="center"/>
    </xf>
    <xf numFmtId="0" fontId="9" fillId="18" borderId="14" xfId="0" applyFont="1" applyFill="1" applyBorder="1" applyAlignment="1" applyProtection="1">
      <alignment horizontal="center"/>
    </xf>
    <xf numFmtId="168" fontId="9" fillId="18" borderId="18" xfId="0" applyNumberFormat="1" applyFont="1" applyFill="1" applyBorder="1" applyAlignment="1" applyProtection="1">
      <alignment horizontal="center"/>
    </xf>
    <xf numFmtId="168" fontId="8" fillId="17" borderId="15" xfId="0" applyNumberFormat="1" applyFont="1" applyFill="1" applyBorder="1" applyAlignment="1" applyProtection="1">
      <alignment horizontal="center"/>
    </xf>
    <xf numFmtId="172" fontId="8" fillId="17" borderId="15" xfId="0" applyNumberFormat="1" applyFont="1" applyFill="1" applyBorder="1" applyAlignment="1" applyProtection="1">
      <alignment horizontal="center"/>
    </xf>
    <xf numFmtId="168" fontId="8" fillId="17" borderId="19" xfId="0" applyNumberFormat="1" applyFont="1" applyFill="1" applyBorder="1" applyAlignment="1" applyProtection="1">
      <alignment horizontal="center"/>
    </xf>
    <xf numFmtId="168" fontId="8" fillId="17" borderId="18" xfId="0" applyNumberFormat="1" applyFont="1" applyFill="1" applyBorder="1" applyAlignment="1" applyProtection="1">
      <alignment horizontal="center"/>
    </xf>
    <xf numFmtId="168" fontId="8" fillId="17" borderId="16" xfId="0" applyNumberFormat="1" applyFont="1" applyFill="1" applyBorder="1" applyAlignment="1" applyProtection="1">
      <alignment horizontal="center"/>
    </xf>
    <xf numFmtId="168" fontId="8" fillId="17" borderId="15" xfId="0" applyNumberFormat="1" applyFont="1" applyFill="1" applyBorder="1" applyAlignment="1" applyProtection="1">
      <alignment horizontal="center" vertical="center"/>
    </xf>
    <xf numFmtId="168" fontId="8" fillId="17" borderId="48" xfId="0" applyNumberFormat="1" applyFont="1" applyFill="1" applyBorder="1" applyAlignment="1" applyProtection="1">
      <alignment horizontal="center" vertical="center"/>
    </xf>
    <xf numFmtId="168" fontId="8" fillId="17" borderId="18" xfId="0" applyNumberFormat="1" applyFont="1" applyFill="1" applyBorder="1" applyAlignment="1" applyProtection="1">
      <alignment horizontal="center" vertical="center"/>
    </xf>
    <xf numFmtId="168" fontId="8" fillId="17" borderId="59" xfId="0" applyNumberFormat="1" applyFont="1" applyFill="1" applyBorder="1" applyAlignment="1" applyProtection="1">
      <alignment horizontal="center" vertical="center"/>
    </xf>
    <xf numFmtId="168" fontId="9" fillId="17" borderId="18" xfId="9" applyNumberFormat="1" applyFont="1" applyFill="1" applyBorder="1" applyAlignment="1" applyProtection="1">
      <alignment horizontal="center" vertical="center"/>
    </xf>
    <xf numFmtId="168" fontId="9" fillId="17" borderId="15" xfId="9" applyNumberFormat="1" applyFont="1" applyFill="1" applyBorder="1" applyAlignment="1" applyProtection="1">
      <alignment horizontal="center" vertical="center"/>
    </xf>
    <xf numFmtId="168" fontId="9" fillId="17" borderId="18" xfId="0" applyNumberFormat="1" applyFont="1" applyFill="1" applyBorder="1" applyAlignment="1" applyProtection="1">
      <alignment horizontal="center" vertical="center"/>
    </xf>
    <xf numFmtId="168" fontId="9" fillId="17" borderId="59" xfId="0" applyNumberFormat="1" applyFont="1" applyFill="1" applyBorder="1" applyAlignment="1" applyProtection="1">
      <alignment horizontal="center" vertical="center"/>
    </xf>
    <xf numFmtId="168" fontId="9" fillId="17" borderId="42" xfId="0" applyNumberFormat="1" applyFont="1" applyFill="1" applyBorder="1" applyAlignment="1" applyProtection="1">
      <alignment horizontal="center" vertical="center"/>
    </xf>
    <xf numFmtId="168" fontId="9" fillId="17" borderId="42" xfId="9" applyNumberFormat="1" applyFont="1" applyFill="1" applyBorder="1" applyAlignment="1" applyProtection="1">
      <alignment horizontal="center" vertical="center"/>
    </xf>
    <xf numFmtId="168" fontId="9" fillId="17" borderId="40" xfId="0" applyNumberFormat="1" applyFont="1" applyFill="1" applyBorder="1" applyAlignment="1" applyProtection="1">
      <alignment horizontal="center" vertical="center"/>
    </xf>
    <xf numFmtId="0" fontId="69" fillId="2" borderId="0" xfId="0" applyFont="1" applyFill="1" applyBorder="1" applyAlignment="1" applyProtection="1">
      <alignment vertical="top"/>
    </xf>
    <xf numFmtId="0" fontId="23" fillId="2" borderId="97" xfId="0" applyFont="1" applyFill="1" applyBorder="1" applyAlignment="1" applyProtection="1">
      <alignment horizontal="center"/>
    </xf>
    <xf numFmtId="0" fontId="23" fillId="2" borderId="99" xfId="0" applyFont="1" applyFill="1" applyBorder="1" applyAlignment="1" applyProtection="1">
      <alignment horizontal="center"/>
    </xf>
    <xf numFmtId="0" fontId="23" fillId="2" borderId="86" xfId="0" applyFont="1" applyFill="1" applyBorder="1" applyAlignment="1" applyProtection="1">
      <alignment horizontal="center" vertical="center"/>
    </xf>
    <xf numFmtId="0" fontId="23" fillId="2" borderId="95" xfId="0" applyFont="1" applyFill="1" applyBorder="1" applyAlignment="1" applyProtection="1">
      <alignment horizontal="center" vertical="center"/>
    </xf>
    <xf numFmtId="2" fontId="23" fillId="2" borderId="97" xfId="0" applyNumberFormat="1" applyFont="1" applyFill="1" applyBorder="1" applyAlignment="1" applyProtection="1">
      <alignment horizontal="center"/>
    </xf>
    <xf numFmtId="2" fontId="23" fillId="2" borderId="98" xfId="0" applyNumberFormat="1" applyFont="1" applyFill="1" applyBorder="1" applyAlignment="1" applyProtection="1">
      <alignment horizontal="center"/>
    </xf>
    <xf numFmtId="0" fontId="18" fillId="13" borderId="7" xfId="0" applyFont="1" applyFill="1" applyBorder="1" applyAlignment="1" applyProtection="1">
      <alignment horizontal="center" vertical="center"/>
    </xf>
    <xf numFmtId="0" fontId="18" fillId="13" borderId="8" xfId="0" applyFont="1" applyFill="1" applyBorder="1" applyAlignment="1" applyProtection="1">
      <alignment horizontal="center" vertical="center"/>
    </xf>
    <xf numFmtId="0" fontId="18" fillId="13" borderId="63" xfId="0" applyFont="1" applyFill="1" applyBorder="1" applyAlignment="1" applyProtection="1">
      <alignment horizontal="center" vertical="center"/>
    </xf>
    <xf numFmtId="0" fontId="23" fillId="2" borderId="56" xfId="0" applyFont="1" applyFill="1" applyBorder="1" applyAlignment="1" applyProtection="1">
      <alignment horizontal="center" vertical="center"/>
    </xf>
    <xf numFmtId="0" fontId="23" fillId="2" borderId="24" xfId="0" applyFont="1" applyFill="1" applyBorder="1" applyAlignment="1" applyProtection="1">
      <alignment horizontal="center" vertical="center"/>
    </xf>
    <xf numFmtId="0" fontId="23" fillId="0" borderId="56"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2" borderId="55" xfId="0" applyFont="1" applyFill="1" applyBorder="1" applyAlignment="1" applyProtection="1">
      <alignment horizontal="center" vertical="center"/>
    </xf>
    <xf numFmtId="0" fontId="23" fillId="0" borderId="88" xfId="0" applyFont="1" applyFill="1" applyBorder="1" applyAlignment="1" applyProtection="1">
      <alignment horizontal="center" vertical="center" wrapText="1"/>
      <protection locked="0"/>
    </xf>
    <xf numFmtId="0" fontId="12" fillId="12" borderId="69" xfId="14" applyFont="1" applyFill="1" applyBorder="1" applyAlignment="1" applyProtection="1">
      <alignment horizontal="left" vertical="center"/>
      <protection locked="0"/>
    </xf>
    <xf numFmtId="0" fontId="12" fillId="12" borderId="33" xfId="14" applyFont="1" applyFill="1" applyBorder="1" applyAlignment="1" applyProtection="1">
      <alignment horizontal="left" vertical="center"/>
      <protection locked="0"/>
    </xf>
    <xf numFmtId="0" fontId="23" fillId="0" borderId="89" xfId="0" applyFont="1" applyFill="1" applyBorder="1" applyAlignment="1" applyProtection="1">
      <alignment horizontal="center" vertical="center" wrapText="1"/>
      <protection locked="0"/>
    </xf>
    <xf numFmtId="0" fontId="23" fillId="0" borderId="84" xfId="0" applyFont="1" applyFill="1" applyBorder="1" applyAlignment="1" applyProtection="1">
      <alignment horizontal="center" vertical="center" wrapText="1"/>
      <protection locked="0"/>
    </xf>
    <xf numFmtId="0" fontId="9" fillId="12" borderId="161" xfId="0" applyFont="1" applyFill="1" applyBorder="1" applyAlignment="1" applyProtection="1">
      <alignment horizontal="center" vertical="center"/>
      <protection locked="0"/>
    </xf>
    <xf numFmtId="0" fontId="9" fillId="12" borderId="162" xfId="0" applyFont="1" applyFill="1" applyBorder="1" applyAlignment="1" applyProtection="1">
      <alignment horizontal="center" vertical="center"/>
      <protection locked="0"/>
    </xf>
    <xf numFmtId="0" fontId="9" fillId="12" borderId="145" xfId="0" applyFont="1" applyFill="1" applyBorder="1" applyAlignment="1" applyProtection="1">
      <alignment horizontal="center" vertical="center"/>
      <protection locked="0"/>
    </xf>
    <xf numFmtId="0" fontId="9" fillId="12" borderId="147" xfId="0" applyFont="1" applyFill="1" applyBorder="1" applyAlignment="1" applyProtection="1">
      <alignment horizontal="center" vertical="center"/>
      <protection locked="0"/>
    </xf>
    <xf numFmtId="0" fontId="9" fillId="12" borderId="154" xfId="0" applyFont="1" applyFill="1" applyBorder="1" applyAlignment="1" applyProtection="1">
      <alignment horizontal="center" vertical="center"/>
      <protection locked="0"/>
    </xf>
    <xf numFmtId="0" fontId="9" fillId="12" borderId="13" xfId="0" applyFont="1" applyFill="1" applyBorder="1" applyAlignment="1" applyProtection="1">
      <alignment horizontal="center" vertical="center"/>
      <protection locked="0"/>
    </xf>
    <xf numFmtId="0" fontId="9" fillId="12" borderId="35" xfId="0" applyFont="1" applyFill="1" applyBorder="1" applyAlignment="1" applyProtection="1">
      <alignment horizontal="center" vertical="center"/>
      <protection locked="0"/>
    </xf>
    <xf numFmtId="0" fontId="9" fillId="12" borderId="155" xfId="0" applyFont="1" applyFill="1" applyBorder="1" applyAlignment="1" applyProtection="1">
      <alignment horizontal="center" vertical="center"/>
      <protection locked="0"/>
    </xf>
    <xf numFmtId="0" fontId="9" fillId="12" borderId="121" xfId="0" applyFont="1" applyFill="1" applyBorder="1" applyAlignment="1" applyProtection="1">
      <alignment horizontal="center" vertical="center"/>
      <protection locked="0"/>
    </xf>
    <xf numFmtId="0" fontId="9" fillId="12" borderId="43" xfId="0" applyFont="1" applyFill="1" applyBorder="1" applyAlignment="1" applyProtection="1">
      <alignment horizontal="center" vertical="center"/>
      <protection locked="0"/>
    </xf>
    <xf numFmtId="0" fontId="8" fillId="0" borderId="86" xfId="0" applyFont="1" applyFill="1" applyBorder="1" applyAlignment="1" applyProtection="1">
      <alignment horizontal="center"/>
    </xf>
    <xf numFmtId="0" fontId="8" fillId="0" borderId="83" xfId="0" applyFont="1" applyFill="1" applyBorder="1" applyAlignment="1" applyProtection="1">
      <alignment horizontal="center"/>
    </xf>
    <xf numFmtId="0" fontId="8" fillId="0" borderId="82" xfId="0" applyFont="1" applyFill="1" applyBorder="1" applyAlignment="1" applyProtection="1">
      <alignment horizontal="center"/>
    </xf>
    <xf numFmtId="0" fontId="8" fillId="13" borderId="11" xfId="0" applyFont="1" applyFill="1" applyBorder="1" applyAlignment="1" applyProtection="1">
      <alignment horizontal="center" vertical="center"/>
    </xf>
    <xf numFmtId="0" fontId="8" fillId="13" borderId="21" xfId="0" applyFont="1" applyFill="1" applyBorder="1" applyAlignment="1" applyProtection="1">
      <alignment horizontal="center" vertical="center"/>
    </xf>
    <xf numFmtId="0" fontId="8" fillId="13" borderId="27" xfId="0" applyFont="1" applyFill="1" applyBorder="1" applyAlignment="1" applyProtection="1">
      <alignment horizontal="center" vertical="center"/>
    </xf>
    <xf numFmtId="0" fontId="8" fillId="13" borderId="23" xfId="0" applyFont="1" applyFill="1" applyBorder="1" applyAlignment="1" applyProtection="1">
      <alignment horizontal="center" vertical="center"/>
    </xf>
    <xf numFmtId="0" fontId="8" fillId="13" borderId="24" xfId="0" applyFont="1" applyFill="1" applyBorder="1" applyAlignment="1" applyProtection="1">
      <alignment horizontal="center" vertical="center"/>
    </xf>
    <xf numFmtId="0" fontId="8" fillId="0" borderId="15" xfId="0" applyFont="1" applyFill="1" applyBorder="1" applyAlignment="1" applyProtection="1">
      <alignment horizontal="center" vertical="center" wrapText="1"/>
    </xf>
    <xf numFmtId="0" fontId="8" fillId="0" borderId="121" xfId="0" applyFont="1" applyFill="1" applyBorder="1" applyAlignment="1" applyProtection="1">
      <alignment horizontal="center" vertical="center" wrapText="1"/>
    </xf>
    <xf numFmtId="0" fontId="23" fillId="0" borderId="114" xfId="0" applyFont="1" applyFill="1" applyBorder="1" applyAlignment="1" applyProtection="1">
      <alignment horizontal="center" vertical="center"/>
    </xf>
    <xf numFmtId="0" fontId="23" fillId="0" borderId="116" xfId="0" applyFont="1" applyFill="1" applyBorder="1" applyAlignment="1" applyProtection="1">
      <alignment horizontal="center" vertical="center"/>
    </xf>
    <xf numFmtId="0" fontId="23" fillId="0" borderId="117" xfId="0" applyFont="1" applyFill="1" applyBorder="1" applyAlignment="1" applyProtection="1">
      <alignment horizontal="center" vertical="center"/>
    </xf>
    <xf numFmtId="0" fontId="23" fillId="0" borderId="29"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19" xfId="0" applyFont="1" applyFill="1" applyBorder="1" applyAlignment="1" applyProtection="1">
      <alignment horizontal="center" vertical="center"/>
    </xf>
    <xf numFmtId="0" fontId="23" fillId="0" borderId="6"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8" fillId="10" borderId="91" xfId="0" applyFont="1" applyFill="1" applyBorder="1" applyAlignment="1" applyProtection="1">
      <alignment horizontal="left" vertical="top" wrapText="1"/>
    </xf>
    <xf numFmtId="0" fontId="8" fillId="10" borderId="17" xfId="0" applyFont="1" applyFill="1" applyBorder="1" applyAlignment="1" applyProtection="1">
      <alignment horizontal="left" vertical="top" wrapText="1"/>
    </xf>
    <xf numFmtId="0" fontId="8" fillId="0" borderId="16" xfId="0" applyFont="1" applyFill="1" applyBorder="1" applyAlignment="1" applyProtection="1">
      <alignment horizontal="center" vertical="center" wrapText="1"/>
    </xf>
    <xf numFmtId="0" fontId="8" fillId="0" borderId="17" xfId="0" applyFont="1" applyFill="1" applyBorder="1" applyAlignment="1" applyProtection="1">
      <alignment horizontal="center" vertical="center" wrapText="1"/>
    </xf>
    <xf numFmtId="0" fontId="8" fillId="0" borderId="112" xfId="0" applyFont="1" applyFill="1" applyBorder="1" applyAlignment="1" applyProtection="1">
      <alignment horizontal="center" vertical="center" wrapText="1"/>
    </xf>
    <xf numFmtId="0" fontId="8" fillId="0" borderId="94" xfId="0" applyFont="1" applyFill="1" applyBorder="1" applyAlignment="1" applyProtection="1">
      <alignment horizontal="center" vertical="center" wrapText="1"/>
    </xf>
    <xf numFmtId="0" fontId="23" fillId="0" borderId="97" xfId="0" applyFont="1" applyFill="1" applyBorder="1" applyAlignment="1" applyProtection="1">
      <alignment horizontal="center" vertical="center"/>
    </xf>
    <xf numFmtId="0" fontId="23" fillId="0" borderId="100" xfId="0" applyFont="1" applyFill="1" applyBorder="1" applyAlignment="1" applyProtection="1">
      <alignment horizontal="center" vertical="center"/>
    </xf>
    <xf numFmtId="0" fontId="23" fillId="12" borderId="157" xfId="0" applyFont="1" applyFill="1" applyBorder="1" applyAlignment="1" applyProtection="1">
      <alignment horizontal="center" vertical="center"/>
      <protection locked="0"/>
    </xf>
    <xf numFmtId="0" fontId="23" fillId="12" borderId="158" xfId="0" applyFont="1" applyFill="1" applyBorder="1" applyAlignment="1" applyProtection="1">
      <alignment horizontal="center" vertical="center"/>
      <protection locked="0"/>
    </xf>
    <xf numFmtId="0" fontId="23" fillId="12" borderId="159" xfId="0" applyFont="1" applyFill="1" applyBorder="1" applyAlignment="1" applyProtection="1">
      <alignment horizontal="center" vertical="center"/>
      <protection locked="0"/>
    </xf>
    <xf numFmtId="0" fontId="8" fillId="10" borderId="94" xfId="0" applyFont="1" applyFill="1" applyBorder="1" applyAlignment="1" applyProtection="1">
      <alignment horizontal="left" vertical="top" wrapText="1"/>
    </xf>
    <xf numFmtId="0" fontId="8" fillId="0" borderId="15" xfId="0" applyFont="1" applyFill="1" applyBorder="1" applyAlignment="1" applyProtection="1">
      <alignment horizontal="center" vertical="center"/>
    </xf>
    <xf numFmtId="0" fontId="8" fillId="0" borderId="16" xfId="0" applyFont="1" applyFill="1" applyBorder="1" applyAlignment="1" applyProtection="1">
      <alignment horizontal="center" vertical="center"/>
    </xf>
    <xf numFmtId="0" fontId="8" fillId="0" borderId="17"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23" fillId="0" borderId="11"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xf>
    <xf numFmtId="0" fontId="9" fillId="12" borderId="112" xfId="0" applyFont="1" applyFill="1" applyBorder="1" applyAlignment="1" applyProtection="1">
      <alignment horizontal="center" vertical="center"/>
      <protection locked="0"/>
    </xf>
    <xf numFmtId="0" fontId="9" fillId="12" borderId="130" xfId="0" applyFont="1" applyFill="1" applyBorder="1" applyAlignment="1" applyProtection="1">
      <alignment horizontal="center" vertical="center"/>
      <protection locked="0"/>
    </xf>
    <xf numFmtId="0" fontId="9" fillId="12" borderId="146" xfId="0" applyFont="1" applyFill="1" applyBorder="1" applyAlignment="1" applyProtection="1">
      <alignment horizontal="center" vertical="center"/>
      <protection locked="0"/>
    </xf>
    <xf numFmtId="0" fontId="23" fillId="10" borderId="91" xfId="0" applyFont="1" applyFill="1" applyBorder="1" applyAlignment="1" applyProtection="1">
      <alignment horizontal="left" vertical="top" wrapText="1"/>
    </xf>
    <xf numFmtId="0" fontId="23" fillId="10" borderId="17" xfId="0" applyFont="1" applyFill="1" applyBorder="1" applyAlignment="1" applyProtection="1">
      <alignment horizontal="left" vertical="top" wrapText="1"/>
    </xf>
    <xf numFmtId="0" fontId="23" fillId="0" borderId="38" xfId="0" applyFont="1" applyFill="1" applyBorder="1" applyAlignment="1" applyProtection="1">
      <alignment horizontal="center" vertical="center"/>
    </xf>
    <xf numFmtId="0" fontId="9" fillId="2" borderId="47" xfId="15" applyFont="1" applyFill="1" applyBorder="1" applyAlignment="1" applyProtection="1">
      <alignment horizontal="center" vertical="top" wrapText="1"/>
    </xf>
    <xf numFmtId="0" fontId="9" fillId="2" borderId="37" xfId="15" applyFont="1" applyFill="1" applyBorder="1" applyAlignment="1" applyProtection="1">
      <alignment horizontal="center" vertical="top" wrapText="1"/>
    </xf>
    <xf numFmtId="0" fontId="8" fillId="2" borderId="27" xfId="0" applyFont="1" applyFill="1" applyBorder="1" applyAlignment="1" applyProtection="1">
      <alignment horizontal="left" vertical="center"/>
    </xf>
    <xf numFmtId="0" fontId="8" fillId="2" borderId="55" xfId="0" applyFont="1" applyFill="1" applyBorder="1" applyAlignment="1" applyProtection="1">
      <alignment horizontal="left" vertical="center"/>
    </xf>
    <xf numFmtId="0" fontId="8" fillId="2" borderId="44" xfId="0" applyFont="1" applyFill="1" applyBorder="1" applyAlignment="1" applyProtection="1">
      <alignment horizontal="left" vertical="center"/>
    </xf>
    <xf numFmtId="0" fontId="8" fillId="2" borderId="14" xfId="0" applyFont="1" applyFill="1" applyBorder="1" applyAlignment="1" applyProtection="1">
      <alignment horizontal="left" vertical="center"/>
    </xf>
    <xf numFmtId="0" fontId="8" fillId="2" borderId="29" xfId="0" applyFont="1" applyFill="1" applyBorder="1" applyAlignment="1" applyProtection="1">
      <alignment horizontal="left" vertical="center"/>
    </xf>
    <xf numFmtId="0" fontId="8" fillId="2" borderId="10" xfId="0" applyFont="1" applyFill="1" applyBorder="1" applyAlignment="1" applyProtection="1">
      <alignment horizontal="left" vertical="center"/>
    </xf>
    <xf numFmtId="0" fontId="8" fillId="2" borderId="68" xfId="0" applyFont="1" applyFill="1" applyBorder="1" applyAlignment="1" applyProtection="1">
      <alignment horizontal="left" vertical="center"/>
    </xf>
    <xf numFmtId="0" fontId="8" fillId="2" borderId="22" xfId="0" applyFont="1" applyFill="1" applyBorder="1" applyAlignment="1" applyProtection="1">
      <alignment horizontal="left" vertical="center"/>
    </xf>
    <xf numFmtId="0" fontId="8" fillId="2" borderId="45" xfId="0" applyFont="1" applyFill="1" applyBorder="1" applyAlignment="1" applyProtection="1">
      <alignment horizontal="left" vertical="center"/>
    </xf>
    <xf numFmtId="0" fontId="8" fillId="2" borderId="53" xfId="0" applyFont="1" applyFill="1" applyBorder="1" applyAlignment="1" applyProtection="1">
      <alignment horizontal="left" vertical="center"/>
    </xf>
    <xf numFmtId="0" fontId="8" fillId="0" borderId="27" xfId="0" applyFont="1" applyFill="1" applyBorder="1" applyAlignment="1" applyProtection="1">
      <alignment horizontal="center"/>
    </xf>
    <xf numFmtId="0" fontId="8" fillId="0" borderId="23" xfId="0" applyFont="1" applyFill="1" applyBorder="1" applyAlignment="1" applyProtection="1">
      <alignment horizontal="center"/>
    </xf>
    <xf numFmtId="0" fontId="8" fillId="0" borderId="24" xfId="0" applyFont="1" applyFill="1" applyBorder="1" applyAlignment="1" applyProtection="1">
      <alignment horizontal="center"/>
    </xf>
    <xf numFmtId="0" fontId="8" fillId="2" borderId="9"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9" xfId="0" applyFont="1" applyFill="1" applyBorder="1" applyAlignment="1" applyProtection="1">
      <alignment horizontal="center"/>
    </xf>
    <xf numFmtId="0" fontId="8" fillId="2" borderId="3" xfId="0" applyFont="1" applyFill="1" applyBorder="1" applyAlignment="1" applyProtection="1">
      <alignment horizontal="center"/>
    </xf>
    <xf numFmtId="0" fontId="8" fillId="2" borderId="10" xfId="0" applyFont="1" applyFill="1" applyBorder="1" applyAlignment="1" applyProtection="1">
      <alignment horizontal="center"/>
    </xf>
    <xf numFmtId="0" fontId="8" fillId="2" borderId="15" xfId="0" applyFont="1" applyFill="1" applyBorder="1" applyAlignment="1" applyProtection="1">
      <alignment horizontal="center" vertical="center"/>
    </xf>
    <xf numFmtId="0" fontId="8" fillId="2" borderId="17" xfId="0" applyFont="1" applyFill="1" applyBorder="1" applyAlignment="1" applyProtection="1">
      <alignment horizontal="center" vertical="center"/>
    </xf>
    <xf numFmtId="0" fontId="8" fillId="2" borderId="15" xfId="0" applyFont="1" applyFill="1" applyBorder="1" applyAlignment="1" applyProtection="1">
      <alignment horizontal="center" wrapText="1"/>
    </xf>
    <xf numFmtId="0" fontId="8" fillId="2" borderId="16" xfId="0" applyFont="1" applyFill="1" applyBorder="1" applyAlignment="1" applyProtection="1">
      <alignment horizontal="center" wrapText="1"/>
    </xf>
    <xf numFmtId="0" fontId="8" fillId="2" borderId="17" xfId="0" applyFont="1" applyFill="1" applyBorder="1" applyAlignment="1" applyProtection="1">
      <alignment horizontal="center" wrapText="1"/>
    </xf>
    <xf numFmtId="2" fontId="8" fillId="8" borderId="80" xfId="0" applyNumberFormat="1" applyFont="1" applyFill="1" applyBorder="1" applyAlignment="1" applyProtection="1">
      <alignment horizontal="center" vertical="center"/>
    </xf>
    <xf numFmtId="2" fontId="8" fillId="8" borderId="60" xfId="0" applyNumberFormat="1"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24" xfId="0" applyFont="1" applyFill="1" applyBorder="1" applyAlignment="1" applyProtection="1">
      <alignment horizontal="center" vertical="center"/>
    </xf>
    <xf numFmtId="2" fontId="8" fillId="8" borderId="29" xfId="0" applyNumberFormat="1" applyFont="1" applyFill="1" applyBorder="1" applyAlignment="1" applyProtection="1">
      <alignment horizontal="center" vertical="center"/>
    </xf>
    <xf numFmtId="2" fontId="8" fillId="8" borderId="25" xfId="0" applyNumberFormat="1"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0" fontId="8" fillId="0" borderId="121" xfId="0" applyFont="1" applyFill="1" applyBorder="1" applyAlignment="1" applyProtection="1">
      <alignment horizontal="center" vertical="center"/>
    </xf>
    <xf numFmtId="0" fontId="8" fillId="0" borderId="94" xfId="0" applyFont="1" applyFill="1" applyBorder="1" applyAlignment="1" applyProtection="1">
      <alignment horizontal="center" vertical="center"/>
    </xf>
    <xf numFmtId="0" fontId="23" fillId="0" borderId="19" xfId="0" applyFont="1" applyFill="1" applyBorder="1" applyAlignment="1" applyProtection="1">
      <alignment horizontal="center"/>
    </xf>
    <xf numFmtId="0" fontId="23" fillId="0" borderId="6" xfId="0" applyFont="1" applyFill="1" applyBorder="1" applyAlignment="1" applyProtection="1">
      <alignment horizontal="center"/>
    </xf>
    <xf numFmtId="0" fontId="8" fillId="0" borderId="23" xfId="0" applyFont="1" applyFill="1" applyBorder="1" applyAlignment="1" applyProtection="1">
      <alignment horizontal="center" vertical="center"/>
    </xf>
    <xf numFmtId="2" fontId="8" fillId="8" borderId="27" xfId="0" applyNumberFormat="1" applyFont="1" applyFill="1" applyBorder="1" applyAlignment="1" applyProtection="1">
      <alignment horizontal="center" vertical="center"/>
    </xf>
    <xf numFmtId="2" fontId="8" fillId="8" borderId="4" xfId="0" applyNumberFormat="1" applyFont="1" applyFill="1" applyBorder="1" applyAlignment="1" applyProtection="1">
      <alignment horizontal="center" vertical="center"/>
    </xf>
    <xf numFmtId="2" fontId="8" fillId="8" borderId="47" xfId="0" applyNumberFormat="1" applyFont="1" applyFill="1" applyBorder="1" applyAlignment="1" applyProtection="1">
      <alignment horizontal="center" vertical="center"/>
    </xf>
    <xf numFmtId="2" fontId="8" fillId="8" borderId="32" xfId="0" applyNumberFormat="1" applyFont="1" applyFill="1" applyBorder="1" applyAlignment="1" applyProtection="1">
      <alignment horizontal="center" vertical="center"/>
    </xf>
    <xf numFmtId="2" fontId="8" fillId="8" borderId="58" xfId="0" applyNumberFormat="1" applyFont="1" applyFill="1" applyBorder="1" applyAlignment="1" applyProtection="1">
      <alignment horizontal="center" vertical="center"/>
    </xf>
    <xf numFmtId="0" fontId="8" fillId="0" borderId="91" xfId="0" applyFont="1" applyFill="1" applyBorder="1" applyAlignment="1" applyProtection="1">
      <alignment horizontal="center" vertical="center" wrapText="1"/>
    </xf>
    <xf numFmtId="0" fontId="8" fillId="14" borderId="27" xfId="0" applyFont="1" applyFill="1" applyBorder="1" applyAlignment="1" applyProtection="1">
      <alignment horizontal="center"/>
    </xf>
    <xf numFmtId="0" fontId="8" fillId="14" borderId="24" xfId="0" applyFont="1" applyFill="1" applyBorder="1" applyAlignment="1" applyProtection="1">
      <alignment horizontal="center"/>
    </xf>
    <xf numFmtId="0" fontId="8" fillId="7" borderId="27" xfId="0" applyFont="1" applyFill="1" applyBorder="1" applyAlignment="1" applyProtection="1">
      <alignment horizontal="center"/>
    </xf>
    <xf numFmtId="0" fontId="8" fillId="7" borderId="24" xfId="0" applyFont="1" applyFill="1" applyBorder="1" applyAlignment="1" applyProtection="1">
      <alignment horizontal="center"/>
    </xf>
    <xf numFmtId="0" fontId="8" fillId="8" borderId="27" xfId="0" applyFont="1" applyFill="1" applyBorder="1" applyAlignment="1" applyProtection="1">
      <alignment horizontal="center"/>
    </xf>
    <xf numFmtId="0" fontId="8" fillId="8" borderId="24" xfId="0" applyFont="1" applyFill="1" applyBorder="1" applyAlignment="1" applyProtection="1">
      <alignment horizontal="center"/>
    </xf>
    <xf numFmtId="0" fontId="8" fillId="2" borderId="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15" xfId="0" applyFont="1" applyFill="1" applyBorder="1" applyAlignment="1" applyProtection="1">
      <alignment horizontal="left" vertical="center"/>
    </xf>
    <xf numFmtId="0" fontId="8" fillId="2" borderId="17" xfId="0" applyFont="1" applyFill="1" applyBorder="1" applyAlignment="1" applyProtection="1">
      <alignment horizontal="left" vertical="center"/>
    </xf>
    <xf numFmtId="0" fontId="8" fillId="12" borderId="15" xfId="0" applyFont="1" applyFill="1" applyBorder="1" applyAlignment="1" applyProtection="1">
      <alignment horizontal="center" vertical="center" wrapText="1"/>
      <protection locked="0"/>
    </xf>
    <xf numFmtId="0" fontId="8" fillId="12" borderId="17"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xf>
    <xf numFmtId="0" fontId="0" fillId="2" borderId="0" xfId="0" applyFont="1" applyFill="1" applyBorder="1" applyAlignment="1" applyProtection="1">
      <alignment horizontal="center"/>
    </xf>
    <xf numFmtId="0" fontId="8" fillId="0" borderId="0" xfId="0" applyFont="1" applyFill="1" applyBorder="1" applyAlignment="1" applyProtection="1">
      <alignment horizontal="center" vertical="center" wrapText="1"/>
    </xf>
    <xf numFmtId="0" fontId="8" fillId="2" borderId="0" xfId="0" applyFont="1" applyFill="1" applyBorder="1" applyAlignment="1" applyProtection="1">
      <alignment horizontal="left" vertical="top"/>
    </xf>
    <xf numFmtId="0" fontId="8" fillId="10" borderId="15" xfId="0" applyFont="1" applyFill="1" applyBorder="1" applyAlignment="1" applyProtection="1">
      <alignment horizontal="center" vertical="center"/>
    </xf>
    <xf numFmtId="0" fontId="0" fillId="10" borderId="17" xfId="0" applyFill="1" applyBorder="1" applyAlignment="1" applyProtection="1">
      <alignment vertical="center"/>
    </xf>
    <xf numFmtId="0" fontId="8" fillId="2" borderId="48" xfId="0" applyFont="1" applyFill="1" applyBorder="1" applyAlignment="1" applyProtection="1">
      <alignment horizontal="center" vertical="center" wrapText="1"/>
    </xf>
    <xf numFmtId="0" fontId="8" fillId="2" borderId="37" xfId="0" applyFont="1" applyFill="1" applyBorder="1" applyAlignment="1" applyProtection="1">
      <alignment horizontal="center" vertical="center" wrapText="1"/>
    </xf>
    <xf numFmtId="166" fontId="9" fillId="12" borderId="19" xfId="0" applyNumberFormat="1" applyFont="1" applyFill="1" applyBorder="1" applyAlignment="1" applyProtection="1">
      <alignment horizontal="center" vertical="center"/>
      <protection locked="0"/>
    </xf>
    <xf numFmtId="0" fontId="8" fillId="10" borderId="9" xfId="0" applyFont="1" applyFill="1" applyBorder="1" applyAlignment="1" applyProtection="1">
      <alignment horizontal="center" vertical="center" wrapText="1"/>
    </xf>
    <xf numFmtId="0" fontId="8" fillId="10" borderId="11" xfId="0" applyFont="1" applyFill="1" applyBorder="1" applyAlignment="1" applyProtection="1">
      <alignment horizontal="center" vertical="center" wrapText="1"/>
    </xf>
    <xf numFmtId="0" fontId="8" fillId="2" borderId="0" xfId="0" applyFont="1" applyFill="1" applyBorder="1" applyAlignment="1" applyProtection="1">
      <alignment horizontal="left" vertical="top" wrapText="1"/>
    </xf>
    <xf numFmtId="0" fontId="8" fillId="2" borderId="0" xfId="0" applyFont="1" applyFill="1" applyBorder="1" applyAlignment="1" applyProtection="1">
      <alignment vertical="top" wrapText="1"/>
    </xf>
    <xf numFmtId="0" fontId="8" fillId="2" borderId="48" xfId="0" applyFont="1" applyFill="1" applyBorder="1" applyAlignment="1" applyProtection="1">
      <alignment horizontal="center" vertical="top" wrapText="1"/>
    </xf>
    <xf numFmtId="0" fontId="8" fillId="2" borderId="37" xfId="0" applyFont="1" applyFill="1" applyBorder="1" applyAlignment="1" applyProtection="1">
      <alignment horizontal="center" vertical="top" wrapText="1"/>
    </xf>
    <xf numFmtId="0" fontId="8" fillId="2" borderId="89" xfId="0" applyFont="1" applyFill="1" applyBorder="1" applyAlignment="1" applyProtection="1">
      <alignment horizontal="center" vertical="center"/>
    </xf>
    <xf numFmtId="0" fontId="8" fillId="2" borderId="90" xfId="0" applyFont="1" applyFill="1" applyBorder="1" applyAlignment="1" applyProtection="1">
      <alignment horizontal="center" vertical="center"/>
    </xf>
    <xf numFmtId="0" fontId="8" fillId="2" borderId="11" xfId="0" applyFont="1" applyFill="1" applyBorder="1" applyAlignment="1" applyProtection="1">
      <alignment horizontal="center"/>
    </xf>
    <xf numFmtId="0" fontId="8" fillId="2" borderId="13" xfId="0" applyFont="1" applyFill="1" applyBorder="1" applyAlignment="1" applyProtection="1">
      <alignment horizontal="center"/>
    </xf>
    <xf numFmtId="0" fontId="8" fillId="2" borderId="89" xfId="0" applyFont="1" applyFill="1" applyBorder="1" applyAlignment="1" applyProtection="1">
      <alignment horizontal="left"/>
    </xf>
    <xf numFmtId="0" fontId="8" fillId="2" borderId="90" xfId="0" applyFont="1" applyFill="1" applyBorder="1" applyAlignment="1" applyProtection="1">
      <alignment horizontal="left"/>
    </xf>
    <xf numFmtId="0" fontId="13" fillId="4" borderId="7" xfId="11" applyFont="1" applyFill="1" applyBorder="1" applyAlignment="1" applyProtection="1">
      <alignment horizontal="center"/>
    </xf>
    <xf numFmtId="0" fontId="13" fillId="4" borderId="8" xfId="11" applyFont="1" applyFill="1" applyBorder="1" applyAlignment="1" applyProtection="1">
      <alignment horizontal="center"/>
    </xf>
    <xf numFmtId="0" fontId="8" fillId="2" borderId="19" xfId="0" applyFont="1" applyFill="1" applyBorder="1" applyAlignment="1" applyProtection="1">
      <alignment horizontal="center" vertical="center"/>
    </xf>
    <xf numFmtId="0" fontId="8" fillId="2" borderId="22" xfId="0" applyFont="1" applyFill="1" applyBorder="1" applyAlignment="1" applyProtection="1">
      <alignment horizontal="center" vertical="center"/>
    </xf>
    <xf numFmtId="0" fontId="8" fillId="2" borderId="69" xfId="0" applyFont="1" applyFill="1" applyBorder="1" applyAlignment="1" applyProtection="1">
      <alignment horizontal="center" vertical="center"/>
    </xf>
    <xf numFmtId="0" fontId="8" fillId="2" borderId="50" xfId="0" applyFont="1" applyFill="1" applyBorder="1" applyAlignment="1" applyProtection="1">
      <alignment horizontal="center" vertical="center"/>
    </xf>
    <xf numFmtId="0" fontId="8" fillId="2" borderId="6" xfId="0" applyFont="1" applyFill="1" applyBorder="1" applyAlignment="1" applyProtection="1">
      <alignment horizontal="center" vertical="center"/>
    </xf>
    <xf numFmtId="0" fontId="8" fillId="2" borderId="19" xfId="0" applyFont="1" applyFill="1" applyBorder="1" applyAlignment="1" applyProtection="1">
      <alignment horizontal="center"/>
    </xf>
    <xf numFmtId="0" fontId="8" fillId="2" borderId="22" xfId="0" applyFont="1" applyFill="1" applyBorder="1" applyAlignment="1" applyProtection="1">
      <alignment horizontal="center"/>
    </xf>
    <xf numFmtId="0" fontId="9" fillId="18" borderId="15" xfId="0" applyFont="1" applyFill="1" applyBorder="1" applyAlignment="1" applyProtection="1">
      <alignment horizontal="center" vertical="center"/>
    </xf>
    <xf numFmtId="0" fontId="9" fillId="18" borderId="43" xfId="0" applyFont="1" applyFill="1" applyBorder="1" applyAlignment="1" applyProtection="1">
      <alignment horizontal="center" vertical="center"/>
    </xf>
    <xf numFmtId="0" fontId="9" fillId="17" borderId="11" xfId="0" applyFont="1" applyFill="1" applyBorder="1" applyAlignment="1" applyProtection="1">
      <alignment horizontal="center"/>
    </xf>
    <xf numFmtId="0" fontId="9" fillId="17" borderId="13" xfId="0" applyFont="1" applyFill="1" applyBorder="1" applyAlignment="1" applyProtection="1">
      <alignment horizontal="center"/>
    </xf>
    <xf numFmtId="0" fontId="8" fillId="2" borderId="6" xfId="0" applyFont="1" applyFill="1" applyBorder="1" applyAlignment="1" applyProtection="1">
      <alignment horizontal="center"/>
    </xf>
    <xf numFmtId="0" fontId="8" fillId="2" borderId="89" xfId="0" applyFont="1" applyFill="1" applyBorder="1" applyAlignment="1" applyProtection="1">
      <alignment horizontal="center"/>
    </xf>
    <xf numFmtId="0" fontId="8" fillId="2" borderId="90" xfId="0" applyFont="1" applyFill="1" applyBorder="1" applyAlignment="1" applyProtection="1">
      <alignment horizontal="center"/>
    </xf>
    <xf numFmtId="0" fontId="8" fillId="2" borderId="84" xfId="0" applyFont="1" applyFill="1" applyBorder="1" applyAlignment="1" applyProtection="1">
      <alignment horizontal="center"/>
    </xf>
    <xf numFmtId="0" fontId="8" fillId="2" borderId="38" xfId="0" applyFont="1" applyFill="1" applyBorder="1" applyAlignment="1" applyProtection="1">
      <alignment horizontal="center"/>
    </xf>
  </cellXfs>
  <cellStyles count="18">
    <cellStyle name="Comma0" xfId="1"/>
    <cellStyle name="Currency0" xfId="2"/>
    <cellStyle name="Date" xfId="3"/>
    <cellStyle name="Fixed" xfId="4"/>
    <cellStyle name="Heading 1" xfId="5"/>
    <cellStyle name="Heading 2" xfId="6"/>
    <cellStyle name="Normaal" xfId="7"/>
    <cellStyle name="Normal" xfId="0" builtinId="0"/>
    <cellStyle name="Normal 2" xfId="8"/>
    <cellStyle name="Percent" xfId="9" builtinId="5"/>
    <cellStyle name="Procent 2" xfId="10"/>
    <cellStyle name="Standaard 2" xfId="11"/>
    <cellStyle name="Standaard 2 2" xfId="12"/>
    <cellStyle name="Standaard 3" xfId="13"/>
    <cellStyle name="Standaard 4" xfId="14"/>
    <cellStyle name="Standaard_RIE-diagnostiekkamer" xfId="15"/>
    <cellStyle name="Total" xfId="16"/>
    <cellStyle name="Valuta 2" xfId="17"/>
  </cellStyles>
  <dxfs count="0"/>
  <tableStyles count="0" defaultTableStyle="TableStyleMedium9" defaultPivotStyle="PivotStyleLight16"/>
  <colors>
    <mruColors>
      <color rgb="FF00C050"/>
      <color rgb="FFCCCCFF"/>
      <color rgb="FFFFC000"/>
      <color rgb="FF99CCFF"/>
      <color rgb="FFCCFFCC"/>
      <color rgb="FF0070C0"/>
      <color rgb="FF0000C0"/>
      <color rgb="FFFF00FF"/>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9</xdr:col>
      <xdr:colOff>28575</xdr:colOff>
      <xdr:row>1</xdr:row>
      <xdr:rowOff>9525</xdr:rowOff>
    </xdr:from>
    <xdr:to>
      <xdr:col>10</xdr:col>
      <xdr:colOff>38100</xdr:colOff>
      <xdr:row>2</xdr:row>
      <xdr:rowOff>28575</xdr:rowOff>
    </xdr:to>
    <xdr:pic>
      <xdr:nvPicPr>
        <xdr:cNvPr id="10241" name="Afbeelding 1" descr="NCS_logo"/>
        <xdr:cNvPicPr>
          <a:picLocks noChangeAspect="1" noChangeArrowheads="1"/>
        </xdr:cNvPicPr>
      </xdr:nvPicPr>
      <xdr:blipFill>
        <a:blip xmlns:r="http://schemas.openxmlformats.org/officeDocument/2006/relationships" r:embed="rId1" cstate="print"/>
        <a:srcRect/>
        <a:stretch>
          <a:fillRect/>
        </a:stretch>
      </xdr:blipFill>
      <xdr:spPr bwMode="auto">
        <a:xfrm>
          <a:off x="5514975" y="200025"/>
          <a:ext cx="619125" cy="2095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140804</xdr:colOff>
      <xdr:row>62</xdr:row>
      <xdr:rowOff>41413</xdr:rowOff>
    </xdr:from>
    <xdr:to>
      <xdr:col>0</xdr:col>
      <xdr:colOff>528789</xdr:colOff>
      <xdr:row>64</xdr:row>
      <xdr:rowOff>180533</xdr:rowOff>
    </xdr:to>
    <xdr:pic>
      <xdr:nvPicPr>
        <xdr:cNvPr id="2" name="Afbeelding 1" descr="Related image"/>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804" y="10825370"/>
          <a:ext cx="387985" cy="5035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599433</xdr:colOff>
      <xdr:row>5</xdr:row>
      <xdr:rowOff>0</xdr:rowOff>
    </xdr:from>
    <xdr:to>
      <xdr:col>12</xdr:col>
      <xdr:colOff>258689</xdr:colOff>
      <xdr:row>32</xdr:row>
      <xdr:rowOff>105013</xdr:rowOff>
    </xdr:to>
    <xdr:grpSp>
      <xdr:nvGrpSpPr>
        <xdr:cNvPr id="134" name="Groep 133"/>
        <xdr:cNvGrpSpPr/>
      </xdr:nvGrpSpPr>
      <xdr:grpSpPr>
        <a:xfrm>
          <a:off x="1209033" y="952500"/>
          <a:ext cx="6364856" cy="5248513"/>
          <a:chOff x="1726625" y="376136"/>
          <a:chExt cx="6362475" cy="5248513"/>
        </a:xfrm>
      </xdr:grpSpPr>
      <xdr:cxnSp macro="">
        <xdr:nvCxnSpPr>
          <xdr:cNvPr id="135" name="AutoShape 68"/>
          <xdr:cNvCxnSpPr>
            <a:cxnSpLocks noChangeShapeType="1"/>
          </xdr:cNvCxnSpPr>
        </xdr:nvCxnSpPr>
        <xdr:spPr bwMode="auto">
          <a:xfrm flipH="1" flipV="1">
            <a:off x="2466273" y="993430"/>
            <a:ext cx="3205739" cy="1964892"/>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sp macro="" textlink="">
        <xdr:nvSpPr>
          <xdr:cNvPr id="136" name="Text Box 329"/>
          <xdr:cNvSpPr txBox="1">
            <a:spLocks noChangeArrowheads="1"/>
          </xdr:cNvSpPr>
        </xdr:nvSpPr>
        <xdr:spPr bwMode="auto">
          <a:xfrm>
            <a:off x="4348175" y="2110009"/>
            <a:ext cx="210845" cy="13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l1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7" name="Rechthoek 136"/>
          <xdr:cNvSpPr/>
        </xdr:nvSpPr>
        <xdr:spPr>
          <a:xfrm>
            <a:off x="1756647" y="1060721"/>
            <a:ext cx="411820" cy="4345194"/>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38" name="Rechthoek 137"/>
          <xdr:cNvSpPr/>
        </xdr:nvSpPr>
        <xdr:spPr>
          <a:xfrm>
            <a:off x="3069199" y="4623546"/>
            <a:ext cx="4002463" cy="798518"/>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39" name="Rechthoek 138"/>
          <xdr:cNvSpPr/>
        </xdr:nvSpPr>
        <xdr:spPr>
          <a:xfrm>
            <a:off x="3069199" y="1867951"/>
            <a:ext cx="791341" cy="2762513"/>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cxnSp macro="">
        <xdr:nvCxnSpPr>
          <xdr:cNvPr id="140" name="AutoShape 58"/>
          <xdr:cNvCxnSpPr>
            <a:cxnSpLocks noChangeShapeType="1"/>
          </xdr:cNvCxnSpPr>
        </xdr:nvCxnSpPr>
        <xdr:spPr bwMode="auto">
          <a:xfrm flipH="1">
            <a:off x="3052153" y="1843089"/>
            <a:ext cx="897" cy="3576284"/>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sp macro="" textlink="">
        <xdr:nvSpPr>
          <xdr:cNvPr id="141" name="Rechthoek 140"/>
          <xdr:cNvSpPr/>
        </xdr:nvSpPr>
        <xdr:spPr>
          <a:xfrm>
            <a:off x="7067175" y="1065207"/>
            <a:ext cx="1021925" cy="4338913"/>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42" name="Rechthoek 141"/>
          <xdr:cNvSpPr/>
        </xdr:nvSpPr>
        <xdr:spPr>
          <a:xfrm>
            <a:off x="1756577" y="386018"/>
            <a:ext cx="6318167" cy="679189"/>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43" name="Rectangle 85"/>
          <xdr:cNvSpPr>
            <a:spLocks noChangeArrowheads="1"/>
          </xdr:cNvSpPr>
        </xdr:nvSpPr>
        <xdr:spPr bwMode="auto">
          <a:xfrm rot="5400000">
            <a:off x="1086361" y="3008567"/>
            <a:ext cx="2068969" cy="25122"/>
          </a:xfrm>
          <a:prstGeom prst="rect">
            <a:avLst/>
          </a:prstGeom>
          <a:gradFill rotWithShape="0">
            <a:gsLst>
              <a:gs pos="0">
                <a:srgbClr val="00B050"/>
              </a:gs>
              <a:gs pos="100000">
                <a:srgbClr val="00B050">
                  <a:gamma/>
                  <a:shade val="46275"/>
                  <a:invGamma/>
                </a:srgbClr>
              </a:gs>
            </a:gsLst>
            <a:lin ang="2700000" scaled="1"/>
          </a:gradFill>
          <a:ln w="9525">
            <a:solidFill>
              <a:srgbClr val="00B05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nl-NL"/>
          </a:p>
        </xdr:txBody>
      </xdr:sp>
      <xdr:cxnSp macro="">
        <xdr:nvCxnSpPr>
          <xdr:cNvPr id="144" name="AutoShape 88"/>
          <xdr:cNvCxnSpPr>
            <a:cxnSpLocks noChangeShapeType="1"/>
          </xdr:cNvCxnSpPr>
        </xdr:nvCxnSpPr>
        <xdr:spPr bwMode="auto">
          <a:xfrm flipH="1" flipV="1">
            <a:off x="2181857" y="1261696"/>
            <a:ext cx="4844945" cy="1702010"/>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45" name="AutoShape 89"/>
          <xdr:cNvCxnSpPr>
            <a:cxnSpLocks noChangeShapeType="1"/>
          </xdr:cNvCxnSpPr>
        </xdr:nvCxnSpPr>
        <xdr:spPr bwMode="auto">
          <a:xfrm flipH="1" flipV="1">
            <a:off x="3166995" y="1089432"/>
            <a:ext cx="3859806" cy="1856330"/>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46" name="AutoShape 92"/>
          <xdr:cNvCxnSpPr>
            <a:cxnSpLocks noChangeShapeType="1"/>
          </xdr:cNvCxnSpPr>
        </xdr:nvCxnSpPr>
        <xdr:spPr bwMode="auto">
          <a:xfrm flipH="1" flipV="1">
            <a:off x="2695063" y="1187229"/>
            <a:ext cx="4350649" cy="1773785"/>
          </a:xfrm>
          <a:prstGeom prst="straightConnector1">
            <a:avLst/>
          </a:prstGeom>
          <a:noFill/>
          <a:ln w="9525">
            <a:solidFill>
              <a:srgbClr val="0070C0"/>
            </a:solidFill>
            <a:round/>
            <a:headEnd type="none"/>
            <a:tailEnd type="triangle"/>
          </a:ln>
          <a:extLst>
            <a:ext uri="{909E8E84-426E-40DD-AFC4-6F175D3DCCD1}">
              <a14:hiddenFill xmlns:a14="http://schemas.microsoft.com/office/drawing/2010/main">
                <a:noFill/>
              </a14:hiddenFill>
            </a:ext>
          </a:extLst>
        </xdr:spPr>
      </xdr:cxnSp>
      <xdr:cxnSp macro="">
        <xdr:nvCxnSpPr>
          <xdr:cNvPr id="147" name="AutoShape 94"/>
          <xdr:cNvCxnSpPr>
            <a:cxnSpLocks noChangeShapeType="1"/>
          </xdr:cNvCxnSpPr>
        </xdr:nvCxnSpPr>
        <xdr:spPr bwMode="auto">
          <a:xfrm>
            <a:off x="3166097" y="1087637"/>
            <a:ext cx="2505913" cy="1867096"/>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sp macro="" textlink="">
        <xdr:nvSpPr>
          <xdr:cNvPr id="148" name="Rectangle 323"/>
          <xdr:cNvSpPr>
            <a:spLocks noChangeArrowheads="1"/>
          </xdr:cNvSpPr>
        </xdr:nvSpPr>
        <xdr:spPr bwMode="auto">
          <a:xfrm flipV="1">
            <a:off x="2200214" y="1089466"/>
            <a:ext cx="1008000" cy="25122"/>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nl-NL"/>
          </a:p>
        </xdr:txBody>
      </xdr:sp>
      <xdr:sp macro="" textlink="">
        <xdr:nvSpPr>
          <xdr:cNvPr id="149" name="Rectangle 324"/>
          <xdr:cNvSpPr>
            <a:spLocks noChangeArrowheads="1"/>
          </xdr:cNvSpPr>
        </xdr:nvSpPr>
        <xdr:spPr bwMode="auto">
          <a:xfrm rot="5400000">
            <a:off x="2138996" y="1169733"/>
            <a:ext cx="160601" cy="25122"/>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nl-NL"/>
          </a:p>
        </xdr:txBody>
      </xdr:sp>
      <xdr:sp macro="" textlink="">
        <xdr:nvSpPr>
          <xdr:cNvPr id="150" name="Text Box 326"/>
          <xdr:cNvSpPr txBox="1">
            <a:spLocks noChangeArrowheads="1"/>
          </xdr:cNvSpPr>
        </xdr:nvSpPr>
        <xdr:spPr bwMode="auto">
          <a:xfrm>
            <a:off x="2794242" y="1720948"/>
            <a:ext cx="242247" cy="13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z4</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151" name="AutoShape 327"/>
          <xdr:cNvCxnSpPr>
            <a:cxnSpLocks noChangeShapeType="1"/>
          </xdr:cNvCxnSpPr>
        </xdr:nvCxnSpPr>
        <xdr:spPr bwMode="auto">
          <a:xfrm>
            <a:off x="2849382" y="1064310"/>
            <a:ext cx="2822629" cy="1891321"/>
          </a:xfrm>
          <a:prstGeom prst="straightConnector1">
            <a:avLst/>
          </a:prstGeom>
          <a:noFill/>
          <a:ln w="9525">
            <a:solidFill>
              <a:srgbClr val="FFC000"/>
            </a:solidFill>
            <a:round/>
            <a:headEnd type="triangle"/>
            <a:tailEnd/>
          </a:ln>
          <a:extLst>
            <a:ext uri="{909E8E84-426E-40DD-AFC4-6F175D3DCCD1}">
              <a14:hiddenFill xmlns:a14="http://schemas.microsoft.com/office/drawing/2010/main">
                <a:noFill/>
              </a14:hiddenFill>
            </a:ext>
          </a:extLst>
        </xdr:spPr>
      </xdr:cxnSp>
      <xdr:sp macro="" textlink="">
        <xdr:nvSpPr>
          <xdr:cNvPr id="152" name="Text Box 328"/>
          <xdr:cNvSpPr txBox="1">
            <a:spLocks noChangeArrowheads="1"/>
          </xdr:cNvSpPr>
        </xdr:nvSpPr>
        <xdr:spPr bwMode="auto">
          <a:xfrm>
            <a:off x="4374194" y="3946600"/>
            <a:ext cx="159254" cy="13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l</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53" name="Text Box 332"/>
          <xdr:cNvSpPr txBox="1">
            <a:spLocks noChangeArrowheads="1"/>
          </xdr:cNvSpPr>
        </xdr:nvSpPr>
        <xdr:spPr bwMode="auto">
          <a:xfrm>
            <a:off x="4289407" y="2955182"/>
            <a:ext cx="240005" cy="13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p2</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54" name="Text Box 333"/>
          <xdr:cNvSpPr txBox="1">
            <a:spLocks noChangeArrowheads="1"/>
          </xdr:cNvSpPr>
        </xdr:nvSpPr>
        <xdr:spPr bwMode="auto">
          <a:xfrm>
            <a:off x="6499488" y="2956483"/>
            <a:ext cx="180985" cy="13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p1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55" name="Text Box 334"/>
          <xdr:cNvSpPr txBox="1">
            <a:spLocks noChangeArrowheads="1"/>
          </xdr:cNvSpPr>
        </xdr:nvSpPr>
        <xdr:spPr bwMode="auto">
          <a:xfrm>
            <a:off x="4552876" y="1788732"/>
            <a:ext cx="180985" cy="13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56" name="Text Box 335"/>
          <xdr:cNvSpPr txBox="1">
            <a:spLocks noChangeArrowheads="1"/>
          </xdr:cNvSpPr>
        </xdr:nvSpPr>
        <xdr:spPr bwMode="auto">
          <a:xfrm>
            <a:off x="2465958" y="2185374"/>
            <a:ext cx="180985" cy="13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57" name="Text Box 336"/>
          <xdr:cNvSpPr txBox="1">
            <a:spLocks noChangeArrowheads="1"/>
          </xdr:cNvSpPr>
        </xdr:nvSpPr>
        <xdr:spPr bwMode="auto">
          <a:xfrm>
            <a:off x="2333832" y="3680077"/>
            <a:ext cx="180985" cy="13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z2</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58" name="Rectangle 344" descr="5%"/>
          <xdr:cNvSpPr>
            <a:spLocks noChangeArrowheads="1"/>
          </xdr:cNvSpPr>
        </xdr:nvSpPr>
        <xdr:spPr bwMode="auto">
          <a:xfrm rot="5400000">
            <a:off x="6575295" y="2969089"/>
            <a:ext cx="1053326" cy="25122"/>
          </a:xfrm>
          <a:prstGeom prst="rect">
            <a:avLst/>
          </a:prstGeom>
          <a:pattFill prst="pct5">
            <a:fgClr>
              <a:srgbClr val="0070C0"/>
            </a:fgClr>
            <a:bgClr>
              <a:srgbClr val="0070C0"/>
            </a:bgClr>
          </a:patt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nl-NL"/>
          </a:p>
        </xdr:txBody>
      </xdr:sp>
      <xdr:sp macro="" textlink="">
        <xdr:nvSpPr>
          <xdr:cNvPr id="159" name="Text Box 362"/>
          <xdr:cNvSpPr txBox="1">
            <a:spLocks noChangeArrowheads="1"/>
          </xdr:cNvSpPr>
        </xdr:nvSpPr>
        <xdr:spPr bwMode="auto">
          <a:xfrm>
            <a:off x="2758765" y="733735"/>
            <a:ext cx="253463" cy="252000"/>
          </a:xfrm>
          <a:prstGeom prst="rect">
            <a:avLst/>
          </a:prstGeom>
          <a:solidFill>
            <a:schemeClr val="bg2">
              <a:lumMod val="90000"/>
            </a:schemeClr>
          </a:solidFill>
          <a:ln>
            <a:noFill/>
          </a:ln>
          <a:extLst/>
        </xdr:spPr>
        <xdr:txBody>
          <a:bodyPr vert="horz" wrap="square" lIns="0" tIns="0" rIns="0" bIns="0" numCol="1" anchor="ctr"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4</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60" name="Text Box 363"/>
          <xdr:cNvSpPr txBox="1">
            <a:spLocks noChangeArrowheads="1"/>
          </xdr:cNvSpPr>
        </xdr:nvSpPr>
        <xdr:spPr bwMode="auto">
          <a:xfrm>
            <a:off x="7122857" y="2829766"/>
            <a:ext cx="253463" cy="253463"/>
          </a:xfrm>
          <a:prstGeom prst="rect">
            <a:avLst/>
          </a:prstGeom>
          <a:solidFill>
            <a:schemeClr val="bg2">
              <a:lumMod val="90000"/>
            </a:schemeClr>
          </a:solidFill>
          <a:ln>
            <a:noFill/>
          </a:ln>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61" name="Text Box 364"/>
          <xdr:cNvSpPr txBox="1">
            <a:spLocks noChangeArrowheads="1"/>
          </xdr:cNvSpPr>
        </xdr:nvSpPr>
        <xdr:spPr bwMode="auto">
          <a:xfrm>
            <a:off x="1833910" y="2830660"/>
            <a:ext cx="255705" cy="253463"/>
          </a:xfrm>
          <a:prstGeom prst="rect">
            <a:avLst/>
          </a:prstGeom>
          <a:solidFill>
            <a:schemeClr val="bg2">
              <a:lumMod val="90000"/>
            </a:schemeClr>
          </a:solidFill>
          <a:ln>
            <a:noFill/>
          </a:ln>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2</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62" name="Text Box 365"/>
          <xdr:cNvSpPr txBox="1">
            <a:spLocks noChangeArrowheads="1"/>
          </xdr:cNvSpPr>
        </xdr:nvSpPr>
        <xdr:spPr bwMode="auto">
          <a:xfrm>
            <a:off x="1956016" y="832482"/>
            <a:ext cx="253463" cy="253463"/>
          </a:xfrm>
          <a:prstGeom prst="rect">
            <a:avLst/>
          </a:prstGeom>
          <a:solidFill>
            <a:schemeClr val="bg2">
              <a:lumMod val="90000"/>
            </a:schemeClr>
          </a:solidFill>
          <a:ln>
            <a:noFill/>
          </a:ln>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163" name="AutoShape 61"/>
          <xdr:cNvCxnSpPr>
            <a:cxnSpLocks noChangeShapeType="1"/>
          </xdr:cNvCxnSpPr>
        </xdr:nvCxnSpPr>
        <xdr:spPr bwMode="auto">
          <a:xfrm>
            <a:off x="3036002" y="1860136"/>
            <a:ext cx="818257"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64" name="AutoShape 48"/>
          <xdr:cNvCxnSpPr>
            <a:cxnSpLocks noChangeShapeType="1"/>
          </xdr:cNvCxnSpPr>
        </xdr:nvCxnSpPr>
        <xdr:spPr bwMode="auto">
          <a:xfrm flipH="1">
            <a:off x="1728420" y="5417578"/>
            <a:ext cx="444120" cy="897"/>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65" name="AutoShape 49"/>
          <xdr:cNvCxnSpPr>
            <a:cxnSpLocks noChangeShapeType="1"/>
          </xdr:cNvCxnSpPr>
        </xdr:nvCxnSpPr>
        <xdr:spPr bwMode="auto">
          <a:xfrm flipH="1">
            <a:off x="8072054" y="376136"/>
            <a:ext cx="897" cy="505800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66" name="AutoShape 50"/>
          <xdr:cNvCxnSpPr>
            <a:cxnSpLocks noChangeShapeType="1"/>
          </xdr:cNvCxnSpPr>
        </xdr:nvCxnSpPr>
        <xdr:spPr bwMode="auto">
          <a:xfrm flipH="1" flipV="1">
            <a:off x="2184547" y="1063414"/>
            <a:ext cx="4884422" cy="897"/>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67" name="AutoShape 51"/>
          <xdr:cNvCxnSpPr>
            <a:cxnSpLocks noChangeShapeType="1"/>
          </xdr:cNvCxnSpPr>
        </xdr:nvCxnSpPr>
        <xdr:spPr bwMode="auto">
          <a:xfrm flipV="1">
            <a:off x="2184547" y="1049196"/>
            <a:ext cx="897" cy="439200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168" name="AutoShape 52"/>
          <xdr:cNvCxnSpPr>
            <a:cxnSpLocks noChangeShapeType="1"/>
          </xdr:cNvCxnSpPr>
        </xdr:nvCxnSpPr>
        <xdr:spPr bwMode="auto">
          <a:xfrm flipV="1">
            <a:off x="1738633" y="384765"/>
            <a:ext cx="0" cy="504000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69" name="AutoShape 53"/>
          <xdr:cNvCxnSpPr>
            <a:cxnSpLocks noChangeShapeType="1"/>
          </xdr:cNvCxnSpPr>
        </xdr:nvCxnSpPr>
        <xdr:spPr bwMode="auto">
          <a:xfrm>
            <a:off x="1726625" y="386018"/>
            <a:ext cx="6358542"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70" name="AutoShape 54"/>
          <xdr:cNvCxnSpPr>
            <a:cxnSpLocks noChangeShapeType="1"/>
          </xdr:cNvCxnSpPr>
        </xdr:nvCxnSpPr>
        <xdr:spPr bwMode="auto">
          <a:xfrm flipV="1">
            <a:off x="7062689" y="1036497"/>
            <a:ext cx="897" cy="361127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71" name="AutoShape 55"/>
          <xdr:cNvCxnSpPr>
            <a:cxnSpLocks noChangeShapeType="1"/>
          </xdr:cNvCxnSpPr>
        </xdr:nvCxnSpPr>
        <xdr:spPr bwMode="auto">
          <a:xfrm flipH="1">
            <a:off x="3036003" y="5420270"/>
            <a:ext cx="5036051"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72" name="AutoShape 56"/>
          <xdr:cNvCxnSpPr>
            <a:cxnSpLocks noChangeShapeType="1"/>
          </xdr:cNvCxnSpPr>
        </xdr:nvCxnSpPr>
        <xdr:spPr bwMode="auto">
          <a:xfrm>
            <a:off x="3836315" y="4622649"/>
            <a:ext cx="3239833"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73" name="AutoShape 57"/>
          <xdr:cNvCxnSpPr>
            <a:cxnSpLocks noChangeShapeType="1"/>
          </xdr:cNvCxnSpPr>
        </xdr:nvCxnSpPr>
        <xdr:spPr bwMode="auto">
          <a:xfrm>
            <a:off x="3854259" y="1843089"/>
            <a:ext cx="0" cy="2767896"/>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sp macro="" textlink="">
        <xdr:nvSpPr>
          <xdr:cNvPr id="174" name="Text Box 389"/>
          <xdr:cNvSpPr txBox="1">
            <a:spLocks noChangeArrowheads="1"/>
          </xdr:cNvSpPr>
        </xdr:nvSpPr>
        <xdr:spPr bwMode="auto">
          <a:xfrm>
            <a:off x="2559014" y="5488458"/>
            <a:ext cx="144541" cy="136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L</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x</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175" name="AutoShape 63"/>
          <xdr:cNvCxnSpPr>
            <a:cxnSpLocks noChangeShapeType="1"/>
          </xdr:cNvCxnSpPr>
        </xdr:nvCxnSpPr>
        <xdr:spPr bwMode="auto">
          <a:xfrm>
            <a:off x="2185445" y="1961521"/>
            <a:ext cx="4137045" cy="993213"/>
          </a:xfrm>
          <a:prstGeom prst="straightConnector1">
            <a:avLst/>
          </a:prstGeom>
          <a:noFill/>
          <a:ln w="12700">
            <a:solidFill>
              <a:srgbClr val="00B050"/>
            </a:solidFill>
            <a:prstDash val="sysDot"/>
            <a:round/>
            <a:headEnd/>
            <a:tailEnd/>
          </a:ln>
          <a:extLst>
            <a:ext uri="{909E8E84-426E-40DD-AFC4-6F175D3DCCD1}">
              <a14:hiddenFill xmlns:a14="http://schemas.microsoft.com/office/drawing/2010/main">
                <a:noFill/>
              </a14:hiddenFill>
            </a:ext>
          </a:extLst>
        </xdr:spPr>
      </xdr:cxnSp>
      <xdr:cxnSp macro="">
        <xdr:nvCxnSpPr>
          <xdr:cNvPr id="176" name="AutoShape 64"/>
          <xdr:cNvCxnSpPr>
            <a:cxnSpLocks noChangeShapeType="1"/>
          </xdr:cNvCxnSpPr>
        </xdr:nvCxnSpPr>
        <xdr:spPr bwMode="auto">
          <a:xfrm flipV="1">
            <a:off x="2187239" y="2952042"/>
            <a:ext cx="4157681" cy="1080242"/>
          </a:xfrm>
          <a:prstGeom prst="straightConnector1">
            <a:avLst/>
          </a:prstGeom>
          <a:noFill/>
          <a:ln w="12700">
            <a:solidFill>
              <a:srgbClr val="00B050"/>
            </a:solidFill>
            <a:prstDash val="sysDot"/>
            <a:round/>
            <a:headEnd/>
            <a:tailEnd/>
          </a:ln>
          <a:extLst>
            <a:ext uri="{909E8E84-426E-40DD-AFC4-6F175D3DCCD1}">
              <a14:hiddenFill xmlns:a14="http://schemas.microsoft.com/office/drawing/2010/main">
                <a:noFill/>
              </a14:hiddenFill>
            </a:ext>
          </a:extLst>
        </xdr:spPr>
      </xdr:cxnSp>
      <xdr:cxnSp macro="">
        <xdr:nvCxnSpPr>
          <xdr:cNvPr id="177" name="AutoShape 65"/>
          <xdr:cNvCxnSpPr>
            <a:cxnSpLocks noChangeShapeType="1"/>
          </xdr:cNvCxnSpPr>
        </xdr:nvCxnSpPr>
        <xdr:spPr bwMode="auto">
          <a:xfrm flipV="1">
            <a:off x="5007177" y="2457680"/>
            <a:ext cx="2067177" cy="497055"/>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78" name="AutoShape 66"/>
          <xdr:cNvCxnSpPr>
            <a:cxnSpLocks noChangeShapeType="1"/>
          </xdr:cNvCxnSpPr>
        </xdr:nvCxnSpPr>
        <xdr:spPr bwMode="auto">
          <a:xfrm>
            <a:off x="5007177" y="2958323"/>
            <a:ext cx="2067177" cy="549990"/>
          </a:xfrm>
          <a:prstGeom prst="straightConnector1">
            <a:avLst/>
          </a:prstGeom>
          <a:noFill/>
          <a:ln w="9525">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79" name="AutoShape 602"/>
          <xdr:cNvCxnSpPr>
            <a:cxnSpLocks noChangeShapeType="1"/>
          </xdr:cNvCxnSpPr>
        </xdr:nvCxnSpPr>
        <xdr:spPr bwMode="auto">
          <a:xfrm>
            <a:off x="2198216" y="2957425"/>
            <a:ext cx="4140000" cy="0"/>
          </a:xfrm>
          <a:prstGeom prst="straightConnector1">
            <a:avLst/>
          </a:prstGeom>
          <a:noFill/>
          <a:ln w="9525">
            <a:solidFill>
              <a:srgbClr val="00B050"/>
            </a:solidFill>
            <a:round/>
            <a:headEnd type="triangle"/>
            <a:tailEnd type="none"/>
          </a:ln>
          <a:extLst>
            <a:ext uri="{909E8E84-426E-40DD-AFC4-6F175D3DCCD1}">
              <a14:hiddenFill xmlns:a14="http://schemas.microsoft.com/office/drawing/2010/main">
                <a:noFill/>
              </a14:hiddenFill>
            </a:ext>
          </a:extLst>
        </xdr:spPr>
      </xdr:cxnSp>
      <xdr:cxnSp macro="">
        <xdr:nvCxnSpPr>
          <xdr:cNvPr id="180" name="AutoShape 603"/>
          <xdr:cNvCxnSpPr>
            <a:cxnSpLocks noChangeShapeType="1"/>
          </xdr:cNvCxnSpPr>
        </xdr:nvCxnSpPr>
        <xdr:spPr bwMode="auto">
          <a:xfrm>
            <a:off x="5013456" y="2960704"/>
            <a:ext cx="2034000" cy="0"/>
          </a:xfrm>
          <a:prstGeom prst="straightConnector1">
            <a:avLst/>
          </a:prstGeom>
          <a:noFill/>
          <a:ln w="9525">
            <a:solidFill>
              <a:srgbClr val="0070C0"/>
            </a:solidFill>
            <a:round/>
            <a:headEnd type="none"/>
            <a:tailEnd type="triangle"/>
          </a:ln>
          <a:extLst>
            <a:ext uri="{909E8E84-426E-40DD-AFC4-6F175D3DCCD1}">
              <a14:hiddenFill xmlns:a14="http://schemas.microsoft.com/office/drawing/2010/main">
                <a:noFill/>
              </a14:hiddenFill>
            </a:ext>
          </a:extLst>
        </xdr:spPr>
      </xdr:cxnSp>
      <xdr:sp macro="" textlink="">
        <xdr:nvSpPr>
          <xdr:cNvPr id="181" name="Rectangle 642"/>
          <xdr:cNvSpPr>
            <a:spLocks noChangeArrowheads="1"/>
          </xdr:cNvSpPr>
        </xdr:nvSpPr>
        <xdr:spPr bwMode="auto">
          <a:xfrm>
            <a:off x="2565863" y="1002845"/>
            <a:ext cx="628946" cy="25122"/>
          </a:xfrm>
          <a:prstGeom prst="rect">
            <a:avLst/>
          </a:prstGeom>
          <a:solidFill>
            <a:srgbClr val="FFC000"/>
          </a:solidFill>
          <a:ln w="9525">
            <a:solidFill>
              <a:srgbClr val="FFC00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nl-NL"/>
          </a:p>
        </xdr:txBody>
      </xdr:sp>
      <xdr:cxnSp macro="">
        <xdr:nvCxnSpPr>
          <xdr:cNvPr id="182" name="AutoShape 665"/>
          <xdr:cNvCxnSpPr>
            <a:cxnSpLocks noChangeShapeType="1"/>
          </xdr:cNvCxnSpPr>
        </xdr:nvCxnSpPr>
        <xdr:spPr bwMode="auto">
          <a:xfrm flipH="1">
            <a:off x="2523694" y="1192611"/>
            <a:ext cx="171368" cy="4188182"/>
          </a:xfrm>
          <a:prstGeom prst="straightConnector1">
            <a:avLst/>
          </a:prstGeom>
          <a:noFill/>
          <a:ln w="9525">
            <a:solidFill>
              <a:srgbClr val="0070C0"/>
            </a:solidFill>
            <a:round/>
            <a:headEnd/>
            <a:tailEnd/>
          </a:ln>
          <a:extLst>
            <a:ext uri="{909E8E84-426E-40DD-AFC4-6F175D3DCCD1}">
              <a14:hiddenFill xmlns:a14="http://schemas.microsoft.com/office/drawing/2010/main">
                <a:noFill/>
              </a14:hiddenFill>
            </a:ext>
          </a:extLst>
        </xdr:spPr>
      </xdr:cxnSp>
      <xdr:cxnSp macro="">
        <xdr:nvCxnSpPr>
          <xdr:cNvPr id="183" name="AutoShape 666"/>
          <xdr:cNvCxnSpPr>
            <a:cxnSpLocks noChangeShapeType="1"/>
          </xdr:cNvCxnSpPr>
        </xdr:nvCxnSpPr>
        <xdr:spPr bwMode="auto">
          <a:xfrm flipH="1" flipV="1">
            <a:off x="2200214" y="2963707"/>
            <a:ext cx="318994" cy="2481685"/>
          </a:xfrm>
          <a:prstGeom prst="straightConnector1">
            <a:avLst/>
          </a:prstGeom>
          <a:noFill/>
          <a:ln w="9525">
            <a:solidFill>
              <a:srgbClr val="00B050"/>
            </a:solidFill>
            <a:round/>
            <a:headEnd/>
            <a:tailEnd/>
          </a:ln>
          <a:extLst>
            <a:ext uri="{909E8E84-426E-40DD-AFC4-6F175D3DCCD1}">
              <a14:hiddenFill xmlns:a14="http://schemas.microsoft.com/office/drawing/2010/main">
                <a:noFill/>
              </a14:hiddenFill>
            </a:ext>
          </a:extLst>
        </xdr:spPr>
      </xdr:cxnSp>
      <xdr:cxnSp macro="">
        <xdr:nvCxnSpPr>
          <xdr:cNvPr id="184" name="AutoShape 674"/>
          <xdr:cNvCxnSpPr>
            <a:cxnSpLocks noChangeShapeType="1"/>
          </xdr:cNvCxnSpPr>
        </xdr:nvCxnSpPr>
        <xdr:spPr bwMode="auto">
          <a:xfrm flipH="1">
            <a:off x="2519208" y="2964603"/>
            <a:ext cx="3151906" cy="2472714"/>
          </a:xfrm>
          <a:prstGeom prst="straightConnector1">
            <a:avLst/>
          </a:prstGeom>
          <a:noFill/>
          <a:ln w="9525">
            <a:solidFill>
              <a:srgbClr val="C00000"/>
            </a:solidFill>
            <a:round/>
            <a:headEnd/>
            <a:tailEnd type="none"/>
          </a:ln>
          <a:extLst>
            <a:ext uri="{909E8E84-426E-40DD-AFC4-6F175D3DCCD1}">
              <a14:hiddenFill xmlns:a14="http://schemas.microsoft.com/office/drawing/2010/main">
                <a:noFill/>
              </a14:hiddenFill>
            </a:ext>
          </a:extLst>
        </xdr:spPr>
      </xdr:cxnSp>
      <xdr:cxnSp macro="">
        <xdr:nvCxnSpPr>
          <xdr:cNvPr id="185" name="AutoShape 939"/>
          <xdr:cNvCxnSpPr>
            <a:cxnSpLocks noChangeShapeType="1"/>
          </xdr:cNvCxnSpPr>
        </xdr:nvCxnSpPr>
        <xdr:spPr bwMode="auto">
          <a:xfrm flipV="1">
            <a:off x="2206423" y="1063416"/>
            <a:ext cx="1004535" cy="4354163"/>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186" name="Rechte verbindingslijn 185"/>
          <xdr:cNvCxnSpPr/>
        </xdr:nvCxnSpPr>
        <xdr:spPr>
          <a:xfrm>
            <a:off x="1730558" y="5073049"/>
            <a:ext cx="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87" name="Rechte verbindingslijn 186"/>
          <xdr:cNvCxnSpPr/>
        </xdr:nvCxnSpPr>
        <xdr:spPr>
          <a:xfrm flipV="1">
            <a:off x="2208772" y="1097507"/>
            <a:ext cx="975270" cy="189312"/>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88" name="Ovaal 187"/>
          <xdr:cNvSpPr/>
        </xdr:nvSpPr>
        <xdr:spPr>
          <a:xfrm>
            <a:off x="5646889" y="2935892"/>
            <a:ext cx="50244" cy="50244"/>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cxnSp macro="">
        <xdr:nvCxnSpPr>
          <xdr:cNvPr id="189" name="AutoShape 82"/>
          <xdr:cNvCxnSpPr>
            <a:cxnSpLocks noChangeShapeType="1"/>
          </xdr:cNvCxnSpPr>
        </xdr:nvCxnSpPr>
        <xdr:spPr bwMode="auto">
          <a:xfrm flipH="1">
            <a:off x="2527282" y="1090329"/>
            <a:ext cx="346324" cy="4344296"/>
          </a:xfrm>
          <a:prstGeom prst="straightConnector1">
            <a:avLst/>
          </a:prstGeom>
          <a:noFill/>
          <a:ln w="9525">
            <a:solidFill>
              <a:srgbClr val="FFC000"/>
            </a:solidFill>
            <a:round/>
            <a:headEnd/>
            <a:tailEnd/>
          </a:ln>
          <a:extLst>
            <a:ext uri="{909E8E84-426E-40DD-AFC4-6F175D3DCCD1}">
              <a14:hiddenFill xmlns:a14="http://schemas.microsoft.com/office/drawing/2010/main">
                <a:noFill/>
              </a14:hiddenFill>
            </a:ext>
          </a:extLst>
        </xdr:spPr>
      </xdr:cxnSp>
      <xdr:cxnSp macro="">
        <xdr:nvCxnSpPr>
          <xdr:cNvPr id="190" name="AutoShape 939"/>
          <xdr:cNvCxnSpPr>
            <a:cxnSpLocks noChangeShapeType="1"/>
          </xdr:cNvCxnSpPr>
        </xdr:nvCxnSpPr>
        <xdr:spPr bwMode="auto">
          <a:xfrm>
            <a:off x="2161573" y="5417578"/>
            <a:ext cx="990522" cy="0"/>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191" name="Rechte verbindingslijn met pijl 190"/>
          <xdr:cNvCxnSpPr/>
        </xdr:nvCxnSpPr>
        <xdr:spPr>
          <a:xfrm flipH="1">
            <a:off x="3940175" y="4114834"/>
            <a:ext cx="255600" cy="206341"/>
          </a:xfrm>
          <a:prstGeom prst="straightConnector1">
            <a:avLst/>
          </a:prstGeom>
          <a:ln>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7080</xdr:colOff>
      <xdr:row>32</xdr:row>
      <xdr:rowOff>154780</xdr:rowOff>
    </xdr:from>
    <xdr:to>
      <xdr:col>8</xdr:col>
      <xdr:colOff>439344</xdr:colOff>
      <xdr:row>34</xdr:row>
      <xdr:rowOff>133780</xdr:rowOff>
    </xdr:to>
    <xdr:sp macro="" textlink="">
      <xdr:nvSpPr>
        <xdr:cNvPr id="192" name="Rechthoek 191"/>
        <xdr:cNvSpPr/>
      </xdr:nvSpPr>
      <xdr:spPr>
        <a:xfrm>
          <a:off x="1221518" y="6250780"/>
          <a:ext cx="4075576" cy="360000"/>
        </a:xfrm>
        <a:prstGeom prst="rect">
          <a:avLst/>
        </a:prstGeom>
      </xdr:spPr>
      <xdr:txBody>
        <a:bodyPr wrap="square" lIns="0" rIns="0" anchor="ctr" anchorCtr="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latin typeface="Arial" panose="020B0604020202020204" pitchFamily="34" charset="0"/>
              <a:ea typeface="Times New Roman" panose="02020603050405020304" pitchFamily="18" charset="0"/>
              <a:cs typeface="Arial" panose="020B0604020202020204" pitchFamily="34" charset="0"/>
            </a:rPr>
            <a:t>Fig. 1: versneller draait loodrecht op het labyrint met één bocht</a:t>
          </a:r>
          <a:endParaRPr lang="nl-NL" sz="10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2</xdr:col>
      <xdr:colOff>7333</xdr:colOff>
      <xdr:row>68</xdr:row>
      <xdr:rowOff>21981</xdr:rowOff>
    </xdr:from>
    <xdr:to>
      <xdr:col>8</xdr:col>
      <xdr:colOff>412954</xdr:colOff>
      <xdr:row>69</xdr:row>
      <xdr:rowOff>77702</xdr:rowOff>
    </xdr:to>
    <xdr:sp macro="" textlink="">
      <xdr:nvSpPr>
        <xdr:cNvPr id="259" name="Rechthoek 258"/>
        <xdr:cNvSpPr/>
      </xdr:nvSpPr>
      <xdr:spPr>
        <a:xfrm>
          <a:off x="1223602" y="12975981"/>
          <a:ext cx="4054429" cy="246221"/>
        </a:xfrm>
        <a:prstGeom prst="rect">
          <a:avLst/>
        </a:prstGeom>
      </xdr:spPr>
      <xdr:txBody>
        <a:bodyPr wrap="square" lIns="0" rIns="0" anchor="ctr" anchorCtr="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latin typeface="Arial" panose="020B0604020202020204" pitchFamily="34" charset="0"/>
              <a:ea typeface="Times New Roman" panose="02020603050405020304" pitchFamily="18" charset="0"/>
              <a:cs typeface="Arial" panose="020B0604020202020204" pitchFamily="34" charset="0"/>
            </a:rPr>
            <a:t>Fig. 2: versneller draait loodrecht op het labyrint met twee bochten</a:t>
          </a:r>
          <a:endParaRPr lang="nl-NL" sz="10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2</xdr:col>
      <xdr:colOff>4781</xdr:colOff>
      <xdr:row>108</xdr:row>
      <xdr:rowOff>21981</xdr:rowOff>
    </xdr:from>
    <xdr:to>
      <xdr:col>9</xdr:col>
      <xdr:colOff>264838</xdr:colOff>
      <xdr:row>109</xdr:row>
      <xdr:rowOff>79883</xdr:rowOff>
    </xdr:to>
    <xdr:sp macro="" textlink="">
      <xdr:nvSpPr>
        <xdr:cNvPr id="326" name="Rechthoek 325"/>
        <xdr:cNvSpPr/>
      </xdr:nvSpPr>
      <xdr:spPr>
        <a:xfrm>
          <a:off x="1221050" y="20595981"/>
          <a:ext cx="4517000" cy="248402"/>
        </a:xfrm>
        <a:prstGeom prst="rect">
          <a:avLst/>
        </a:prstGeom>
      </xdr:spPr>
      <xdr:txBody>
        <a:bodyPr wrap="square" lIns="0" tIns="46800" rIns="0" bIns="46800" anchor="ctr" anchorCtr="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latin typeface="Arial" panose="020B0604020202020204" pitchFamily="34" charset="0"/>
              <a:ea typeface="Times New Roman" panose="02020603050405020304" pitchFamily="18" charset="0"/>
              <a:cs typeface="Arial" panose="020B0604020202020204" pitchFamily="34" charset="0"/>
            </a:rPr>
            <a:t>Fig. 3: versneller draait loodrecht op het labyrint met twee bochten</a:t>
          </a:r>
          <a:endParaRPr lang="nl-NL" sz="10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14</xdr:col>
      <xdr:colOff>596899</xdr:colOff>
      <xdr:row>4</xdr:row>
      <xdr:rowOff>180973</xdr:rowOff>
    </xdr:from>
    <xdr:to>
      <xdr:col>25</xdr:col>
      <xdr:colOff>270476</xdr:colOff>
      <xdr:row>32</xdr:row>
      <xdr:rowOff>104760</xdr:rowOff>
    </xdr:to>
    <xdr:grpSp>
      <xdr:nvGrpSpPr>
        <xdr:cNvPr id="327" name="Groep 326"/>
        <xdr:cNvGrpSpPr>
          <a:grpSpLocks noChangeAspect="1"/>
        </xdr:cNvGrpSpPr>
      </xdr:nvGrpSpPr>
      <xdr:grpSpPr>
        <a:xfrm>
          <a:off x="9131299" y="942973"/>
          <a:ext cx="6379177" cy="5257787"/>
          <a:chOff x="1527810" y="1102995"/>
          <a:chExt cx="4500245" cy="3703636"/>
        </a:xfrm>
      </xdr:grpSpPr>
      <xdr:cxnSp macro="">
        <xdr:nvCxnSpPr>
          <xdr:cNvPr id="328" name="AutoShape 581"/>
          <xdr:cNvCxnSpPr>
            <a:cxnSpLocks noChangeShapeType="1"/>
          </xdr:cNvCxnSpPr>
        </xdr:nvCxnSpPr>
        <xdr:spPr bwMode="auto">
          <a:xfrm flipH="1">
            <a:off x="2118478" y="1749425"/>
            <a:ext cx="143393" cy="2910805"/>
          </a:xfrm>
          <a:prstGeom prst="straightConnector1">
            <a:avLst/>
          </a:prstGeom>
          <a:noFill/>
          <a:ln w="9525">
            <a:solidFill>
              <a:srgbClr val="FFC000"/>
            </a:solidFill>
            <a:round/>
            <a:headEnd/>
            <a:tailEnd/>
          </a:ln>
          <a:extLst>
            <a:ext uri="{909E8E84-426E-40DD-AFC4-6F175D3DCCD1}">
              <a14:hiddenFill xmlns:a14="http://schemas.microsoft.com/office/drawing/2010/main">
                <a:noFill/>
              </a14:hiddenFill>
            </a:ext>
          </a:extLst>
        </xdr:spPr>
      </xdr:cxnSp>
      <xdr:sp macro="" textlink="">
        <xdr:nvSpPr>
          <xdr:cNvPr id="329" name="Rechthoek 328"/>
          <xdr:cNvSpPr/>
        </xdr:nvSpPr>
        <xdr:spPr>
          <a:xfrm>
            <a:off x="5511800" y="1647190"/>
            <a:ext cx="484505" cy="241998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330" name="Rechthoek 329"/>
          <xdr:cNvSpPr/>
        </xdr:nvSpPr>
        <xdr:spPr>
          <a:xfrm>
            <a:off x="2856865" y="4049395"/>
            <a:ext cx="3145155" cy="60960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331" name="Rechthoek 330"/>
          <xdr:cNvSpPr/>
        </xdr:nvSpPr>
        <xdr:spPr>
          <a:xfrm>
            <a:off x="2440911" y="2286000"/>
            <a:ext cx="436880" cy="237363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332" name="Rechthoek 331"/>
          <xdr:cNvSpPr/>
        </xdr:nvSpPr>
        <xdr:spPr>
          <a:xfrm>
            <a:off x="1542415" y="1708150"/>
            <a:ext cx="317500" cy="294386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333" name="Rechthoek 332"/>
          <xdr:cNvSpPr/>
        </xdr:nvSpPr>
        <xdr:spPr>
          <a:xfrm>
            <a:off x="1558160" y="1115060"/>
            <a:ext cx="4446270" cy="61785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334" name="Text Box 338"/>
          <xdr:cNvSpPr txBox="1">
            <a:spLocks noChangeArrowheads="1"/>
          </xdr:cNvSpPr>
        </xdr:nvSpPr>
        <xdr:spPr bwMode="auto">
          <a:xfrm>
            <a:off x="4006964" y="2027555"/>
            <a:ext cx="211138" cy="95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p1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35" name="Text Box 339"/>
          <xdr:cNvSpPr txBox="1">
            <a:spLocks noChangeArrowheads="1"/>
          </xdr:cNvSpPr>
        </xdr:nvSpPr>
        <xdr:spPr bwMode="auto">
          <a:xfrm>
            <a:off x="3378041" y="3524885"/>
            <a:ext cx="115887" cy="95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l</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36" name="Text Box 341"/>
          <xdr:cNvSpPr txBox="1">
            <a:spLocks noChangeArrowheads="1"/>
          </xdr:cNvSpPr>
        </xdr:nvSpPr>
        <xdr:spPr bwMode="auto">
          <a:xfrm>
            <a:off x="2192445" y="3595047"/>
            <a:ext cx="127012" cy="95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z4</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37" name="Text Box 342"/>
          <xdr:cNvSpPr txBox="1">
            <a:spLocks noChangeArrowheads="1"/>
          </xdr:cNvSpPr>
        </xdr:nvSpPr>
        <xdr:spPr bwMode="auto">
          <a:xfrm>
            <a:off x="3091596" y="1762432"/>
            <a:ext cx="127012" cy="95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38" name="Text Box 343"/>
          <xdr:cNvSpPr txBox="1">
            <a:spLocks noChangeArrowheads="1"/>
          </xdr:cNvSpPr>
        </xdr:nvSpPr>
        <xdr:spPr bwMode="auto">
          <a:xfrm>
            <a:off x="1983089" y="2709863"/>
            <a:ext cx="127012" cy="95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39" name="Text Box 392"/>
          <xdr:cNvSpPr txBox="1">
            <a:spLocks noChangeArrowheads="1"/>
          </xdr:cNvSpPr>
        </xdr:nvSpPr>
        <xdr:spPr bwMode="auto">
          <a:xfrm>
            <a:off x="1875791" y="1963606"/>
            <a:ext cx="82550" cy="10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r</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40" name="Text Box 396"/>
          <xdr:cNvSpPr txBox="1">
            <a:spLocks noChangeArrowheads="1"/>
          </xdr:cNvSpPr>
        </xdr:nvSpPr>
        <xdr:spPr bwMode="auto">
          <a:xfrm>
            <a:off x="2172696" y="1506621"/>
            <a:ext cx="179387" cy="179387"/>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4</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41" name="Text Box 397"/>
          <xdr:cNvSpPr txBox="1">
            <a:spLocks noChangeArrowheads="1"/>
          </xdr:cNvSpPr>
        </xdr:nvSpPr>
        <xdr:spPr bwMode="auto">
          <a:xfrm>
            <a:off x="3943398" y="1499862"/>
            <a:ext cx="179387" cy="179388"/>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42" name="Text Box 398"/>
          <xdr:cNvSpPr txBox="1">
            <a:spLocks noChangeArrowheads="1"/>
          </xdr:cNvSpPr>
        </xdr:nvSpPr>
        <xdr:spPr bwMode="auto">
          <a:xfrm>
            <a:off x="2086089" y="4710637"/>
            <a:ext cx="101609" cy="95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L</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x</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343" name="AutoShape 406"/>
          <xdr:cNvCxnSpPr>
            <a:cxnSpLocks noChangeShapeType="1"/>
          </xdr:cNvCxnSpPr>
        </xdr:nvCxnSpPr>
        <xdr:spPr bwMode="auto">
          <a:xfrm>
            <a:off x="6012180" y="1111250"/>
            <a:ext cx="0" cy="357251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sp macro="" textlink="">
        <xdr:nvSpPr>
          <xdr:cNvPr id="344" name="Text Box 442"/>
          <xdr:cNvSpPr txBox="1">
            <a:spLocks noChangeArrowheads="1"/>
          </xdr:cNvSpPr>
        </xdr:nvSpPr>
        <xdr:spPr bwMode="auto">
          <a:xfrm>
            <a:off x="1626321" y="2017712"/>
            <a:ext cx="179388" cy="179387"/>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345" name="AutoShape 512"/>
          <xdr:cNvCxnSpPr>
            <a:cxnSpLocks noChangeShapeType="1"/>
          </xdr:cNvCxnSpPr>
        </xdr:nvCxnSpPr>
        <xdr:spPr bwMode="auto">
          <a:xfrm flipH="1" flipV="1">
            <a:off x="1872424" y="2105218"/>
            <a:ext cx="245620" cy="2551202"/>
          </a:xfrm>
          <a:prstGeom prst="straightConnector1">
            <a:avLst/>
          </a:prstGeom>
          <a:noFill/>
          <a:ln w="9525">
            <a:solidFill>
              <a:srgbClr val="0070C0"/>
            </a:solidFill>
            <a:round/>
            <a:headEnd/>
            <a:tailEnd/>
          </a:ln>
          <a:extLst>
            <a:ext uri="{909E8E84-426E-40DD-AFC4-6F175D3DCCD1}">
              <a14:hiddenFill xmlns:a14="http://schemas.microsoft.com/office/drawing/2010/main">
                <a:noFill/>
              </a14:hiddenFill>
            </a:ext>
          </a:extLst>
        </xdr:spPr>
      </xdr:cxnSp>
      <xdr:cxnSp macro="">
        <xdr:nvCxnSpPr>
          <xdr:cNvPr id="346" name="AutoShape 545"/>
          <xdr:cNvCxnSpPr>
            <a:cxnSpLocks noChangeShapeType="1"/>
          </xdr:cNvCxnSpPr>
        </xdr:nvCxnSpPr>
        <xdr:spPr bwMode="auto">
          <a:xfrm flipH="1" flipV="1">
            <a:off x="1858645" y="1736090"/>
            <a:ext cx="3650615" cy="63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47" name="AutoShape 546"/>
          <xdr:cNvCxnSpPr>
            <a:cxnSpLocks noChangeShapeType="1"/>
          </xdr:cNvCxnSpPr>
        </xdr:nvCxnSpPr>
        <xdr:spPr bwMode="auto">
          <a:xfrm flipV="1">
            <a:off x="5509260" y="1724661"/>
            <a:ext cx="635" cy="234251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48" name="AutoShape 547"/>
          <xdr:cNvCxnSpPr>
            <a:cxnSpLocks noChangeShapeType="1"/>
          </xdr:cNvCxnSpPr>
        </xdr:nvCxnSpPr>
        <xdr:spPr bwMode="auto">
          <a:xfrm flipH="1" flipV="1">
            <a:off x="2420083" y="4662170"/>
            <a:ext cx="3599815" cy="698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49" name="AutoShape 548"/>
          <xdr:cNvCxnSpPr>
            <a:cxnSpLocks noChangeShapeType="1"/>
          </xdr:cNvCxnSpPr>
        </xdr:nvCxnSpPr>
        <xdr:spPr bwMode="auto">
          <a:xfrm flipH="1" flipV="1">
            <a:off x="1859280" y="1738689"/>
            <a:ext cx="1270" cy="2914924"/>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350" name="AutoShape 549"/>
          <xdr:cNvCxnSpPr>
            <a:cxnSpLocks noChangeShapeType="1"/>
          </xdr:cNvCxnSpPr>
        </xdr:nvCxnSpPr>
        <xdr:spPr bwMode="auto">
          <a:xfrm flipH="1" flipV="1">
            <a:off x="1543050" y="1102995"/>
            <a:ext cx="5080" cy="357251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51" name="AutoShape 551"/>
          <xdr:cNvCxnSpPr>
            <a:cxnSpLocks noChangeShapeType="1"/>
          </xdr:cNvCxnSpPr>
        </xdr:nvCxnSpPr>
        <xdr:spPr bwMode="auto">
          <a:xfrm>
            <a:off x="2427805" y="2285365"/>
            <a:ext cx="46037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52" name="AutoShape 553"/>
          <xdr:cNvCxnSpPr>
            <a:cxnSpLocks noChangeShapeType="1"/>
          </xdr:cNvCxnSpPr>
        </xdr:nvCxnSpPr>
        <xdr:spPr bwMode="auto">
          <a:xfrm flipH="1">
            <a:off x="1546226" y="4655185"/>
            <a:ext cx="314325" cy="63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53" name="AutoShape 554"/>
          <xdr:cNvCxnSpPr>
            <a:cxnSpLocks noChangeShapeType="1"/>
          </xdr:cNvCxnSpPr>
        </xdr:nvCxnSpPr>
        <xdr:spPr bwMode="auto">
          <a:xfrm>
            <a:off x="2428240" y="2273300"/>
            <a:ext cx="0" cy="238887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54" name="AutoShape 555"/>
          <xdr:cNvCxnSpPr>
            <a:cxnSpLocks noChangeShapeType="1"/>
          </xdr:cNvCxnSpPr>
        </xdr:nvCxnSpPr>
        <xdr:spPr bwMode="auto">
          <a:xfrm>
            <a:off x="2879725" y="4049395"/>
            <a:ext cx="2631440"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55" name="AutoShape 572"/>
          <xdr:cNvCxnSpPr>
            <a:cxnSpLocks noChangeShapeType="1"/>
          </xdr:cNvCxnSpPr>
        </xdr:nvCxnSpPr>
        <xdr:spPr bwMode="auto">
          <a:xfrm flipH="1">
            <a:off x="2114867" y="2930525"/>
            <a:ext cx="1931354" cy="1725896"/>
          </a:xfrm>
          <a:prstGeom prst="straightConnector1">
            <a:avLst/>
          </a:prstGeom>
          <a:noFill/>
          <a:ln w="9525">
            <a:solidFill>
              <a:srgbClr val="C00000"/>
            </a:solidFill>
            <a:round/>
            <a:headEnd/>
            <a:tailEnd/>
          </a:ln>
          <a:extLst>
            <a:ext uri="{909E8E84-426E-40DD-AFC4-6F175D3DCCD1}">
              <a14:hiddenFill xmlns:a14="http://schemas.microsoft.com/office/drawing/2010/main">
                <a:noFill/>
              </a14:hiddenFill>
            </a:ext>
          </a:extLst>
        </xdr:spPr>
      </xdr:cxnSp>
      <xdr:cxnSp macro="">
        <xdr:nvCxnSpPr>
          <xdr:cNvPr id="356" name="AutoShape 573"/>
          <xdr:cNvCxnSpPr>
            <a:cxnSpLocks noChangeShapeType="1"/>
          </xdr:cNvCxnSpPr>
        </xdr:nvCxnSpPr>
        <xdr:spPr bwMode="auto">
          <a:xfrm>
            <a:off x="4040505" y="1749425"/>
            <a:ext cx="4445" cy="1636395"/>
          </a:xfrm>
          <a:prstGeom prst="straightConnector1">
            <a:avLst/>
          </a:prstGeom>
          <a:noFill/>
          <a:ln w="9525">
            <a:solidFill>
              <a:srgbClr val="0070C0"/>
            </a:solidFill>
            <a:round/>
            <a:headEnd type="triangle"/>
            <a:tailEnd/>
          </a:ln>
          <a:extLst>
            <a:ext uri="{909E8E84-426E-40DD-AFC4-6F175D3DCCD1}">
              <a14:hiddenFill xmlns:a14="http://schemas.microsoft.com/office/drawing/2010/main">
                <a:noFill/>
              </a14:hiddenFill>
            </a:ext>
          </a:extLst>
        </xdr:spPr>
      </xdr:cxnSp>
      <xdr:cxnSp macro="">
        <xdr:nvCxnSpPr>
          <xdr:cNvPr id="357" name="AutoShape 574"/>
          <xdr:cNvCxnSpPr>
            <a:cxnSpLocks noChangeShapeType="1"/>
          </xdr:cNvCxnSpPr>
        </xdr:nvCxnSpPr>
        <xdr:spPr bwMode="auto">
          <a:xfrm flipH="1">
            <a:off x="1876529" y="1749425"/>
            <a:ext cx="2163978" cy="702371"/>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sp macro="" textlink="">
        <xdr:nvSpPr>
          <xdr:cNvPr id="358" name="Rectangle 575"/>
          <xdr:cNvSpPr>
            <a:spLocks noChangeArrowheads="1"/>
          </xdr:cNvSpPr>
        </xdr:nvSpPr>
        <xdr:spPr bwMode="auto">
          <a:xfrm>
            <a:off x="3635375" y="1695658"/>
            <a:ext cx="828675" cy="17780"/>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nl-NL"/>
          </a:p>
        </xdr:txBody>
      </xdr:sp>
      <xdr:cxnSp macro="">
        <xdr:nvCxnSpPr>
          <xdr:cNvPr id="359" name="AutoShape 576"/>
          <xdr:cNvCxnSpPr>
            <a:cxnSpLocks noChangeShapeType="1"/>
          </xdr:cNvCxnSpPr>
        </xdr:nvCxnSpPr>
        <xdr:spPr bwMode="auto">
          <a:xfrm>
            <a:off x="2028190" y="1748790"/>
            <a:ext cx="2014855" cy="1177925"/>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cxnSp macro="">
        <xdr:nvCxnSpPr>
          <xdr:cNvPr id="360" name="AutoShape 577"/>
          <xdr:cNvCxnSpPr>
            <a:cxnSpLocks noChangeShapeType="1"/>
          </xdr:cNvCxnSpPr>
        </xdr:nvCxnSpPr>
        <xdr:spPr bwMode="auto">
          <a:xfrm>
            <a:off x="2276475" y="1749425"/>
            <a:ext cx="1768475" cy="1180465"/>
          </a:xfrm>
          <a:prstGeom prst="straightConnector1">
            <a:avLst/>
          </a:prstGeom>
          <a:noFill/>
          <a:ln w="9525">
            <a:solidFill>
              <a:srgbClr val="FFC000"/>
            </a:solidFill>
            <a:round/>
            <a:headEnd type="triangle"/>
            <a:tailEnd/>
          </a:ln>
          <a:extLst>
            <a:ext uri="{909E8E84-426E-40DD-AFC4-6F175D3DCCD1}">
              <a14:hiddenFill xmlns:a14="http://schemas.microsoft.com/office/drawing/2010/main">
                <a:noFill/>
              </a14:hiddenFill>
            </a:ext>
          </a:extLst>
        </xdr:spPr>
      </xdr:cxnSp>
      <xdr:cxnSp macro="">
        <xdr:nvCxnSpPr>
          <xdr:cNvPr id="361" name="AutoShape 578"/>
          <xdr:cNvCxnSpPr>
            <a:cxnSpLocks noChangeShapeType="1"/>
          </xdr:cNvCxnSpPr>
        </xdr:nvCxnSpPr>
        <xdr:spPr bwMode="auto">
          <a:xfrm>
            <a:off x="2536190" y="1750060"/>
            <a:ext cx="1510030" cy="1176655"/>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sp macro="" textlink="">
        <xdr:nvSpPr>
          <xdr:cNvPr id="362" name="Rectangle 579"/>
          <xdr:cNvSpPr>
            <a:spLocks noChangeArrowheads="1"/>
          </xdr:cNvSpPr>
        </xdr:nvSpPr>
        <xdr:spPr bwMode="auto">
          <a:xfrm>
            <a:off x="2028190" y="1696917"/>
            <a:ext cx="507365" cy="17780"/>
          </a:xfrm>
          <a:prstGeom prst="rect">
            <a:avLst/>
          </a:prstGeom>
          <a:solidFill>
            <a:srgbClr val="FFC000"/>
          </a:solidFill>
          <a:ln w="9525">
            <a:solidFill>
              <a:srgbClr val="FFC00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nl-NL"/>
          </a:p>
        </xdr:txBody>
      </xdr:sp>
      <xdr:sp macro="" textlink="">
        <xdr:nvSpPr>
          <xdr:cNvPr id="363" name="Rectangle 580"/>
          <xdr:cNvSpPr>
            <a:spLocks noChangeArrowheads="1"/>
          </xdr:cNvSpPr>
        </xdr:nvSpPr>
        <xdr:spPr bwMode="auto">
          <a:xfrm rot="5400000">
            <a:off x="1478002" y="2092117"/>
            <a:ext cx="703162" cy="17780"/>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nl-NL"/>
          </a:p>
        </xdr:txBody>
      </xdr:sp>
      <xdr:cxnSp macro="">
        <xdr:nvCxnSpPr>
          <xdr:cNvPr id="364" name="AutoShape 719"/>
          <xdr:cNvCxnSpPr>
            <a:cxnSpLocks noChangeShapeType="1"/>
          </xdr:cNvCxnSpPr>
        </xdr:nvCxnSpPr>
        <xdr:spPr bwMode="auto">
          <a:xfrm>
            <a:off x="1527810" y="1115695"/>
            <a:ext cx="450024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65" name="AutoShape 740"/>
          <xdr:cNvCxnSpPr>
            <a:cxnSpLocks noChangeShapeType="1"/>
          </xdr:cNvCxnSpPr>
        </xdr:nvCxnSpPr>
        <xdr:spPr bwMode="auto">
          <a:xfrm>
            <a:off x="2889885" y="2270760"/>
            <a:ext cx="635" cy="178562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66" name="AutoShape 766"/>
          <xdr:cNvCxnSpPr>
            <a:cxnSpLocks noChangeShapeType="1"/>
          </xdr:cNvCxnSpPr>
        </xdr:nvCxnSpPr>
        <xdr:spPr bwMode="auto">
          <a:xfrm flipH="1">
            <a:off x="1862844" y="1749426"/>
            <a:ext cx="2177661" cy="355158"/>
          </a:xfrm>
          <a:prstGeom prst="straightConnector1">
            <a:avLst/>
          </a:prstGeom>
          <a:noFill/>
          <a:ln w="9525">
            <a:solidFill>
              <a:srgbClr val="0070C0"/>
            </a:solidFill>
            <a:round/>
            <a:headEnd type="none"/>
            <a:tailEnd type="triangle"/>
          </a:ln>
          <a:extLst>
            <a:ext uri="{909E8E84-426E-40DD-AFC4-6F175D3DCCD1}">
              <a14:hiddenFill xmlns:a14="http://schemas.microsoft.com/office/drawing/2010/main">
                <a:noFill/>
              </a14:hiddenFill>
            </a:ext>
          </a:extLst>
        </xdr:spPr>
      </xdr:cxnSp>
      <xdr:cxnSp macro="">
        <xdr:nvCxnSpPr>
          <xdr:cNvPr id="367" name="AutoShape 930"/>
          <xdr:cNvCxnSpPr>
            <a:cxnSpLocks noChangeShapeType="1"/>
          </xdr:cNvCxnSpPr>
        </xdr:nvCxnSpPr>
        <xdr:spPr bwMode="auto">
          <a:xfrm flipV="1">
            <a:off x="1874520" y="1731645"/>
            <a:ext cx="661035" cy="2927316"/>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368" name="AutoShape 256"/>
          <xdr:cNvCxnSpPr>
            <a:cxnSpLocks noChangeShapeType="1"/>
          </xdr:cNvCxnSpPr>
        </xdr:nvCxnSpPr>
        <xdr:spPr bwMode="auto">
          <a:xfrm flipH="1">
            <a:off x="4046220" y="1754505"/>
            <a:ext cx="421005" cy="1634490"/>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369" name="AutoShape 257"/>
          <xdr:cNvCxnSpPr>
            <a:cxnSpLocks noChangeShapeType="1"/>
          </xdr:cNvCxnSpPr>
        </xdr:nvCxnSpPr>
        <xdr:spPr bwMode="auto">
          <a:xfrm>
            <a:off x="3638550" y="1755141"/>
            <a:ext cx="407035" cy="1637665"/>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sp macro="" textlink="">
        <xdr:nvSpPr>
          <xdr:cNvPr id="370" name="Ovaal 369"/>
          <xdr:cNvSpPr/>
        </xdr:nvSpPr>
        <xdr:spPr>
          <a:xfrm>
            <a:off x="4029710" y="2912745"/>
            <a:ext cx="35560" cy="35560"/>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371" name="Text Box 680"/>
          <xdr:cNvSpPr txBox="1">
            <a:spLocks noChangeArrowheads="1"/>
          </xdr:cNvSpPr>
        </xdr:nvSpPr>
        <xdr:spPr bwMode="auto">
          <a:xfrm>
            <a:off x="3072853" y="2320689"/>
            <a:ext cx="171414" cy="163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l1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grpSp>
    <xdr:clientData/>
  </xdr:twoCellAnchor>
  <xdr:twoCellAnchor>
    <xdr:from>
      <xdr:col>15</xdr:col>
      <xdr:colOff>13724</xdr:colOff>
      <xdr:row>33</xdr:row>
      <xdr:rowOff>27230</xdr:rowOff>
    </xdr:from>
    <xdr:to>
      <xdr:col>25</xdr:col>
      <xdr:colOff>13724</xdr:colOff>
      <xdr:row>34</xdr:row>
      <xdr:rowOff>76539</xdr:rowOff>
    </xdr:to>
    <xdr:sp macro="" textlink="">
      <xdr:nvSpPr>
        <xdr:cNvPr id="373" name="Rechthoek 372"/>
        <xdr:cNvSpPr/>
      </xdr:nvSpPr>
      <xdr:spPr>
        <a:xfrm>
          <a:off x="9122005" y="6313730"/>
          <a:ext cx="6072188" cy="239809"/>
        </a:xfrm>
        <a:prstGeom prst="rect">
          <a:avLst/>
        </a:prstGeom>
      </xdr:spPr>
      <xdr:txBody>
        <a:bodyPr wrap="square" lIns="0" rIns="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latin typeface="Arial" panose="020B0604020202020204" pitchFamily="34" charset="0"/>
              <a:ea typeface="Times New Roman" panose="02020603050405020304" pitchFamily="18" charset="0"/>
              <a:cs typeface="Arial" panose="020B0604020202020204" pitchFamily="34" charset="0"/>
            </a:rPr>
            <a:t>Fig. 4: versneller draait parallel aan labyrint met één bocht</a:t>
          </a:r>
          <a:endParaRPr lang="nl-NL" sz="10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14</xdr:col>
      <xdr:colOff>468021</xdr:colOff>
      <xdr:row>37</xdr:row>
      <xdr:rowOff>164750</xdr:rowOff>
    </xdr:from>
    <xdr:to>
      <xdr:col>25</xdr:col>
      <xdr:colOff>292077</xdr:colOff>
      <xdr:row>66</xdr:row>
      <xdr:rowOff>4250</xdr:rowOff>
    </xdr:to>
    <xdr:grpSp>
      <xdr:nvGrpSpPr>
        <xdr:cNvPr id="374" name="Groep 373"/>
        <xdr:cNvGrpSpPr/>
      </xdr:nvGrpSpPr>
      <xdr:grpSpPr>
        <a:xfrm>
          <a:off x="9002421" y="7213250"/>
          <a:ext cx="6529656" cy="5364000"/>
          <a:chOff x="1589603" y="360008"/>
          <a:chExt cx="6527197" cy="5364000"/>
        </a:xfrm>
      </xdr:grpSpPr>
      <xdr:sp macro="" textlink="">
        <xdr:nvSpPr>
          <xdr:cNvPr id="375" name="Rechthoek 374"/>
          <xdr:cNvSpPr/>
        </xdr:nvSpPr>
        <xdr:spPr>
          <a:xfrm>
            <a:off x="3031238" y="2048007"/>
            <a:ext cx="634235" cy="3664284"/>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376" name="Text Box 937"/>
          <xdr:cNvSpPr txBox="1">
            <a:spLocks noChangeArrowheads="1"/>
          </xdr:cNvSpPr>
        </xdr:nvSpPr>
        <xdr:spPr bwMode="auto">
          <a:xfrm>
            <a:off x="3031892" y="5394322"/>
            <a:ext cx="252000" cy="252000"/>
          </a:xfrm>
          <a:prstGeom prst="rect">
            <a:avLst/>
          </a:prstGeom>
          <a:solidFill>
            <a:schemeClr val="bg2">
              <a:lumMod val="90000"/>
            </a:schemeClr>
          </a:solidFill>
          <a:ln>
            <a:noFill/>
          </a:ln>
          <a:extLst/>
        </xdr:spPr>
        <xdr:txBody>
          <a:bodyPr vert="horz" wrap="square" lIns="0" tIns="0" rIns="0" bIns="0" numCol="1" anchor="ctr" anchorCtr="0" compatLnSpc="1">
            <a:prstTxWarp prst="textNoShape">
              <a:avLst/>
            </a:prstTxWarp>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5</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77" name="Text Box 924"/>
          <xdr:cNvSpPr txBox="1">
            <a:spLocks noChangeArrowheads="1"/>
          </xdr:cNvSpPr>
        </xdr:nvSpPr>
        <xdr:spPr bwMode="auto">
          <a:xfrm>
            <a:off x="2233512" y="1630604"/>
            <a:ext cx="89817" cy="1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r</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78" name="Text Box 925"/>
          <xdr:cNvSpPr txBox="1">
            <a:spLocks noChangeArrowheads="1"/>
          </xdr:cNvSpPr>
        </xdr:nvSpPr>
        <xdr:spPr bwMode="auto">
          <a:xfrm>
            <a:off x="3806647" y="1312533"/>
            <a:ext cx="189998" cy="155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79" name="Text Box 926"/>
          <xdr:cNvSpPr txBox="1">
            <a:spLocks noChangeArrowheads="1"/>
          </xdr:cNvSpPr>
        </xdr:nvSpPr>
        <xdr:spPr bwMode="auto">
          <a:xfrm>
            <a:off x="5377084" y="1684604"/>
            <a:ext cx="229725" cy="155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p1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80" name="Text Box 928"/>
          <xdr:cNvSpPr txBox="1">
            <a:spLocks noChangeArrowheads="1"/>
          </xdr:cNvSpPr>
        </xdr:nvSpPr>
        <xdr:spPr bwMode="auto">
          <a:xfrm>
            <a:off x="2335619" y="2461209"/>
            <a:ext cx="155453" cy="155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81" name="Text Box 934"/>
          <xdr:cNvSpPr txBox="1">
            <a:spLocks noChangeArrowheads="1"/>
          </xdr:cNvSpPr>
        </xdr:nvSpPr>
        <xdr:spPr bwMode="auto">
          <a:xfrm>
            <a:off x="1589603" y="4659854"/>
            <a:ext cx="124363" cy="155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L</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x</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82" name="Text Box 936"/>
          <xdr:cNvSpPr txBox="1">
            <a:spLocks noChangeArrowheads="1"/>
          </xdr:cNvSpPr>
        </xdr:nvSpPr>
        <xdr:spPr bwMode="auto">
          <a:xfrm>
            <a:off x="1942868" y="4643059"/>
            <a:ext cx="161904" cy="15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z5</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383" name="Rechthoek 382"/>
          <xdr:cNvSpPr/>
        </xdr:nvSpPr>
        <xdr:spPr>
          <a:xfrm>
            <a:off x="3627743" y="4860779"/>
            <a:ext cx="3868298" cy="82800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384" name="Rechthoek 383"/>
          <xdr:cNvSpPr/>
        </xdr:nvSpPr>
        <xdr:spPr>
          <a:xfrm>
            <a:off x="1784327" y="5185908"/>
            <a:ext cx="1299015" cy="536408"/>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385" name="Rechthoek 384"/>
          <xdr:cNvSpPr/>
        </xdr:nvSpPr>
        <xdr:spPr>
          <a:xfrm>
            <a:off x="1777141" y="1218829"/>
            <a:ext cx="433904" cy="316800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cxnSp macro="">
        <xdr:nvCxnSpPr>
          <xdr:cNvPr id="386" name="AutoShape 957"/>
          <xdr:cNvCxnSpPr>
            <a:cxnSpLocks noChangeShapeType="1"/>
          </xdr:cNvCxnSpPr>
        </xdr:nvCxnSpPr>
        <xdr:spPr bwMode="auto">
          <a:xfrm flipH="1">
            <a:off x="1769056" y="4382148"/>
            <a:ext cx="444684" cy="899"/>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sp macro="" textlink="">
        <xdr:nvSpPr>
          <xdr:cNvPr id="387" name="Rechthoek 386"/>
          <xdr:cNvSpPr/>
        </xdr:nvSpPr>
        <xdr:spPr>
          <a:xfrm>
            <a:off x="7425968" y="1214338"/>
            <a:ext cx="673763" cy="450000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388" name="Rechthoek 387"/>
          <xdr:cNvSpPr/>
        </xdr:nvSpPr>
        <xdr:spPr>
          <a:xfrm>
            <a:off x="1790616" y="380670"/>
            <a:ext cx="6318099" cy="864212"/>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cxnSp macro="">
        <xdr:nvCxnSpPr>
          <xdr:cNvPr id="389" name="AutoShape 495"/>
          <xdr:cNvCxnSpPr>
            <a:cxnSpLocks noChangeShapeType="1"/>
          </xdr:cNvCxnSpPr>
        </xdr:nvCxnSpPr>
        <xdr:spPr bwMode="auto">
          <a:xfrm flipH="1">
            <a:off x="2198468" y="1245780"/>
            <a:ext cx="5224860"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90" name="AutoShape 498"/>
          <xdr:cNvCxnSpPr>
            <a:cxnSpLocks noChangeShapeType="1"/>
          </xdr:cNvCxnSpPr>
        </xdr:nvCxnSpPr>
        <xdr:spPr bwMode="auto">
          <a:xfrm>
            <a:off x="3013270" y="2034675"/>
            <a:ext cx="899" cy="316800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91" name="AutoShape 504"/>
          <xdr:cNvCxnSpPr>
            <a:cxnSpLocks noChangeShapeType="1"/>
          </xdr:cNvCxnSpPr>
        </xdr:nvCxnSpPr>
        <xdr:spPr bwMode="auto">
          <a:xfrm flipH="1">
            <a:off x="1763665" y="5177560"/>
            <a:ext cx="1250504"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93" name="AutoShape 507"/>
          <xdr:cNvCxnSpPr>
            <a:cxnSpLocks noChangeShapeType="1"/>
          </xdr:cNvCxnSpPr>
        </xdr:nvCxnSpPr>
        <xdr:spPr bwMode="auto">
          <a:xfrm>
            <a:off x="3013270" y="2051600"/>
            <a:ext cx="652202"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394" name="AutoShape 890"/>
          <xdr:cNvCxnSpPr>
            <a:cxnSpLocks noChangeShapeType="1"/>
          </xdr:cNvCxnSpPr>
        </xdr:nvCxnSpPr>
        <xdr:spPr bwMode="auto">
          <a:xfrm>
            <a:off x="2781492" y="1263705"/>
            <a:ext cx="2558820" cy="1708660"/>
          </a:xfrm>
          <a:prstGeom prst="straightConnector1">
            <a:avLst/>
          </a:prstGeom>
          <a:noFill/>
          <a:ln w="9525">
            <a:solidFill>
              <a:srgbClr val="FFC000"/>
            </a:solidFill>
            <a:round/>
            <a:headEnd type="triangle"/>
            <a:tailEnd/>
          </a:ln>
          <a:extLst>
            <a:ext uri="{909E8E84-426E-40DD-AFC4-6F175D3DCCD1}">
              <a14:hiddenFill xmlns:a14="http://schemas.microsoft.com/office/drawing/2010/main">
                <a:noFill/>
              </a14:hiddenFill>
            </a:ext>
          </a:extLst>
        </xdr:spPr>
      </xdr:cxnSp>
      <xdr:cxnSp macro="">
        <xdr:nvCxnSpPr>
          <xdr:cNvPr id="395" name="AutoShape 891"/>
          <xdr:cNvCxnSpPr>
            <a:cxnSpLocks noChangeShapeType="1"/>
          </xdr:cNvCxnSpPr>
        </xdr:nvCxnSpPr>
        <xdr:spPr bwMode="auto">
          <a:xfrm>
            <a:off x="3220790" y="1270036"/>
            <a:ext cx="2121005" cy="1693388"/>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cxnSp macro="">
        <xdr:nvCxnSpPr>
          <xdr:cNvPr id="396" name="AutoShape 892"/>
          <xdr:cNvCxnSpPr>
            <a:cxnSpLocks noChangeShapeType="1"/>
          </xdr:cNvCxnSpPr>
        </xdr:nvCxnSpPr>
        <xdr:spPr bwMode="auto">
          <a:xfrm>
            <a:off x="2345797" y="1267790"/>
            <a:ext cx="2994202" cy="1695634"/>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cxnSp macro="">
        <xdr:nvCxnSpPr>
          <xdr:cNvPr id="397" name="AutoShape 894"/>
          <xdr:cNvCxnSpPr>
            <a:cxnSpLocks noChangeShapeType="1"/>
          </xdr:cNvCxnSpPr>
        </xdr:nvCxnSpPr>
        <xdr:spPr bwMode="auto">
          <a:xfrm flipH="1" flipV="1">
            <a:off x="2233514" y="1762642"/>
            <a:ext cx="350069" cy="2717641"/>
          </a:xfrm>
          <a:prstGeom prst="straightConnector1">
            <a:avLst/>
          </a:prstGeom>
          <a:noFill/>
          <a:ln w="9525">
            <a:solidFill>
              <a:srgbClr val="0070C0"/>
            </a:solidFill>
            <a:round/>
            <a:headEnd/>
            <a:tailEnd/>
          </a:ln>
          <a:extLst>
            <a:ext uri="{909E8E84-426E-40DD-AFC4-6F175D3DCCD1}">
              <a14:hiddenFill xmlns:a14="http://schemas.microsoft.com/office/drawing/2010/main">
                <a:noFill/>
              </a14:hiddenFill>
            </a:ext>
          </a:extLst>
        </xdr:spPr>
      </xdr:cxnSp>
      <xdr:cxnSp macro="">
        <xdr:nvCxnSpPr>
          <xdr:cNvPr id="398" name="AutoShape 895"/>
          <xdr:cNvCxnSpPr>
            <a:cxnSpLocks noChangeShapeType="1"/>
          </xdr:cNvCxnSpPr>
        </xdr:nvCxnSpPr>
        <xdr:spPr bwMode="auto">
          <a:xfrm flipH="1">
            <a:off x="2232674" y="1274527"/>
            <a:ext cx="3112716" cy="987533"/>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399" name="AutoShape 902"/>
          <xdr:cNvCxnSpPr>
            <a:cxnSpLocks noChangeShapeType="1"/>
          </xdr:cNvCxnSpPr>
        </xdr:nvCxnSpPr>
        <xdr:spPr bwMode="auto">
          <a:xfrm flipH="1" flipV="1">
            <a:off x="7415188" y="1236798"/>
            <a:ext cx="0" cy="363600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400" name="AutoShape 905"/>
          <xdr:cNvCxnSpPr>
            <a:cxnSpLocks noChangeShapeType="1"/>
          </xdr:cNvCxnSpPr>
        </xdr:nvCxnSpPr>
        <xdr:spPr bwMode="auto">
          <a:xfrm>
            <a:off x="3643014" y="4845105"/>
            <a:ext cx="3773970"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401" name="AutoShape 908"/>
          <xdr:cNvCxnSpPr>
            <a:cxnSpLocks noChangeShapeType="1"/>
          </xdr:cNvCxnSpPr>
        </xdr:nvCxnSpPr>
        <xdr:spPr bwMode="auto">
          <a:xfrm>
            <a:off x="8087154" y="360008"/>
            <a:ext cx="0" cy="536400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403" name="AutoShape 914"/>
          <xdr:cNvCxnSpPr>
            <a:cxnSpLocks noChangeShapeType="1"/>
          </xdr:cNvCxnSpPr>
        </xdr:nvCxnSpPr>
        <xdr:spPr bwMode="auto">
          <a:xfrm flipH="1">
            <a:off x="2583584" y="1262795"/>
            <a:ext cx="194636" cy="3217488"/>
          </a:xfrm>
          <a:prstGeom prst="straightConnector1">
            <a:avLst/>
          </a:prstGeom>
          <a:noFill/>
          <a:ln w="9525">
            <a:solidFill>
              <a:srgbClr val="FFC000"/>
            </a:solidFill>
            <a:round/>
            <a:headEnd/>
            <a:tailEnd/>
          </a:ln>
          <a:extLst>
            <a:ext uri="{909E8E84-426E-40DD-AFC4-6F175D3DCCD1}">
              <a14:hiddenFill xmlns:a14="http://schemas.microsoft.com/office/drawing/2010/main">
                <a:noFill/>
              </a14:hiddenFill>
            </a:ext>
          </a:extLst>
        </xdr:spPr>
      </xdr:cxnSp>
      <xdr:cxnSp macro="">
        <xdr:nvCxnSpPr>
          <xdr:cNvPr id="404" name="AutoShape 919"/>
          <xdr:cNvCxnSpPr>
            <a:cxnSpLocks noChangeShapeType="1"/>
          </xdr:cNvCxnSpPr>
        </xdr:nvCxnSpPr>
        <xdr:spPr bwMode="auto">
          <a:xfrm>
            <a:off x="5343592" y="1270036"/>
            <a:ext cx="0" cy="2316843"/>
          </a:xfrm>
          <a:prstGeom prst="straightConnector1">
            <a:avLst/>
          </a:prstGeom>
          <a:noFill/>
          <a:ln w="9525">
            <a:solidFill>
              <a:srgbClr val="0070C0"/>
            </a:solidFill>
            <a:round/>
            <a:headEnd type="triangle"/>
            <a:tailEnd/>
          </a:ln>
          <a:extLst>
            <a:ext uri="{909E8E84-426E-40DD-AFC4-6F175D3DCCD1}">
              <a14:hiddenFill xmlns:a14="http://schemas.microsoft.com/office/drawing/2010/main">
                <a:noFill/>
              </a14:hiddenFill>
            </a:ext>
          </a:extLst>
        </xdr:spPr>
      </xdr:cxnSp>
      <xdr:sp macro="" textlink="">
        <xdr:nvSpPr>
          <xdr:cNvPr id="405" name="Rectangle 920"/>
          <xdr:cNvSpPr>
            <a:spLocks noChangeArrowheads="1"/>
          </xdr:cNvSpPr>
        </xdr:nvSpPr>
        <xdr:spPr bwMode="auto">
          <a:xfrm>
            <a:off x="4769546" y="1193861"/>
            <a:ext cx="1170550" cy="25154"/>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406" name="Rectangle 921"/>
          <xdr:cNvSpPr>
            <a:spLocks noChangeArrowheads="1"/>
          </xdr:cNvSpPr>
        </xdr:nvSpPr>
        <xdr:spPr bwMode="auto">
          <a:xfrm>
            <a:off x="2348601" y="1195448"/>
            <a:ext cx="864000" cy="25154"/>
          </a:xfrm>
          <a:prstGeom prst="rect">
            <a:avLst/>
          </a:prstGeom>
          <a:solidFill>
            <a:srgbClr val="FFC000"/>
          </a:solidFill>
          <a:ln w="9525">
            <a:solidFill>
              <a:srgbClr val="FFC00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407" name="AutoShape 931"/>
          <xdr:cNvCxnSpPr>
            <a:cxnSpLocks noChangeShapeType="1"/>
          </xdr:cNvCxnSpPr>
        </xdr:nvCxnSpPr>
        <xdr:spPr bwMode="auto">
          <a:xfrm flipV="1">
            <a:off x="2232673" y="1287107"/>
            <a:ext cx="979133" cy="3288359"/>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408" name="AutoShape 933"/>
          <xdr:cNvCxnSpPr>
            <a:cxnSpLocks noChangeShapeType="1"/>
          </xdr:cNvCxnSpPr>
        </xdr:nvCxnSpPr>
        <xdr:spPr bwMode="auto">
          <a:xfrm flipH="1">
            <a:off x="1766196" y="4480283"/>
            <a:ext cx="817388" cy="259454"/>
          </a:xfrm>
          <a:prstGeom prst="straightConnector1">
            <a:avLst/>
          </a:prstGeom>
          <a:noFill/>
          <a:ln w="9525">
            <a:solidFill>
              <a:srgbClr val="7030A0"/>
            </a:solidFill>
            <a:round/>
            <a:headEnd/>
            <a:tailEnd/>
          </a:ln>
          <a:extLst>
            <a:ext uri="{909E8E84-426E-40DD-AFC4-6F175D3DCCD1}">
              <a14:hiddenFill xmlns:a14="http://schemas.microsoft.com/office/drawing/2010/main">
                <a:noFill/>
              </a14:hiddenFill>
            </a:ext>
          </a:extLst>
        </xdr:spPr>
      </xdr:cxnSp>
      <xdr:cxnSp macro="">
        <xdr:nvCxnSpPr>
          <xdr:cNvPr id="410" name="AutoShape 940"/>
          <xdr:cNvCxnSpPr>
            <a:cxnSpLocks noChangeShapeType="1"/>
          </xdr:cNvCxnSpPr>
        </xdr:nvCxnSpPr>
        <xdr:spPr bwMode="auto">
          <a:xfrm flipV="1">
            <a:off x="1769056" y="362480"/>
            <a:ext cx="0" cy="403560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415" name="AutoShape 952"/>
          <xdr:cNvCxnSpPr>
            <a:cxnSpLocks noChangeShapeType="1"/>
          </xdr:cNvCxnSpPr>
        </xdr:nvCxnSpPr>
        <xdr:spPr bwMode="auto">
          <a:xfrm flipV="1">
            <a:off x="1773547" y="5171667"/>
            <a:ext cx="0" cy="54000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417" name="AutoShape 954"/>
          <xdr:cNvCxnSpPr>
            <a:cxnSpLocks noChangeShapeType="1"/>
          </xdr:cNvCxnSpPr>
        </xdr:nvCxnSpPr>
        <xdr:spPr bwMode="auto">
          <a:xfrm flipH="1">
            <a:off x="1759783" y="5715114"/>
            <a:ext cx="6334248"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418" name="AutoShape 955"/>
          <xdr:cNvCxnSpPr>
            <a:cxnSpLocks noChangeShapeType="1"/>
          </xdr:cNvCxnSpPr>
        </xdr:nvCxnSpPr>
        <xdr:spPr bwMode="auto">
          <a:xfrm>
            <a:off x="3650202" y="2044377"/>
            <a:ext cx="0" cy="280800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419" name="AutoShape 956"/>
          <xdr:cNvCxnSpPr>
            <a:cxnSpLocks noChangeShapeType="1"/>
          </xdr:cNvCxnSpPr>
        </xdr:nvCxnSpPr>
        <xdr:spPr bwMode="auto">
          <a:xfrm flipV="1">
            <a:off x="2211043" y="1234103"/>
            <a:ext cx="0" cy="315000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420" name="AutoShape 962"/>
          <xdr:cNvCxnSpPr>
            <a:cxnSpLocks noChangeShapeType="1"/>
          </xdr:cNvCxnSpPr>
        </xdr:nvCxnSpPr>
        <xdr:spPr bwMode="auto">
          <a:xfrm>
            <a:off x="1750190" y="373483"/>
            <a:ext cx="6366610"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sp macro="" textlink="">
        <xdr:nvSpPr>
          <xdr:cNvPr id="421" name="Rectangle 1164"/>
          <xdr:cNvSpPr>
            <a:spLocks noChangeArrowheads="1"/>
          </xdr:cNvSpPr>
        </xdr:nvSpPr>
        <xdr:spPr bwMode="auto">
          <a:xfrm rot="5400000">
            <a:off x="1671147" y="1754499"/>
            <a:ext cx="1008000" cy="25154"/>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422" name="AutoShape 897"/>
          <xdr:cNvCxnSpPr>
            <a:cxnSpLocks noChangeShapeType="1"/>
          </xdr:cNvCxnSpPr>
        </xdr:nvCxnSpPr>
        <xdr:spPr bwMode="auto">
          <a:xfrm flipH="1">
            <a:off x="5348983" y="1274527"/>
            <a:ext cx="600997" cy="2340199"/>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423" name="AutoShape 898"/>
          <xdr:cNvCxnSpPr>
            <a:cxnSpLocks noChangeShapeType="1"/>
          </xdr:cNvCxnSpPr>
        </xdr:nvCxnSpPr>
        <xdr:spPr bwMode="auto">
          <a:xfrm>
            <a:off x="4771342" y="1275427"/>
            <a:ext cx="573147" cy="2341997"/>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424" name="AutoShape 1276"/>
          <xdr:cNvCxnSpPr>
            <a:cxnSpLocks noChangeShapeType="1"/>
          </xdr:cNvCxnSpPr>
        </xdr:nvCxnSpPr>
        <xdr:spPr bwMode="auto">
          <a:xfrm flipV="1">
            <a:off x="1770572" y="3806847"/>
            <a:ext cx="1226440" cy="932892"/>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425" name="AutoShape 1277"/>
          <xdr:cNvCxnSpPr>
            <a:cxnSpLocks noChangeShapeType="1"/>
          </xdr:cNvCxnSpPr>
        </xdr:nvCxnSpPr>
        <xdr:spPr bwMode="auto">
          <a:xfrm>
            <a:off x="1760855" y="4747975"/>
            <a:ext cx="403791" cy="396311"/>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sp macro="" textlink="">
        <xdr:nvSpPr>
          <xdr:cNvPr id="426" name="Rectangle 1278"/>
          <xdr:cNvSpPr>
            <a:spLocks noChangeArrowheads="1"/>
          </xdr:cNvSpPr>
        </xdr:nvSpPr>
        <xdr:spPr bwMode="auto">
          <a:xfrm>
            <a:off x="2229875" y="5201021"/>
            <a:ext cx="828000" cy="25154"/>
          </a:xfrm>
          <a:prstGeom prst="rect">
            <a:avLst/>
          </a:prstGeom>
          <a:solidFill>
            <a:srgbClr val="7030A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427" name="Rechthoek 426"/>
          <xdr:cNvSpPr>
            <a:spLocks noChangeArrowheads="1"/>
          </xdr:cNvSpPr>
        </xdr:nvSpPr>
        <xdr:spPr bwMode="auto">
          <a:xfrm rot="5400000">
            <a:off x="2342696" y="4501947"/>
            <a:ext cx="1422000" cy="25154"/>
          </a:xfrm>
          <a:prstGeom prst="rect">
            <a:avLst/>
          </a:prstGeom>
          <a:solidFill>
            <a:srgbClr val="7030A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428" name="Rechte verbindingslijn 427"/>
          <xdr:cNvCxnSpPr/>
        </xdr:nvCxnSpPr>
        <xdr:spPr>
          <a:xfrm flipV="1">
            <a:off x="2164635" y="3804822"/>
            <a:ext cx="834966" cy="1351084"/>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429" name="Ovaal 428"/>
          <xdr:cNvSpPr/>
        </xdr:nvSpPr>
        <xdr:spPr>
          <a:xfrm>
            <a:off x="5318439" y="2942762"/>
            <a:ext cx="50308" cy="50308"/>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cxnSp macro="">
        <xdr:nvCxnSpPr>
          <xdr:cNvPr id="430" name="AutoShape 893"/>
          <xdr:cNvCxnSpPr>
            <a:cxnSpLocks noChangeShapeType="1"/>
          </xdr:cNvCxnSpPr>
        </xdr:nvCxnSpPr>
        <xdr:spPr bwMode="auto">
          <a:xfrm flipH="1">
            <a:off x="1770572" y="2977798"/>
            <a:ext cx="3571227" cy="1771965"/>
          </a:xfrm>
          <a:prstGeom prst="straightConnector1">
            <a:avLst/>
          </a:prstGeom>
          <a:noFill/>
          <a:ln w="9525">
            <a:solidFill>
              <a:srgbClr val="C00000"/>
            </a:solidFill>
            <a:round/>
            <a:headEnd/>
            <a:tailEnd/>
          </a:ln>
          <a:extLst>
            <a:ext uri="{909E8E84-426E-40DD-AFC4-6F175D3DCCD1}">
              <a14:hiddenFill xmlns:a14="http://schemas.microsoft.com/office/drawing/2010/main">
                <a:noFill/>
              </a14:hiddenFill>
            </a:ext>
          </a:extLst>
        </xdr:spPr>
      </xdr:cxnSp>
      <xdr:sp macro="" textlink="">
        <xdr:nvSpPr>
          <xdr:cNvPr id="431" name="Text Box 922"/>
          <xdr:cNvSpPr txBox="1">
            <a:spLocks noChangeArrowheads="1"/>
          </xdr:cNvSpPr>
        </xdr:nvSpPr>
        <xdr:spPr bwMode="auto">
          <a:xfrm>
            <a:off x="2646991" y="937267"/>
            <a:ext cx="252000" cy="252000"/>
          </a:xfrm>
          <a:prstGeom prst="rect">
            <a:avLst/>
          </a:prstGeom>
          <a:solidFill>
            <a:schemeClr val="bg2">
              <a:lumMod val="90000"/>
            </a:schemeClr>
          </a:solidFill>
          <a:ln>
            <a:noFill/>
          </a:ln>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4</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432" name="Text Box 1165"/>
          <xdr:cNvSpPr txBox="1">
            <a:spLocks noChangeArrowheads="1"/>
          </xdr:cNvSpPr>
        </xdr:nvSpPr>
        <xdr:spPr bwMode="auto">
          <a:xfrm>
            <a:off x="1900544" y="1643411"/>
            <a:ext cx="252000" cy="252000"/>
          </a:xfrm>
          <a:prstGeom prst="rect">
            <a:avLst/>
          </a:prstGeom>
          <a:solidFill>
            <a:schemeClr val="bg2">
              <a:lumMod val="90000"/>
            </a:schemeClr>
          </a:solidFill>
          <a:ln>
            <a:noFill/>
          </a:ln>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433" name="Text Box 1163"/>
          <xdr:cNvSpPr txBox="1">
            <a:spLocks noChangeArrowheads="1"/>
          </xdr:cNvSpPr>
        </xdr:nvSpPr>
        <xdr:spPr bwMode="auto">
          <a:xfrm>
            <a:off x="4256586" y="2336661"/>
            <a:ext cx="164435" cy="169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effectLst/>
                <a:latin typeface="Times New Roman" panose="02020603050405020304" pitchFamily="18" charset="0"/>
                <a:ea typeface="Times New Roman" panose="02020603050405020304" pitchFamily="18" charset="0"/>
              </a:rPr>
              <a:t>d</a:t>
            </a:r>
            <a:r>
              <a:rPr lang="nl-NL" sz="1000" baseline="-25000">
                <a:effectLst/>
                <a:latin typeface="Times New Roman" panose="02020603050405020304" pitchFamily="18" charset="0"/>
                <a:ea typeface="Times New Roman" panose="02020603050405020304" pitchFamily="18" charset="0"/>
              </a:rPr>
              <a:t>l1</a:t>
            </a:r>
            <a:endParaRPr lang="nl-NL" sz="1000">
              <a:effectLst/>
              <a:latin typeface="Times New Roman" panose="02020603050405020304" pitchFamily="18" charset="0"/>
              <a:ea typeface="Times New Roman" panose="02020603050405020304" pitchFamily="18" charset="0"/>
            </a:endParaRPr>
          </a:p>
        </xdr:txBody>
      </xdr:sp>
      <xdr:sp macro="" textlink="">
        <xdr:nvSpPr>
          <xdr:cNvPr id="434" name="Text Box 929"/>
          <xdr:cNvSpPr txBox="1">
            <a:spLocks noChangeArrowheads="1"/>
          </xdr:cNvSpPr>
        </xdr:nvSpPr>
        <xdr:spPr bwMode="auto">
          <a:xfrm>
            <a:off x="2638907" y="3576098"/>
            <a:ext cx="161904" cy="15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effectLst/>
                <a:latin typeface="Arial" panose="020B0604020202020204" pitchFamily="34" charset="0"/>
                <a:ea typeface="Times New Roman" panose="02020603050405020304" pitchFamily="18" charset="0"/>
                <a:cs typeface="Arial" panose="020B0604020202020204" pitchFamily="34" charset="0"/>
              </a:rPr>
              <a:t>d</a:t>
            </a:r>
            <a:r>
              <a:rPr lang="nl-NL" sz="1000" baseline="-25000">
                <a:effectLst/>
                <a:latin typeface="Arial" panose="020B0604020202020204" pitchFamily="34" charset="0"/>
                <a:ea typeface="Times New Roman" panose="02020603050405020304" pitchFamily="18" charset="0"/>
                <a:cs typeface="Arial" panose="020B0604020202020204" pitchFamily="34" charset="0"/>
              </a:rPr>
              <a:t>z4</a:t>
            </a:r>
            <a:endParaRPr lang="nl-NL" sz="1000">
              <a:effectLst/>
              <a:latin typeface="Arial" panose="020B0604020202020204" pitchFamily="34" charset="0"/>
              <a:ea typeface="Times New Roman" panose="02020603050405020304" pitchFamily="18" charset="0"/>
              <a:cs typeface="Arial" panose="020B0604020202020204" pitchFamily="34" charset="0"/>
            </a:endParaRPr>
          </a:p>
        </xdr:txBody>
      </xdr:sp>
      <xdr:sp macro="" textlink="">
        <xdr:nvSpPr>
          <xdr:cNvPr id="435" name="Text Box 918"/>
          <xdr:cNvSpPr txBox="1">
            <a:spLocks noChangeArrowheads="1"/>
          </xdr:cNvSpPr>
        </xdr:nvSpPr>
        <xdr:spPr bwMode="auto">
          <a:xfrm>
            <a:off x="5214005" y="936950"/>
            <a:ext cx="252000" cy="252000"/>
          </a:xfrm>
          <a:prstGeom prst="rect">
            <a:avLst/>
          </a:prstGeom>
          <a:solidFill>
            <a:schemeClr val="bg2">
              <a:lumMod val="90000"/>
            </a:schemeClr>
          </a:solidFill>
          <a:ln>
            <a:noFill/>
          </a:ln>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436" name="Text Box 927"/>
          <xdr:cNvSpPr txBox="1">
            <a:spLocks noChangeArrowheads="1"/>
          </xdr:cNvSpPr>
        </xdr:nvSpPr>
        <xdr:spPr bwMode="auto">
          <a:xfrm>
            <a:off x="4414251" y="3547321"/>
            <a:ext cx="11049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effectLst/>
                <a:latin typeface="Times New Roman" panose="02020603050405020304" pitchFamily="18" charset="0"/>
                <a:ea typeface="Times New Roman" panose="02020603050405020304" pitchFamily="18" charset="0"/>
              </a:rPr>
              <a:t>d</a:t>
            </a:r>
            <a:r>
              <a:rPr lang="nl-NL" sz="1000" baseline="-25000">
                <a:effectLst/>
                <a:latin typeface="Times New Roman" panose="02020603050405020304" pitchFamily="18" charset="0"/>
                <a:ea typeface="Times New Roman" panose="02020603050405020304" pitchFamily="18" charset="0"/>
              </a:rPr>
              <a:t>l</a:t>
            </a:r>
            <a:endParaRPr lang="nl-NL" sz="1000">
              <a:effectLst/>
              <a:latin typeface="Times New Roman" panose="02020603050405020304" pitchFamily="18" charset="0"/>
              <a:ea typeface="Times New Roman" panose="02020603050405020304" pitchFamily="18" charset="0"/>
            </a:endParaRPr>
          </a:p>
        </xdr:txBody>
      </xdr:sp>
      <xdr:cxnSp macro="">
        <xdr:nvCxnSpPr>
          <xdr:cNvPr id="437" name="AutoShape 895"/>
          <xdr:cNvCxnSpPr>
            <a:cxnSpLocks noChangeShapeType="1"/>
          </xdr:cNvCxnSpPr>
        </xdr:nvCxnSpPr>
        <xdr:spPr bwMode="auto">
          <a:xfrm flipH="1">
            <a:off x="2227021" y="1265650"/>
            <a:ext cx="3116572" cy="496992"/>
          </a:xfrm>
          <a:prstGeom prst="straightConnector1">
            <a:avLst/>
          </a:prstGeom>
          <a:noFill/>
          <a:ln w="9525">
            <a:solidFill>
              <a:srgbClr val="0070C0"/>
            </a:solidFill>
            <a:prstDash val="solid"/>
            <a:round/>
            <a:headEnd type="none"/>
            <a:tailEnd type="triangle"/>
          </a:ln>
          <a:extLst>
            <a:ext uri="{909E8E84-426E-40DD-AFC4-6F175D3DCCD1}">
              <a14:hiddenFill xmlns:a14="http://schemas.microsoft.com/office/drawing/2010/main">
                <a:noFill/>
              </a14:hiddenFill>
            </a:ext>
          </a:extLst>
        </xdr:spPr>
      </xdr:cxnSp>
      <xdr:cxnSp macro="">
        <xdr:nvCxnSpPr>
          <xdr:cNvPr id="438" name="AutoShape 1277"/>
          <xdr:cNvCxnSpPr>
            <a:cxnSpLocks noChangeShapeType="1"/>
          </xdr:cNvCxnSpPr>
        </xdr:nvCxnSpPr>
        <xdr:spPr bwMode="auto">
          <a:xfrm>
            <a:off x="2222189" y="4391533"/>
            <a:ext cx="792000" cy="0"/>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439" name="AutoShape 1277"/>
          <xdr:cNvCxnSpPr>
            <a:cxnSpLocks noChangeShapeType="1"/>
          </xdr:cNvCxnSpPr>
        </xdr:nvCxnSpPr>
        <xdr:spPr bwMode="auto">
          <a:xfrm>
            <a:off x="1763665" y="4372884"/>
            <a:ext cx="0" cy="792000"/>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440" name="AutoShape 914"/>
          <xdr:cNvCxnSpPr>
            <a:cxnSpLocks noChangeShapeType="1"/>
          </xdr:cNvCxnSpPr>
        </xdr:nvCxnSpPr>
        <xdr:spPr bwMode="auto">
          <a:xfrm flipH="1">
            <a:off x="2091379" y="1265175"/>
            <a:ext cx="686844" cy="3891981"/>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cxnSp macro="">
        <xdr:nvCxnSpPr>
          <xdr:cNvPr id="441" name="AutoShape 894"/>
          <xdr:cNvCxnSpPr>
            <a:cxnSpLocks noChangeShapeType="1"/>
          </xdr:cNvCxnSpPr>
        </xdr:nvCxnSpPr>
        <xdr:spPr bwMode="auto">
          <a:xfrm flipV="1">
            <a:off x="2230091" y="1760848"/>
            <a:ext cx="0" cy="3402000"/>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sp macro="" textlink="">
        <xdr:nvSpPr>
          <xdr:cNvPr id="442" name="Rectangle 1364"/>
          <xdr:cNvSpPr>
            <a:spLocks noChangeArrowheads="1"/>
          </xdr:cNvSpPr>
        </xdr:nvSpPr>
        <xdr:spPr bwMode="auto">
          <a:xfrm>
            <a:off x="2088617" y="5200746"/>
            <a:ext cx="143676" cy="25033"/>
          </a:xfrm>
          <a:prstGeom prst="rect">
            <a:avLst/>
          </a:prstGeom>
          <a:solidFill>
            <a:srgbClr val="C198E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443" name="AutoShape 893"/>
          <xdr:cNvCxnSpPr>
            <a:cxnSpLocks noChangeShapeType="1"/>
          </xdr:cNvCxnSpPr>
        </xdr:nvCxnSpPr>
        <xdr:spPr bwMode="auto">
          <a:xfrm rot="60000" flipH="1">
            <a:off x="3793315" y="3473543"/>
            <a:ext cx="539290" cy="273589"/>
          </a:xfrm>
          <a:prstGeom prst="straightConnector1">
            <a:avLst/>
          </a:prstGeom>
          <a:noFill/>
          <a:ln w="9525">
            <a:solidFill>
              <a:srgbClr val="C00000"/>
            </a:solidFill>
            <a:round/>
            <a:headEnd type="none"/>
            <a:tailEnd type="triangle"/>
          </a:ln>
          <a:extLst>
            <a:ext uri="{909E8E84-426E-40DD-AFC4-6F175D3DCCD1}">
              <a14:hiddenFill xmlns:a14="http://schemas.microsoft.com/office/drawing/2010/main">
                <a:noFill/>
              </a14:hiddenFill>
            </a:ext>
          </a:extLst>
        </xdr:spPr>
      </xdr:cxnSp>
      <xdr:cxnSp macro="">
        <xdr:nvCxnSpPr>
          <xdr:cNvPr id="444" name="AutoShape 933"/>
          <xdr:cNvCxnSpPr>
            <a:cxnSpLocks noChangeShapeType="1"/>
          </xdr:cNvCxnSpPr>
        </xdr:nvCxnSpPr>
        <xdr:spPr bwMode="auto">
          <a:xfrm flipH="1">
            <a:off x="2253418" y="4514068"/>
            <a:ext cx="212977" cy="68400"/>
          </a:xfrm>
          <a:prstGeom prst="straightConnector1">
            <a:avLst/>
          </a:prstGeom>
          <a:noFill/>
          <a:ln w="9525">
            <a:solidFill>
              <a:srgbClr val="7030A0"/>
            </a:solidFill>
            <a:round/>
            <a:headEnd type="none"/>
            <a:tailEnd type="triangle"/>
          </a:ln>
          <a:extLst>
            <a:ext uri="{909E8E84-426E-40DD-AFC4-6F175D3DCCD1}">
              <a14:hiddenFill xmlns:a14="http://schemas.microsoft.com/office/drawing/2010/main">
                <a:noFill/>
              </a14:hiddenFill>
            </a:ext>
          </a:extLst>
        </xdr:spPr>
      </xdr:cxnSp>
    </xdr:grpSp>
    <xdr:clientData/>
  </xdr:twoCellAnchor>
  <xdr:twoCellAnchor>
    <xdr:from>
      <xdr:col>15</xdr:col>
      <xdr:colOff>10832</xdr:colOff>
      <xdr:row>68</xdr:row>
      <xdr:rowOff>21981</xdr:rowOff>
    </xdr:from>
    <xdr:to>
      <xdr:col>22</xdr:col>
      <xdr:colOff>179132</xdr:colOff>
      <xdr:row>69</xdr:row>
      <xdr:rowOff>77702</xdr:rowOff>
    </xdr:to>
    <xdr:sp macro="" textlink="">
      <xdr:nvSpPr>
        <xdr:cNvPr id="445" name="Rechthoek 444"/>
        <xdr:cNvSpPr/>
      </xdr:nvSpPr>
      <xdr:spPr>
        <a:xfrm>
          <a:off x="9132851" y="12975981"/>
          <a:ext cx="4425243" cy="246221"/>
        </a:xfrm>
        <a:prstGeom prst="rect">
          <a:avLst/>
        </a:prstGeom>
      </xdr:spPr>
      <xdr:txBody>
        <a:bodyPr wrap="square" lIns="0" rIns="0" anchor="ctr" anchorCtr="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latin typeface="Arial" panose="020B0604020202020204" pitchFamily="34" charset="0"/>
              <a:ea typeface="Times New Roman" panose="02020603050405020304" pitchFamily="18" charset="0"/>
              <a:cs typeface="Arial" panose="020B0604020202020204" pitchFamily="34" charset="0"/>
            </a:rPr>
            <a:t>Fig. 5: versneller draait parallel aan labyrint met twee bochten</a:t>
          </a:r>
          <a:endParaRPr lang="nl-NL" sz="10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15</xdr:col>
      <xdr:colOff>951</xdr:colOff>
      <xdr:row>108</xdr:row>
      <xdr:rowOff>29313</xdr:rowOff>
    </xdr:from>
    <xdr:to>
      <xdr:col>21</xdr:col>
      <xdr:colOff>346696</xdr:colOff>
      <xdr:row>110</xdr:row>
      <xdr:rowOff>8313</xdr:rowOff>
    </xdr:to>
    <xdr:sp macro="" textlink="">
      <xdr:nvSpPr>
        <xdr:cNvPr id="507" name="Rechthoek 506"/>
        <xdr:cNvSpPr/>
      </xdr:nvSpPr>
      <xdr:spPr>
        <a:xfrm>
          <a:off x="9122970" y="20603313"/>
          <a:ext cx="3994553" cy="360000"/>
        </a:xfrm>
        <a:prstGeom prst="rect">
          <a:avLst/>
        </a:prstGeom>
      </xdr:spPr>
      <xdr:txBody>
        <a:bodyPr wrap="square" lIns="0" rIns="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latin typeface="Arial" panose="020B0604020202020204" pitchFamily="34" charset="0"/>
              <a:ea typeface="Times New Roman" panose="02020603050405020304" pitchFamily="18" charset="0"/>
              <a:cs typeface="Arial" panose="020B0604020202020204" pitchFamily="34" charset="0"/>
            </a:rPr>
            <a:t>Fig. 6: Versneller draait parallel aan labyrint met twee bochten</a:t>
          </a:r>
        </a:p>
        <a:p>
          <a:pPr>
            <a:spcAft>
              <a:spcPts val="0"/>
            </a:spcAft>
          </a:pPr>
          <a:r>
            <a:rPr lang="nl-NL" sz="1000">
              <a:latin typeface="Arial" panose="020B0604020202020204" pitchFamily="34" charset="0"/>
              <a:ea typeface="Times New Roman" panose="02020603050405020304" pitchFamily="18" charset="0"/>
              <a:cs typeface="Arial" panose="020B0604020202020204" pitchFamily="34" charset="0"/>
            </a:rPr>
            <a:t> </a:t>
          </a:r>
          <a:endParaRPr lang="nl-NL" sz="10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27</xdr:col>
      <xdr:colOff>376334</xdr:colOff>
      <xdr:row>4</xdr:row>
      <xdr:rowOff>180975</xdr:rowOff>
    </xdr:from>
    <xdr:to>
      <xdr:col>37</xdr:col>
      <xdr:colOff>449624</xdr:colOff>
      <xdr:row>32</xdr:row>
      <xdr:rowOff>127812</xdr:rowOff>
    </xdr:to>
    <xdr:grpSp>
      <xdr:nvGrpSpPr>
        <xdr:cNvPr id="508" name="Groep 507"/>
        <xdr:cNvGrpSpPr/>
      </xdr:nvGrpSpPr>
      <xdr:grpSpPr>
        <a:xfrm>
          <a:off x="16835534" y="942975"/>
          <a:ext cx="6169290" cy="5280837"/>
          <a:chOff x="1487625" y="378858"/>
          <a:chExt cx="6567608" cy="5801448"/>
        </a:xfrm>
      </xdr:grpSpPr>
      <xdr:sp macro="" textlink="">
        <xdr:nvSpPr>
          <xdr:cNvPr id="509" name="Rechthoek 508"/>
          <xdr:cNvSpPr/>
        </xdr:nvSpPr>
        <xdr:spPr>
          <a:xfrm>
            <a:off x="2987693" y="4973804"/>
            <a:ext cx="4647026" cy="92761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510" name="Rechthoek 509"/>
          <xdr:cNvSpPr/>
        </xdr:nvSpPr>
        <xdr:spPr>
          <a:xfrm>
            <a:off x="1745792" y="1167281"/>
            <a:ext cx="427437" cy="336651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511" name="Rechthoek 510"/>
          <xdr:cNvSpPr/>
        </xdr:nvSpPr>
        <xdr:spPr>
          <a:xfrm>
            <a:off x="2996673" y="2032033"/>
            <a:ext cx="620501" cy="2988466"/>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512" name="Rechthoek 511"/>
          <xdr:cNvSpPr/>
        </xdr:nvSpPr>
        <xdr:spPr>
          <a:xfrm>
            <a:off x="7390469" y="1175363"/>
            <a:ext cx="660910" cy="4731439"/>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513" name="Rechthoek 512"/>
          <xdr:cNvSpPr/>
        </xdr:nvSpPr>
        <xdr:spPr>
          <a:xfrm>
            <a:off x="1755233" y="394123"/>
            <a:ext cx="6300000" cy="830628"/>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cxnSp macro="">
        <xdr:nvCxnSpPr>
          <xdr:cNvPr id="514" name="AutoShape 963"/>
          <xdr:cNvCxnSpPr>
            <a:cxnSpLocks noChangeShapeType="1"/>
          </xdr:cNvCxnSpPr>
        </xdr:nvCxnSpPr>
        <xdr:spPr bwMode="auto">
          <a:xfrm>
            <a:off x="8043298" y="378858"/>
            <a:ext cx="0" cy="554400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15" name="AutoShape 964"/>
          <xdr:cNvCxnSpPr>
            <a:cxnSpLocks noChangeShapeType="1"/>
          </xdr:cNvCxnSpPr>
        </xdr:nvCxnSpPr>
        <xdr:spPr bwMode="auto">
          <a:xfrm>
            <a:off x="2977815" y="2011379"/>
            <a:ext cx="898" cy="336651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16" name="AutoShape 965"/>
          <xdr:cNvCxnSpPr>
            <a:cxnSpLocks noChangeShapeType="1"/>
          </xdr:cNvCxnSpPr>
        </xdr:nvCxnSpPr>
        <xdr:spPr bwMode="auto">
          <a:xfrm flipH="1">
            <a:off x="1728732" y="5344669"/>
            <a:ext cx="1249983" cy="0"/>
          </a:xfrm>
          <a:prstGeom prst="straightConnector1">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17" name="AutoShape 966"/>
          <xdr:cNvCxnSpPr>
            <a:cxnSpLocks noChangeShapeType="1"/>
          </xdr:cNvCxnSpPr>
        </xdr:nvCxnSpPr>
        <xdr:spPr bwMode="auto">
          <a:xfrm flipV="1">
            <a:off x="1738609" y="5319525"/>
            <a:ext cx="0" cy="600746"/>
          </a:xfrm>
          <a:prstGeom prst="straightConnector1">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18" name="AutoShape 967"/>
          <xdr:cNvCxnSpPr>
            <a:cxnSpLocks noChangeShapeType="1"/>
          </xdr:cNvCxnSpPr>
        </xdr:nvCxnSpPr>
        <xdr:spPr bwMode="auto">
          <a:xfrm>
            <a:off x="2978713" y="2031135"/>
            <a:ext cx="651931"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19" name="AutoShape 968"/>
          <xdr:cNvCxnSpPr>
            <a:cxnSpLocks noChangeShapeType="1"/>
          </xdr:cNvCxnSpPr>
        </xdr:nvCxnSpPr>
        <xdr:spPr bwMode="auto">
          <a:xfrm flipH="1">
            <a:off x="2978714" y="5916680"/>
            <a:ext cx="5062789"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20" name="AutoShape 969"/>
          <xdr:cNvCxnSpPr>
            <a:cxnSpLocks noChangeShapeType="1"/>
          </xdr:cNvCxnSpPr>
        </xdr:nvCxnSpPr>
        <xdr:spPr bwMode="auto">
          <a:xfrm>
            <a:off x="3617174" y="2031135"/>
            <a:ext cx="0" cy="2963323"/>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21" name="AutoShape 970"/>
          <xdr:cNvCxnSpPr>
            <a:cxnSpLocks noChangeShapeType="1"/>
          </xdr:cNvCxnSpPr>
        </xdr:nvCxnSpPr>
        <xdr:spPr bwMode="auto">
          <a:xfrm flipV="1">
            <a:off x="2177719" y="1193323"/>
            <a:ext cx="3592" cy="3354841"/>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522" name="AutoShape 971"/>
          <xdr:cNvCxnSpPr>
            <a:cxnSpLocks noChangeShapeType="1"/>
          </xdr:cNvCxnSpPr>
        </xdr:nvCxnSpPr>
        <xdr:spPr bwMode="auto">
          <a:xfrm flipH="1">
            <a:off x="1738609" y="4532000"/>
            <a:ext cx="444498" cy="898"/>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23" name="AutoShape 972"/>
          <xdr:cNvCxnSpPr>
            <a:cxnSpLocks noChangeShapeType="1"/>
          </xdr:cNvCxnSpPr>
        </xdr:nvCxnSpPr>
        <xdr:spPr bwMode="auto">
          <a:xfrm flipH="1">
            <a:off x="2177720" y="1224752"/>
            <a:ext cx="520646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24" name="AutoShape 973"/>
          <xdr:cNvCxnSpPr>
            <a:cxnSpLocks noChangeShapeType="1"/>
          </xdr:cNvCxnSpPr>
        </xdr:nvCxnSpPr>
        <xdr:spPr bwMode="auto">
          <a:xfrm flipH="1" flipV="1">
            <a:off x="7382388" y="1207690"/>
            <a:ext cx="1796" cy="377240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25" name="AutoShape 974"/>
          <xdr:cNvCxnSpPr>
            <a:cxnSpLocks noChangeShapeType="1"/>
          </xdr:cNvCxnSpPr>
        </xdr:nvCxnSpPr>
        <xdr:spPr bwMode="auto">
          <a:xfrm>
            <a:off x="3611786" y="4980090"/>
            <a:ext cx="3772397"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26" name="AutoShape 975"/>
          <xdr:cNvCxnSpPr>
            <a:cxnSpLocks noChangeShapeType="1"/>
          </xdr:cNvCxnSpPr>
        </xdr:nvCxnSpPr>
        <xdr:spPr bwMode="auto">
          <a:xfrm flipV="1">
            <a:off x="1738609" y="390480"/>
            <a:ext cx="0" cy="414000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27" name="AutoShape 976"/>
          <xdr:cNvCxnSpPr>
            <a:cxnSpLocks noChangeShapeType="1"/>
          </xdr:cNvCxnSpPr>
        </xdr:nvCxnSpPr>
        <xdr:spPr bwMode="auto">
          <a:xfrm>
            <a:off x="1734529" y="395021"/>
            <a:ext cx="6300000"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sp macro="" textlink="">
        <xdr:nvSpPr>
          <xdr:cNvPr id="528" name="Oval 988"/>
          <xdr:cNvSpPr>
            <a:spLocks noChangeArrowheads="1"/>
          </xdr:cNvSpPr>
        </xdr:nvSpPr>
        <xdr:spPr bwMode="auto">
          <a:xfrm>
            <a:off x="5249695" y="2970418"/>
            <a:ext cx="128411" cy="128411"/>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529" name="AutoShape 990"/>
          <xdr:cNvCxnSpPr>
            <a:cxnSpLocks noChangeShapeType="1"/>
          </xdr:cNvCxnSpPr>
        </xdr:nvCxnSpPr>
        <xdr:spPr bwMode="auto">
          <a:xfrm flipH="1" flipV="1">
            <a:off x="2966143" y="1614474"/>
            <a:ext cx="2349105" cy="1418803"/>
          </a:xfrm>
          <a:prstGeom prst="straightConnector1">
            <a:avLst/>
          </a:prstGeom>
          <a:noFill/>
          <a:ln w="9525">
            <a:solidFill>
              <a:srgbClr val="7030A0"/>
            </a:solidFill>
            <a:round/>
            <a:headEnd type="none"/>
            <a:tailEnd type="triangle"/>
          </a:ln>
          <a:extLst>
            <a:ext uri="{909E8E84-426E-40DD-AFC4-6F175D3DCCD1}">
              <a14:hiddenFill xmlns:a14="http://schemas.microsoft.com/office/drawing/2010/main">
                <a:noFill/>
              </a14:hiddenFill>
            </a:ext>
          </a:extLst>
        </xdr:spPr>
      </xdr:cxnSp>
      <xdr:sp macro="" textlink="">
        <xdr:nvSpPr>
          <xdr:cNvPr id="530" name="Text Box 991"/>
          <xdr:cNvSpPr txBox="1">
            <a:spLocks noChangeArrowheads="1"/>
          </xdr:cNvSpPr>
        </xdr:nvSpPr>
        <xdr:spPr bwMode="auto">
          <a:xfrm>
            <a:off x="2888468" y="1618065"/>
            <a:ext cx="121227" cy="202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531" name="Text Box 994"/>
          <xdr:cNvSpPr txBox="1">
            <a:spLocks noChangeArrowheads="1"/>
          </xdr:cNvSpPr>
        </xdr:nvSpPr>
        <xdr:spPr bwMode="auto">
          <a:xfrm>
            <a:off x="1487625" y="4729105"/>
            <a:ext cx="161636" cy="202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L</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x</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532" name="AutoShape 995"/>
          <xdr:cNvCxnSpPr>
            <a:cxnSpLocks noChangeShapeType="1"/>
          </xdr:cNvCxnSpPr>
        </xdr:nvCxnSpPr>
        <xdr:spPr bwMode="auto">
          <a:xfrm flipV="1">
            <a:off x="1738609" y="4474530"/>
            <a:ext cx="0" cy="90336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33" name="AutoShape 997"/>
          <xdr:cNvCxnSpPr>
            <a:cxnSpLocks noChangeShapeType="1"/>
          </xdr:cNvCxnSpPr>
        </xdr:nvCxnSpPr>
        <xdr:spPr bwMode="auto">
          <a:xfrm flipV="1">
            <a:off x="2177719" y="4438611"/>
            <a:ext cx="3592" cy="1482559"/>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34" name="AutoShape 998"/>
          <xdr:cNvCxnSpPr>
            <a:cxnSpLocks noChangeShapeType="1"/>
          </xdr:cNvCxnSpPr>
        </xdr:nvCxnSpPr>
        <xdr:spPr bwMode="auto">
          <a:xfrm flipH="1">
            <a:off x="1736813" y="5917578"/>
            <a:ext cx="1267044" cy="898"/>
          </a:xfrm>
          <a:prstGeom prst="straightConnector1">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35" name="AutoShape 999"/>
          <xdr:cNvCxnSpPr>
            <a:cxnSpLocks noChangeShapeType="1"/>
          </xdr:cNvCxnSpPr>
        </xdr:nvCxnSpPr>
        <xdr:spPr bwMode="auto">
          <a:xfrm flipV="1">
            <a:off x="2974224" y="4434121"/>
            <a:ext cx="3592" cy="1482559"/>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36" name="AutoShape 1002"/>
          <xdr:cNvCxnSpPr>
            <a:cxnSpLocks noChangeShapeType="1"/>
          </xdr:cNvCxnSpPr>
        </xdr:nvCxnSpPr>
        <xdr:spPr bwMode="auto">
          <a:xfrm>
            <a:off x="2637483" y="1614473"/>
            <a:ext cx="0" cy="321565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37" name="AutoShape 1003"/>
          <xdr:cNvCxnSpPr>
            <a:cxnSpLocks noChangeShapeType="1"/>
          </xdr:cNvCxnSpPr>
        </xdr:nvCxnSpPr>
        <xdr:spPr bwMode="auto">
          <a:xfrm flipH="1">
            <a:off x="1728731" y="4936987"/>
            <a:ext cx="908752"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38" name="AutoShape 1004"/>
          <xdr:cNvCxnSpPr>
            <a:cxnSpLocks noChangeShapeType="1"/>
          </xdr:cNvCxnSpPr>
        </xdr:nvCxnSpPr>
        <xdr:spPr bwMode="auto">
          <a:xfrm>
            <a:off x="2637483" y="4830128"/>
            <a:ext cx="0" cy="1086552"/>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39" name="AutoShape 1005"/>
          <xdr:cNvCxnSpPr>
            <a:cxnSpLocks noChangeShapeType="1"/>
          </xdr:cNvCxnSpPr>
        </xdr:nvCxnSpPr>
        <xdr:spPr bwMode="auto">
          <a:xfrm flipV="1">
            <a:off x="1738609" y="5320423"/>
            <a:ext cx="0" cy="600746"/>
          </a:xfrm>
          <a:prstGeom prst="straightConnector1">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40" name="AutoShape 1006"/>
          <xdr:cNvCxnSpPr>
            <a:cxnSpLocks noChangeShapeType="1"/>
          </xdr:cNvCxnSpPr>
        </xdr:nvCxnSpPr>
        <xdr:spPr bwMode="auto">
          <a:xfrm flipV="1">
            <a:off x="1738609" y="4474530"/>
            <a:ext cx="0" cy="90336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41" name="AutoShape 1007"/>
          <xdr:cNvCxnSpPr>
            <a:cxnSpLocks noChangeShapeType="1"/>
          </xdr:cNvCxnSpPr>
        </xdr:nvCxnSpPr>
        <xdr:spPr bwMode="auto">
          <a:xfrm flipH="1">
            <a:off x="1736813" y="5915782"/>
            <a:ext cx="1267044" cy="898"/>
          </a:xfrm>
          <a:prstGeom prst="straightConnector1">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42" name="AutoShape 1008"/>
          <xdr:cNvCxnSpPr>
            <a:cxnSpLocks noChangeShapeType="1"/>
          </xdr:cNvCxnSpPr>
        </xdr:nvCxnSpPr>
        <xdr:spPr bwMode="auto">
          <a:xfrm flipV="1">
            <a:off x="1738609" y="5318627"/>
            <a:ext cx="0" cy="600746"/>
          </a:xfrm>
          <a:prstGeom prst="straightConnector1">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43" name="AutoShape 1009"/>
          <xdr:cNvCxnSpPr>
            <a:cxnSpLocks noChangeShapeType="1"/>
          </xdr:cNvCxnSpPr>
        </xdr:nvCxnSpPr>
        <xdr:spPr bwMode="auto">
          <a:xfrm flipV="1">
            <a:off x="1738609" y="4472734"/>
            <a:ext cx="0" cy="90336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44" name="AutoShape 1010"/>
          <xdr:cNvCxnSpPr>
            <a:cxnSpLocks noChangeShapeType="1"/>
          </xdr:cNvCxnSpPr>
        </xdr:nvCxnSpPr>
        <xdr:spPr bwMode="auto">
          <a:xfrm flipV="1">
            <a:off x="2975668" y="4434121"/>
            <a:ext cx="3592" cy="1482559"/>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545" name="AutoShape 1011"/>
          <xdr:cNvCxnSpPr>
            <a:cxnSpLocks noChangeShapeType="1"/>
          </xdr:cNvCxnSpPr>
        </xdr:nvCxnSpPr>
        <xdr:spPr bwMode="auto">
          <a:xfrm flipH="1">
            <a:off x="1728731" y="5915782"/>
            <a:ext cx="1267044" cy="898"/>
          </a:xfrm>
          <a:prstGeom prst="straightConnector1">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46" name="AutoShape 1012"/>
          <xdr:cNvCxnSpPr>
            <a:cxnSpLocks noChangeShapeType="1"/>
          </xdr:cNvCxnSpPr>
        </xdr:nvCxnSpPr>
        <xdr:spPr bwMode="auto">
          <a:xfrm flipV="1">
            <a:off x="1730527" y="5318627"/>
            <a:ext cx="0" cy="600746"/>
          </a:xfrm>
          <a:prstGeom prst="straightConnector1">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47" name="AutoShape 1013"/>
          <xdr:cNvCxnSpPr>
            <a:cxnSpLocks noChangeShapeType="1"/>
          </xdr:cNvCxnSpPr>
        </xdr:nvCxnSpPr>
        <xdr:spPr bwMode="auto">
          <a:xfrm flipV="1">
            <a:off x="1730527" y="4472734"/>
            <a:ext cx="0" cy="90336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48" name="AutoShape 1014"/>
          <xdr:cNvCxnSpPr>
            <a:cxnSpLocks noChangeShapeType="1"/>
          </xdr:cNvCxnSpPr>
        </xdr:nvCxnSpPr>
        <xdr:spPr bwMode="auto">
          <a:xfrm flipV="1">
            <a:off x="2177719" y="4433223"/>
            <a:ext cx="3592" cy="1482559"/>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49" name="AutoShape 1016"/>
          <xdr:cNvCxnSpPr>
            <a:cxnSpLocks noChangeShapeType="1"/>
          </xdr:cNvCxnSpPr>
        </xdr:nvCxnSpPr>
        <xdr:spPr bwMode="auto">
          <a:xfrm flipH="1">
            <a:off x="1728731" y="5910394"/>
            <a:ext cx="1267044" cy="898"/>
          </a:xfrm>
          <a:prstGeom prst="straightConnector1">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50" name="AutoShape 1017"/>
          <xdr:cNvCxnSpPr>
            <a:cxnSpLocks noChangeShapeType="1"/>
          </xdr:cNvCxnSpPr>
        </xdr:nvCxnSpPr>
        <xdr:spPr bwMode="auto">
          <a:xfrm flipV="1">
            <a:off x="1730527" y="5313239"/>
            <a:ext cx="0" cy="600746"/>
          </a:xfrm>
          <a:prstGeom prst="straightConnector1">
            <a:avLst/>
          </a:prstGeom>
          <a:noFill/>
          <a:ln w="9525">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551" name="AutoShape 1018"/>
          <xdr:cNvCxnSpPr>
            <a:cxnSpLocks noChangeShapeType="1"/>
          </xdr:cNvCxnSpPr>
        </xdr:nvCxnSpPr>
        <xdr:spPr bwMode="auto">
          <a:xfrm flipV="1">
            <a:off x="1730527" y="4467346"/>
            <a:ext cx="0" cy="90336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52" name="AutoShape 1019"/>
          <xdr:cNvCxnSpPr>
            <a:cxnSpLocks noChangeShapeType="1"/>
          </xdr:cNvCxnSpPr>
        </xdr:nvCxnSpPr>
        <xdr:spPr bwMode="auto">
          <a:xfrm flipH="1">
            <a:off x="2637483" y="1615371"/>
            <a:ext cx="358292"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53" name="AutoShape 1020"/>
          <xdr:cNvCxnSpPr>
            <a:cxnSpLocks noChangeShapeType="1"/>
          </xdr:cNvCxnSpPr>
        </xdr:nvCxnSpPr>
        <xdr:spPr bwMode="auto">
          <a:xfrm>
            <a:off x="2637483" y="1614473"/>
            <a:ext cx="0" cy="321565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554" name="AutoShape 1021"/>
          <xdr:cNvCxnSpPr>
            <a:cxnSpLocks noChangeShapeType="1"/>
          </xdr:cNvCxnSpPr>
        </xdr:nvCxnSpPr>
        <xdr:spPr bwMode="auto">
          <a:xfrm flipH="1">
            <a:off x="1728731" y="4936987"/>
            <a:ext cx="908752" cy="0"/>
          </a:xfrm>
          <a:prstGeom prst="straightConnector1">
            <a:avLst/>
          </a:prstGeom>
          <a:noFill/>
          <a:ln w="9525">
            <a:solidFill>
              <a:srgbClr val="7030A0"/>
            </a:solidFill>
            <a:round/>
            <a:headEnd type="none"/>
            <a:tailEnd type="triangle"/>
          </a:ln>
          <a:extLst>
            <a:ext uri="{909E8E84-426E-40DD-AFC4-6F175D3DCCD1}">
              <a14:hiddenFill xmlns:a14="http://schemas.microsoft.com/office/drawing/2010/main">
                <a:noFill/>
              </a14:hiddenFill>
            </a:ext>
          </a:extLst>
        </xdr:spPr>
      </xdr:cxnSp>
      <xdr:cxnSp macro="">
        <xdr:nvCxnSpPr>
          <xdr:cNvPr id="555" name="AutoShape 1022"/>
          <xdr:cNvCxnSpPr>
            <a:cxnSpLocks noChangeShapeType="1"/>
          </xdr:cNvCxnSpPr>
        </xdr:nvCxnSpPr>
        <xdr:spPr bwMode="auto">
          <a:xfrm>
            <a:off x="2637483" y="4830128"/>
            <a:ext cx="0" cy="1086552"/>
          </a:xfrm>
          <a:prstGeom prst="straightConnector1">
            <a:avLst/>
          </a:prstGeom>
          <a:noFill/>
          <a:ln w="9525">
            <a:solidFill>
              <a:srgbClr val="7030A0"/>
            </a:solidFill>
            <a:round/>
            <a:headEnd type="none"/>
            <a:tailEnd type="triangle"/>
          </a:ln>
          <a:extLst>
            <a:ext uri="{909E8E84-426E-40DD-AFC4-6F175D3DCCD1}">
              <a14:hiddenFill xmlns:a14="http://schemas.microsoft.com/office/drawing/2010/main">
                <a:noFill/>
              </a14:hiddenFill>
            </a:ext>
          </a:extLst>
        </xdr:spPr>
      </xdr:cxnSp>
      <xdr:cxnSp macro="">
        <xdr:nvCxnSpPr>
          <xdr:cNvPr id="556" name="AutoShape 1023"/>
          <xdr:cNvCxnSpPr>
            <a:cxnSpLocks noChangeShapeType="1"/>
          </xdr:cNvCxnSpPr>
        </xdr:nvCxnSpPr>
        <xdr:spPr bwMode="auto">
          <a:xfrm flipH="1">
            <a:off x="2637484" y="1614473"/>
            <a:ext cx="341231" cy="898"/>
          </a:xfrm>
          <a:prstGeom prst="straightConnector1">
            <a:avLst/>
          </a:prstGeom>
          <a:noFill/>
          <a:ln w="9525">
            <a:solidFill>
              <a:srgbClr val="7030A0"/>
            </a:solidFill>
            <a:round/>
            <a:headEnd type="none"/>
            <a:tailEnd type="triangle"/>
          </a:ln>
          <a:extLst>
            <a:ext uri="{909E8E84-426E-40DD-AFC4-6F175D3DCCD1}">
              <a14:hiddenFill xmlns:a14="http://schemas.microsoft.com/office/drawing/2010/main">
                <a:noFill/>
              </a14:hiddenFill>
            </a:ext>
          </a:extLst>
        </xdr:spPr>
      </xdr:cxnSp>
      <xdr:cxnSp macro="">
        <xdr:nvCxnSpPr>
          <xdr:cNvPr id="557" name="AutoShape 1024"/>
          <xdr:cNvCxnSpPr>
            <a:cxnSpLocks noChangeShapeType="1"/>
          </xdr:cNvCxnSpPr>
        </xdr:nvCxnSpPr>
        <xdr:spPr bwMode="auto">
          <a:xfrm>
            <a:off x="2637483" y="1614473"/>
            <a:ext cx="0" cy="3312000"/>
          </a:xfrm>
          <a:prstGeom prst="straightConnector1">
            <a:avLst/>
          </a:prstGeom>
          <a:noFill/>
          <a:ln w="9525">
            <a:solidFill>
              <a:srgbClr val="7030A0"/>
            </a:solidFill>
            <a:round/>
            <a:headEnd type="none"/>
            <a:tailEnd type="triangle"/>
          </a:ln>
          <a:extLst>
            <a:ext uri="{909E8E84-426E-40DD-AFC4-6F175D3DCCD1}">
              <a14:hiddenFill xmlns:a14="http://schemas.microsoft.com/office/drawing/2010/main">
                <a:noFill/>
              </a14:hiddenFill>
            </a:ext>
          </a:extLst>
        </xdr:spPr>
      </xdr:cxnSp>
      <xdr:sp macro="" textlink="">
        <xdr:nvSpPr>
          <xdr:cNvPr id="558" name="Text Box 1025"/>
          <xdr:cNvSpPr txBox="1">
            <a:spLocks noChangeArrowheads="1"/>
          </xdr:cNvSpPr>
        </xdr:nvSpPr>
        <xdr:spPr bwMode="auto">
          <a:xfrm>
            <a:off x="4332411" y="2142932"/>
            <a:ext cx="202045" cy="202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n1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559" name="Oval 1026"/>
          <xdr:cNvSpPr>
            <a:spLocks noChangeArrowheads="1"/>
          </xdr:cNvSpPr>
        </xdr:nvSpPr>
        <xdr:spPr bwMode="auto">
          <a:xfrm>
            <a:off x="2946386" y="1589330"/>
            <a:ext cx="51185" cy="51185"/>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560" name="Text Box 1027"/>
          <xdr:cNvSpPr txBox="1">
            <a:spLocks noChangeArrowheads="1"/>
          </xdr:cNvSpPr>
        </xdr:nvSpPr>
        <xdr:spPr bwMode="auto">
          <a:xfrm>
            <a:off x="2387847" y="2375508"/>
            <a:ext cx="202045" cy="202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n2</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561" name="Rectangle 1028" descr="Brede diagonaal omhoog"/>
          <xdr:cNvSpPr>
            <a:spLocks noChangeArrowheads="1"/>
          </xdr:cNvSpPr>
        </xdr:nvSpPr>
        <xdr:spPr bwMode="auto">
          <a:xfrm>
            <a:off x="2226210" y="1263365"/>
            <a:ext cx="1089245" cy="51185"/>
          </a:xfrm>
          <a:prstGeom prst="rect">
            <a:avLst/>
          </a:prstGeom>
          <a:pattFill prst="wdUpDiag">
            <a:fgClr>
              <a:srgbClr val="FFFFFF"/>
            </a:fgClr>
            <a:bgClr>
              <a:srgbClr val="000000"/>
            </a:bgClr>
          </a:pattFill>
          <a:ln w="9525">
            <a:solidFill>
              <a:srgbClr val="00000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562" name="Rectangle 1029" descr="Brede diagonaal omhoog"/>
          <xdr:cNvSpPr>
            <a:spLocks noChangeArrowheads="1"/>
          </xdr:cNvSpPr>
        </xdr:nvSpPr>
        <xdr:spPr bwMode="auto">
          <a:xfrm>
            <a:off x="2226210" y="1314549"/>
            <a:ext cx="51185" cy="929406"/>
          </a:xfrm>
          <a:prstGeom prst="rect">
            <a:avLst/>
          </a:prstGeom>
          <a:pattFill prst="wdUpDiag">
            <a:fgClr>
              <a:srgbClr val="FFFFFF"/>
            </a:fgClr>
            <a:bgClr>
              <a:srgbClr val="000000"/>
            </a:bgClr>
          </a:pattFill>
          <a:ln w="9525">
            <a:solidFill>
              <a:srgbClr val="00000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563" name="Text Box 1030"/>
          <xdr:cNvSpPr txBox="1">
            <a:spLocks noChangeArrowheads="1"/>
          </xdr:cNvSpPr>
        </xdr:nvSpPr>
        <xdr:spPr bwMode="auto">
          <a:xfrm>
            <a:off x="2353722" y="1352713"/>
            <a:ext cx="929405" cy="15714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8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Polyboronplate</a:t>
            </a:r>
            <a:endParaRPr kumimoji="0" lang="nl-NL" altLang="nl-NL" sz="1000" b="0" i="0" u="none" strike="noStrike" cap="none" normalizeH="0" baseline="0">
              <a:ln>
                <a:noFill/>
              </a:ln>
              <a:solidFill>
                <a:schemeClr val="tx1"/>
              </a:solidFill>
              <a:effectLst/>
              <a:latin typeface="Arial" panose="020B0604020202020204" pitchFamily="34" charset="0"/>
            </a:endParaRPr>
          </a:p>
          <a:p>
            <a:pPr marL="0" marR="0" lvl="0" indent="0" algn="l" defTabSz="914400" rtl="0" eaLnBrk="0" fontAlgn="base" latinLnBrk="0" hangingPunct="0">
              <a:lnSpc>
                <a:spcPct val="100000"/>
              </a:lnSpc>
              <a:spcBef>
                <a:spcPct val="0"/>
              </a:spcBef>
              <a:spcAft>
                <a:spcPct val="0"/>
              </a:spcAft>
              <a:buClrTx/>
              <a:buSzTx/>
              <a:buFontTx/>
              <a:buNone/>
              <a:tabLst/>
            </a:pP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564" name="AutoShape 1032"/>
          <xdr:cNvCxnSpPr>
            <a:cxnSpLocks noChangeShapeType="1"/>
          </xdr:cNvCxnSpPr>
        </xdr:nvCxnSpPr>
        <xdr:spPr bwMode="auto">
          <a:xfrm rot="5400000">
            <a:off x="3171329" y="1591575"/>
            <a:ext cx="748015" cy="91594"/>
          </a:xfrm>
          <a:prstGeom prst="bentConnector3">
            <a:avLst>
              <a:gd name="adj1" fmla="val 50000"/>
            </a:avLst>
          </a:prstGeom>
          <a:noFill/>
          <a:ln w="9525">
            <a:solidFill>
              <a:srgbClr val="000000"/>
            </a:solidFill>
            <a:miter lim="800000"/>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565" name="Text Box 1033"/>
          <xdr:cNvSpPr txBox="1">
            <a:spLocks noChangeArrowheads="1"/>
          </xdr:cNvSpPr>
        </xdr:nvSpPr>
        <xdr:spPr bwMode="auto">
          <a:xfrm>
            <a:off x="3678684" y="1508062"/>
            <a:ext cx="237964" cy="202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S</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0</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566" name="AutoShape 1034"/>
          <xdr:cNvCxnSpPr>
            <a:cxnSpLocks noChangeShapeType="1"/>
          </xdr:cNvCxnSpPr>
        </xdr:nvCxnSpPr>
        <xdr:spPr bwMode="auto">
          <a:xfrm rot="10800000">
            <a:off x="2226212" y="3361936"/>
            <a:ext cx="720177" cy="91594"/>
          </a:xfrm>
          <a:prstGeom prst="bentConnector3">
            <a:avLst>
              <a:gd name="adj1" fmla="val 50000"/>
            </a:avLst>
          </a:prstGeom>
          <a:noFill/>
          <a:ln w="9525">
            <a:solidFill>
              <a:srgbClr val="000000"/>
            </a:solidFill>
            <a:miter lim="800000"/>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567" name="Text Box 1035"/>
          <xdr:cNvSpPr txBox="1">
            <a:spLocks noChangeArrowheads="1"/>
          </xdr:cNvSpPr>
        </xdr:nvSpPr>
        <xdr:spPr bwMode="auto">
          <a:xfrm>
            <a:off x="2448458" y="3407734"/>
            <a:ext cx="237964" cy="202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S</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568" name="Text Box 996"/>
          <xdr:cNvSpPr txBox="1">
            <a:spLocks noChangeAspect="1" noChangeArrowheads="1"/>
          </xdr:cNvSpPr>
        </xdr:nvSpPr>
        <xdr:spPr bwMode="auto">
          <a:xfrm>
            <a:off x="2574624" y="5978261"/>
            <a:ext cx="161636" cy="202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L</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x</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569" name="Rechthoek 568"/>
          <xdr:cNvSpPr/>
        </xdr:nvSpPr>
        <xdr:spPr>
          <a:xfrm>
            <a:off x="1736813" y="5344669"/>
            <a:ext cx="444498" cy="565725"/>
          </a:xfrm>
          <a:prstGeom prst="rect">
            <a:avLst/>
          </a:prstGeom>
          <a:solidFill>
            <a:schemeClr val="bg2">
              <a:lumMod val="90000"/>
            </a:schemeClr>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clientData/>
  </xdr:twoCellAnchor>
  <xdr:twoCellAnchor>
    <xdr:from>
      <xdr:col>28</xdr:col>
      <xdr:colOff>5536</xdr:colOff>
      <xdr:row>33</xdr:row>
      <xdr:rowOff>27032</xdr:rowOff>
    </xdr:from>
    <xdr:to>
      <xdr:col>32</xdr:col>
      <xdr:colOff>108082</xdr:colOff>
      <xdr:row>34</xdr:row>
      <xdr:rowOff>82753</xdr:rowOff>
    </xdr:to>
    <xdr:sp macro="" textlink="">
      <xdr:nvSpPr>
        <xdr:cNvPr id="570" name="Rechthoek 569"/>
        <xdr:cNvSpPr/>
      </xdr:nvSpPr>
      <xdr:spPr>
        <a:xfrm>
          <a:off x="17033305" y="6313532"/>
          <a:ext cx="2535085" cy="246221"/>
        </a:xfrm>
        <a:prstGeom prst="rect">
          <a:avLst/>
        </a:prstGeom>
      </xdr:spPr>
      <xdr:txBody>
        <a:bodyPr wrap="square" lIns="0" rIns="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latin typeface="Arial" panose="020B0604020202020204" pitchFamily="34" charset="0"/>
              <a:ea typeface="Times New Roman" panose="02020603050405020304" pitchFamily="18" charset="0"/>
              <a:cs typeface="Arial" panose="020B0604020202020204" pitchFamily="34" charset="0"/>
            </a:rPr>
            <a:t>Fig. 7: layout tbv de neutronenbijdrage</a:t>
          </a:r>
          <a:endParaRPr lang="nl-NL" sz="10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40</xdr:col>
      <xdr:colOff>13606</xdr:colOff>
      <xdr:row>71</xdr:row>
      <xdr:rowOff>13606</xdr:rowOff>
    </xdr:from>
    <xdr:to>
      <xdr:col>50</xdr:col>
      <xdr:colOff>13606</xdr:colOff>
      <xdr:row>72</xdr:row>
      <xdr:rowOff>69327</xdr:rowOff>
    </xdr:to>
    <xdr:sp macro="" textlink="">
      <xdr:nvSpPr>
        <xdr:cNvPr id="648" name="Rechthoek 647"/>
        <xdr:cNvSpPr/>
      </xdr:nvSpPr>
      <xdr:spPr>
        <a:xfrm>
          <a:off x="24506463" y="13539106"/>
          <a:ext cx="6123214" cy="246221"/>
        </a:xfrm>
        <a:prstGeom prst="rect">
          <a:avLst/>
        </a:prstGeom>
      </xdr:spPr>
      <xdr:txBody>
        <a:bodyPr wrap="square" lIns="0" rIns="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latin typeface="Arial" panose="020B0604020202020204" pitchFamily="34" charset="0"/>
              <a:ea typeface="Times New Roman" panose="02020603050405020304" pitchFamily="18" charset="0"/>
              <a:cs typeface="Arial" panose="020B0604020202020204" pitchFamily="34" charset="0"/>
            </a:rPr>
            <a:t>Fig. 9: terreingrens, bijdrage tgv van lekstraling: directe en skyshine</a:t>
          </a:r>
          <a:endParaRPr lang="nl-NL" sz="10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40</xdr:col>
      <xdr:colOff>5964</xdr:colOff>
      <xdr:row>38</xdr:row>
      <xdr:rowOff>34639</xdr:rowOff>
    </xdr:from>
    <xdr:to>
      <xdr:col>50</xdr:col>
      <xdr:colOff>5963</xdr:colOff>
      <xdr:row>39</xdr:row>
      <xdr:rowOff>90360</xdr:rowOff>
    </xdr:to>
    <xdr:sp macro="" textlink="">
      <xdr:nvSpPr>
        <xdr:cNvPr id="649" name="Rechthoek 648"/>
        <xdr:cNvSpPr/>
      </xdr:nvSpPr>
      <xdr:spPr>
        <a:xfrm>
          <a:off x="24294714" y="7273639"/>
          <a:ext cx="6072187" cy="246221"/>
        </a:xfrm>
        <a:prstGeom prst="rect">
          <a:avLst/>
        </a:prstGeom>
      </xdr:spPr>
      <xdr:txBody>
        <a:bodyPr wrap="square" lIns="0" rIns="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nl-NL" sz="1000">
              <a:latin typeface="Arial" panose="020B0604020202020204" pitchFamily="34" charset="0"/>
              <a:ea typeface="Times New Roman" panose="02020603050405020304" pitchFamily="18" charset="0"/>
              <a:cs typeface="Arial" panose="020B0604020202020204" pitchFamily="34" charset="0"/>
            </a:rPr>
            <a:t>Fig 8: terreingrens, bijdrage tgv van primaire bundel: directe bijdrage en skyshine</a:t>
          </a:r>
          <a:endParaRPr lang="nl-NL" sz="10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15</xdr:col>
      <xdr:colOff>533400</xdr:colOff>
      <xdr:row>31</xdr:row>
      <xdr:rowOff>76200</xdr:rowOff>
    </xdr:from>
    <xdr:to>
      <xdr:col>17</xdr:col>
      <xdr:colOff>305093</xdr:colOff>
      <xdr:row>31</xdr:row>
      <xdr:rowOff>76200</xdr:rowOff>
    </xdr:to>
    <xdr:cxnSp macro="">
      <xdr:nvCxnSpPr>
        <xdr:cNvPr id="652" name="AutoShape 939"/>
        <xdr:cNvCxnSpPr>
          <a:cxnSpLocks noChangeShapeType="1"/>
        </xdr:cNvCxnSpPr>
      </xdr:nvCxnSpPr>
      <xdr:spPr bwMode="auto">
        <a:xfrm>
          <a:off x="9677400" y="5219700"/>
          <a:ext cx="990893" cy="0"/>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39</xdr:col>
      <xdr:colOff>607370</xdr:colOff>
      <xdr:row>5</xdr:row>
      <xdr:rowOff>88869</xdr:rowOff>
    </xdr:from>
    <xdr:to>
      <xdr:col>52</xdr:col>
      <xdr:colOff>349965</xdr:colOff>
      <xdr:row>36</xdr:row>
      <xdr:rowOff>159369</xdr:rowOff>
    </xdr:to>
    <xdr:grpSp>
      <xdr:nvGrpSpPr>
        <xdr:cNvPr id="744" name="Groep 743"/>
        <xdr:cNvGrpSpPr>
          <a:grpSpLocks noChangeAspect="1"/>
        </xdr:cNvGrpSpPr>
      </xdr:nvGrpSpPr>
      <xdr:grpSpPr>
        <a:xfrm>
          <a:off x="24381770" y="1041369"/>
          <a:ext cx="7667395" cy="5976000"/>
          <a:chOff x="1177797" y="296365"/>
          <a:chExt cx="6948000" cy="5409313"/>
        </a:xfrm>
      </xdr:grpSpPr>
      <xdr:sp macro="" textlink="">
        <xdr:nvSpPr>
          <xdr:cNvPr id="745" name="Rechthoek 744"/>
          <xdr:cNvSpPr/>
        </xdr:nvSpPr>
        <xdr:spPr>
          <a:xfrm>
            <a:off x="3108628" y="2178925"/>
            <a:ext cx="1080000" cy="215053"/>
          </a:xfrm>
          <a:prstGeom prst="rect">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nvGrpSpPr>
          <xdr:cNvPr id="746" name="Groep 745"/>
          <xdr:cNvGrpSpPr/>
        </xdr:nvGrpSpPr>
        <xdr:grpSpPr>
          <a:xfrm>
            <a:off x="1177797" y="296365"/>
            <a:ext cx="6948000" cy="5409313"/>
            <a:chOff x="1177797" y="296365"/>
            <a:chExt cx="6948000" cy="5409313"/>
          </a:xfrm>
        </xdr:grpSpPr>
        <xdr:grpSp>
          <xdr:nvGrpSpPr>
            <xdr:cNvPr id="747" name="Groep 746"/>
            <xdr:cNvGrpSpPr/>
          </xdr:nvGrpSpPr>
          <xdr:grpSpPr>
            <a:xfrm>
              <a:off x="1177797" y="296365"/>
              <a:ext cx="6948000" cy="5409313"/>
              <a:chOff x="1173035" y="301127"/>
              <a:chExt cx="6948000" cy="5409313"/>
            </a:xfrm>
          </xdr:grpSpPr>
          <xdr:sp macro="" textlink="">
            <xdr:nvSpPr>
              <xdr:cNvPr id="749" name="Text Box 1085"/>
              <xdr:cNvSpPr txBox="1">
                <a:spLocks noChangeArrowheads="1"/>
              </xdr:cNvSpPr>
            </xdr:nvSpPr>
            <xdr:spPr bwMode="auto">
              <a:xfrm>
                <a:off x="4596298" y="5558846"/>
                <a:ext cx="136525" cy="14763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p</a:t>
                </a:r>
                <a:endParaRPr kumimoji="0" lang="nl-NL" altLang="nl-NL" sz="1000" b="0" i="0" u="none" strike="noStrike" cap="none" normalizeH="0" baseline="0">
                  <a:ln>
                    <a:noFill/>
                  </a:ln>
                  <a:solidFill>
                    <a:schemeClr val="tx1"/>
                  </a:solidFill>
                  <a:effectLst/>
                  <a:latin typeface="Arial" panose="020B0604020202020204" pitchFamily="34" charset="0"/>
                </a:endParaRPr>
              </a:p>
              <a:p>
                <a:pPr marL="0" marR="0" lvl="0" indent="0" algn="l" defTabSz="914400" rtl="0" eaLnBrk="0" fontAlgn="base" latinLnBrk="0" hangingPunct="0">
                  <a:lnSpc>
                    <a:spcPct val="100000"/>
                  </a:lnSpc>
                  <a:spcBef>
                    <a:spcPct val="0"/>
                  </a:spcBef>
                  <a:spcAft>
                    <a:spcPct val="0"/>
                  </a:spcAft>
                  <a:buClrTx/>
                  <a:buSzTx/>
                  <a:buFontTx/>
                  <a:buNone/>
                  <a:tabLst/>
                </a:pP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750" name="Rechthoek 749"/>
              <xdr:cNvSpPr/>
            </xdr:nvSpPr>
            <xdr:spPr>
              <a:xfrm>
                <a:off x="1173035" y="4452224"/>
                <a:ext cx="6297646" cy="34723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751" name="Rechthoek 750"/>
              <xdr:cNvSpPr/>
            </xdr:nvSpPr>
            <xdr:spPr>
              <a:xfrm>
                <a:off x="1759661" y="2134325"/>
                <a:ext cx="651988" cy="2617747"/>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752" name="Rechthoek 751"/>
              <xdr:cNvSpPr/>
            </xdr:nvSpPr>
            <xdr:spPr>
              <a:xfrm>
                <a:off x="4734457" y="2153934"/>
                <a:ext cx="566200" cy="257281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753" name="Rechthoek 752"/>
              <xdr:cNvSpPr/>
            </xdr:nvSpPr>
            <xdr:spPr>
              <a:xfrm>
                <a:off x="1771916" y="1850001"/>
                <a:ext cx="3536911" cy="329261"/>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754" name="Oval 1149"/>
              <xdr:cNvSpPr>
                <a:spLocks noChangeArrowheads="1"/>
              </xdr:cNvSpPr>
            </xdr:nvSpPr>
            <xdr:spPr bwMode="auto">
              <a:xfrm>
                <a:off x="3048113" y="2719315"/>
                <a:ext cx="1204298" cy="1204294"/>
              </a:xfrm>
              <a:prstGeom prst="ellipse">
                <a:avLst/>
              </a:prstGeom>
              <a:solidFill>
                <a:srgbClr val="FFFFFF"/>
              </a:solidFill>
              <a:ln w="9525">
                <a:solidFill>
                  <a:srgbClr val="000000"/>
                </a:solidFill>
                <a:prstDash val="sysDot"/>
                <a:round/>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755" name="AutoShape 1036"/>
              <xdr:cNvCxnSpPr>
                <a:cxnSpLocks noChangeShapeType="1"/>
              </xdr:cNvCxnSpPr>
            </xdr:nvCxnSpPr>
            <xdr:spPr bwMode="auto">
              <a:xfrm>
                <a:off x="2410014" y="4439152"/>
                <a:ext cx="2322809" cy="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56" name="AutoShape 1037"/>
              <xdr:cNvCxnSpPr>
                <a:cxnSpLocks noChangeShapeType="1"/>
              </xdr:cNvCxnSpPr>
            </xdr:nvCxnSpPr>
            <xdr:spPr bwMode="auto">
              <a:xfrm>
                <a:off x="1185290" y="4459577"/>
                <a:ext cx="571102" cy="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57" name="AutoShape 1038"/>
              <xdr:cNvCxnSpPr>
                <a:cxnSpLocks noChangeShapeType="1"/>
              </xdr:cNvCxnSpPr>
            </xdr:nvCxnSpPr>
            <xdr:spPr bwMode="auto">
              <a:xfrm>
                <a:off x="1755575" y="1856537"/>
                <a:ext cx="817" cy="260304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58" name="AutoShape 1039"/>
              <xdr:cNvCxnSpPr>
                <a:cxnSpLocks noChangeShapeType="1"/>
              </xdr:cNvCxnSpPr>
            </xdr:nvCxnSpPr>
            <xdr:spPr bwMode="auto">
              <a:xfrm>
                <a:off x="1755575" y="1856537"/>
                <a:ext cx="3549984" cy="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59" name="AutoShape 1040"/>
              <xdr:cNvCxnSpPr>
                <a:cxnSpLocks noChangeShapeType="1"/>
              </xdr:cNvCxnSpPr>
            </xdr:nvCxnSpPr>
            <xdr:spPr bwMode="auto">
              <a:xfrm>
                <a:off x="5305559" y="1856537"/>
                <a:ext cx="0" cy="2582615"/>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60" name="AutoShape 1041"/>
              <xdr:cNvCxnSpPr>
                <a:cxnSpLocks noChangeShapeType="1"/>
              </xdr:cNvCxnSpPr>
            </xdr:nvCxnSpPr>
            <xdr:spPr bwMode="auto">
              <a:xfrm>
                <a:off x="5308010" y="4433433"/>
                <a:ext cx="2158586" cy="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61" name="AutoShape 1043"/>
              <xdr:cNvCxnSpPr>
                <a:cxnSpLocks noChangeShapeType="1"/>
              </xdr:cNvCxnSpPr>
            </xdr:nvCxnSpPr>
            <xdr:spPr bwMode="auto">
              <a:xfrm>
                <a:off x="2410014" y="2168499"/>
                <a:ext cx="0" cy="228600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62" name="AutoShape 1044"/>
              <xdr:cNvCxnSpPr>
                <a:cxnSpLocks noChangeShapeType="1"/>
              </xdr:cNvCxnSpPr>
            </xdr:nvCxnSpPr>
            <xdr:spPr bwMode="auto">
              <a:xfrm>
                <a:off x="4732823" y="2172164"/>
                <a:ext cx="0" cy="228600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763" name="Oval 1049"/>
              <xdr:cNvSpPr>
                <a:spLocks noChangeArrowheads="1"/>
              </xdr:cNvSpPr>
            </xdr:nvSpPr>
            <xdr:spPr bwMode="auto">
              <a:xfrm>
                <a:off x="3623300" y="3318194"/>
                <a:ext cx="46571" cy="46570"/>
              </a:xfrm>
              <a:prstGeom prst="ellipse">
                <a:avLst/>
              </a:prstGeom>
              <a:solidFill>
                <a:srgbClr val="FFFFFF"/>
              </a:solidFill>
              <a:ln w="9525">
                <a:solidFill>
                  <a:srgbClr val="000000"/>
                </a:solidFill>
                <a:round/>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764" name="AutoShape 1050"/>
              <xdr:cNvCxnSpPr>
                <a:cxnSpLocks noChangeShapeType="1"/>
              </xdr:cNvCxnSpPr>
            </xdr:nvCxnSpPr>
            <xdr:spPr bwMode="auto">
              <a:xfrm>
                <a:off x="3015432" y="381808"/>
                <a:ext cx="637281" cy="3501767"/>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765" name="AutoShape 1051"/>
              <xdr:cNvCxnSpPr>
                <a:cxnSpLocks noChangeShapeType="1"/>
              </xdr:cNvCxnSpPr>
            </xdr:nvCxnSpPr>
            <xdr:spPr bwMode="auto">
              <a:xfrm flipV="1">
                <a:off x="3656798" y="313178"/>
                <a:ext cx="628294" cy="3556508"/>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766" name="AutoShape 1052"/>
              <xdr:cNvCxnSpPr>
                <a:cxnSpLocks noChangeShapeType="1"/>
              </xdr:cNvCxnSpPr>
            </xdr:nvCxnSpPr>
            <xdr:spPr bwMode="auto">
              <a:xfrm>
                <a:off x="2641233" y="1146543"/>
                <a:ext cx="478778" cy="0"/>
              </a:xfrm>
              <a:prstGeom prst="straightConnector1">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cxnSp>
          <xdr:cxnSp macro="">
            <xdr:nvCxnSpPr>
              <xdr:cNvPr id="767" name="AutoShape 1053"/>
              <xdr:cNvCxnSpPr>
                <a:cxnSpLocks noChangeShapeType="1"/>
              </xdr:cNvCxnSpPr>
            </xdr:nvCxnSpPr>
            <xdr:spPr bwMode="auto">
              <a:xfrm>
                <a:off x="3055466" y="1146543"/>
                <a:ext cx="0" cy="709994"/>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768" name="Text Box 1054"/>
              <xdr:cNvSpPr txBox="1">
                <a:spLocks noChangeArrowheads="1"/>
              </xdr:cNvSpPr>
            </xdr:nvSpPr>
            <xdr:spPr bwMode="auto">
              <a:xfrm>
                <a:off x="3091824" y="1363969"/>
                <a:ext cx="302300" cy="18995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2 m</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769" name="AutoShape 1055"/>
              <xdr:cNvCxnSpPr>
                <a:cxnSpLocks noChangeShapeType="1"/>
              </xdr:cNvCxnSpPr>
            </xdr:nvCxnSpPr>
            <xdr:spPr bwMode="auto">
              <a:xfrm>
                <a:off x="2641233" y="3923609"/>
                <a:ext cx="998407" cy="817"/>
              </a:xfrm>
              <a:prstGeom prst="straightConnector1">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cxnSp>
          <xdr:cxnSp macro="">
            <xdr:nvCxnSpPr>
              <xdr:cNvPr id="770" name="AutoShape 1056"/>
              <xdr:cNvCxnSpPr>
                <a:cxnSpLocks noChangeShapeType="1"/>
              </xdr:cNvCxnSpPr>
            </xdr:nvCxnSpPr>
            <xdr:spPr bwMode="auto">
              <a:xfrm>
                <a:off x="2834051" y="1146543"/>
                <a:ext cx="0" cy="2777066"/>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sp macro="" textlink="">
            <xdr:nvSpPr>
              <xdr:cNvPr id="771" name="Text Box 1057"/>
              <xdr:cNvSpPr txBox="1">
                <a:spLocks noChangeArrowheads="1"/>
              </xdr:cNvSpPr>
            </xdr:nvSpPr>
            <xdr:spPr bwMode="auto">
              <a:xfrm>
                <a:off x="2656757" y="2776916"/>
                <a:ext cx="302300" cy="18995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i</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772" name="Arc 1058"/>
              <xdr:cNvSpPr>
                <a:spLocks/>
              </xdr:cNvSpPr>
            </xdr:nvSpPr>
            <xdr:spPr bwMode="auto">
              <a:xfrm rot="11160000" flipV="1">
                <a:off x="3021151" y="510898"/>
                <a:ext cx="1213286" cy="370929"/>
              </a:xfrm>
              <a:custGeom>
                <a:avLst/>
                <a:gdLst>
                  <a:gd name="G0" fmla="+- 3645 0 0"/>
                  <a:gd name="G1" fmla="+- 21600 0 0"/>
                  <a:gd name="G2" fmla="+- 21600 0 0"/>
                  <a:gd name="T0" fmla="*/ 0 w 19938"/>
                  <a:gd name="T1" fmla="*/ 310 h 21600"/>
                  <a:gd name="T2" fmla="*/ 19938 w 19938"/>
                  <a:gd name="T3" fmla="*/ 7419 h 21600"/>
                  <a:gd name="T4" fmla="*/ 3645 w 19938"/>
                  <a:gd name="T5" fmla="*/ 21600 h 21600"/>
                </a:gdLst>
                <a:ahLst/>
                <a:cxnLst>
                  <a:cxn ang="0">
                    <a:pos x="T0" y="T1"/>
                  </a:cxn>
                  <a:cxn ang="0">
                    <a:pos x="T2" y="T3"/>
                  </a:cxn>
                  <a:cxn ang="0">
                    <a:pos x="T4" y="T5"/>
                  </a:cxn>
                </a:cxnLst>
                <a:rect l="0" t="0" r="r" b="b"/>
                <a:pathLst>
                  <a:path w="19938" h="21600" fill="none" extrusionOk="0">
                    <a:moveTo>
                      <a:pt x="-1" y="309"/>
                    </a:moveTo>
                    <a:cubicBezTo>
                      <a:pt x="1204" y="103"/>
                      <a:pt x="2423" y="0"/>
                      <a:pt x="3645" y="0"/>
                    </a:cubicBezTo>
                    <a:cubicBezTo>
                      <a:pt x="9893" y="0"/>
                      <a:pt x="15835" y="2705"/>
                      <a:pt x="19937" y="7419"/>
                    </a:cubicBezTo>
                  </a:path>
                  <a:path w="19938" h="21600" stroke="0" extrusionOk="0">
                    <a:moveTo>
                      <a:pt x="-1" y="309"/>
                    </a:moveTo>
                    <a:cubicBezTo>
                      <a:pt x="1204" y="103"/>
                      <a:pt x="2423" y="0"/>
                      <a:pt x="3645" y="0"/>
                    </a:cubicBezTo>
                    <a:cubicBezTo>
                      <a:pt x="9893" y="0"/>
                      <a:pt x="15835" y="2705"/>
                      <a:pt x="19937" y="7419"/>
                    </a:cubicBezTo>
                    <a:lnTo>
                      <a:pt x="3645" y="21600"/>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773" name="Text Box 1061"/>
              <xdr:cNvSpPr txBox="1">
                <a:spLocks noChangeArrowheads="1"/>
              </xdr:cNvSpPr>
            </xdr:nvSpPr>
            <xdr:spPr bwMode="auto">
              <a:xfrm>
                <a:off x="3571418" y="301127"/>
                <a:ext cx="241023" cy="18995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Ω</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774" name="AutoShape 1064"/>
              <xdr:cNvCxnSpPr>
                <a:cxnSpLocks noChangeShapeType="1"/>
              </xdr:cNvCxnSpPr>
            </xdr:nvCxnSpPr>
            <xdr:spPr bwMode="auto">
              <a:xfrm>
                <a:off x="4076750" y="553383"/>
                <a:ext cx="161771" cy="23694"/>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775" name="AutoShape 1065"/>
              <xdr:cNvCxnSpPr>
                <a:cxnSpLocks noChangeShapeType="1"/>
              </xdr:cNvCxnSpPr>
            </xdr:nvCxnSpPr>
            <xdr:spPr bwMode="auto">
              <a:xfrm flipH="1">
                <a:off x="3032589" y="548481"/>
                <a:ext cx="122554" cy="22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776" name="AutoShape 1066"/>
              <xdr:cNvCxnSpPr>
                <a:cxnSpLocks noChangeShapeType="1"/>
                <a:stCxn id="763" idx="4"/>
              </xdr:cNvCxnSpPr>
            </xdr:nvCxnSpPr>
            <xdr:spPr bwMode="auto">
              <a:xfrm flipV="1">
                <a:off x="3646586" y="1146544"/>
                <a:ext cx="230810" cy="2218220"/>
              </a:xfrm>
              <a:prstGeom prst="straightConnector1">
                <a:avLst/>
              </a:prstGeom>
              <a:noFill/>
              <a:ln w="254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77" name="AutoShape 1068"/>
              <xdr:cNvCxnSpPr>
                <a:cxnSpLocks noChangeShapeType="1"/>
              </xdr:cNvCxnSpPr>
            </xdr:nvCxnSpPr>
            <xdr:spPr bwMode="auto">
              <a:xfrm>
                <a:off x="3877395" y="1146543"/>
                <a:ext cx="4243640" cy="1803173"/>
              </a:xfrm>
              <a:prstGeom prst="straightConnector1">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778" name="AutoShape 1069"/>
              <xdr:cNvCxnSpPr>
                <a:cxnSpLocks noChangeShapeType="1"/>
              </xdr:cNvCxnSpPr>
            </xdr:nvCxnSpPr>
            <xdr:spPr bwMode="auto">
              <a:xfrm>
                <a:off x="3649164" y="4900771"/>
                <a:ext cx="817" cy="455083"/>
              </a:xfrm>
              <a:prstGeom prst="straightConnector1">
                <a:avLst/>
              </a:prstGeom>
              <a:noFill/>
              <a:ln w="254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79" name="AutoShape 1070"/>
              <xdr:cNvCxnSpPr>
                <a:cxnSpLocks noChangeShapeType="1"/>
              </xdr:cNvCxnSpPr>
            </xdr:nvCxnSpPr>
            <xdr:spPr bwMode="auto">
              <a:xfrm>
                <a:off x="3648137" y="5122184"/>
                <a:ext cx="3852000" cy="0"/>
              </a:xfrm>
              <a:prstGeom prst="straightConnector1">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780" name="AutoShape 1078"/>
              <xdr:cNvCxnSpPr>
                <a:cxnSpLocks noChangeShapeType="1"/>
              </xdr:cNvCxnSpPr>
            </xdr:nvCxnSpPr>
            <xdr:spPr bwMode="auto">
              <a:xfrm flipH="1" flipV="1">
                <a:off x="3050564" y="3335352"/>
                <a:ext cx="3556520" cy="628292"/>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781" name="AutoShape 1079"/>
              <xdr:cNvCxnSpPr>
                <a:cxnSpLocks noChangeShapeType="1"/>
              </xdr:cNvCxnSpPr>
            </xdr:nvCxnSpPr>
            <xdr:spPr bwMode="auto">
              <a:xfrm flipV="1">
                <a:off x="3050564" y="2693171"/>
                <a:ext cx="3501779" cy="637279"/>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782" name="Text Box 1082"/>
              <xdr:cNvSpPr txBox="1">
                <a:spLocks noChangeArrowheads="1"/>
              </xdr:cNvSpPr>
            </xdr:nvSpPr>
            <xdr:spPr bwMode="auto">
              <a:xfrm>
                <a:off x="4588823" y="5182337"/>
                <a:ext cx="144000" cy="19506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s</a:t>
                </a: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 </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783" name="AutoShape 1087"/>
              <xdr:cNvCxnSpPr>
                <a:cxnSpLocks noChangeShapeType="1"/>
              </xdr:cNvCxnSpPr>
            </xdr:nvCxnSpPr>
            <xdr:spPr bwMode="auto">
              <a:xfrm>
                <a:off x="3053015" y="5502101"/>
                <a:ext cx="4462603" cy="11438"/>
              </a:xfrm>
              <a:prstGeom prst="straightConnector1">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784" name="AutoShape 1089"/>
              <xdr:cNvCxnSpPr>
                <a:cxnSpLocks noChangeShapeType="1"/>
              </xdr:cNvCxnSpPr>
            </xdr:nvCxnSpPr>
            <xdr:spPr bwMode="auto">
              <a:xfrm>
                <a:off x="1187741" y="4459577"/>
                <a:ext cx="571102" cy="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85" name="AutoShape 1091"/>
              <xdr:cNvCxnSpPr>
                <a:cxnSpLocks noChangeShapeType="1"/>
              </xdr:cNvCxnSpPr>
            </xdr:nvCxnSpPr>
            <xdr:spPr bwMode="auto">
              <a:xfrm>
                <a:off x="1758027" y="1856537"/>
                <a:ext cx="3549984" cy="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86" name="AutoShape 1103"/>
              <xdr:cNvCxnSpPr>
                <a:cxnSpLocks noChangeShapeType="1"/>
              </xdr:cNvCxnSpPr>
            </xdr:nvCxnSpPr>
            <xdr:spPr bwMode="auto">
              <a:xfrm>
                <a:off x="1187741" y="4782302"/>
                <a:ext cx="6281306" cy="817"/>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787" name="AutoShape 1114"/>
              <xdr:cNvCxnSpPr>
                <a:cxnSpLocks noChangeShapeType="1"/>
              </xdr:cNvCxnSpPr>
            </xdr:nvCxnSpPr>
            <xdr:spPr bwMode="auto">
              <a:xfrm>
                <a:off x="3877395" y="1145726"/>
                <a:ext cx="4243640" cy="1803173"/>
              </a:xfrm>
              <a:prstGeom prst="straightConnector1">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788" name="AutoShape 1140"/>
              <xdr:cNvCxnSpPr>
                <a:cxnSpLocks noChangeShapeType="1"/>
              </xdr:cNvCxnSpPr>
            </xdr:nvCxnSpPr>
            <xdr:spPr bwMode="auto">
              <a:xfrm>
                <a:off x="2641227" y="1147360"/>
                <a:ext cx="1620000" cy="0"/>
              </a:xfrm>
              <a:prstGeom prst="straightConnector1">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cxnSp>
          <xdr:cxnSp macro="">
            <xdr:nvCxnSpPr>
              <xdr:cNvPr id="789" name="AutoShape 1141"/>
              <xdr:cNvCxnSpPr>
                <a:cxnSpLocks noChangeShapeType="1"/>
              </xdr:cNvCxnSpPr>
            </xdr:nvCxnSpPr>
            <xdr:spPr bwMode="auto">
              <a:xfrm>
                <a:off x="3055466" y="1147360"/>
                <a:ext cx="0" cy="709994"/>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cxnSp macro="">
            <xdr:nvCxnSpPr>
              <xdr:cNvPr id="790" name="AutoShape 1142"/>
              <xdr:cNvCxnSpPr>
                <a:cxnSpLocks noChangeShapeType="1"/>
              </xdr:cNvCxnSpPr>
            </xdr:nvCxnSpPr>
            <xdr:spPr bwMode="auto">
              <a:xfrm>
                <a:off x="2641233" y="3924426"/>
                <a:ext cx="998407" cy="817"/>
              </a:xfrm>
              <a:prstGeom prst="straightConnector1">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cxnSp>
          <xdr:cxnSp macro="">
            <xdr:nvCxnSpPr>
              <xdr:cNvPr id="791" name="AutoShape 1143"/>
              <xdr:cNvCxnSpPr>
                <a:cxnSpLocks noChangeShapeType="1"/>
              </xdr:cNvCxnSpPr>
            </xdr:nvCxnSpPr>
            <xdr:spPr bwMode="auto">
              <a:xfrm>
                <a:off x="2834051" y="1147360"/>
                <a:ext cx="0" cy="2777066"/>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cxnSp macro="">
            <xdr:nvCxnSpPr>
              <xdr:cNvPr id="792" name="AutoShape 1086"/>
              <xdr:cNvCxnSpPr>
                <a:cxnSpLocks noChangeShapeType="1"/>
              </xdr:cNvCxnSpPr>
            </xdr:nvCxnSpPr>
            <xdr:spPr bwMode="auto">
              <a:xfrm>
                <a:off x="3044481" y="3334440"/>
                <a:ext cx="0" cy="2376000"/>
              </a:xfrm>
              <a:prstGeom prst="straightConnector1">
                <a:avLst/>
              </a:prstGeom>
              <a:noFill/>
              <a:ln w="25400">
                <a:solidFill>
                  <a:srgbClr val="000000"/>
                </a:solidFill>
                <a:round/>
                <a:headEnd/>
                <a:tailEnd/>
              </a:ln>
              <a:extLst>
                <a:ext uri="{909E8E84-426E-40DD-AFC4-6F175D3DCCD1}">
                  <a14:hiddenFill xmlns:a14="http://schemas.microsoft.com/office/drawing/2010/main">
                    <a:noFill/>
                  </a14:hiddenFill>
                </a:ext>
              </a:extLst>
            </xdr:spPr>
          </xdr:cxnSp>
        </xdr:grpSp>
        <xdr:sp macro="" textlink="">
          <xdr:nvSpPr>
            <xdr:cNvPr id="748" name="Vrije vorm 747"/>
            <xdr:cNvSpPr/>
          </xdr:nvSpPr>
          <xdr:spPr>
            <a:xfrm>
              <a:off x="2394490" y="2181439"/>
              <a:ext cx="2344363" cy="236150"/>
            </a:xfrm>
            <a:custGeom>
              <a:avLst/>
              <a:gdLst>
                <a:gd name="connsiteX0" fmla="*/ 0 w 2326482"/>
                <a:gd name="connsiteY0" fmla="*/ 126207 h 300038"/>
                <a:gd name="connsiteX1" fmla="*/ 0 w 2326482"/>
                <a:gd name="connsiteY1" fmla="*/ 126207 h 300038"/>
                <a:gd name="connsiteX2" fmla="*/ 40482 w 2326482"/>
                <a:gd name="connsiteY2" fmla="*/ 128588 h 300038"/>
                <a:gd name="connsiteX3" fmla="*/ 54769 w 2326482"/>
                <a:gd name="connsiteY3" fmla="*/ 130969 h 300038"/>
                <a:gd name="connsiteX4" fmla="*/ 83344 w 2326482"/>
                <a:gd name="connsiteY4" fmla="*/ 133350 h 300038"/>
                <a:gd name="connsiteX5" fmla="*/ 95250 w 2326482"/>
                <a:gd name="connsiteY5" fmla="*/ 135732 h 300038"/>
                <a:gd name="connsiteX6" fmla="*/ 135732 w 2326482"/>
                <a:gd name="connsiteY6" fmla="*/ 138113 h 300038"/>
                <a:gd name="connsiteX7" fmla="*/ 666750 w 2326482"/>
                <a:gd name="connsiteY7" fmla="*/ 128588 h 300038"/>
                <a:gd name="connsiteX8" fmla="*/ 676275 w 2326482"/>
                <a:gd name="connsiteY8" fmla="*/ 295275 h 300038"/>
                <a:gd name="connsiteX9" fmla="*/ 1804988 w 2326482"/>
                <a:gd name="connsiteY9" fmla="*/ 300038 h 300038"/>
                <a:gd name="connsiteX10" fmla="*/ 1800225 w 2326482"/>
                <a:gd name="connsiteY10" fmla="*/ 111919 h 300038"/>
                <a:gd name="connsiteX11" fmla="*/ 2319338 w 2326482"/>
                <a:gd name="connsiteY11" fmla="*/ 119063 h 300038"/>
                <a:gd name="connsiteX12" fmla="*/ 2326482 w 2326482"/>
                <a:gd name="connsiteY12" fmla="*/ 116682 h 300038"/>
                <a:gd name="connsiteX13" fmla="*/ 2326482 w 2326482"/>
                <a:gd name="connsiteY13" fmla="*/ 111919 h 300038"/>
                <a:gd name="connsiteX14" fmla="*/ 2240757 w 2326482"/>
                <a:gd name="connsiteY14" fmla="*/ 0 h 300038"/>
                <a:gd name="connsiteX15" fmla="*/ 2290763 w 2326482"/>
                <a:gd name="connsiteY15" fmla="*/ 19050 h 300038"/>
                <a:gd name="connsiteX16" fmla="*/ 2276475 w 2326482"/>
                <a:gd name="connsiteY16" fmla="*/ 26194 h 300038"/>
                <a:gd name="connsiteX0" fmla="*/ 0 w 2326482"/>
                <a:gd name="connsiteY0" fmla="*/ 126207 h 300038"/>
                <a:gd name="connsiteX1" fmla="*/ 0 w 2326482"/>
                <a:gd name="connsiteY1" fmla="*/ 126207 h 300038"/>
                <a:gd name="connsiteX2" fmla="*/ 40482 w 2326482"/>
                <a:gd name="connsiteY2" fmla="*/ 128588 h 300038"/>
                <a:gd name="connsiteX3" fmla="*/ 54769 w 2326482"/>
                <a:gd name="connsiteY3" fmla="*/ 130969 h 300038"/>
                <a:gd name="connsiteX4" fmla="*/ 83344 w 2326482"/>
                <a:gd name="connsiteY4" fmla="*/ 133350 h 300038"/>
                <a:gd name="connsiteX5" fmla="*/ 95250 w 2326482"/>
                <a:gd name="connsiteY5" fmla="*/ 135732 h 300038"/>
                <a:gd name="connsiteX6" fmla="*/ 135732 w 2326482"/>
                <a:gd name="connsiteY6" fmla="*/ 138113 h 300038"/>
                <a:gd name="connsiteX7" fmla="*/ 666750 w 2326482"/>
                <a:gd name="connsiteY7" fmla="*/ 128588 h 300038"/>
                <a:gd name="connsiteX8" fmla="*/ 676275 w 2326482"/>
                <a:gd name="connsiteY8" fmla="*/ 295275 h 300038"/>
                <a:gd name="connsiteX9" fmla="*/ 1804988 w 2326482"/>
                <a:gd name="connsiteY9" fmla="*/ 300038 h 300038"/>
                <a:gd name="connsiteX10" fmla="*/ 1800225 w 2326482"/>
                <a:gd name="connsiteY10" fmla="*/ 111919 h 300038"/>
                <a:gd name="connsiteX11" fmla="*/ 2319338 w 2326482"/>
                <a:gd name="connsiteY11" fmla="*/ 119063 h 300038"/>
                <a:gd name="connsiteX12" fmla="*/ 2326482 w 2326482"/>
                <a:gd name="connsiteY12" fmla="*/ 116682 h 300038"/>
                <a:gd name="connsiteX13" fmla="*/ 2326482 w 2326482"/>
                <a:gd name="connsiteY13" fmla="*/ 111919 h 300038"/>
                <a:gd name="connsiteX14" fmla="*/ 2240757 w 2326482"/>
                <a:gd name="connsiteY14" fmla="*/ 0 h 300038"/>
                <a:gd name="connsiteX15" fmla="*/ 2290763 w 2326482"/>
                <a:gd name="connsiteY15" fmla="*/ 19050 h 300038"/>
                <a:gd name="connsiteX16" fmla="*/ 2276475 w 2326482"/>
                <a:gd name="connsiteY16" fmla="*/ 26194 h 300038"/>
                <a:gd name="connsiteX0" fmla="*/ 0 w 2326482"/>
                <a:gd name="connsiteY0" fmla="*/ 126207 h 300038"/>
                <a:gd name="connsiteX1" fmla="*/ 0 w 2326482"/>
                <a:gd name="connsiteY1" fmla="*/ 126207 h 300038"/>
                <a:gd name="connsiteX2" fmla="*/ 40482 w 2326482"/>
                <a:gd name="connsiteY2" fmla="*/ 128588 h 300038"/>
                <a:gd name="connsiteX3" fmla="*/ 54769 w 2326482"/>
                <a:gd name="connsiteY3" fmla="*/ 130969 h 300038"/>
                <a:gd name="connsiteX4" fmla="*/ 83344 w 2326482"/>
                <a:gd name="connsiteY4" fmla="*/ 133350 h 300038"/>
                <a:gd name="connsiteX5" fmla="*/ 95250 w 2326482"/>
                <a:gd name="connsiteY5" fmla="*/ 135732 h 300038"/>
                <a:gd name="connsiteX6" fmla="*/ 135732 w 2326482"/>
                <a:gd name="connsiteY6" fmla="*/ 138113 h 300038"/>
                <a:gd name="connsiteX7" fmla="*/ 666750 w 2326482"/>
                <a:gd name="connsiteY7" fmla="*/ 128588 h 300038"/>
                <a:gd name="connsiteX8" fmla="*/ 676275 w 2326482"/>
                <a:gd name="connsiteY8" fmla="*/ 295275 h 300038"/>
                <a:gd name="connsiteX9" fmla="*/ 1804988 w 2326482"/>
                <a:gd name="connsiteY9" fmla="*/ 300038 h 300038"/>
                <a:gd name="connsiteX10" fmla="*/ 1800225 w 2326482"/>
                <a:gd name="connsiteY10" fmla="*/ 111919 h 300038"/>
                <a:gd name="connsiteX11" fmla="*/ 2319338 w 2326482"/>
                <a:gd name="connsiteY11" fmla="*/ 119063 h 300038"/>
                <a:gd name="connsiteX12" fmla="*/ 2326482 w 2326482"/>
                <a:gd name="connsiteY12" fmla="*/ 116682 h 300038"/>
                <a:gd name="connsiteX13" fmla="*/ 2326482 w 2326482"/>
                <a:gd name="connsiteY13" fmla="*/ 111919 h 300038"/>
                <a:gd name="connsiteX14" fmla="*/ 2240757 w 2326482"/>
                <a:gd name="connsiteY14" fmla="*/ 0 h 300038"/>
                <a:gd name="connsiteX15" fmla="*/ 2276475 w 2326482"/>
                <a:gd name="connsiteY15" fmla="*/ 26194 h 300038"/>
                <a:gd name="connsiteX0" fmla="*/ 0 w 2326482"/>
                <a:gd name="connsiteY0" fmla="*/ 126207 h 300038"/>
                <a:gd name="connsiteX1" fmla="*/ 0 w 2326482"/>
                <a:gd name="connsiteY1" fmla="*/ 126207 h 300038"/>
                <a:gd name="connsiteX2" fmla="*/ 40482 w 2326482"/>
                <a:gd name="connsiteY2" fmla="*/ 128588 h 300038"/>
                <a:gd name="connsiteX3" fmla="*/ 54769 w 2326482"/>
                <a:gd name="connsiteY3" fmla="*/ 130969 h 300038"/>
                <a:gd name="connsiteX4" fmla="*/ 83344 w 2326482"/>
                <a:gd name="connsiteY4" fmla="*/ 133350 h 300038"/>
                <a:gd name="connsiteX5" fmla="*/ 95250 w 2326482"/>
                <a:gd name="connsiteY5" fmla="*/ 135732 h 300038"/>
                <a:gd name="connsiteX6" fmla="*/ 135732 w 2326482"/>
                <a:gd name="connsiteY6" fmla="*/ 138113 h 300038"/>
                <a:gd name="connsiteX7" fmla="*/ 666750 w 2326482"/>
                <a:gd name="connsiteY7" fmla="*/ 128588 h 300038"/>
                <a:gd name="connsiteX8" fmla="*/ 676275 w 2326482"/>
                <a:gd name="connsiteY8" fmla="*/ 295275 h 300038"/>
                <a:gd name="connsiteX9" fmla="*/ 1804988 w 2326482"/>
                <a:gd name="connsiteY9" fmla="*/ 300038 h 300038"/>
                <a:gd name="connsiteX10" fmla="*/ 1800225 w 2326482"/>
                <a:gd name="connsiteY10" fmla="*/ 111919 h 300038"/>
                <a:gd name="connsiteX11" fmla="*/ 2319338 w 2326482"/>
                <a:gd name="connsiteY11" fmla="*/ 119063 h 300038"/>
                <a:gd name="connsiteX12" fmla="*/ 2326482 w 2326482"/>
                <a:gd name="connsiteY12" fmla="*/ 116682 h 300038"/>
                <a:gd name="connsiteX13" fmla="*/ 2326482 w 2326482"/>
                <a:gd name="connsiteY13" fmla="*/ 111919 h 300038"/>
                <a:gd name="connsiteX14" fmla="*/ 2240757 w 2326482"/>
                <a:gd name="connsiteY14" fmla="*/ 0 h 300038"/>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2319338 w 2326482"/>
                <a:gd name="connsiteY11" fmla="*/ 7144 h 188119"/>
                <a:gd name="connsiteX12" fmla="*/ 2326482 w 2326482"/>
                <a:gd name="connsiteY12" fmla="*/ 4763 h 188119"/>
                <a:gd name="connsiteX13" fmla="*/ 2326482 w 2326482"/>
                <a:gd name="connsiteY13"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1888332 w 2326482"/>
                <a:gd name="connsiteY11" fmla="*/ 0 h 188119"/>
                <a:gd name="connsiteX12" fmla="*/ 2319338 w 2326482"/>
                <a:gd name="connsiteY12" fmla="*/ 7144 h 188119"/>
                <a:gd name="connsiteX13" fmla="*/ 2326482 w 2326482"/>
                <a:gd name="connsiteY13" fmla="*/ 4763 h 188119"/>
                <a:gd name="connsiteX14" fmla="*/ 2326482 w 2326482"/>
                <a:gd name="connsiteY14"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1888332 w 2326482"/>
                <a:gd name="connsiteY11" fmla="*/ 0 h 188119"/>
                <a:gd name="connsiteX12" fmla="*/ 2147888 w 2326482"/>
                <a:gd name="connsiteY12" fmla="*/ 2488 h 188119"/>
                <a:gd name="connsiteX13" fmla="*/ 2319338 w 2326482"/>
                <a:gd name="connsiteY13" fmla="*/ 7144 h 188119"/>
                <a:gd name="connsiteX14" fmla="*/ 2326482 w 2326482"/>
                <a:gd name="connsiteY14" fmla="*/ 4763 h 188119"/>
                <a:gd name="connsiteX15" fmla="*/ 2326482 w 2326482"/>
                <a:gd name="connsiteY15"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2147888 w 2326482"/>
                <a:gd name="connsiteY11" fmla="*/ 2488 h 188119"/>
                <a:gd name="connsiteX12" fmla="*/ 2319338 w 2326482"/>
                <a:gd name="connsiteY12" fmla="*/ 7144 h 188119"/>
                <a:gd name="connsiteX13" fmla="*/ 2326482 w 2326482"/>
                <a:gd name="connsiteY13" fmla="*/ 4763 h 188119"/>
                <a:gd name="connsiteX14" fmla="*/ 2326482 w 2326482"/>
                <a:gd name="connsiteY14"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2147888 w 2326482"/>
                <a:gd name="connsiteY11" fmla="*/ 2488 h 188119"/>
                <a:gd name="connsiteX12" fmla="*/ 2319338 w 2326482"/>
                <a:gd name="connsiteY12" fmla="*/ 7144 h 188119"/>
                <a:gd name="connsiteX13" fmla="*/ 2326482 w 2326482"/>
                <a:gd name="connsiteY13" fmla="*/ 4763 h 188119"/>
                <a:gd name="connsiteX14" fmla="*/ 2326482 w 2326482"/>
                <a:gd name="connsiteY14"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2319338 w 2326482"/>
                <a:gd name="connsiteY11" fmla="*/ 7144 h 188119"/>
                <a:gd name="connsiteX12" fmla="*/ 2326482 w 2326482"/>
                <a:gd name="connsiteY12" fmla="*/ 4763 h 188119"/>
                <a:gd name="connsiteX13" fmla="*/ 2326482 w 2326482"/>
                <a:gd name="connsiteY13"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2319338 w 2326482"/>
                <a:gd name="connsiteY11" fmla="*/ 7144 h 188119"/>
                <a:gd name="connsiteX12" fmla="*/ 2326482 w 2326482"/>
                <a:gd name="connsiteY12" fmla="*/ 4763 h 188119"/>
                <a:gd name="connsiteX0" fmla="*/ 0 w 2326482"/>
                <a:gd name="connsiteY0" fmla="*/ 9525 h 183356"/>
                <a:gd name="connsiteX1" fmla="*/ 0 w 2326482"/>
                <a:gd name="connsiteY1" fmla="*/ 9525 h 183356"/>
                <a:gd name="connsiteX2" fmla="*/ 40482 w 2326482"/>
                <a:gd name="connsiteY2" fmla="*/ 11906 h 183356"/>
                <a:gd name="connsiteX3" fmla="*/ 54769 w 2326482"/>
                <a:gd name="connsiteY3" fmla="*/ 14287 h 183356"/>
                <a:gd name="connsiteX4" fmla="*/ 83344 w 2326482"/>
                <a:gd name="connsiteY4" fmla="*/ 16668 h 183356"/>
                <a:gd name="connsiteX5" fmla="*/ 95250 w 2326482"/>
                <a:gd name="connsiteY5" fmla="*/ 19050 h 183356"/>
                <a:gd name="connsiteX6" fmla="*/ 135732 w 2326482"/>
                <a:gd name="connsiteY6" fmla="*/ 21431 h 183356"/>
                <a:gd name="connsiteX7" fmla="*/ 666750 w 2326482"/>
                <a:gd name="connsiteY7" fmla="*/ 11906 h 183356"/>
                <a:gd name="connsiteX8" fmla="*/ 676275 w 2326482"/>
                <a:gd name="connsiteY8" fmla="*/ 178593 h 183356"/>
                <a:gd name="connsiteX9" fmla="*/ 1804988 w 2326482"/>
                <a:gd name="connsiteY9" fmla="*/ 183356 h 183356"/>
                <a:gd name="connsiteX10" fmla="*/ 1800225 w 2326482"/>
                <a:gd name="connsiteY10" fmla="*/ 7680 h 183356"/>
                <a:gd name="connsiteX11" fmla="*/ 2319338 w 2326482"/>
                <a:gd name="connsiteY11" fmla="*/ 2381 h 183356"/>
                <a:gd name="connsiteX12" fmla="*/ 2326482 w 2326482"/>
                <a:gd name="connsiteY12" fmla="*/ 0 h 183356"/>
                <a:gd name="connsiteX0" fmla="*/ 0 w 2319338"/>
                <a:gd name="connsiteY0" fmla="*/ 7144 h 180975"/>
                <a:gd name="connsiteX1" fmla="*/ 0 w 2319338"/>
                <a:gd name="connsiteY1" fmla="*/ 7144 h 180975"/>
                <a:gd name="connsiteX2" fmla="*/ 40482 w 2319338"/>
                <a:gd name="connsiteY2" fmla="*/ 9525 h 180975"/>
                <a:gd name="connsiteX3" fmla="*/ 54769 w 2319338"/>
                <a:gd name="connsiteY3" fmla="*/ 11906 h 180975"/>
                <a:gd name="connsiteX4" fmla="*/ 83344 w 2319338"/>
                <a:gd name="connsiteY4" fmla="*/ 14287 h 180975"/>
                <a:gd name="connsiteX5" fmla="*/ 95250 w 2319338"/>
                <a:gd name="connsiteY5" fmla="*/ 16669 h 180975"/>
                <a:gd name="connsiteX6" fmla="*/ 135732 w 2319338"/>
                <a:gd name="connsiteY6" fmla="*/ 19050 h 180975"/>
                <a:gd name="connsiteX7" fmla="*/ 666750 w 2319338"/>
                <a:gd name="connsiteY7" fmla="*/ 9525 h 180975"/>
                <a:gd name="connsiteX8" fmla="*/ 676275 w 2319338"/>
                <a:gd name="connsiteY8" fmla="*/ 176212 h 180975"/>
                <a:gd name="connsiteX9" fmla="*/ 1804988 w 2319338"/>
                <a:gd name="connsiteY9" fmla="*/ 180975 h 180975"/>
                <a:gd name="connsiteX10" fmla="*/ 1800225 w 2319338"/>
                <a:gd name="connsiteY10" fmla="*/ 5299 h 180975"/>
                <a:gd name="connsiteX11" fmla="*/ 2319338 w 2319338"/>
                <a:gd name="connsiteY11" fmla="*/ 0 h 180975"/>
                <a:gd name="connsiteX0" fmla="*/ 0 w 2319338"/>
                <a:gd name="connsiteY0" fmla="*/ 7144 h 180975"/>
                <a:gd name="connsiteX1" fmla="*/ 0 w 2319338"/>
                <a:gd name="connsiteY1" fmla="*/ 7144 h 180975"/>
                <a:gd name="connsiteX2" fmla="*/ 40482 w 2319338"/>
                <a:gd name="connsiteY2" fmla="*/ 9525 h 180975"/>
                <a:gd name="connsiteX3" fmla="*/ 54769 w 2319338"/>
                <a:gd name="connsiteY3" fmla="*/ 11906 h 180975"/>
                <a:gd name="connsiteX4" fmla="*/ 83344 w 2319338"/>
                <a:gd name="connsiteY4" fmla="*/ 14287 h 180975"/>
                <a:gd name="connsiteX5" fmla="*/ 95250 w 2319338"/>
                <a:gd name="connsiteY5" fmla="*/ 16669 h 180975"/>
                <a:gd name="connsiteX6" fmla="*/ 135732 w 2319338"/>
                <a:gd name="connsiteY6" fmla="*/ 19050 h 180975"/>
                <a:gd name="connsiteX7" fmla="*/ 666750 w 2319338"/>
                <a:gd name="connsiteY7" fmla="*/ 9525 h 180975"/>
                <a:gd name="connsiteX8" fmla="*/ 676275 w 2319338"/>
                <a:gd name="connsiteY8" fmla="*/ 176212 h 180975"/>
                <a:gd name="connsiteX9" fmla="*/ 1804988 w 2319338"/>
                <a:gd name="connsiteY9" fmla="*/ 180975 h 180975"/>
                <a:gd name="connsiteX10" fmla="*/ 1800225 w 2319338"/>
                <a:gd name="connsiteY10" fmla="*/ 5299 h 180975"/>
                <a:gd name="connsiteX11" fmla="*/ 2319338 w 2319338"/>
                <a:gd name="connsiteY11" fmla="*/ 0 h 180975"/>
                <a:gd name="connsiteX0" fmla="*/ 0 w 2319338"/>
                <a:gd name="connsiteY0" fmla="*/ 7144 h 180975"/>
                <a:gd name="connsiteX1" fmla="*/ 0 w 2319338"/>
                <a:gd name="connsiteY1" fmla="*/ 7144 h 180975"/>
                <a:gd name="connsiteX2" fmla="*/ 40482 w 2319338"/>
                <a:gd name="connsiteY2" fmla="*/ 9525 h 180975"/>
                <a:gd name="connsiteX3" fmla="*/ 54769 w 2319338"/>
                <a:gd name="connsiteY3" fmla="*/ 11906 h 180975"/>
                <a:gd name="connsiteX4" fmla="*/ 83344 w 2319338"/>
                <a:gd name="connsiteY4" fmla="*/ 14287 h 180975"/>
                <a:gd name="connsiteX5" fmla="*/ 95250 w 2319338"/>
                <a:gd name="connsiteY5" fmla="*/ 16669 h 180975"/>
                <a:gd name="connsiteX6" fmla="*/ 135732 w 2319338"/>
                <a:gd name="connsiteY6" fmla="*/ 19050 h 180975"/>
                <a:gd name="connsiteX7" fmla="*/ 666750 w 2319338"/>
                <a:gd name="connsiteY7" fmla="*/ 9525 h 180975"/>
                <a:gd name="connsiteX8" fmla="*/ 676275 w 2319338"/>
                <a:gd name="connsiteY8" fmla="*/ 176212 h 180975"/>
                <a:gd name="connsiteX9" fmla="*/ 1804988 w 2319338"/>
                <a:gd name="connsiteY9" fmla="*/ 180975 h 180975"/>
                <a:gd name="connsiteX10" fmla="*/ 1800225 w 2319338"/>
                <a:gd name="connsiteY10" fmla="*/ 5299 h 180975"/>
                <a:gd name="connsiteX11" fmla="*/ 2319338 w 2319338"/>
                <a:gd name="connsiteY11" fmla="*/ 0 h 180975"/>
                <a:gd name="connsiteX0" fmla="*/ 0 w 2319338"/>
                <a:gd name="connsiteY0" fmla="*/ 7969 h 181800"/>
                <a:gd name="connsiteX1" fmla="*/ 0 w 2319338"/>
                <a:gd name="connsiteY1" fmla="*/ 7969 h 181800"/>
                <a:gd name="connsiteX2" fmla="*/ 40482 w 2319338"/>
                <a:gd name="connsiteY2" fmla="*/ 10350 h 181800"/>
                <a:gd name="connsiteX3" fmla="*/ 54769 w 2319338"/>
                <a:gd name="connsiteY3" fmla="*/ 12731 h 181800"/>
                <a:gd name="connsiteX4" fmla="*/ 83344 w 2319338"/>
                <a:gd name="connsiteY4" fmla="*/ 15112 h 181800"/>
                <a:gd name="connsiteX5" fmla="*/ 95250 w 2319338"/>
                <a:gd name="connsiteY5" fmla="*/ 17494 h 181800"/>
                <a:gd name="connsiteX6" fmla="*/ 666750 w 2319338"/>
                <a:gd name="connsiteY6" fmla="*/ 10350 h 181800"/>
                <a:gd name="connsiteX7" fmla="*/ 676275 w 2319338"/>
                <a:gd name="connsiteY7" fmla="*/ 177037 h 181800"/>
                <a:gd name="connsiteX8" fmla="*/ 1804988 w 2319338"/>
                <a:gd name="connsiteY8" fmla="*/ 181800 h 181800"/>
                <a:gd name="connsiteX9" fmla="*/ 1800225 w 2319338"/>
                <a:gd name="connsiteY9" fmla="*/ 6124 h 181800"/>
                <a:gd name="connsiteX10" fmla="*/ 2319338 w 2319338"/>
                <a:gd name="connsiteY10" fmla="*/ 825 h 181800"/>
                <a:gd name="connsiteX0" fmla="*/ 0 w 2319338"/>
                <a:gd name="connsiteY0" fmla="*/ 8566 h 182397"/>
                <a:gd name="connsiteX1" fmla="*/ 0 w 2319338"/>
                <a:gd name="connsiteY1" fmla="*/ 8566 h 182397"/>
                <a:gd name="connsiteX2" fmla="*/ 40482 w 2319338"/>
                <a:gd name="connsiteY2" fmla="*/ 10947 h 182397"/>
                <a:gd name="connsiteX3" fmla="*/ 54769 w 2319338"/>
                <a:gd name="connsiteY3" fmla="*/ 13328 h 182397"/>
                <a:gd name="connsiteX4" fmla="*/ 83344 w 2319338"/>
                <a:gd name="connsiteY4" fmla="*/ 15709 h 182397"/>
                <a:gd name="connsiteX5" fmla="*/ 666750 w 2319338"/>
                <a:gd name="connsiteY5" fmla="*/ 10947 h 182397"/>
                <a:gd name="connsiteX6" fmla="*/ 676275 w 2319338"/>
                <a:gd name="connsiteY6" fmla="*/ 177634 h 182397"/>
                <a:gd name="connsiteX7" fmla="*/ 1804988 w 2319338"/>
                <a:gd name="connsiteY7" fmla="*/ 182397 h 182397"/>
                <a:gd name="connsiteX8" fmla="*/ 1800225 w 2319338"/>
                <a:gd name="connsiteY8" fmla="*/ 6721 h 182397"/>
                <a:gd name="connsiteX9" fmla="*/ 2319338 w 2319338"/>
                <a:gd name="connsiteY9" fmla="*/ 1422 h 182397"/>
                <a:gd name="connsiteX0" fmla="*/ 0 w 2319338"/>
                <a:gd name="connsiteY0" fmla="*/ 9201 h 183032"/>
                <a:gd name="connsiteX1" fmla="*/ 0 w 2319338"/>
                <a:gd name="connsiteY1" fmla="*/ 9201 h 183032"/>
                <a:gd name="connsiteX2" fmla="*/ 40482 w 2319338"/>
                <a:gd name="connsiteY2" fmla="*/ 11582 h 183032"/>
                <a:gd name="connsiteX3" fmla="*/ 54769 w 2319338"/>
                <a:gd name="connsiteY3" fmla="*/ 13963 h 183032"/>
                <a:gd name="connsiteX4" fmla="*/ 666750 w 2319338"/>
                <a:gd name="connsiteY4" fmla="*/ 11582 h 183032"/>
                <a:gd name="connsiteX5" fmla="*/ 676275 w 2319338"/>
                <a:gd name="connsiteY5" fmla="*/ 178269 h 183032"/>
                <a:gd name="connsiteX6" fmla="*/ 1804988 w 2319338"/>
                <a:gd name="connsiteY6" fmla="*/ 183032 h 183032"/>
                <a:gd name="connsiteX7" fmla="*/ 1800225 w 2319338"/>
                <a:gd name="connsiteY7" fmla="*/ 7356 h 183032"/>
                <a:gd name="connsiteX8" fmla="*/ 2319338 w 2319338"/>
                <a:gd name="connsiteY8" fmla="*/ 2057 h 183032"/>
                <a:gd name="connsiteX0" fmla="*/ 17918 w 2337256"/>
                <a:gd name="connsiteY0" fmla="*/ 9878 h 183709"/>
                <a:gd name="connsiteX1" fmla="*/ 17918 w 2337256"/>
                <a:gd name="connsiteY1" fmla="*/ 9878 h 183709"/>
                <a:gd name="connsiteX2" fmla="*/ 58400 w 2337256"/>
                <a:gd name="connsiteY2" fmla="*/ 12259 h 183709"/>
                <a:gd name="connsiteX3" fmla="*/ 684668 w 2337256"/>
                <a:gd name="connsiteY3" fmla="*/ 12259 h 183709"/>
                <a:gd name="connsiteX4" fmla="*/ 694193 w 2337256"/>
                <a:gd name="connsiteY4" fmla="*/ 178946 h 183709"/>
                <a:gd name="connsiteX5" fmla="*/ 1822906 w 2337256"/>
                <a:gd name="connsiteY5" fmla="*/ 183709 h 183709"/>
                <a:gd name="connsiteX6" fmla="*/ 1818143 w 2337256"/>
                <a:gd name="connsiteY6" fmla="*/ 8033 h 183709"/>
                <a:gd name="connsiteX7" fmla="*/ 2337256 w 2337256"/>
                <a:gd name="connsiteY7" fmla="*/ 2734 h 183709"/>
                <a:gd name="connsiteX0" fmla="*/ 0 w 2319338"/>
                <a:gd name="connsiteY0" fmla="*/ 10695 h 184526"/>
                <a:gd name="connsiteX1" fmla="*/ 0 w 2319338"/>
                <a:gd name="connsiteY1" fmla="*/ 10695 h 184526"/>
                <a:gd name="connsiteX2" fmla="*/ 666750 w 2319338"/>
                <a:gd name="connsiteY2" fmla="*/ 13076 h 184526"/>
                <a:gd name="connsiteX3" fmla="*/ 676275 w 2319338"/>
                <a:gd name="connsiteY3" fmla="*/ 179763 h 184526"/>
                <a:gd name="connsiteX4" fmla="*/ 1804988 w 2319338"/>
                <a:gd name="connsiteY4" fmla="*/ 184526 h 184526"/>
                <a:gd name="connsiteX5" fmla="*/ 1800225 w 2319338"/>
                <a:gd name="connsiteY5" fmla="*/ 8850 h 184526"/>
                <a:gd name="connsiteX6" fmla="*/ 2319338 w 2319338"/>
                <a:gd name="connsiteY6" fmla="*/ 3551 h 184526"/>
                <a:gd name="connsiteX0" fmla="*/ 0 w 2319338"/>
                <a:gd name="connsiteY0" fmla="*/ 11373 h 185204"/>
                <a:gd name="connsiteX1" fmla="*/ 0 w 2319338"/>
                <a:gd name="connsiteY1" fmla="*/ 11373 h 185204"/>
                <a:gd name="connsiteX2" fmla="*/ 109538 w 2319338"/>
                <a:gd name="connsiteY2" fmla="*/ 9530 h 185204"/>
                <a:gd name="connsiteX3" fmla="*/ 666750 w 2319338"/>
                <a:gd name="connsiteY3" fmla="*/ 13754 h 185204"/>
                <a:gd name="connsiteX4" fmla="*/ 676275 w 2319338"/>
                <a:gd name="connsiteY4" fmla="*/ 180441 h 185204"/>
                <a:gd name="connsiteX5" fmla="*/ 1804988 w 2319338"/>
                <a:gd name="connsiteY5" fmla="*/ 185204 h 185204"/>
                <a:gd name="connsiteX6" fmla="*/ 1800225 w 2319338"/>
                <a:gd name="connsiteY6" fmla="*/ 9528 h 185204"/>
                <a:gd name="connsiteX7" fmla="*/ 2319338 w 2319338"/>
                <a:gd name="connsiteY7" fmla="*/ 4229 h 185204"/>
                <a:gd name="connsiteX0" fmla="*/ 0 w 2319338"/>
                <a:gd name="connsiteY0" fmla="*/ 11373 h 185204"/>
                <a:gd name="connsiteX1" fmla="*/ 0 w 2319338"/>
                <a:gd name="connsiteY1" fmla="*/ 11373 h 185204"/>
                <a:gd name="connsiteX2" fmla="*/ 109538 w 2319338"/>
                <a:gd name="connsiteY2" fmla="*/ 9530 h 185204"/>
                <a:gd name="connsiteX3" fmla="*/ 666750 w 2319338"/>
                <a:gd name="connsiteY3" fmla="*/ 13754 h 185204"/>
                <a:gd name="connsiteX4" fmla="*/ 676275 w 2319338"/>
                <a:gd name="connsiteY4" fmla="*/ 180441 h 185204"/>
                <a:gd name="connsiteX5" fmla="*/ 1804988 w 2319338"/>
                <a:gd name="connsiteY5" fmla="*/ 185204 h 185204"/>
                <a:gd name="connsiteX6" fmla="*/ 1800225 w 2319338"/>
                <a:gd name="connsiteY6" fmla="*/ 9528 h 185204"/>
                <a:gd name="connsiteX7" fmla="*/ 2319338 w 2319338"/>
                <a:gd name="connsiteY7" fmla="*/ 4229 h 185204"/>
                <a:gd name="connsiteX0" fmla="*/ 0 w 2319338"/>
                <a:gd name="connsiteY0" fmla="*/ 17161 h 190992"/>
                <a:gd name="connsiteX1" fmla="*/ 0 w 2319338"/>
                <a:gd name="connsiteY1" fmla="*/ 17161 h 190992"/>
                <a:gd name="connsiteX2" fmla="*/ 109538 w 2319338"/>
                <a:gd name="connsiteY2" fmla="*/ 15318 h 190992"/>
                <a:gd name="connsiteX3" fmla="*/ 497682 w 2319338"/>
                <a:gd name="connsiteY3" fmla="*/ 2875 h 190992"/>
                <a:gd name="connsiteX4" fmla="*/ 666750 w 2319338"/>
                <a:gd name="connsiteY4" fmla="*/ 19542 h 190992"/>
                <a:gd name="connsiteX5" fmla="*/ 676275 w 2319338"/>
                <a:gd name="connsiteY5" fmla="*/ 186229 h 190992"/>
                <a:gd name="connsiteX6" fmla="*/ 1804988 w 2319338"/>
                <a:gd name="connsiteY6" fmla="*/ 190992 h 190992"/>
                <a:gd name="connsiteX7" fmla="*/ 1800225 w 2319338"/>
                <a:gd name="connsiteY7" fmla="*/ 15316 h 190992"/>
                <a:gd name="connsiteX8" fmla="*/ 2319338 w 2319338"/>
                <a:gd name="connsiteY8" fmla="*/ 10017 h 190992"/>
                <a:gd name="connsiteX0" fmla="*/ 0 w 2319338"/>
                <a:gd name="connsiteY0" fmla="*/ 11374 h 185205"/>
                <a:gd name="connsiteX1" fmla="*/ 0 w 2319338"/>
                <a:gd name="connsiteY1" fmla="*/ 11374 h 185205"/>
                <a:gd name="connsiteX2" fmla="*/ 109538 w 2319338"/>
                <a:gd name="connsiteY2" fmla="*/ 9531 h 185205"/>
                <a:gd name="connsiteX3" fmla="*/ 666750 w 2319338"/>
                <a:gd name="connsiteY3" fmla="*/ 13755 h 185205"/>
                <a:gd name="connsiteX4" fmla="*/ 676275 w 2319338"/>
                <a:gd name="connsiteY4" fmla="*/ 180442 h 185205"/>
                <a:gd name="connsiteX5" fmla="*/ 1804988 w 2319338"/>
                <a:gd name="connsiteY5" fmla="*/ 185205 h 185205"/>
                <a:gd name="connsiteX6" fmla="*/ 1800225 w 2319338"/>
                <a:gd name="connsiteY6" fmla="*/ 9529 h 185205"/>
                <a:gd name="connsiteX7" fmla="*/ 2319338 w 2319338"/>
                <a:gd name="connsiteY7" fmla="*/ 4230 h 185205"/>
                <a:gd name="connsiteX0" fmla="*/ 0 w 2319338"/>
                <a:gd name="connsiteY0" fmla="*/ 10696 h 184527"/>
                <a:gd name="connsiteX1" fmla="*/ 0 w 2319338"/>
                <a:gd name="connsiteY1" fmla="*/ 10696 h 184527"/>
                <a:gd name="connsiteX2" fmla="*/ 666750 w 2319338"/>
                <a:gd name="connsiteY2" fmla="*/ 13077 h 184527"/>
                <a:gd name="connsiteX3" fmla="*/ 676275 w 2319338"/>
                <a:gd name="connsiteY3" fmla="*/ 179764 h 184527"/>
                <a:gd name="connsiteX4" fmla="*/ 1804988 w 2319338"/>
                <a:gd name="connsiteY4" fmla="*/ 184527 h 184527"/>
                <a:gd name="connsiteX5" fmla="*/ 1800225 w 2319338"/>
                <a:gd name="connsiteY5" fmla="*/ 8851 h 184527"/>
                <a:gd name="connsiteX6" fmla="*/ 2319338 w 2319338"/>
                <a:gd name="connsiteY6" fmla="*/ 3552 h 184527"/>
                <a:gd name="connsiteX0" fmla="*/ 0 w 2319338"/>
                <a:gd name="connsiteY0" fmla="*/ 10508 h 184339"/>
                <a:gd name="connsiteX1" fmla="*/ 0 w 2319338"/>
                <a:gd name="connsiteY1" fmla="*/ 10508 h 184339"/>
                <a:gd name="connsiteX2" fmla="*/ 666750 w 2319338"/>
                <a:gd name="connsiteY2" fmla="*/ 12889 h 184339"/>
                <a:gd name="connsiteX3" fmla="*/ 676275 w 2319338"/>
                <a:gd name="connsiteY3" fmla="*/ 179576 h 184339"/>
                <a:gd name="connsiteX4" fmla="*/ 1804988 w 2319338"/>
                <a:gd name="connsiteY4" fmla="*/ 184339 h 184339"/>
                <a:gd name="connsiteX5" fmla="*/ 1800225 w 2319338"/>
                <a:gd name="connsiteY5" fmla="*/ 8663 h 184339"/>
                <a:gd name="connsiteX6" fmla="*/ 2319338 w 2319338"/>
                <a:gd name="connsiteY6" fmla="*/ 3364 h 184339"/>
                <a:gd name="connsiteX0" fmla="*/ 0 w 2319338"/>
                <a:gd name="connsiteY0" fmla="*/ 7144 h 180975"/>
                <a:gd name="connsiteX1" fmla="*/ 0 w 2319338"/>
                <a:gd name="connsiteY1" fmla="*/ 7144 h 180975"/>
                <a:gd name="connsiteX2" fmla="*/ 676275 w 2319338"/>
                <a:gd name="connsiteY2" fmla="*/ 176212 h 180975"/>
                <a:gd name="connsiteX3" fmla="*/ 1804988 w 2319338"/>
                <a:gd name="connsiteY3" fmla="*/ 180975 h 180975"/>
                <a:gd name="connsiteX4" fmla="*/ 1800225 w 2319338"/>
                <a:gd name="connsiteY4" fmla="*/ 5299 h 180975"/>
                <a:gd name="connsiteX5" fmla="*/ 2319338 w 2319338"/>
                <a:gd name="connsiteY5" fmla="*/ 0 h 180975"/>
                <a:gd name="connsiteX0" fmla="*/ 0 w 2319338"/>
                <a:gd name="connsiteY0" fmla="*/ 7144 h 180975"/>
                <a:gd name="connsiteX1" fmla="*/ 0 w 2319338"/>
                <a:gd name="connsiteY1" fmla="*/ 7144 h 180975"/>
                <a:gd name="connsiteX2" fmla="*/ 390525 w 2319338"/>
                <a:gd name="connsiteY2" fmla="*/ 122266 h 180975"/>
                <a:gd name="connsiteX3" fmla="*/ 676275 w 2319338"/>
                <a:gd name="connsiteY3" fmla="*/ 176212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0 w 2319338"/>
                <a:gd name="connsiteY1" fmla="*/ 7144 h 180975"/>
                <a:gd name="connsiteX2" fmla="*/ 664369 w 2319338"/>
                <a:gd name="connsiteY2" fmla="*/ 15254 h 180975"/>
                <a:gd name="connsiteX3" fmla="*/ 676275 w 2319338"/>
                <a:gd name="connsiteY3" fmla="*/ 176212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0 w 2319338"/>
                <a:gd name="connsiteY1" fmla="*/ 7144 h 180975"/>
                <a:gd name="connsiteX2" fmla="*/ 664369 w 2319338"/>
                <a:gd name="connsiteY2" fmla="*/ 15254 h 180975"/>
                <a:gd name="connsiteX3" fmla="*/ 676275 w 2319338"/>
                <a:gd name="connsiteY3" fmla="*/ 176212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0 w 2319338"/>
                <a:gd name="connsiteY1" fmla="*/ 7144 h 180975"/>
                <a:gd name="connsiteX2" fmla="*/ 664369 w 2319338"/>
                <a:gd name="connsiteY2" fmla="*/ 15254 h 180975"/>
                <a:gd name="connsiteX3" fmla="*/ 676275 w 2319338"/>
                <a:gd name="connsiteY3" fmla="*/ 176212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0 w 2319338"/>
                <a:gd name="connsiteY1" fmla="*/ 7144 h 180975"/>
                <a:gd name="connsiteX2" fmla="*/ 664369 w 2319338"/>
                <a:gd name="connsiteY2" fmla="*/ 15254 h 180975"/>
                <a:gd name="connsiteX3" fmla="*/ 669131 w 2319338"/>
                <a:gd name="connsiteY3" fmla="*/ 173724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2385 w 2319338"/>
                <a:gd name="connsiteY1" fmla="*/ 16667 h 180975"/>
                <a:gd name="connsiteX2" fmla="*/ 664369 w 2319338"/>
                <a:gd name="connsiteY2" fmla="*/ 15254 h 180975"/>
                <a:gd name="connsiteX3" fmla="*/ 669131 w 2319338"/>
                <a:gd name="connsiteY3" fmla="*/ 173724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664369 w 2319338"/>
                <a:gd name="connsiteY1" fmla="*/ 15254 h 180975"/>
                <a:gd name="connsiteX2" fmla="*/ 669131 w 2319338"/>
                <a:gd name="connsiteY2" fmla="*/ 173724 h 180975"/>
                <a:gd name="connsiteX3" fmla="*/ 1804988 w 2319338"/>
                <a:gd name="connsiteY3" fmla="*/ 180975 h 180975"/>
                <a:gd name="connsiteX4" fmla="*/ 1800225 w 2319338"/>
                <a:gd name="connsiteY4" fmla="*/ 5299 h 180975"/>
                <a:gd name="connsiteX5" fmla="*/ 2319338 w 2319338"/>
                <a:gd name="connsiteY5" fmla="*/ 0 h 180975"/>
                <a:gd name="connsiteX0" fmla="*/ 0 w 2321723"/>
                <a:gd name="connsiteY0" fmla="*/ 14285 h 180975"/>
                <a:gd name="connsiteX1" fmla="*/ 666754 w 2321723"/>
                <a:gd name="connsiteY1" fmla="*/ 15254 h 180975"/>
                <a:gd name="connsiteX2" fmla="*/ 671516 w 2321723"/>
                <a:gd name="connsiteY2" fmla="*/ 173724 h 180975"/>
                <a:gd name="connsiteX3" fmla="*/ 1807373 w 2321723"/>
                <a:gd name="connsiteY3" fmla="*/ 180975 h 180975"/>
                <a:gd name="connsiteX4" fmla="*/ 1802610 w 2321723"/>
                <a:gd name="connsiteY4" fmla="*/ 5299 h 180975"/>
                <a:gd name="connsiteX5" fmla="*/ 2321723 w 2321723"/>
                <a:gd name="connsiteY5" fmla="*/ 0 h 180975"/>
                <a:gd name="connsiteX0" fmla="*/ 0 w 2321723"/>
                <a:gd name="connsiteY0" fmla="*/ 9523 h 176213"/>
                <a:gd name="connsiteX1" fmla="*/ 666754 w 2321723"/>
                <a:gd name="connsiteY1" fmla="*/ 10492 h 176213"/>
                <a:gd name="connsiteX2" fmla="*/ 671516 w 2321723"/>
                <a:gd name="connsiteY2" fmla="*/ 168962 h 176213"/>
                <a:gd name="connsiteX3" fmla="*/ 1807373 w 2321723"/>
                <a:gd name="connsiteY3" fmla="*/ 176213 h 176213"/>
                <a:gd name="connsiteX4" fmla="*/ 1802610 w 2321723"/>
                <a:gd name="connsiteY4" fmla="*/ 537 h 176213"/>
                <a:gd name="connsiteX5" fmla="*/ 2321723 w 2321723"/>
                <a:gd name="connsiteY5" fmla="*/ 0 h 176213"/>
                <a:gd name="connsiteX0" fmla="*/ 0 w 2321723"/>
                <a:gd name="connsiteY0" fmla="*/ 9523 h 176213"/>
                <a:gd name="connsiteX1" fmla="*/ 666754 w 2321723"/>
                <a:gd name="connsiteY1" fmla="*/ 10492 h 176213"/>
                <a:gd name="connsiteX2" fmla="*/ 671516 w 2321723"/>
                <a:gd name="connsiteY2" fmla="*/ 168962 h 176213"/>
                <a:gd name="connsiteX3" fmla="*/ 1807373 w 2321723"/>
                <a:gd name="connsiteY3" fmla="*/ 176213 h 176213"/>
                <a:gd name="connsiteX4" fmla="*/ 1807381 w 2321723"/>
                <a:gd name="connsiteY4" fmla="*/ 537 h 176213"/>
                <a:gd name="connsiteX5" fmla="*/ 2321723 w 2321723"/>
                <a:gd name="connsiteY5" fmla="*/ 0 h 176213"/>
                <a:gd name="connsiteX0" fmla="*/ 0 w 2321723"/>
                <a:gd name="connsiteY0" fmla="*/ 9523 h 176213"/>
                <a:gd name="connsiteX1" fmla="*/ 666754 w 2321723"/>
                <a:gd name="connsiteY1" fmla="*/ 10492 h 176213"/>
                <a:gd name="connsiteX2" fmla="*/ 671516 w 2321723"/>
                <a:gd name="connsiteY2" fmla="*/ 173724 h 176213"/>
                <a:gd name="connsiteX3" fmla="*/ 1807373 w 2321723"/>
                <a:gd name="connsiteY3" fmla="*/ 176213 h 176213"/>
                <a:gd name="connsiteX4" fmla="*/ 1807381 w 2321723"/>
                <a:gd name="connsiteY4" fmla="*/ 537 h 176213"/>
                <a:gd name="connsiteX5" fmla="*/ 2321723 w 2321723"/>
                <a:gd name="connsiteY5" fmla="*/ 0 h 176213"/>
                <a:gd name="connsiteX0" fmla="*/ 0 w 2321723"/>
                <a:gd name="connsiteY0" fmla="*/ 9523 h 176213"/>
                <a:gd name="connsiteX1" fmla="*/ 666754 w 2321723"/>
                <a:gd name="connsiteY1" fmla="*/ 10492 h 176213"/>
                <a:gd name="connsiteX2" fmla="*/ 671516 w 2321723"/>
                <a:gd name="connsiteY2" fmla="*/ 176104 h 176213"/>
                <a:gd name="connsiteX3" fmla="*/ 1807373 w 2321723"/>
                <a:gd name="connsiteY3" fmla="*/ 176213 h 176213"/>
                <a:gd name="connsiteX4" fmla="*/ 1807381 w 2321723"/>
                <a:gd name="connsiteY4" fmla="*/ 537 h 176213"/>
                <a:gd name="connsiteX5" fmla="*/ 2321723 w 2321723"/>
                <a:gd name="connsiteY5" fmla="*/ 0 h 176213"/>
                <a:gd name="connsiteX0" fmla="*/ 0 w 2321723"/>
                <a:gd name="connsiteY0" fmla="*/ 9523 h 176213"/>
                <a:gd name="connsiteX1" fmla="*/ 666754 w 2321723"/>
                <a:gd name="connsiteY1" fmla="*/ 10492 h 176213"/>
                <a:gd name="connsiteX2" fmla="*/ 671516 w 2321723"/>
                <a:gd name="connsiteY2" fmla="*/ 176104 h 176213"/>
                <a:gd name="connsiteX3" fmla="*/ 1807373 w 2321723"/>
                <a:gd name="connsiteY3" fmla="*/ 176213 h 176213"/>
                <a:gd name="connsiteX4" fmla="*/ 1807381 w 2321723"/>
                <a:gd name="connsiteY4" fmla="*/ 5533 h 176213"/>
                <a:gd name="connsiteX5" fmla="*/ 2321723 w 2321723"/>
                <a:gd name="connsiteY5" fmla="*/ 0 h 176213"/>
                <a:gd name="connsiteX0" fmla="*/ 0 w 2324108"/>
                <a:gd name="connsiteY0" fmla="*/ 7858 h 174548"/>
                <a:gd name="connsiteX1" fmla="*/ 666754 w 2324108"/>
                <a:gd name="connsiteY1" fmla="*/ 8827 h 174548"/>
                <a:gd name="connsiteX2" fmla="*/ 671516 w 2324108"/>
                <a:gd name="connsiteY2" fmla="*/ 174439 h 174548"/>
                <a:gd name="connsiteX3" fmla="*/ 1807373 w 2324108"/>
                <a:gd name="connsiteY3" fmla="*/ 174548 h 174548"/>
                <a:gd name="connsiteX4" fmla="*/ 1807381 w 2324108"/>
                <a:gd name="connsiteY4" fmla="*/ 3868 h 174548"/>
                <a:gd name="connsiteX5" fmla="*/ 2324108 w 2324108"/>
                <a:gd name="connsiteY5" fmla="*/ 0 h 174548"/>
                <a:gd name="connsiteX0" fmla="*/ 0 w 2324108"/>
                <a:gd name="connsiteY0" fmla="*/ 6193 h 172883"/>
                <a:gd name="connsiteX1" fmla="*/ 666754 w 2324108"/>
                <a:gd name="connsiteY1" fmla="*/ 7162 h 172883"/>
                <a:gd name="connsiteX2" fmla="*/ 671516 w 2324108"/>
                <a:gd name="connsiteY2" fmla="*/ 172774 h 172883"/>
                <a:gd name="connsiteX3" fmla="*/ 1807373 w 2324108"/>
                <a:gd name="connsiteY3" fmla="*/ 172883 h 172883"/>
                <a:gd name="connsiteX4" fmla="*/ 1807381 w 2324108"/>
                <a:gd name="connsiteY4" fmla="*/ 2203 h 172883"/>
                <a:gd name="connsiteX5" fmla="*/ 2324108 w 2324108"/>
                <a:gd name="connsiteY5" fmla="*/ 0 h 172883"/>
                <a:gd name="connsiteX0" fmla="*/ 0 w 2324108"/>
                <a:gd name="connsiteY0" fmla="*/ 6193 h 172883"/>
                <a:gd name="connsiteX1" fmla="*/ 666754 w 2324108"/>
                <a:gd name="connsiteY1" fmla="*/ 7162 h 172883"/>
                <a:gd name="connsiteX2" fmla="*/ 671516 w 2324108"/>
                <a:gd name="connsiteY2" fmla="*/ 172774 h 172883"/>
                <a:gd name="connsiteX3" fmla="*/ 1807373 w 2324108"/>
                <a:gd name="connsiteY3" fmla="*/ 172883 h 172883"/>
                <a:gd name="connsiteX4" fmla="*/ 1807381 w 2324108"/>
                <a:gd name="connsiteY4" fmla="*/ 4423 h 172883"/>
                <a:gd name="connsiteX5" fmla="*/ 2324108 w 2324108"/>
                <a:gd name="connsiteY5" fmla="*/ 0 h 172883"/>
                <a:gd name="connsiteX0" fmla="*/ 0 w 2320927"/>
                <a:gd name="connsiteY0" fmla="*/ 1770 h 168460"/>
                <a:gd name="connsiteX1" fmla="*/ 666754 w 2320927"/>
                <a:gd name="connsiteY1" fmla="*/ 2739 h 168460"/>
                <a:gd name="connsiteX2" fmla="*/ 671516 w 2320927"/>
                <a:gd name="connsiteY2" fmla="*/ 168351 h 168460"/>
                <a:gd name="connsiteX3" fmla="*/ 1807373 w 2320927"/>
                <a:gd name="connsiteY3" fmla="*/ 168460 h 168460"/>
                <a:gd name="connsiteX4" fmla="*/ 1807381 w 2320927"/>
                <a:gd name="connsiteY4" fmla="*/ 0 h 168460"/>
                <a:gd name="connsiteX5" fmla="*/ 2320927 w 2320927"/>
                <a:gd name="connsiteY5" fmla="*/ 2237 h 168460"/>
                <a:gd name="connsiteX0" fmla="*/ 0 w 2320927"/>
                <a:gd name="connsiteY0" fmla="*/ 0 h 166690"/>
                <a:gd name="connsiteX1" fmla="*/ 666754 w 2320927"/>
                <a:gd name="connsiteY1" fmla="*/ 969 h 166690"/>
                <a:gd name="connsiteX2" fmla="*/ 671516 w 2320927"/>
                <a:gd name="connsiteY2" fmla="*/ 166581 h 166690"/>
                <a:gd name="connsiteX3" fmla="*/ 1807373 w 2320927"/>
                <a:gd name="connsiteY3" fmla="*/ 166690 h 166690"/>
                <a:gd name="connsiteX4" fmla="*/ 1807381 w 2320927"/>
                <a:gd name="connsiteY4" fmla="*/ 1560 h 166690"/>
                <a:gd name="connsiteX5" fmla="*/ 2320927 w 2320927"/>
                <a:gd name="connsiteY5" fmla="*/ 467 h 166690"/>
                <a:gd name="connsiteX0" fmla="*/ 0 w 2320927"/>
                <a:gd name="connsiteY0" fmla="*/ 0 h 166690"/>
                <a:gd name="connsiteX1" fmla="*/ 666754 w 2320927"/>
                <a:gd name="connsiteY1" fmla="*/ 969 h 166690"/>
                <a:gd name="connsiteX2" fmla="*/ 671516 w 2320927"/>
                <a:gd name="connsiteY2" fmla="*/ 166581 h 166690"/>
                <a:gd name="connsiteX3" fmla="*/ 1766816 w 2320927"/>
                <a:gd name="connsiteY3" fmla="*/ 166690 h 166690"/>
                <a:gd name="connsiteX4" fmla="*/ 1807381 w 2320927"/>
                <a:gd name="connsiteY4" fmla="*/ 1560 h 166690"/>
                <a:gd name="connsiteX5" fmla="*/ 2320927 w 2320927"/>
                <a:gd name="connsiteY5" fmla="*/ 467 h 166690"/>
                <a:gd name="connsiteX0" fmla="*/ 0 w 2320927"/>
                <a:gd name="connsiteY0" fmla="*/ 0 h 166690"/>
                <a:gd name="connsiteX1" fmla="*/ 666754 w 2320927"/>
                <a:gd name="connsiteY1" fmla="*/ 969 h 166690"/>
                <a:gd name="connsiteX2" fmla="*/ 671516 w 2320927"/>
                <a:gd name="connsiteY2" fmla="*/ 166581 h 166690"/>
                <a:gd name="connsiteX3" fmla="*/ 1766816 w 2320927"/>
                <a:gd name="connsiteY3" fmla="*/ 166690 h 166690"/>
                <a:gd name="connsiteX4" fmla="*/ 1759667 w 2320927"/>
                <a:gd name="connsiteY4" fmla="*/ 1560 h 166690"/>
                <a:gd name="connsiteX5" fmla="*/ 2320927 w 2320927"/>
                <a:gd name="connsiteY5" fmla="*/ 467 h 166690"/>
                <a:gd name="connsiteX0" fmla="*/ 0 w 2320927"/>
                <a:gd name="connsiteY0" fmla="*/ 0 h 166690"/>
                <a:gd name="connsiteX1" fmla="*/ 666754 w 2320927"/>
                <a:gd name="connsiteY1" fmla="*/ 969 h 166690"/>
                <a:gd name="connsiteX2" fmla="*/ 671516 w 2320927"/>
                <a:gd name="connsiteY2" fmla="*/ 166581 h 166690"/>
                <a:gd name="connsiteX3" fmla="*/ 1766816 w 2320927"/>
                <a:gd name="connsiteY3" fmla="*/ 166690 h 166690"/>
                <a:gd name="connsiteX4" fmla="*/ 1759667 w 2320927"/>
                <a:gd name="connsiteY4" fmla="*/ 1560 h 166690"/>
                <a:gd name="connsiteX5" fmla="*/ 2320927 w 2320927"/>
                <a:gd name="connsiteY5" fmla="*/ 467 h 166690"/>
                <a:gd name="connsiteX0" fmla="*/ 0 w 2320927"/>
                <a:gd name="connsiteY0" fmla="*/ 0 h 166690"/>
                <a:gd name="connsiteX1" fmla="*/ 666754 w 2320927"/>
                <a:gd name="connsiteY1" fmla="*/ 969 h 166690"/>
                <a:gd name="connsiteX2" fmla="*/ 671516 w 2320927"/>
                <a:gd name="connsiteY2" fmla="*/ 166581 h 166690"/>
                <a:gd name="connsiteX3" fmla="*/ 1766816 w 2320927"/>
                <a:gd name="connsiteY3" fmla="*/ 166690 h 166690"/>
                <a:gd name="connsiteX4" fmla="*/ 1759667 w 2320927"/>
                <a:gd name="connsiteY4" fmla="*/ 1560 h 166690"/>
                <a:gd name="connsiteX5" fmla="*/ 2320927 w 2320927"/>
                <a:gd name="connsiteY5" fmla="*/ 467 h 166690"/>
                <a:gd name="connsiteX0" fmla="*/ 0 w 2320927"/>
                <a:gd name="connsiteY0" fmla="*/ 0 h 166690"/>
                <a:gd name="connsiteX1" fmla="*/ 666754 w 2320927"/>
                <a:gd name="connsiteY1" fmla="*/ 969 h 166690"/>
                <a:gd name="connsiteX2" fmla="*/ 671516 w 2320927"/>
                <a:gd name="connsiteY2" fmla="*/ 166581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0 h 166690"/>
                <a:gd name="connsiteX1" fmla="*/ 681069 w 2320927"/>
                <a:gd name="connsiteY1" fmla="*/ 969 h 166690"/>
                <a:gd name="connsiteX2" fmla="*/ 671516 w 2320927"/>
                <a:gd name="connsiteY2" fmla="*/ 166581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0 h 166690"/>
                <a:gd name="connsiteX1" fmla="*/ 681069 w 2320927"/>
                <a:gd name="connsiteY1" fmla="*/ 969 h 166690"/>
                <a:gd name="connsiteX2" fmla="*/ 690602 w 2320927"/>
                <a:gd name="connsiteY2" fmla="*/ 166581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0 h 166690"/>
                <a:gd name="connsiteX1" fmla="*/ 690612 w 2320927"/>
                <a:gd name="connsiteY1" fmla="*/ 969 h 166690"/>
                <a:gd name="connsiteX2" fmla="*/ 690602 w 2320927"/>
                <a:gd name="connsiteY2" fmla="*/ 166581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0 h 166690"/>
                <a:gd name="connsiteX1" fmla="*/ 690612 w 2320927"/>
                <a:gd name="connsiteY1" fmla="*/ 969 h 166690"/>
                <a:gd name="connsiteX2" fmla="*/ 709462 w 2320927"/>
                <a:gd name="connsiteY2" fmla="*/ 164916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0 h 166690"/>
                <a:gd name="connsiteX1" fmla="*/ 709472 w 2320927"/>
                <a:gd name="connsiteY1" fmla="*/ 969 h 166690"/>
                <a:gd name="connsiteX2" fmla="*/ 709462 w 2320927"/>
                <a:gd name="connsiteY2" fmla="*/ 164916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10959 h 177649"/>
                <a:gd name="connsiteX1" fmla="*/ 709472 w 2320927"/>
                <a:gd name="connsiteY1" fmla="*/ 11928 h 177649"/>
                <a:gd name="connsiteX2" fmla="*/ 709462 w 2320927"/>
                <a:gd name="connsiteY2" fmla="*/ 175875 h 177649"/>
                <a:gd name="connsiteX3" fmla="*/ 1778603 w 2320927"/>
                <a:gd name="connsiteY3" fmla="*/ 177649 h 177649"/>
                <a:gd name="connsiteX4" fmla="*/ 1764439 w 2320927"/>
                <a:gd name="connsiteY4" fmla="*/ 12519 h 177649"/>
                <a:gd name="connsiteX5" fmla="*/ 2320927 w 2320927"/>
                <a:gd name="connsiteY5" fmla="*/ 11426 h 177649"/>
                <a:gd name="connsiteX0" fmla="*/ 0 w 2320927"/>
                <a:gd name="connsiteY0" fmla="*/ 10959 h 177649"/>
                <a:gd name="connsiteX1" fmla="*/ 709472 w 2320927"/>
                <a:gd name="connsiteY1" fmla="*/ 11928 h 177649"/>
                <a:gd name="connsiteX2" fmla="*/ 709462 w 2320927"/>
                <a:gd name="connsiteY2" fmla="*/ 175875 h 177649"/>
                <a:gd name="connsiteX3" fmla="*/ 1778603 w 2320927"/>
                <a:gd name="connsiteY3" fmla="*/ 177649 h 177649"/>
                <a:gd name="connsiteX4" fmla="*/ 1764439 w 2320927"/>
                <a:gd name="connsiteY4" fmla="*/ 12519 h 177649"/>
                <a:gd name="connsiteX5" fmla="*/ 2320927 w 2320927"/>
                <a:gd name="connsiteY5" fmla="*/ 11426 h 177649"/>
                <a:gd name="connsiteX0" fmla="*/ 0 w 2320927"/>
                <a:gd name="connsiteY0" fmla="*/ 10959 h 177649"/>
                <a:gd name="connsiteX1" fmla="*/ 709472 w 2320927"/>
                <a:gd name="connsiteY1" fmla="*/ 11928 h 177649"/>
                <a:gd name="connsiteX2" fmla="*/ 709462 w 2320927"/>
                <a:gd name="connsiteY2" fmla="*/ 175875 h 177649"/>
                <a:gd name="connsiteX3" fmla="*/ 1778603 w 2320927"/>
                <a:gd name="connsiteY3" fmla="*/ 177649 h 177649"/>
                <a:gd name="connsiteX4" fmla="*/ 1764439 w 2320927"/>
                <a:gd name="connsiteY4" fmla="*/ 12519 h 177649"/>
                <a:gd name="connsiteX5" fmla="*/ 2320927 w 2320927"/>
                <a:gd name="connsiteY5" fmla="*/ 11426 h 177649"/>
                <a:gd name="connsiteX0" fmla="*/ 0 w 2320927"/>
                <a:gd name="connsiteY0" fmla="*/ 0 h 166690"/>
                <a:gd name="connsiteX1" fmla="*/ 709472 w 2320927"/>
                <a:gd name="connsiteY1" fmla="*/ 969 h 166690"/>
                <a:gd name="connsiteX2" fmla="*/ 709462 w 2320927"/>
                <a:gd name="connsiteY2" fmla="*/ 164916 h 166690"/>
                <a:gd name="connsiteX3" fmla="*/ 1778603 w 2320927"/>
                <a:gd name="connsiteY3" fmla="*/ 166690 h 166690"/>
                <a:gd name="connsiteX4" fmla="*/ 1764439 w 2320927"/>
                <a:gd name="connsiteY4" fmla="*/ 1560 h 166690"/>
                <a:gd name="connsiteX5" fmla="*/ 2320927 w 2320927"/>
                <a:gd name="connsiteY5" fmla="*/ 467 h 166690"/>
                <a:gd name="connsiteX0" fmla="*/ 0 w 2320927"/>
                <a:gd name="connsiteY0" fmla="*/ 0 h 178471"/>
                <a:gd name="connsiteX1" fmla="*/ 709472 w 2320927"/>
                <a:gd name="connsiteY1" fmla="*/ 969 h 178471"/>
                <a:gd name="connsiteX2" fmla="*/ 709462 w 2320927"/>
                <a:gd name="connsiteY2" fmla="*/ 164916 h 178471"/>
                <a:gd name="connsiteX3" fmla="*/ 1778603 w 2320927"/>
                <a:gd name="connsiteY3" fmla="*/ 166690 h 178471"/>
                <a:gd name="connsiteX4" fmla="*/ 1771511 w 2320927"/>
                <a:gd name="connsiteY4" fmla="*/ 1560 h 178471"/>
                <a:gd name="connsiteX5" fmla="*/ 2320927 w 2320927"/>
                <a:gd name="connsiteY5" fmla="*/ 467 h 178471"/>
                <a:gd name="connsiteX0" fmla="*/ 0 w 2320927"/>
                <a:gd name="connsiteY0" fmla="*/ 5502 h 177211"/>
                <a:gd name="connsiteX1" fmla="*/ 709472 w 2320927"/>
                <a:gd name="connsiteY1" fmla="*/ 6471 h 177211"/>
                <a:gd name="connsiteX2" fmla="*/ 709462 w 2320927"/>
                <a:gd name="connsiteY2" fmla="*/ 170418 h 177211"/>
                <a:gd name="connsiteX3" fmla="*/ 1778603 w 2320927"/>
                <a:gd name="connsiteY3" fmla="*/ 172192 h 177211"/>
                <a:gd name="connsiteX4" fmla="*/ 1835129 w 2320927"/>
                <a:gd name="connsiteY4" fmla="*/ 98493 h 177211"/>
                <a:gd name="connsiteX5" fmla="*/ 1771511 w 2320927"/>
                <a:gd name="connsiteY5" fmla="*/ 7062 h 177211"/>
                <a:gd name="connsiteX6" fmla="*/ 2320927 w 2320927"/>
                <a:gd name="connsiteY6" fmla="*/ 5969 h 177211"/>
                <a:gd name="connsiteX0" fmla="*/ 0 w 2320927"/>
                <a:gd name="connsiteY0" fmla="*/ 10959 h 189430"/>
                <a:gd name="connsiteX1" fmla="*/ 709472 w 2320927"/>
                <a:gd name="connsiteY1" fmla="*/ 11928 h 189430"/>
                <a:gd name="connsiteX2" fmla="*/ 709462 w 2320927"/>
                <a:gd name="connsiteY2" fmla="*/ 175875 h 189430"/>
                <a:gd name="connsiteX3" fmla="*/ 1778603 w 2320927"/>
                <a:gd name="connsiteY3" fmla="*/ 177649 h 189430"/>
                <a:gd name="connsiteX4" fmla="*/ 1771511 w 2320927"/>
                <a:gd name="connsiteY4" fmla="*/ 12519 h 189430"/>
                <a:gd name="connsiteX5" fmla="*/ 2320927 w 2320927"/>
                <a:gd name="connsiteY5" fmla="*/ 11426 h 189430"/>
                <a:gd name="connsiteX0" fmla="*/ 0 w 2320927"/>
                <a:gd name="connsiteY0" fmla="*/ 5380 h 177213"/>
                <a:gd name="connsiteX1" fmla="*/ 709472 w 2320927"/>
                <a:gd name="connsiteY1" fmla="*/ 6349 h 177213"/>
                <a:gd name="connsiteX2" fmla="*/ 709462 w 2320927"/>
                <a:gd name="connsiteY2" fmla="*/ 170296 h 177213"/>
                <a:gd name="connsiteX3" fmla="*/ 1778603 w 2320927"/>
                <a:gd name="connsiteY3" fmla="*/ 172070 h 177213"/>
                <a:gd name="connsiteX4" fmla="*/ 1816270 w 2320927"/>
                <a:gd name="connsiteY4" fmla="*/ 96706 h 177213"/>
                <a:gd name="connsiteX5" fmla="*/ 1771511 w 2320927"/>
                <a:gd name="connsiteY5" fmla="*/ 6940 h 177213"/>
                <a:gd name="connsiteX6" fmla="*/ 2320927 w 2320927"/>
                <a:gd name="connsiteY6" fmla="*/ 5847 h 177213"/>
                <a:gd name="connsiteX0" fmla="*/ 0 w 2320927"/>
                <a:gd name="connsiteY0" fmla="*/ 10959 h 189430"/>
                <a:gd name="connsiteX1" fmla="*/ 709472 w 2320927"/>
                <a:gd name="connsiteY1" fmla="*/ 11928 h 189430"/>
                <a:gd name="connsiteX2" fmla="*/ 709462 w 2320927"/>
                <a:gd name="connsiteY2" fmla="*/ 175875 h 189430"/>
                <a:gd name="connsiteX3" fmla="*/ 1778603 w 2320927"/>
                <a:gd name="connsiteY3" fmla="*/ 177649 h 189430"/>
                <a:gd name="connsiteX4" fmla="*/ 1771511 w 2320927"/>
                <a:gd name="connsiteY4" fmla="*/ 12519 h 189430"/>
                <a:gd name="connsiteX5" fmla="*/ 2320927 w 2320927"/>
                <a:gd name="connsiteY5" fmla="*/ 11426 h 189430"/>
                <a:gd name="connsiteX0" fmla="*/ 0 w 2320927"/>
                <a:gd name="connsiteY0" fmla="*/ 7599 h 174289"/>
                <a:gd name="connsiteX1" fmla="*/ 709472 w 2320927"/>
                <a:gd name="connsiteY1" fmla="*/ 8568 h 174289"/>
                <a:gd name="connsiteX2" fmla="*/ 709462 w 2320927"/>
                <a:gd name="connsiteY2" fmla="*/ 172515 h 174289"/>
                <a:gd name="connsiteX3" fmla="*/ 1778603 w 2320927"/>
                <a:gd name="connsiteY3" fmla="*/ 174289 h 174289"/>
                <a:gd name="connsiteX4" fmla="*/ 1830415 w 2320927"/>
                <a:gd name="connsiteY4" fmla="*/ 128897 h 174289"/>
                <a:gd name="connsiteX5" fmla="*/ 1771511 w 2320927"/>
                <a:gd name="connsiteY5" fmla="*/ 9159 h 174289"/>
                <a:gd name="connsiteX6" fmla="*/ 2320927 w 2320927"/>
                <a:gd name="connsiteY6" fmla="*/ 8066 h 174289"/>
                <a:gd name="connsiteX0" fmla="*/ 0 w 2320927"/>
                <a:gd name="connsiteY0" fmla="*/ 10959 h 189430"/>
                <a:gd name="connsiteX1" fmla="*/ 709472 w 2320927"/>
                <a:gd name="connsiteY1" fmla="*/ 11928 h 189430"/>
                <a:gd name="connsiteX2" fmla="*/ 709462 w 2320927"/>
                <a:gd name="connsiteY2" fmla="*/ 175875 h 189430"/>
                <a:gd name="connsiteX3" fmla="*/ 1778603 w 2320927"/>
                <a:gd name="connsiteY3" fmla="*/ 177649 h 189430"/>
                <a:gd name="connsiteX4" fmla="*/ 1771511 w 2320927"/>
                <a:gd name="connsiteY4" fmla="*/ 12519 h 189430"/>
                <a:gd name="connsiteX5" fmla="*/ 2320927 w 2320927"/>
                <a:gd name="connsiteY5" fmla="*/ 11426 h 189430"/>
                <a:gd name="connsiteX0" fmla="*/ 0 w 2320927"/>
                <a:gd name="connsiteY0" fmla="*/ 10959 h 189430"/>
                <a:gd name="connsiteX1" fmla="*/ 709472 w 2320927"/>
                <a:gd name="connsiteY1" fmla="*/ 11928 h 189430"/>
                <a:gd name="connsiteX2" fmla="*/ 709462 w 2320927"/>
                <a:gd name="connsiteY2" fmla="*/ 175875 h 189430"/>
                <a:gd name="connsiteX3" fmla="*/ 1778603 w 2320927"/>
                <a:gd name="connsiteY3" fmla="*/ 177649 h 189430"/>
                <a:gd name="connsiteX4" fmla="*/ 1771511 w 2320927"/>
                <a:gd name="connsiteY4" fmla="*/ 12519 h 189430"/>
                <a:gd name="connsiteX5" fmla="*/ 2320927 w 2320927"/>
                <a:gd name="connsiteY5" fmla="*/ 11426 h 189430"/>
                <a:gd name="connsiteX0" fmla="*/ 0 w 2320927"/>
                <a:gd name="connsiteY0" fmla="*/ 0 h 178471"/>
                <a:gd name="connsiteX1" fmla="*/ 709472 w 2320927"/>
                <a:gd name="connsiteY1" fmla="*/ 969 h 178471"/>
                <a:gd name="connsiteX2" fmla="*/ 709462 w 2320927"/>
                <a:gd name="connsiteY2" fmla="*/ 164916 h 178471"/>
                <a:gd name="connsiteX3" fmla="*/ 1778603 w 2320927"/>
                <a:gd name="connsiteY3" fmla="*/ 166690 h 178471"/>
                <a:gd name="connsiteX4" fmla="*/ 1771511 w 2320927"/>
                <a:gd name="connsiteY4" fmla="*/ 1560 h 178471"/>
                <a:gd name="connsiteX5" fmla="*/ 2320927 w 2320927"/>
                <a:gd name="connsiteY5" fmla="*/ 467 h 178471"/>
                <a:gd name="connsiteX0" fmla="*/ 0 w 2320927"/>
                <a:gd name="connsiteY0" fmla="*/ 0 h 166690"/>
                <a:gd name="connsiteX1" fmla="*/ 709472 w 2320927"/>
                <a:gd name="connsiteY1" fmla="*/ 969 h 166690"/>
                <a:gd name="connsiteX2" fmla="*/ 709462 w 2320927"/>
                <a:gd name="connsiteY2" fmla="*/ 164916 h 166690"/>
                <a:gd name="connsiteX3" fmla="*/ 1778603 w 2320927"/>
                <a:gd name="connsiteY3" fmla="*/ 166690 h 166690"/>
                <a:gd name="connsiteX4" fmla="*/ 1771511 w 2320927"/>
                <a:gd name="connsiteY4" fmla="*/ 1560 h 166690"/>
                <a:gd name="connsiteX5" fmla="*/ 2320927 w 2320927"/>
                <a:gd name="connsiteY5" fmla="*/ 467 h 166690"/>
                <a:gd name="connsiteX0" fmla="*/ 0 w 2320927"/>
                <a:gd name="connsiteY0" fmla="*/ 1770 h 180487"/>
                <a:gd name="connsiteX1" fmla="*/ 709472 w 2320927"/>
                <a:gd name="connsiteY1" fmla="*/ 2739 h 180487"/>
                <a:gd name="connsiteX2" fmla="*/ 709462 w 2320927"/>
                <a:gd name="connsiteY2" fmla="*/ 166686 h 180487"/>
                <a:gd name="connsiteX3" fmla="*/ 1778603 w 2320927"/>
                <a:gd name="connsiteY3" fmla="*/ 168460 h 180487"/>
                <a:gd name="connsiteX4" fmla="*/ 1771511 w 2320927"/>
                <a:gd name="connsiteY4" fmla="*/ 0 h 180487"/>
                <a:gd name="connsiteX5" fmla="*/ 2320927 w 2320927"/>
                <a:gd name="connsiteY5" fmla="*/ 2237 h 180487"/>
                <a:gd name="connsiteX0" fmla="*/ 0 w 2320927"/>
                <a:gd name="connsiteY0" fmla="*/ 1770 h 180487"/>
                <a:gd name="connsiteX1" fmla="*/ 709472 w 2320927"/>
                <a:gd name="connsiteY1" fmla="*/ 2739 h 180487"/>
                <a:gd name="connsiteX2" fmla="*/ 709462 w 2320927"/>
                <a:gd name="connsiteY2" fmla="*/ 166686 h 180487"/>
                <a:gd name="connsiteX3" fmla="*/ 1778603 w 2320927"/>
                <a:gd name="connsiteY3" fmla="*/ 168460 h 180487"/>
                <a:gd name="connsiteX4" fmla="*/ 1771511 w 2320927"/>
                <a:gd name="connsiteY4" fmla="*/ 0 h 180487"/>
                <a:gd name="connsiteX5" fmla="*/ 2320927 w 2320927"/>
                <a:gd name="connsiteY5" fmla="*/ 2237 h 180487"/>
                <a:gd name="connsiteX0" fmla="*/ 0 w 2320927"/>
                <a:gd name="connsiteY0" fmla="*/ 1770 h 168460"/>
                <a:gd name="connsiteX1" fmla="*/ 709472 w 2320927"/>
                <a:gd name="connsiteY1" fmla="*/ 2739 h 168460"/>
                <a:gd name="connsiteX2" fmla="*/ 709462 w 2320927"/>
                <a:gd name="connsiteY2" fmla="*/ 166686 h 168460"/>
                <a:gd name="connsiteX3" fmla="*/ 1778603 w 2320927"/>
                <a:gd name="connsiteY3" fmla="*/ 168460 h 168460"/>
                <a:gd name="connsiteX4" fmla="*/ 1771511 w 2320927"/>
                <a:gd name="connsiteY4" fmla="*/ 0 h 168460"/>
                <a:gd name="connsiteX5" fmla="*/ 2320927 w 2320927"/>
                <a:gd name="connsiteY5" fmla="*/ 2237 h 168460"/>
                <a:gd name="connsiteX0" fmla="*/ 0 w 2320927"/>
                <a:gd name="connsiteY0" fmla="*/ 13559 h 178584"/>
                <a:gd name="connsiteX1" fmla="*/ 709472 w 2320927"/>
                <a:gd name="connsiteY1" fmla="*/ 14528 h 178584"/>
                <a:gd name="connsiteX2" fmla="*/ 709462 w 2320927"/>
                <a:gd name="connsiteY2" fmla="*/ 178475 h 178584"/>
                <a:gd name="connsiteX3" fmla="*/ 1778603 w 2320927"/>
                <a:gd name="connsiteY3" fmla="*/ 178584 h 178584"/>
                <a:gd name="connsiteX4" fmla="*/ 1771511 w 2320927"/>
                <a:gd name="connsiteY4" fmla="*/ 11789 h 178584"/>
                <a:gd name="connsiteX5" fmla="*/ 2320927 w 2320927"/>
                <a:gd name="connsiteY5" fmla="*/ 14026 h 178584"/>
                <a:gd name="connsiteX0" fmla="*/ 0 w 2320927"/>
                <a:gd name="connsiteY0" fmla="*/ 13559 h 178584"/>
                <a:gd name="connsiteX1" fmla="*/ 709472 w 2320927"/>
                <a:gd name="connsiteY1" fmla="*/ 14528 h 178584"/>
                <a:gd name="connsiteX2" fmla="*/ 709462 w 2320927"/>
                <a:gd name="connsiteY2" fmla="*/ 178475 h 178584"/>
                <a:gd name="connsiteX3" fmla="*/ 1778603 w 2320927"/>
                <a:gd name="connsiteY3" fmla="*/ 178584 h 178584"/>
                <a:gd name="connsiteX4" fmla="*/ 1771511 w 2320927"/>
                <a:gd name="connsiteY4" fmla="*/ 11789 h 178584"/>
                <a:gd name="connsiteX5" fmla="*/ 2320927 w 2320927"/>
                <a:gd name="connsiteY5" fmla="*/ 14026 h 178584"/>
                <a:gd name="connsiteX0" fmla="*/ 0 w 2320927"/>
                <a:gd name="connsiteY0" fmla="*/ 1770 h 166795"/>
                <a:gd name="connsiteX1" fmla="*/ 709472 w 2320927"/>
                <a:gd name="connsiteY1" fmla="*/ 2739 h 166795"/>
                <a:gd name="connsiteX2" fmla="*/ 709462 w 2320927"/>
                <a:gd name="connsiteY2" fmla="*/ 166686 h 166795"/>
                <a:gd name="connsiteX3" fmla="*/ 1778603 w 2320927"/>
                <a:gd name="connsiteY3" fmla="*/ 166795 h 166795"/>
                <a:gd name="connsiteX4" fmla="*/ 1771511 w 2320927"/>
                <a:gd name="connsiteY4" fmla="*/ 0 h 166795"/>
                <a:gd name="connsiteX5" fmla="*/ 2320927 w 2320927"/>
                <a:gd name="connsiteY5" fmla="*/ 2237 h 166795"/>
                <a:gd name="connsiteX0" fmla="*/ 0 w 2320927"/>
                <a:gd name="connsiteY0" fmla="*/ 3435 h 180909"/>
                <a:gd name="connsiteX1" fmla="*/ 709472 w 2320927"/>
                <a:gd name="connsiteY1" fmla="*/ 4404 h 180909"/>
                <a:gd name="connsiteX2" fmla="*/ 709462 w 2320927"/>
                <a:gd name="connsiteY2" fmla="*/ 168351 h 180909"/>
                <a:gd name="connsiteX3" fmla="*/ 1778603 w 2320927"/>
                <a:gd name="connsiteY3" fmla="*/ 168460 h 180909"/>
                <a:gd name="connsiteX4" fmla="*/ 1773868 w 2320927"/>
                <a:gd name="connsiteY4" fmla="*/ 0 h 180909"/>
                <a:gd name="connsiteX5" fmla="*/ 2320927 w 2320927"/>
                <a:gd name="connsiteY5" fmla="*/ 3902 h 180909"/>
                <a:gd name="connsiteX0" fmla="*/ 0 w 2320927"/>
                <a:gd name="connsiteY0" fmla="*/ 7933 h 179992"/>
                <a:gd name="connsiteX1" fmla="*/ 709472 w 2320927"/>
                <a:gd name="connsiteY1" fmla="*/ 8902 h 179992"/>
                <a:gd name="connsiteX2" fmla="*/ 709462 w 2320927"/>
                <a:gd name="connsiteY2" fmla="*/ 172849 h 179992"/>
                <a:gd name="connsiteX3" fmla="*/ 1778603 w 2320927"/>
                <a:gd name="connsiteY3" fmla="*/ 172958 h 179992"/>
                <a:gd name="connsiteX4" fmla="*/ 1825700 w 2320927"/>
                <a:gd name="connsiteY4" fmla="*/ 77614 h 179992"/>
                <a:gd name="connsiteX5" fmla="*/ 1773868 w 2320927"/>
                <a:gd name="connsiteY5" fmla="*/ 4498 h 179992"/>
                <a:gd name="connsiteX6" fmla="*/ 2320927 w 2320927"/>
                <a:gd name="connsiteY6" fmla="*/ 8400 h 179992"/>
                <a:gd name="connsiteX0" fmla="*/ 0 w 2320927"/>
                <a:gd name="connsiteY0" fmla="*/ 14945 h 192419"/>
                <a:gd name="connsiteX1" fmla="*/ 709472 w 2320927"/>
                <a:gd name="connsiteY1" fmla="*/ 15914 h 192419"/>
                <a:gd name="connsiteX2" fmla="*/ 709462 w 2320927"/>
                <a:gd name="connsiteY2" fmla="*/ 179861 h 192419"/>
                <a:gd name="connsiteX3" fmla="*/ 1778603 w 2320927"/>
                <a:gd name="connsiteY3" fmla="*/ 179970 h 192419"/>
                <a:gd name="connsiteX4" fmla="*/ 1773868 w 2320927"/>
                <a:gd name="connsiteY4" fmla="*/ 11510 h 192419"/>
                <a:gd name="connsiteX5" fmla="*/ 2320927 w 2320927"/>
                <a:gd name="connsiteY5" fmla="*/ 15412 h 192419"/>
                <a:gd name="connsiteX0" fmla="*/ 0 w 2320927"/>
                <a:gd name="connsiteY0" fmla="*/ 14945 h 192419"/>
                <a:gd name="connsiteX1" fmla="*/ 709472 w 2320927"/>
                <a:gd name="connsiteY1" fmla="*/ 15914 h 192419"/>
                <a:gd name="connsiteX2" fmla="*/ 709462 w 2320927"/>
                <a:gd name="connsiteY2" fmla="*/ 179861 h 192419"/>
                <a:gd name="connsiteX3" fmla="*/ 1778603 w 2320927"/>
                <a:gd name="connsiteY3" fmla="*/ 179970 h 192419"/>
                <a:gd name="connsiteX4" fmla="*/ 1773868 w 2320927"/>
                <a:gd name="connsiteY4" fmla="*/ 11510 h 192419"/>
                <a:gd name="connsiteX5" fmla="*/ 2320927 w 2320927"/>
                <a:gd name="connsiteY5" fmla="*/ 15412 h 192419"/>
                <a:gd name="connsiteX0" fmla="*/ 0 w 2320927"/>
                <a:gd name="connsiteY0" fmla="*/ 3435 h 180909"/>
                <a:gd name="connsiteX1" fmla="*/ 709472 w 2320927"/>
                <a:gd name="connsiteY1" fmla="*/ 4404 h 180909"/>
                <a:gd name="connsiteX2" fmla="*/ 709462 w 2320927"/>
                <a:gd name="connsiteY2" fmla="*/ 168351 h 180909"/>
                <a:gd name="connsiteX3" fmla="*/ 1778603 w 2320927"/>
                <a:gd name="connsiteY3" fmla="*/ 168460 h 180909"/>
                <a:gd name="connsiteX4" fmla="*/ 1773868 w 2320927"/>
                <a:gd name="connsiteY4" fmla="*/ 0 h 180909"/>
                <a:gd name="connsiteX5" fmla="*/ 2320927 w 2320927"/>
                <a:gd name="connsiteY5" fmla="*/ 3902 h 180909"/>
                <a:gd name="connsiteX0" fmla="*/ 0 w 2320927"/>
                <a:gd name="connsiteY0" fmla="*/ 3435 h 168460"/>
                <a:gd name="connsiteX1" fmla="*/ 709472 w 2320927"/>
                <a:gd name="connsiteY1" fmla="*/ 4404 h 168460"/>
                <a:gd name="connsiteX2" fmla="*/ 709462 w 2320927"/>
                <a:gd name="connsiteY2" fmla="*/ 168351 h 168460"/>
                <a:gd name="connsiteX3" fmla="*/ 1778603 w 2320927"/>
                <a:gd name="connsiteY3" fmla="*/ 168460 h 168460"/>
                <a:gd name="connsiteX4" fmla="*/ 1773868 w 2320927"/>
                <a:gd name="connsiteY4" fmla="*/ 0 h 168460"/>
                <a:gd name="connsiteX5" fmla="*/ 2320927 w 2320927"/>
                <a:gd name="connsiteY5" fmla="*/ 3902 h 168460"/>
                <a:gd name="connsiteX0" fmla="*/ 0 w 2320927"/>
                <a:gd name="connsiteY0" fmla="*/ 104 h 177331"/>
                <a:gd name="connsiteX1" fmla="*/ 709472 w 2320927"/>
                <a:gd name="connsiteY1" fmla="*/ 1073 h 177331"/>
                <a:gd name="connsiteX2" fmla="*/ 709462 w 2320927"/>
                <a:gd name="connsiteY2" fmla="*/ 165020 h 177331"/>
                <a:gd name="connsiteX3" fmla="*/ 1778603 w 2320927"/>
                <a:gd name="connsiteY3" fmla="*/ 165129 h 177331"/>
                <a:gd name="connsiteX4" fmla="*/ 1773868 w 2320927"/>
                <a:gd name="connsiteY4" fmla="*/ 0 h 177331"/>
                <a:gd name="connsiteX5" fmla="*/ 2320927 w 2320927"/>
                <a:gd name="connsiteY5" fmla="*/ 571 h 177331"/>
                <a:gd name="connsiteX0" fmla="*/ 0 w 2320927"/>
                <a:gd name="connsiteY0" fmla="*/ 104 h 177332"/>
                <a:gd name="connsiteX1" fmla="*/ 709472 w 2320927"/>
                <a:gd name="connsiteY1" fmla="*/ 1073 h 177332"/>
                <a:gd name="connsiteX2" fmla="*/ 709462 w 2320927"/>
                <a:gd name="connsiteY2" fmla="*/ 165020 h 177332"/>
                <a:gd name="connsiteX3" fmla="*/ 1778603 w 2320927"/>
                <a:gd name="connsiteY3" fmla="*/ 165129 h 177332"/>
                <a:gd name="connsiteX4" fmla="*/ 1773868 w 2320927"/>
                <a:gd name="connsiteY4" fmla="*/ 0 h 177332"/>
                <a:gd name="connsiteX5" fmla="*/ 2320927 w 2320927"/>
                <a:gd name="connsiteY5" fmla="*/ 571 h 177332"/>
                <a:gd name="connsiteX0" fmla="*/ 0 w 2320927"/>
                <a:gd name="connsiteY0" fmla="*/ 104 h 165129"/>
                <a:gd name="connsiteX1" fmla="*/ 709472 w 2320927"/>
                <a:gd name="connsiteY1" fmla="*/ 1073 h 165129"/>
                <a:gd name="connsiteX2" fmla="*/ 709462 w 2320927"/>
                <a:gd name="connsiteY2" fmla="*/ 165020 h 165129"/>
                <a:gd name="connsiteX3" fmla="*/ 1778603 w 2320927"/>
                <a:gd name="connsiteY3" fmla="*/ 165129 h 165129"/>
                <a:gd name="connsiteX4" fmla="*/ 1773868 w 2320927"/>
                <a:gd name="connsiteY4" fmla="*/ 0 h 165129"/>
                <a:gd name="connsiteX5" fmla="*/ 2320927 w 2320927"/>
                <a:gd name="connsiteY5" fmla="*/ 571 h 165129"/>
                <a:gd name="connsiteX0" fmla="*/ 0 w 2320927"/>
                <a:gd name="connsiteY0" fmla="*/ 104 h 177332"/>
                <a:gd name="connsiteX1" fmla="*/ 709472 w 2320927"/>
                <a:gd name="connsiteY1" fmla="*/ 1073 h 177332"/>
                <a:gd name="connsiteX2" fmla="*/ 709462 w 2320927"/>
                <a:gd name="connsiteY2" fmla="*/ 165020 h 177332"/>
                <a:gd name="connsiteX3" fmla="*/ 1778603 w 2320927"/>
                <a:gd name="connsiteY3" fmla="*/ 165129 h 177332"/>
                <a:gd name="connsiteX4" fmla="*/ 1776225 w 2320927"/>
                <a:gd name="connsiteY4" fmla="*/ 0 h 177332"/>
                <a:gd name="connsiteX5" fmla="*/ 2320927 w 2320927"/>
                <a:gd name="connsiteY5" fmla="*/ 571 h 177332"/>
                <a:gd name="connsiteX0" fmla="*/ 0 w 2320927"/>
                <a:gd name="connsiteY0" fmla="*/ 104 h 177332"/>
                <a:gd name="connsiteX1" fmla="*/ 709472 w 2320927"/>
                <a:gd name="connsiteY1" fmla="*/ 1073 h 177332"/>
                <a:gd name="connsiteX2" fmla="*/ 709462 w 2320927"/>
                <a:gd name="connsiteY2" fmla="*/ 165020 h 177332"/>
                <a:gd name="connsiteX3" fmla="*/ 1778603 w 2320927"/>
                <a:gd name="connsiteY3" fmla="*/ 165129 h 177332"/>
                <a:gd name="connsiteX4" fmla="*/ 1776225 w 2320927"/>
                <a:gd name="connsiteY4" fmla="*/ 0 h 177332"/>
                <a:gd name="connsiteX5" fmla="*/ 2320927 w 2320927"/>
                <a:gd name="connsiteY5" fmla="*/ 571 h 177332"/>
                <a:gd name="connsiteX0" fmla="*/ 0 w 2320927"/>
                <a:gd name="connsiteY0" fmla="*/ 104 h 165129"/>
                <a:gd name="connsiteX1" fmla="*/ 709472 w 2320927"/>
                <a:gd name="connsiteY1" fmla="*/ 1073 h 165129"/>
                <a:gd name="connsiteX2" fmla="*/ 709462 w 2320927"/>
                <a:gd name="connsiteY2" fmla="*/ 165020 h 165129"/>
                <a:gd name="connsiteX3" fmla="*/ 1778603 w 2320927"/>
                <a:gd name="connsiteY3" fmla="*/ 165129 h 165129"/>
                <a:gd name="connsiteX4" fmla="*/ 1776225 w 2320927"/>
                <a:gd name="connsiteY4" fmla="*/ 0 h 165129"/>
                <a:gd name="connsiteX5" fmla="*/ 2320927 w 2320927"/>
                <a:gd name="connsiteY5" fmla="*/ 571 h 165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320927" h="165129">
                  <a:moveTo>
                    <a:pt x="0" y="104"/>
                  </a:moveTo>
                  <a:lnTo>
                    <a:pt x="709472" y="1073"/>
                  </a:lnTo>
                  <a:cubicBezTo>
                    <a:pt x="709469" y="56277"/>
                    <a:pt x="709465" y="109816"/>
                    <a:pt x="709462" y="165020"/>
                  </a:cubicBezTo>
                  <a:lnTo>
                    <a:pt x="1778603" y="165129"/>
                  </a:lnTo>
                  <a:cubicBezTo>
                    <a:pt x="1777810" y="110086"/>
                    <a:pt x="1777018" y="55043"/>
                    <a:pt x="1776225" y="0"/>
                  </a:cubicBezTo>
                  <a:lnTo>
                    <a:pt x="2320927" y="571"/>
                  </a:lnTo>
                </a:path>
              </a:pathLst>
            </a:cu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clientData/>
  </xdr:twoCellAnchor>
  <xdr:twoCellAnchor>
    <xdr:from>
      <xdr:col>39</xdr:col>
      <xdr:colOff>571502</xdr:colOff>
      <xdr:row>44</xdr:row>
      <xdr:rowOff>10553</xdr:rowOff>
    </xdr:from>
    <xdr:to>
      <xdr:col>52</xdr:col>
      <xdr:colOff>450782</xdr:colOff>
      <xdr:row>70</xdr:row>
      <xdr:rowOff>61553</xdr:rowOff>
    </xdr:to>
    <xdr:grpSp>
      <xdr:nvGrpSpPr>
        <xdr:cNvPr id="793" name="Groep 792"/>
        <xdr:cNvGrpSpPr>
          <a:grpSpLocks noChangeAspect="1"/>
        </xdr:cNvGrpSpPr>
      </xdr:nvGrpSpPr>
      <xdr:grpSpPr>
        <a:xfrm>
          <a:off x="24345902" y="8392553"/>
          <a:ext cx="7804080" cy="5004000"/>
          <a:chOff x="1458369" y="719016"/>
          <a:chExt cx="6967912" cy="4501372"/>
        </a:xfrm>
      </xdr:grpSpPr>
      <xdr:sp macro="" textlink="">
        <xdr:nvSpPr>
          <xdr:cNvPr id="794" name="Rechthoek 793"/>
          <xdr:cNvSpPr/>
        </xdr:nvSpPr>
        <xdr:spPr>
          <a:xfrm>
            <a:off x="3477722" y="2100342"/>
            <a:ext cx="1080000" cy="215053"/>
          </a:xfrm>
          <a:prstGeom prst="rect">
            <a:avLst/>
          </a:prstGeom>
          <a:solidFill>
            <a:schemeClr val="bg2">
              <a:lumMod val="90000"/>
            </a:schemeClr>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nvGrpSpPr>
          <xdr:cNvPr id="795" name="Groep 794"/>
          <xdr:cNvGrpSpPr/>
        </xdr:nvGrpSpPr>
        <xdr:grpSpPr>
          <a:xfrm>
            <a:off x="1458369" y="719016"/>
            <a:ext cx="6967912" cy="4501372"/>
            <a:chOff x="1458369" y="719016"/>
            <a:chExt cx="6967912" cy="4501372"/>
          </a:xfrm>
        </xdr:grpSpPr>
        <xdr:grpSp>
          <xdr:nvGrpSpPr>
            <xdr:cNvPr id="796" name="Groep 795"/>
            <xdr:cNvGrpSpPr>
              <a:grpSpLocks noChangeAspect="1"/>
            </xdr:cNvGrpSpPr>
          </xdr:nvGrpSpPr>
          <xdr:grpSpPr>
            <a:xfrm>
              <a:off x="1458369" y="719016"/>
              <a:ext cx="6967912" cy="4501372"/>
              <a:chOff x="1157605" y="6130927"/>
              <a:chExt cx="5555615" cy="3589018"/>
            </a:xfrm>
          </xdr:grpSpPr>
          <xdr:sp macro="" textlink="">
            <xdr:nvSpPr>
              <xdr:cNvPr id="798" name="Rechthoek 797"/>
              <xdr:cNvSpPr/>
            </xdr:nvSpPr>
            <xdr:spPr>
              <a:xfrm>
                <a:off x="1193800" y="9004300"/>
                <a:ext cx="4997450" cy="28194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799" name="Rechthoek 798"/>
              <xdr:cNvSpPr/>
            </xdr:nvSpPr>
            <xdr:spPr>
              <a:xfrm>
                <a:off x="1778000" y="7213600"/>
                <a:ext cx="469900" cy="198755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800" name="Rechthoek 799"/>
              <xdr:cNvSpPr/>
            </xdr:nvSpPr>
            <xdr:spPr>
              <a:xfrm>
                <a:off x="4055771" y="7211626"/>
                <a:ext cx="463550" cy="196850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801" name="Rechthoek 800"/>
              <xdr:cNvSpPr/>
            </xdr:nvSpPr>
            <xdr:spPr>
              <a:xfrm>
                <a:off x="1790211" y="6956032"/>
                <a:ext cx="2747010" cy="27495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802" name="Oval 1292"/>
              <xdr:cNvSpPr>
                <a:spLocks noChangeArrowheads="1"/>
              </xdr:cNvSpPr>
            </xdr:nvSpPr>
            <xdr:spPr bwMode="auto">
              <a:xfrm>
                <a:off x="2749550" y="7694930"/>
                <a:ext cx="935990" cy="935990"/>
              </a:xfrm>
              <a:prstGeom prst="ellipse">
                <a:avLst/>
              </a:prstGeom>
              <a:solidFill>
                <a:srgbClr val="FFFFFF"/>
              </a:solidFill>
              <a:ln w="9525">
                <a:solidFill>
                  <a:srgbClr val="000000"/>
                </a:solidFill>
                <a:prstDash val="sysDot"/>
                <a:round/>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803" name="AutoShape 1125"/>
              <xdr:cNvCxnSpPr>
                <a:cxnSpLocks noChangeShapeType="1"/>
              </xdr:cNvCxnSpPr>
            </xdr:nvCxnSpPr>
            <xdr:spPr bwMode="auto">
              <a:xfrm>
                <a:off x="3415030" y="6403975"/>
                <a:ext cx="3298190" cy="1401445"/>
              </a:xfrm>
              <a:prstGeom prst="straightConnector1">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804" name="AutoShape 1126"/>
              <xdr:cNvCxnSpPr>
                <a:cxnSpLocks noChangeShapeType="1"/>
              </xdr:cNvCxnSpPr>
            </xdr:nvCxnSpPr>
            <xdr:spPr bwMode="auto">
              <a:xfrm flipV="1">
                <a:off x="3230245" y="6403341"/>
                <a:ext cx="182880" cy="1773555"/>
              </a:xfrm>
              <a:prstGeom prst="straightConnector1">
                <a:avLst/>
              </a:prstGeom>
              <a:noFill/>
              <a:ln w="254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805" name="AutoShape 1129"/>
              <xdr:cNvCxnSpPr>
                <a:cxnSpLocks noChangeShapeType="1"/>
              </xdr:cNvCxnSpPr>
            </xdr:nvCxnSpPr>
            <xdr:spPr bwMode="auto">
              <a:xfrm>
                <a:off x="4050623" y="7197844"/>
                <a:ext cx="0" cy="1822668"/>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806" name="AutoShape 1130"/>
              <xdr:cNvCxnSpPr>
                <a:cxnSpLocks noChangeShapeType="1"/>
              </xdr:cNvCxnSpPr>
            </xdr:nvCxnSpPr>
            <xdr:spPr bwMode="auto">
              <a:xfrm>
                <a:off x="2214879" y="9010015"/>
                <a:ext cx="1851364" cy="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807" name="AutoShape 1131"/>
              <xdr:cNvCxnSpPr>
                <a:cxnSpLocks noChangeShapeType="1"/>
              </xdr:cNvCxnSpPr>
            </xdr:nvCxnSpPr>
            <xdr:spPr bwMode="auto">
              <a:xfrm>
                <a:off x="1173480" y="9025890"/>
                <a:ext cx="608965" cy="635"/>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808" name="AutoShape 1132"/>
              <xdr:cNvCxnSpPr>
                <a:cxnSpLocks noChangeShapeType="1"/>
              </xdr:cNvCxnSpPr>
            </xdr:nvCxnSpPr>
            <xdr:spPr bwMode="auto">
              <a:xfrm>
                <a:off x="1777365" y="6964147"/>
                <a:ext cx="635" cy="2075258"/>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809" name="AutoShape 1134"/>
              <xdr:cNvCxnSpPr>
                <a:cxnSpLocks noChangeShapeType="1"/>
              </xdr:cNvCxnSpPr>
            </xdr:nvCxnSpPr>
            <xdr:spPr bwMode="auto">
              <a:xfrm>
                <a:off x="2234565" y="7194645"/>
                <a:ext cx="0" cy="1822668"/>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810" name="AutoShape 1135"/>
              <xdr:cNvCxnSpPr>
                <a:cxnSpLocks noChangeShapeType="1"/>
              </xdr:cNvCxnSpPr>
            </xdr:nvCxnSpPr>
            <xdr:spPr bwMode="auto">
              <a:xfrm>
                <a:off x="1184910" y="9289415"/>
                <a:ext cx="4977765" cy="635"/>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811" name="AutoShape 1136"/>
              <xdr:cNvCxnSpPr>
                <a:cxnSpLocks noChangeShapeType="1"/>
              </xdr:cNvCxnSpPr>
            </xdr:nvCxnSpPr>
            <xdr:spPr bwMode="auto">
              <a:xfrm>
                <a:off x="1770380" y="6975475"/>
                <a:ext cx="2759075" cy="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812" name="AutoShape 1137"/>
              <xdr:cNvCxnSpPr>
                <a:cxnSpLocks noChangeShapeType="1"/>
              </xdr:cNvCxnSpPr>
            </xdr:nvCxnSpPr>
            <xdr:spPr bwMode="auto">
              <a:xfrm>
                <a:off x="1359535" y="6407150"/>
                <a:ext cx="1881505" cy="178879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813" name="AutoShape 1144"/>
              <xdr:cNvCxnSpPr>
                <a:cxnSpLocks noChangeShapeType="1"/>
              </xdr:cNvCxnSpPr>
            </xdr:nvCxnSpPr>
            <xdr:spPr bwMode="auto">
              <a:xfrm>
                <a:off x="2538095" y="6403340"/>
                <a:ext cx="999528" cy="0"/>
              </a:xfrm>
              <a:prstGeom prst="straightConnector1">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cxnSp>
          <xdr:cxnSp macro="">
            <xdr:nvCxnSpPr>
              <xdr:cNvPr id="814" name="AutoShape 1146"/>
              <xdr:cNvCxnSpPr>
                <a:cxnSpLocks noChangeShapeType="1"/>
              </xdr:cNvCxnSpPr>
            </xdr:nvCxnSpPr>
            <xdr:spPr bwMode="auto">
              <a:xfrm>
                <a:off x="2447925" y="8195310"/>
                <a:ext cx="775970" cy="635"/>
              </a:xfrm>
              <a:prstGeom prst="straightConnector1">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cxnSp>
          <xdr:cxnSp macro="">
            <xdr:nvCxnSpPr>
              <xdr:cNvPr id="815" name="AutoShape 1160"/>
              <xdr:cNvCxnSpPr>
                <a:cxnSpLocks noChangeShapeType="1"/>
              </xdr:cNvCxnSpPr>
            </xdr:nvCxnSpPr>
            <xdr:spPr bwMode="auto">
              <a:xfrm flipH="1" flipV="1">
                <a:off x="3230246" y="8190231"/>
                <a:ext cx="2764155" cy="78168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816" name="AutoShape 1161"/>
              <xdr:cNvCxnSpPr>
                <a:cxnSpLocks noChangeShapeType="1"/>
              </xdr:cNvCxnSpPr>
            </xdr:nvCxnSpPr>
            <xdr:spPr bwMode="auto">
              <a:xfrm flipV="1">
                <a:off x="3241040" y="7285356"/>
                <a:ext cx="2710815" cy="9017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817" name="AutoShape 1296"/>
              <xdr:cNvCxnSpPr>
                <a:cxnSpLocks noChangeShapeType="1"/>
              </xdr:cNvCxnSpPr>
            </xdr:nvCxnSpPr>
            <xdr:spPr bwMode="auto">
              <a:xfrm>
                <a:off x="1157605" y="6211571"/>
                <a:ext cx="2062480" cy="196532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sp macro="" textlink="">
            <xdr:nvSpPr>
              <xdr:cNvPr id="818" name="Arc 1297"/>
              <xdr:cNvSpPr>
                <a:spLocks/>
              </xdr:cNvSpPr>
            </xdr:nvSpPr>
            <xdr:spPr bwMode="auto">
              <a:xfrm rot="10920000" flipV="1">
                <a:off x="1238473" y="6146530"/>
                <a:ext cx="3587914" cy="631475"/>
              </a:xfrm>
              <a:custGeom>
                <a:avLst/>
                <a:gdLst>
                  <a:gd name="G0" fmla="+- 3645 0 0"/>
                  <a:gd name="G1" fmla="+- 21600 0 0"/>
                  <a:gd name="G2" fmla="+- 21600 0 0"/>
                  <a:gd name="T0" fmla="*/ 0 w 19938"/>
                  <a:gd name="T1" fmla="*/ 310 h 21600"/>
                  <a:gd name="T2" fmla="*/ 19938 w 19938"/>
                  <a:gd name="T3" fmla="*/ 7419 h 21600"/>
                  <a:gd name="T4" fmla="*/ 3645 w 19938"/>
                  <a:gd name="T5" fmla="*/ 21600 h 21600"/>
                </a:gdLst>
                <a:ahLst/>
                <a:cxnLst>
                  <a:cxn ang="0">
                    <a:pos x="T0" y="T1"/>
                  </a:cxn>
                  <a:cxn ang="0">
                    <a:pos x="T2" y="T3"/>
                  </a:cxn>
                  <a:cxn ang="0">
                    <a:pos x="T4" y="T5"/>
                  </a:cxn>
                </a:cxnLst>
                <a:rect l="0" t="0" r="r" b="b"/>
                <a:pathLst>
                  <a:path w="19938" h="21600" fill="none" extrusionOk="0">
                    <a:moveTo>
                      <a:pt x="-1" y="309"/>
                    </a:moveTo>
                    <a:cubicBezTo>
                      <a:pt x="1204" y="103"/>
                      <a:pt x="2423" y="0"/>
                      <a:pt x="3645" y="0"/>
                    </a:cubicBezTo>
                    <a:cubicBezTo>
                      <a:pt x="9893" y="0"/>
                      <a:pt x="15835" y="2705"/>
                      <a:pt x="19937" y="7419"/>
                    </a:cubicBezTo>
                  </a:path>
                  <a:path w="19938" h="21600" stroke="0" extrusionOk="0">
                    <a:moveTo>
                      <a:pt x="-1" y="309"/>
                    </a:moveTo>
                    <a:cubicBezTo>
                      <a:pt x="1204" y="103"/>
                      <a:pt x="2423" y="0"/>
                      <a:pt x="3645" y="0"/>
                    </a:cubicBezTo>
                    <a:cubicBezTo>
                      <a:pt x="9893" y="0"/>
                      <a:pt x="15835" y="2705"/>
                      <a:pt x="19937" y="7419"/>
                    </a:cubicBezTo>
                    <a:lnTo>
                      <a:pt x="3645" y="21600"/>
                    </a:lnTo>
                    <a:close/>
                  </a:path>
                </a:pathLst>
              </a:custGeom>
              <a:noFill/>
              <a:ln w="9525">
                <a:solidFill>
                  <a:srgbClr val="000000"/>
                </a:solidFill>
                <a:round/>
                <a:headEnd type="triangle"/>
                <a:tailEnd type="triangle"/>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819" name="AutoShape 1298"/>
              <xdr:cNvCxnSpPr>
                <a:cxnSpLocks noChangeShapeType="1"/>
              </xdr:cNvCxnSpPr>
            </xdr:nvCxnSpPr>
            <xdr:spPr bwMode="auto">
              <a:xfrm>
                <a:off x="4525010" y="6965348"/>
                <a:ext cx="0" cy="2037943"/>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820" name="AutoShape 1299"/>
              <xdr:cNvCxnSpPr>
                <a:cxnSpLocks noChangeShapeType="1"/>
              </xdr:cNvCxnSpPr>
            </xdr:nvCxnSpPr>
            <xdr:spPr bwMode="auto">
              <a:xfrm>
                <a:off x="4526915" y="8993455"/>
                <a:ext cx="1677670" cy="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821" name="AutoShape 1300"/>
              <xdr:cNvCxnSpPr>
                <a:cxnSpLocks noChangeShapeType="1"/>
              </xdr:cNvCxnSpPr>
            </xdr:nvCxnSpPr>
            <xdr:spPr bwMode="auto">
              <a:xfrm>
                <a:off x="3230245" y="9366250"/>
                <a:ext cx="635" cy="353695"/>
              </a:xfrm>
              <a:prstGeom prst="straightConnector1">
                <a:avLst/>
              </a:prstGeom>
              <a:noFill/>
              <a:ln w="254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822" name="AutoShape 1301"/>
              <xdr:cNvCxnSpPr>
                <a:cxnSpLocks noChangeShapeType="1"/>
              </xdr:cNvCxnSpPr>
            </xdr:nvCxnSpPr>
            <xdr:spPr bwMode="auto">
              <a:xfrm>
                <a:off x="3223895" y="9513570"/>
                <a:ext cx="3319780" cy="8890"/>
              </a:xfrm>
              <a:prstGeom prst="straightConnector1">
                <a:avLst/>
              </a:prstGeom>
              <a:noFill/>
              <a:ln w="25400">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823" name="AutoShape 1138"/>
              <xdr:cNvCxnSpPr>
                <a:cxnSpLocks noChangeShapeType="1"/>
              </xdr:cNvCxnSpPr>
            </xdr:nvCxnSpPr>
            <xdr:spPr bwMode="auto">
              <a:xfrm flipV="1">
                <a:off x="3237375" y="6130927"/>
                <a:ext cx="1679945" cy="2064384"/>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824" name="AutoShape 1303"/>
              <xdr:cNvCxnSpPr>
                <a:cxnSpLocks noChangeShapeType="1"/>
              </xdr:cNvCxnSpPr>
            </xdr:nvCxnSpPr>
            <xdr:spPr bwMode="auto">
              <a:xfrm>
                <a:off x="2821305" y="6407150"/>
                <a:ext cx="0" cy="551815"/>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cxnSp macro="">
            <xdr:nvCxnSpPr>
              <xdr:cNvPr id="825" name="AutoShape 1304"/>
              <xdr:cNvCxnSpPr>
                <a:cxnSpLocks noChangeShapeType="1"/>
              </xdr:cNvCxnSpPr>
            </xdr:nvCxnSpPr>
            <xdr:spPr bwMode="auto">
              <a:xfrm>
                <a:off x="2649220" y="6407150"/>
                <a:ext cx="0" cy="1788795"/>
              </a:xfrm>
              <a:prstGeom prst="straightConnector1">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cxnSp>
        </xdr:grpSp>
        <xdr:sp macro="" textlink="">
          <xdr:nvSpPr>
            <xdr:cNvPr id="797" name="Vrije vorm 796"/>
            <xdr:cNvSpPr/>
          </xdr:nvSpPr>
          <xdr:spPr>
            <a:xfrm>
              <a:off x="2797341" y="2076683"/>
              <a:ext cx="2303882" cy="236150"/>
            </a:xfrm>
            <a:custGeom>
              <a:avLst/>
              <a:gdLst>
                <a:gd name="connsiteX0" fmla="*/ 0 w 2326482"/>
                <a:gd name="connsiteY0" fmla="*/ 126207 h 300038"/>
                <a:gd name="connsiteX1" fmla="*/ 0 w 2326482"/>
                <a:gd name="connsiteY1" fmla="*/ 126207 h 300038"/>
                <a:gd name="connsiteX2" fmla="*/ 40482 w 2326482"/>
                <a:gd name="connsiteY2" fmla="*/ 128588 h 300038"/>
                <a:gd name="connsiteX3" fmla="*/ 54769 w 2326482"/>
                <a:gd name="connsiteY3" fmla="*/ 130969 h 300038"/>
                <a:gd name="connsiteX4" fmla="*/ 83344 w 2326482"/>
                <a:gd name="connsiteY4" fmla="*/ 133350 h 300038"/>
                <a:gd name="connsiteX5" fmla="*/ 95250 w 2326482"/>
                <a:gd name="connsiteY5" fmla="*/ 135732 h 300038"/>
                <a:gd name="connsiteX6" fmla="*/ 135732 w 2326482"/>
                <a:gd name="connsiteY6" fmla="*/ 138113 h 300038"/>
                <a:gd name="connsiteX7" fmla="*/ 666750 w 2326482"/>
                <a:gd name="connsiteY7" fmla="*/ 128588 h 300038"/>
                <a:gd name="connsiteX8" fmla="*/ 676275 w 2326482"/>
                <a:gd name="connsiteY8" fmla="*/ 295275 h 300038"/>
                <a:gd name="connsiteX9" fmla="*/ 1804988 w 2326482"/>
                <a:gd name="connsiteY9" fmla="*/ 300038 h 300038"/>
                <a:gd name="connsiteX10" fmla="*/ 1800225 w 2326482"/>
                <a:gd name="connsiteY10" fmla="*/ 111919 h 300038"/>
                <a:gd name="connsiteX11" fmla="*/ 2319338 w 2326482"/>
                <a:gd name="connsiteY11" fmla="*/ 119063 h 300038"/>
                <a:gd name="connsiteX12" fmla="*/ 2326482 w 2326482"/>
                <a:gd name="connsiteY12" fmla="*/ 116682 h 300038"/>
                <a:gd name="connsiteX13" fmla="*/ 2326482 w 2326482"/>
                <a:gd name="connsiteY13" fmla="*/ 111919 h 300038"/>
                <a:gd name="connsiteX14" fmla="*/ 2240757 w 2326482"/>
                <a:gd name="connsiteY14" fmla="*/ 0 h 300038"/>
                <a:gd name="connsiteX15" fmla="*/ 2290763 w 2326482"/>
                <a:gd name="connsiteY15" fmla="*/ 19050 h 300038"/>
                <a:gd name="connsiteX16" fmla="*/ 2276475 w 2326482"/>
                <a:gd name="connsiteY16" fmla="*/ 26194 h 300038"/>
                <a:gd name="connsiteX0" fmla="*/ 0 w 2326482"/>
                <a:gd name="connsiteY0" fmla="*/ 126207 h 300038"/>
                <a:gd name="connsiteX1" fmla="*/ 0 w 2326482"/>
                <a:gd name="connsiteY1" fmla="*/ 126207 h 300038"/>
                <a:gd name="connsiteX2" fmla="*/ 40482 w 2326482"/>
                <a:gd name="connsiteY2" fmla="*/ 128588 h 300038"/>
                <a:gd name="connsiteX3" fmla="*/ 54769 w 2326482"/>
                <a:gd name="connsiteY3" fmla="*/ 130969 h 300038"/>
                <a:gd name="connsiteX4" fmla="*/ 83344 w 2326482"/>
                <a:gd name="connsiteY4" fmla="*/ 133350 h 300038"/>
                <a:gd name="connsiteX5" fmla="*/ 95250 w 2326482"/>
                <a:gd name="connsiteY5" fmla="*/ 135732 h 300038"/>
                <a:gd name="connsiteX6" fmla="*/ 135732 w 2326482"/>
                <a:gd name="connsiteY6" fmla="*/ 138113 h 300038"/>
                <a:gd name="connsiteX7" fmla="*/ 666750 w 2326482"/>
                <a:gd name="connsiteY7" fmla="*/ 128588 h 300038"/>
                <a:gd name="connsiteX8" fmla="*/ 676275 w 2326482"/>
                <a:gd name="connsiteY8" fmla="*/ 295275 h 300038"/>
                <a:gd name="connsiteX9" fmla="*/ 1804988 w 2326482"/>
                <a:gd name="connsiteY9" fmla="*/ 300038 h 300038"/>
                <a:gd name="connsiteX10" fmla="*/ 1800225 w 2326482"/>
                <a:gd name="connsiteY10" fmla="*/ 111919 h 300038"/>
                <a:gd name="connsiteX11" fmla="*/ 2319338 w 2326482"/>
                <a:gd name="connsiteY11" fmla="*/ 119063 h 300038"/>
                <a:gd name="connsiteX12" fmla="*/ 2326482 w 2326482"/>
                <a:gd name="connsiteY12" fmla="*/ 116682 h 300038"/>
                <a:gd name="connsiteX13" fmla="*/ 2326482 w 2326482"/>
                <a:gd name="connsiteY13" fmla="*/ 111919 h 300038"/>
                <a:gd name="connsiteX14" fmla="*/ 2240757 w 2326482"/>
                <a:gd name="connsiteY14" fmla="*/ 0 h 300038"/>
                <a:gd name="connsiteX15" fmla="*/ 2290763 w 2326482"/>
                <a:gd name="connsiteY15" fmla="*/ 19050 h 300038"/>
                <a:gd name="connsiteX16" fmla="*/ 2276475 w 2326482"/>
                <a:gd name="connsiteY16" fmla="*/ 26194 h 300038"/>
                <a:gd name="connsiteX0" fmla="*/ 0 w 2326482"/>
                <a:gd name="connsiteY0" fmla="*/ 126207 h 300038"/>
                <a:gd name="connsiteX1" fmla="*/ 0 w 2326482"/>
                <a:gd name="connsiteY1" fmla="*/ 126207 h 300038"/>
                <a:gd name="connsiteX2" fmla="*/ 40482 w 2326482"/>
                <a:gd name="connsiteY2" fmla="*/ 128588 h 300038"/>
                <a:gd name="connsiteX3" fmla="*/ 54769 w 2326482"/>
                <a:gd name="connsiteY3" fmla="*/ 130969 h 300038"/>
                <a:gd name="connsiteX4" fmla="*/ 83344 w 2326482"/>
                <a:gd name="connsiteY4" fmla="*/ 133350 h 300038"/>
                <a:gd name="connsiteX5" fmla="*/ 95250 w 2326482"/>
                <a:gd name="connsiteY5" fmla="*/ 135732 h 300038"/>
                <a:gd name="connsiteX6" fmla="*/ 135732 w 2326482"/>
                <a:gd name="connsiteY6" fmla="*/ 138113 h 300038"/>
                <a:gd name="connsiteX7" fmla="*/ 666750 w 2326482"/>
                <a:gd name="connsiteY7" fmla="*/ 128588 h 300038"/>
                <a:gd name="connsiteX8" fmla="*/ 676275 w 2326482"/>
                <a:gd name="connsiteY8" fmla="*/ 295275 h 300038"/>
                <a:gd name="connsiteX9" fmla="*/ 1804988 w 2326482"/>
                <a:gd name="connsiteY9" fmla="*/ 300038 h 300038"/>
                <a:gd name="connsiteX10" fmla="*/ 1800225 w 2326482"/>
                <a:gd name="connsiteY10" fmla="*/ 111919 h 300038"/>
                <a:gd name="connsiteX11" fmla="*/ 2319338 w 2326482"/>
                <a:gd name="connsiteY11" fmla="*/ 119063 h 300038"/>
                <a:gd name="connsiteX12" fmla="*/ 2326482 w 2326482"/>
                <a:gd name="connsiteY12" fmla="*/ 116682 h 300038"/>
                <a:gd name="connsiteX13" fmla="*/ 2326482 w 2326482"/>
                <a:gd name="connsiteY13" fmla="*/ 111919 h 300038"/>
                <a:gd name="connsiteX14" fmla="*/ 2240757 w 2326482"/>
                <a:gd name="connsiteY14" fmla="*/ 0 h 300038"/>
                <a:gd name="connsiteX15" fmla="*/ 2276475 w 2326482"/>
                <a:gd name="connsiteY15" fmla="*/ 26194 h 300038"/>
                <a:gd name="connsiteX0" fmla="*/ 0 w 2326482"/>
                <a:gd name="connsiteY0" fmla="*/ 126207 h 300038"/>
                <a:gd name="connsiteX1" fmla="*/ 0 w 2326482"/>
                <a:gd name="connsiteY1" fmla="*/ 126207 h 300038"/>
                <a:gd name="connsiteX2" fmla="*/ 40482 w 2326482"/>
                <a:gd name="connsiteY2" fmla="*/ 128588 h 300038"/>
                <a:gd name="connsiteX3" fmla="*/ 54769 w 2326482"/>
                <a:gd name="connsiteY3" fmla="*/ 130969 h 300038"/>
                <a:gd name="connsiteX4" fmla="*/ 83344 w 2326482"/>
                <a:gd name="connsiteY4" fmla="*/ 133350 h 300038"/>
                <a:gd name="connsiteX5" fmla="*/ 95250 w 2326482"/>
                <a:gd name="connsiteY5" fmla="*/ 135732 h 300038"/>
                <a:gd name="connsiteX6" fmla="*/ 135732 w 2326482"/>
                <a:gd name="connsiteY6" fmla="*/ 138113 h 300038"/>
                <a:gd name="connsiteX7" fmla="*/ 666750 w 2326482"/>
                <a:gd name="connsiteY7" fmla="*/ 128588 h 300038"/>
                <a:gd name="connsiteX8" fmla="*/ 676275 w 2326482"/>
                <a:gd name="connsiteY8" fmla="*/ 295275 h 300038"/>
                <a:gd name="connsiteX9" fmla="*/ 1804988 w 2326482"/>
                <a:gd name="connsiteY9" fmla="*/ 300038 h 300038"/>
                <a:gd name="connsiteX10" fmla="*/ 1800225 w 2326482"/>
                <a:gd name="connsiteY10" fmla="*/ 111919 h 300038"/>
                <a:gd name="connsiteX11" fmla="*/ 2319338 w 2326482"/>
                <a:gd name="connsiteY11" fmla="*/ 119063 h 300038"/>
                <a:gd name="connsiteX12" fmla="*/ 2326482 w 2326482"/>
                <a:gd name="connsiteY12" fmla="*/ 116682 h 300038"/>
                <a:gd name="connsiteX13" fmla="*/ 2326482 w 2326482"/>
                <a:gd name="connsiteY13" fmla="*/ 111919 h 300038"/>
                <a:gd name="connsiteX14" fmla="*/ 2240757 w 2326482"/>
                <a:gd name="connsiteY14" fmla="*/ 0 h 300038"/>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2319338 w 2326482"/>
                <a:gd name="connsiteY11" fmla="*/ 7144 h 188119"/>
                <a:gd name="connsiteX12" fmla="*/ 2326482 w 2326482"/>
                <a:gd name="connsiteY12" fmla="*/ 4763 h 188119"/>
                <a:gd name="connsiteX13" fmla="*/ 2326482 w 2326482"/>
                <a:gd name="connsiteY13"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1888332 w 2326482"/>
                <a:gd name="connsiteY11" fmla="*/ 0 h 188119"/>
                <a:gd name="connsiteX12" fmla="*/ 2319338 w 2326482"/>
                <a:gd name="connsiteY12" fmla="*/ 7144 h 188119"/>
                <a:gd name="connsiteX13" fmla="*/ 2326482 w 2326482"/>
                <a:gd name="connsiteY13" fmla="*/ 4763 h 188119"/>
                <a:gd name="connsiteX14" fmla="*/ 2326482 w 2326482"/>
                <a:gd name="connsiteY14"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1888332 w 2326482"/>
                <a:gd name="connsiteY11" fmla="*/ 0 h 188119"/>
                <a:gd name="connsiteX12" fmla="*/ 2147888 w 2326482"/>
                <a:gd name="connsiteY12" fmla="*/ 2488 h 188119"/>
                <a:gd name="connsiteX13" fmla="*/ 2319338 w 2326482"/>
                <a:gd name="connsiteY13" fmla="*/ 7144 h 188119"/>
                <a:gd name="connsiteX14" fmla="*/ 2326482 w 2326482"/>
                <a:gd name="connsiteY14" fmla="*/ 4763 h 188119"/>
                <a:gd name="connsiteX15" fmla="*/ 2326482 w 2326482"/>
                <a:gd name="connsiteY15"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2147888 w 2326482"/>
                <a:gd name="connsiteY11" fmla="*/ 2488 h 188119"/>
                <a:gd name="connsiteX12" fmla="*/ 2319338 w 2326482"/>
                <a:gd name="connsiteY12" fmla="*/ 7144 h 188119"/>
                <a:gd name="connsiteX13" fmla="*/ 2326482 w 2326482"/>
                <a:gd name="connsiteY13" fmla="*/ 4763 h 188119"/>
                <a:gd name="connsiteX14" fmla="*/ 2326482 w 2326482"/>
                <a:gd name="connsiteY14"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2147888 w 2326482"/>
                <a:gd name="connsiteY11" fmla="*/ 2488 h 188119"/>
                <a:gd name="connsiteX12" fmla="*/ 2319338 w 2326482"/>
                <a:gd name="connsiteY12" fmla="*/ 7144 h 188119"/>
                <a:gd name="connsiteX13" fmla="*/ 2326482 w 2326482"/>
                <a:gd name="connsiteY13" fmla="*/ 4763 h 188119"/>
                <a:gd name="connsiteX14" fmla="*/ 2326482 w 2326482"/>
                <a:gd name="connsiteY14"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2319338 w 2326482"/>
                <a:gd name="connsiteY11" fmla="*/ 7144 h 188119"/>
                <a:gd name="connsiteX12" fmla="*/ 2326482 w 2326482"/>
                <a:gd name="connsiteY12" fmla="*/ 4763 h 188119"/>
                <a:gd name="connsiteX13" fmla="*/ 2326482 w 2326482"/>
                <a:gd name="connsiteY13" fmla="*/ 0 h 188119"/>
                <a:gd name="connsiteX0" fmla="*/ 0 w 2326482"/>
                <a:gd name="connsiteY0" fmla="*/ 14288 h 188119"/>
                <a:gd name="connsiteX1" fmla="*/ 0 w 2326482"/>
                <a:gd name="connsiteY1" fmla="*/ 14288 h 188119"/>
                <a:gd name="connsiteX2" fmla="*/ 40482 w 2326482"/>
                <a:gd name="connsiteY2" fmla="*/ 16669 h 188119"/>
                <a:gd name="connsiteX3" fmla="*/ 54769 w 2326482"/>
                <a:gd name="connsiteY3" fmla="*/ 19050 h 188119"/>
                <a:gd name="connsiteX4" fmla="*/ 83344 w 2326482"/>
                <a:gd name="connsiteY4" fmla="*/ 21431 h 188119"/>
                <a:gd name="connsiteX5" fmla="*/ 95250 w 2326482"/>
                <a:gd name="connsiteY5" fmla="*/ 23813 h 188119"/>
                <a:gd name="connsiteX6" fmla="*/ 135732 w 2326482"/>
                <a:gd name="connsiteY6" fmla="*/ 26194 h 188119"/>
                <a:gd name="connsiteX7" fmla="*/ 666750 w 2326482"/>
                <a:gd name="connsiteY7" fmla="*/ 16669 h 188119"/>
                <a:gd name="connsiteX8" fmla="*/ 676275 w 2326482"/>
                <a:gd name="connsiteY8" fmla="*/ 183356 h 188119"/>
                <a:gd name="connsiteX9" fmla="*/ 1804988 w 2326482"/>
                <a:gd name="connsiteY9" fmla="*/ 188119 h 188119"/>
                <a:gd name="connsiteX10" fmla="*/ 1800225 w 2326482"/>
                <a:gd name="connsiteY10" fmla="*/ 0 h 188119"/>
                <a:gd name="connsiteX11" fmla="*/ 2319338 w 2326482"/>
                <a:gd name="connsiteY11" fmla="*/ 7144 h 188119"/>
                <a:gd name="connsiteX12" fmla="*/ 2326482 w 2326482"/>
                <a:gd name="connsiteY12" fmla="*/ 4763 h 188119"/>
                <a:gd name="connsiteX0" fmla="*/ 0 w 2326482"/>
                <a:gd name="connsiteY0" fmla="*/ 9525 h 183356"/>
                <a:gd name="connsiteX1" fmla="*/ 0 w 2326482"/>
                <a:gd name="connsiteY1" fmla="*/ 9525 h 183356"/>
                <a:gd name="connsiteX2" fmla="*/ 40482 w 2326482"/>
                <a:gd name="connsiteY2" fmla="*/ 11906 h 183356"/>
                <a:gd name="connsiteX3" fmla="*/ 54769 w 2326482"/>
                <a:gd name="connsiteY3" fmla="*/ 14287 h 183356"/>
                <a:gd name="connsiteX4" fmla="*/ 83344 w 2326482"/>
                <a:gd name="connsiteY4" fmla="*/ 16668 h 183356"/>
                <a:gd name="connsiteX5" fmla="*/ 95250 w 2326482"/>
                <a:gd name="connsiteY5" fmla="*/ 19050 h 183356"/>
                <a:gd name="connsiteX6" fmla="*/ 135732 w 2326482"/>
                <a:gd name="connsiteY6" fmla="*/ 21431 h 183356"/>
                <a:gd name="connsiteX7" fmla="*/ 666750 w 2326482"/>
                <a:gd name="connsiteY7" fmla="*/ 11906 h 183356"/>
                <a:gd name="connsiteX8" fmla="*/ 676275 w 2326482"/>
                <a:gd name="connsiteY8" fmla="*/ 178593 h 183356"/>
                <a:gd name="connsiteX9" fmla="*/ 1804988 w 2326482"/>
                <a:gd name="connsiteY9" fmla="*/ 183356 h 183356"/>
                <a:gd name="connsiteX10" fmla="*/ 1800225 w 2326482"/>
                <a:gd name="connsiteY10" fmla="*/ 7680 h 183356"/>
                <a:gd name="connsiteX11" fmla="*/ 2319338 w 2326482"/>
                <a:gd name="connsiteY11" fmla="*/ 2381 h 183356"/>
                <a:gd name="connsiteX12" fmla="*/ 2326482 w 2326482"/>
                <a:gd name="connsiteY12" fmla="*/ 0 h 183356"/>
                <a:gd name="connsiteX0" fmla="*/ 0 w 2319338"/>
                <a:gd name="connsiteY0" fmla="*/ 7144 h 180975"/>
                <a:gd name="connsiteX1" fmla="*/ 0 w 2319338"/>
                <a:gd name="connsiteY1" fmla="*/ 7144 h 180975"/>
                <a:gd name="connsiteX2" fmla="*/ 40482 w 2319338"/>
                <a:gd name="connsiteY2" fmla="*/ 9525 h 180975"/>
                <a:gd name="connsiteX3" fmla="*/ 54769 w 2319338"/>
                <a:gd name="connsiteY3" fmla="*/ 11906 h 180975"/>
                <a:gd name="connsiteX4" fmla="*/ 83344 w 2319338"/>
                <a:gd name="connsiteY4" fmla="*/ 14287 h 180975"/>
                <a:gd name="connsiteX5" fmla="*/ 95250 w 2319338"/>
                <a:gd name="connsiteY5" fmla="*/ 16669 h 180975"/>
                <a:gd name="connsiteX6" fmla="*/ 135732 w 2319338"/>
                <a:gd name="connsiteY6" fmla="*/ 19050 h 180975"/>
                <a:gd name="connsiteX7" fmla="*/ 666750 w 2319338"/>
                <a:gd name="connsiteY7" fmla="*/ 9525 h 180975"/>
                <a:gd name="connsiteX8" fmla="*/ 676275 w 2319338"/>
                <a:gd name="connsiteY8" fmla="*/ 176212 h 180975"/>
                <a:gd name="connsiteX9" fmla="*/ 1804988 w 2319338"/>
                <a:gd name="connsiteY9" fmla="*/ 180975 h 180975"/>
                <a:gd name="connsiteX10" fmla="*/ 1800225 w 2319338"/>
                <a:gd name="connsiteY10" fmla="*/ 5299 h 180975"/>
                <a:gd name="connsiteX11" fmla="*/ 2319338 w 2319338"/>
                <a:gd name="connsiteY11" fmla="*/ 0 h 180975"/>
                <a:gd name="connsiteX0" fmla="*/ 0 w 2319338"/>
                <a:gd name="connsiteY0" fmla="*/ 7144 h 180975"/>
                <a:gd name="connsiteX1" fmla="*/ 0 w 2319338"/>
                <a:gd name="connsiteY1" fmla="*/ 7144 h 180975"/>
                <a:gd name="connsiteX2" fmla="*/ 40482 w 2319338"/>
                <a:gd name="connsiteY2" fmla="*/ 9525 h 180975"/>
                <a:gd name="connsiteX3" fmla="*/ 54769 w 2319338"/>
                <a:gd name="connsiteY3" fmla="*/ 11906 h 180975"/>
                <a:gd name="connsiteX4" fmla="*/ 83344 w 2319338"/>
                <a:gd name="connsiteY4" fmla="*/ 14287 h 180975"/>
                <a:gd name="connsiteX5" fmla="*/ 95250 w 2319338"/>
                <a:gd name="connsiteY5" fmla="*/ 16669 h 180975"/>
                <a:gd name="connsiteX6" fmla="*/ 135732 w 2319338"/>
                <a:gd name="connsiteY6" fmla="*/ 19050 h 180975"/>
                <a:gd name="connsiteX7" fmla="*/ 666750 w 2319338"/>
                <a:gd name="connsiteY7" fmla="*/ 9525 h 180975"/>
                <a:gd name="connsiteX8" fmla="*/ 676275 w 2319338"/>
                <a:gd name="connsiteY8" fmla="*/ 176212 h 180975"/>
                <a:gd name="connsiteX9" fmla="*/ 1804988 w 2319338"/>
                <a:gd name="connsiteY9" fmla="*/ 180975 h 180975"/>
                <a:gd name="connsiteX10" fmla="*/ 1800225 w 2319338"/>
                <a:gd name="connsiteY10" fmla="*/ 5299 h 180975"/>
                <a:gd name="connsiteX11" fmla="*/ 2319338 w 2319338"/>
                <a:gd name="connsiteY11" fmla="*/ 0 h 180975"/>
                <a:gd name="connsiteX0" fmla="*/ 0 w 2319338"/>
                <a:gd name="connsiteY0" fmla="*/ 7144 h 180975"/>
                <a:gd name="connsiteX1" fmla="*/ 0 w 2319338"/>
                <a:gd name="connsiteY1" fmla="*/ 7144 h 180975"/>
                <a:gd name="connsiteX2" fmla="*/ 40482 w 2319338"/>
                <a:gd name="connsiteY2" fmla="*/ 9525 h 180975"/>
                <a:gd name="connsiteX3" fmla="*/ 54769 w 2319338"/>
                <a:gd name="connsiteY3" fmla="*/ 11906 h 180975"/>
                <a:gd name="connsiteX4" fmla="*/ 83344 w 2319338"/>
                <a:gd name="connsiteY4" fmla="*/ 14287 h 180975"/>
                <a:gd name="connsiteX5" fmla="*/ 95250 w 2319338"/>
                <a:gd name="connsiteY5" fmla="*/ 16669 h 180975"/>
                <a:gd name="connsiteX6" fmla="*/ 135732 w 2319338"/>
                <a:gd name="connsiteY6" fmla="*/ 19050 h 180975"/>
                <a:gd name="connsiteX7" fmla="*/ 666750 w 2319338"/>
                <a:gd name="connsiteY7" fmla="*/ 9525 h 180975"/>
                <a:gd name="connsiteX8" fmla="*/ 676275 w 2319338"/>
                <a:gd name="connsiteY8" fmla="*/ 176212 h 180975"/>
                <a:gd name="connsiteX9" fmla="*/ 1804988 w 2319338"/>
                <a:gd name="connsiteY9" fmla="*/ 180975 h 180975"/>
                <a:gd name="connsiteX10" fmla="*/ 1800225 w 2319338"/>
                <a:gd name="connsiteY10" fmla="*/ 5299 h 180975"/>
                <a:gd name="connsiteX11" fmla="*/ 2319338 w 2319338"/>
                <a:gd name="connsiteY11" fmla="*/ 0 h 180975"/>
                <a:gd name="connsiteX0" fmla="*/ 0 w 2319338"/>
                <a:gd name="connsiteY0" fmla="*/ 7969 h 181800"/>
                <a:gd name="connsiteX1" fmla="*/ 0 w 2319338"/>
                <a:gd name="connsiteY1" fmla="*/ 7969 h 181800"/>
                <a:gd name="connsiteX2" fmla="*/ 40482 w 2319338"/>
                <a:gd name="connsiteY2" fmla="*/ 10350 h 181800"/>
                <a:gd name="connsiteX3" fmla="*/ 54769 w 2319338"/>
                <a:gd name="connsiteY3" fmla="*/ 12731 h 181800"/>
                <a:gd name="connsiteX4" fmla="*/ 83344 w 2319338"/>
                <a:gd name="connsiteY4" fmla="*/ 15112 h 181800"/>
                <a:gd name="connsiteX5" fmla="*/ 95250 w 2319338"/>
                <a:gd name="connsiteY5" fmla="*/ 17494 h 181800"/>
                <a:gd name="connsiteX6" fmla="*/ 666750 w 2319338"/>
                <a:gd name="connsiteY6" fmla="*/ 10350 h 181800"/>
                <a:gd name="connsiteX7" fmla="*/ 676275 w 2319338"/>
                <a:gd name="connsiteY7" fmla="*/ 177037 h 181800"/>
                <a:gd name="connsiteX8" fmla="*/ 1804988 w 2319338"/>
                <a:gd name="connsiteY8" fmla="*/ 181800 h 181800"/>
                <a:gd name="connsiteX9" fmla="*/ 1800225 w 2319338"/>
                <a:gd name="connsiteY9" fmla="*/ 6124 h 181800"/>
                <a:gd name="connsiteX10" fmla="*/ 2319338 w 2319338"/>
                <a:gd name="connsiteY10" fmla="*/ 825 h 181800"/>
                <a:gd name="connsiteX0" fmla="*/ 0 w 2319338"/>
                <a:gd name="connsiteY0" fmla="*/ 8566 h 182397"/>
                <a:gd name="connsiteX1" fmla="*/ 0 w 2319338"/>
                <a:gd name="connsiteY1" fmla="*/ 8566 h 182397"/>
                <a:gd name="connsiteX2" fmla="*/ 40482 w 2319338"/>
                <a:gd name="connsiteY2" fmla="*/ 10947 h 182397"/>
                <a:gd name="connsiteX3" fmla="*/ 54769 w 2319338"/>
                <a:gd name="connsiteY3" fmla="*/ 13328 h 182397"/>
                <a:gd name="connsiteX4" fmla="*/ 83344 w 2319338"/>
                <a:gd name="connsiteY4" fmla="*/ 15709 h 182397"/>
                <a:gd name="connsiteX5" fmla="*/ 666750 w 2319338"/>
                <a:gd name="connsiteY5" fmla="*/ 10947 h 182397"/>
                <a:gd name="connsiteX6" fmla="*/ 676275 w 2319338"/>
                <a:gd name="connsiteY6" fmla="*/ 177634 h 182397"/>
                <a:gd name="connsiteX7" fmla="*/ 1804988 w 2319338"/>
                <a:gd name="connsiteY7" fmla="*/ 182397 h 182397"/>
                <a:gd name="connsiteX8" fmla="*/ 1800225 w 2319338"/>
                <a:gd name="connsiteY8" fmla="*/ 6721 h 182397"/>
                <a:gd name="connsiteX9" fmla="*/ 2319338 w 2319338"/>
                <a:gd name="connsiteY9" fmla="*/ 1422 h 182397"/>
                <a:gd name="connsiteX0" fmla="*/ 0 w 2319338"/>
                <a:gd name="connsiteY0" fmla="*/ 9201 h 183032"/>
                <a:gd name="connsiteX1" fmla="*/ 0 w 2319338"/>
                <a:gd name="connsiteY1" fmla="*/ 9201 h 183032"/>
                <a:gd name="connsiteX2" fmla="*/ 40482 w 2319338"/>
                <a:gd name="connsiteY2" fmla="*/ 11582 h 183032"/>
                <a:gd name="connsiteX3" fmla="*/ 54769 w 2319338"/>
                <a:gd name="connsiteY3" fmla="*/ 13963 h 183032"/>
                <a:gd name="connsiteX4" fmla="*/ 666750 w 2319338"/>
                <a:gd name="connsiteY4" fmla="*/ 11582 h 183032"/>
                <a:gd name="connsiteX5" fmla="*/ 676275 w 2319338"/>
                <a:gd name="connsiteY5" fmla="*/ 178269 h 183032"/>
                <a:gd name="connsiteX6" fmla="*/ 1804988 w 2319338"/>
                <a:gd name="connsiteY6" fmla="*/ 183032 h 183032"/>
                <a:gd name="connsiteX7" fmla="*/ 1800225 w 2319338"/>
                <a:gd name="connsiteY7" fmla="*/ 7356 h 183032"/>
                <a:gd name="connsiteX8" fmla="*/ 2319338 w 2319338"/>
                <a:gd name="connsiteY8" fmla="*/ 2057 h 183032"/>
                <a:gd name="connsiteX0" fmla="*/ 17918 w 2337256"/>
                <a:gd name="connsiteY0" fmla="*/ 9878 h 183709"/>
                <a:gd name="connsiteX1" fmla="*/ 17918 w 2337256"/>
                <a:gd name="connsiteY1" fmla="*/ 9878 h 183709"/>
                <a:gd name="connsiteX2" fmla="*/ 58400 w 2337256"/>
                <a:gd name="connsiteY2" fmla="*/ 12259 h 183709"/>
                <a:gd name="connsiteX3" fmla="*/ 684668 w 2337256"/>
                <a:gd name="connsiteY3" fmla="*/ 12259 h 183709"/>
                <a:gd name="connsiteX4" fmla="*/ 694193 w 2337256"/>
                <a:gd name="connsiteY4" fmla="*/ 178946 h 183709"/>
                <a:gd name="connsiteX5" fmla="*/ 1822906 w 2337256"/>
                <a:gd name="connsiteY5" fmla="*/ 183709 h 183709"/>
                <a:gd name="connsiteX6" fmla="*/ 1818143 w 2337256"/>
                <a:gd name="connsiteY6" fmla="*/ 8033 h 183709"/>
                <a:gd name="connsiteX7" fmla="*/ 2337256 w 2337256"/>
                <a:gd name="connsiteY7" fmla="*/ 2734 h 183709"/>
                <a:gd name="connsiteX0" fmla="*/ 0 w 2319338"/>
                <a:gd name="connsiteY0" fmla="*/ 10695 h 184526"/>
                <a:gd name="connsiteX1" fmla="*/ 0 w 2319338"/>
                <a:gd name="connsiteY1" fmla="*/ 10695 h 184526"/>
                <a:gd name="connsiteX2" fmla="*/ 666750 w 2319338"/>
                <a:gd name="connsiteY2" fmla="*/ 13076 h 184526"/>
                <a:gd name="connsiteX3" fmla="*/ 676275 w 2319338"/>
                <a:gd name="connsiteY3" fmla="*/ 179763 h 184526"/>
                <a:gd name="connsiteX4" fmla="*/ 1804988 w 2319338"/>
                <a:gd name="connsiteY4" fmla="*/ 184526 h 184526"/>
                <a:gd name="connsiteX5" fmla="*/ 1800225 w 2319338"/>
                <a:gd name="connsiteY5" fmla="*/ 8850 h 184526"/>
                <a:gd name="connsiteX6" fmla="*/ 2319338 w 2319338"/>
                <a:gd name="connsiteY6" fmla="*/ 3551 h 184526"/>
                <a:gd name="connsiteX0" fmla="*/ 0 w 2319338"/>
                <a:gd name="connsiteY0" fmla="*/ 11373 h 185204"/>
                <a:gd name="connsiteX1" fmla="*/ 0 w 2319338"/>
                <a:gd name="connsiteY1" fmla="*/ 11373 h 185204"/>
                <a:gd name="connsiteX2" fmla="*/ 109538 w 2319338"/>
                <a:gd name="connsiteY2" fmla="*/ 9530 h 185204"/>
                <a:gd name="connsiteX3" fmla="*/ 666750 w 2319338"/>
                <a:gd name="connsiteY3" fmla="*/ 13754 h 185204"/>
                <a:gd name="connsiteX4" fmla="*/ 676275 w 2319338"/>
                <a:gd name="connsiteY4" fmla="*/ 180441 h 185204"/>
                <a:gd name="connsiteX5" fmla="*/ 1804988 w 2319338"/>
                <a:gd name="connsiteY5" fmla="*/ 185204 h 185204"/>
                <a:gd name="connsiteX6" fmla="*/ 1800225 w 2319338"/>
                <a:gd name="connsiteY6" fmla="*/ 9528 h 185204"/>
                <a:gd name="connsiteX7" fmla="*/ 2319338 w 2319338"/>
                <a:gd name="connsiteY7" fmla="*/ 4229 h 185204"/>
                <a:gd name="connsiteX0" fmla="*/ 0 w 2319338"/>
                <a:gd name="connsiteY0" fmla="*/ 11373 h 185204"/>
                <a:gd name="connsiteX1" fmla="*/ 0 w 2319338"/>
                <a:gd name="connsiteY1" fmla="*/ 11373 h 185204"/>
                <a:gd name="connsiteX2" fmla="*/ 109538 w 2319338"/>
                <a:gd name="connsiteY2" fmla="*/ 9530 h 185204"/>
                <a:gd name="connsiteX3" fmla="*/ 666750 w 2319338"/>
                <a:gd name="connsiteY3" fmla="*/ 13754 h 185204"/>
                <a:gd name="connsiteX4" fmla="*/ 676275 w 2319338"/>
                <a:gd name="connsiteY4" fmla="*/ 180441 h 185204"/>
                <a:gd name="connsiteX5" fmla="*/ 1804988 w 2319338"/>
                <a:gd name="connsiteY5" fmla="*/ 185204 h 185204"/>
                <a:gd name="connsiteX6" fmla="*/ 1800225 w 2319338"/>
                <a:gd name="connsiteY6" fmla="*/ 9528 h 185204"/>
                <a:gd name="connsiteX7" fmla="*/ 2319338 w 2319338"/>
                <a:gd name="connsiteY7" fmla="*/ 4229 h 185204"/>
                <a:gd name="connsiteX0" fmla="*/ 0 w 2319338"/>
                <a:gd name="connsiteY0" fmla="*/ 17161 h 190992"/>
                <a:gd name="connsiteX1" fmla="*/ 0 w 2319338"/>
                <a:gd name="connsiteY1" fmla="*/ 17161 h 190992"/>
                <a:gd name="connsiteX2" fmla="*/ 109538 w 2319338"/>
                <a:gd name="connsiteY2" fmla="*/ 15318 h 190992"/>
                <a:gd name="connsiteX3" fmla="*/ 497682 w 2319338"/>
                <a:gd name="connsiteY3" fmla="*/ 2875 h 190992"/>
                <a:gd name="connsiteX4" fmla="*/ 666750 w 2319338"/>
                <a:gd name="connsiteY4" fmla="*/ 19542 h 190992"/>
                <a:gd name="connsiteX5" fmla="*/ 676275 w 2319338"/>
                <a:gd name="connsiteY5" fmla="*/ 186229 h 190992"/>
                <a:gd name="connsiteX6" fmla="*/ 1804988 w 2319338"/>
                <a:gd name="connsiteY6" fmla="*/ 190992 h 190992"/>
                <a:gd name="connsiteX7" fmla="*/ 1800225 w 2319338"/>
                <a:gd name="connsiteY7" fmla="*/ 15316 h 190992"/>
                <a:gd name="connsiteX8" fmla="*/ 2319338 w 2319338"/>
                <a:gd name="connsiteY8" fmla="*/ 10017 h 190992"/>
                <a:gd name="connsiteX0" fmla="*/ 0 w 2319338"/>
                <a:gd name="connsiteY0" fmla="*/ 11374 h 185205"/>
                <a:gd name="connsiteX1" fmla="*/ 0 w 2319338"/>
                <a:gd name="connsiteY1" fmla="*/ 11374 h 185205"/>
                <a:gd name="connsiteX2" fmla="*/ 109538 w 2319338"/>
                <a:gd name="connsiteY2" fmla="*/ 9531 h 185205"/>
                <a:gd name="connsiteX3" fmla="*/ 666750 w 2319338"/>
                <a:gd name="connsiteY3" fmla="*/ 13755 h 185205"/>
                <a:gd name="connsiteX4" fmla="*/ 676275 w 2319338"/>
                <a:gd name="connsiteY4" fmla="*/ 180442 h 185205"/>
                <a:gd name="connsiteX5" fmla="*/ 1804988 w 2319338"/>
                <a:gd name="connsiteY5" fmla="*/ 185205 h 185205"/>
                <a:gd name="connsiteX6" fmla="*/ 1800225 w 2319338"/>
                <a:gd name="connsiteY6" fmla="*/ 9529 h 185205"/>
                <a:gd name="connsiteX7" fmla="*/ 2319338 w 2319338"/>
                <a:gd name="connsiteY7" fmla="*/ 4230 h 185205"/>
                <a:gd name="connsiteX0" fmla="*/ 0 w 2319338"/>
                <a:gd name="connsiteY0" fmla="*/ 10696 h 184527"/>
                <a:gd name="connsiteX1" fmla="*/ 0 w 2319338"/>
                <a:gd name="connsiteY1" fmla="*/ 10696 h 184527"/>
                <a:gd name="connsiteX2" fmla="*/ 666750 w 2319338"/>
                <a:gd name="connsiteY2" fmla="*/ 13077 h 184527"/>
                <a:gd name="connsiteX3" fmla="*/ 676275 w 2319338"/>
                <a:gd name="connsiteY3" fmla="*/ 179764 h 184527"/>
                <a:gd name="connsiteX4" fmla="*/ 1804988 w 2319338"/>
                <a:gd name="connsiteY4" fmla="*/ 184527 h 184527"/>
                <a:gd name="connsiteX5" fmla="*/ 1800225 w 2319338"/>
                <a:gd name="connsiteY5" fmla="*/ 8851 h 184527"/>
                <a:gd name="connsiteX6" fmla="*/ 2319338 w 2319338"/>
                <a:gd name="connsiteY6" fmla="*/ 3552 h 184527"/>
                <a:gd name="connsiteX0" fmla="*/ 0 w 2319338"/>
                <a:gd name="connsiteY0" fmla="*/ 10508 h 184339"/>
                <a:gd name="connsiteX1" fmla="*/ 0 w 2319338"/>
                <a:gd name="connsiteY1" fmla="*/ 10508 h 184339"/>
                <a:gd name="connsiteX2" fmla="*/ 666750 w 2319338"/>
                <a:gd name="connsiteY2" fmla="*/ 12889 h 184339"/>
                <a:gd name="connsiteX3" fmla="*/ 676275 w 2319338"/>
                <a:gd name="connsiteY3" fmla="*/ 179576 h 184339"/>
                <a:gd name="connsiteX4" fmla="*/ 1804988 w 2319338"/>
                <a:gd name="connsiteY4" fmla="*/ 184339 h 184339"/>
                <a:gd name="connsiteX5" fmla="*/ 1800225 w 2319338"/>
                <a:gd name="connsiteY5" fmla="*/ 8663 h 184339"/>
                <a:gd name="connsiteX6" fmla="*/ 2319338 w 2319338"/>
                <a:gd name="connsiteY6" fmla="*/ 3364 h 184339"/>
                <a:gd name="connsiteX0" fmla="*/ 0 w 2319338"/>
                <a:gd name="connsiteY0" fmla="*/ 7144 h 180975"/>
                <a:gd name="connsiteX1" fmla="*/ 0 w 2319338"/>
                <a:gd name="connsiteY1" fmla="*/ 7144 h 180975"/>
                <a:gd name="connsiteX2" fmla="*/ 676275 w 2319338"/>
                <a:gd name="connsiteY2" fmla="*/ 176212 h 180975"/>
                <a:gd name="connsiteX3" fmla="*/ 1804988 w 2319338"/>
                <a:gd name="connsiteY3" fmla="*/ 180975 h 180975"/>
                <a:gd name="connsiteX4" fmla="*/ 1800225 w 2319338"/>
                <a:gd name="connsiteY4" fmla="*/ 5299 h 180975"/>
                <a:gd name="connsiteX5" fmla="*/ 2319338 w 2319338"/>
                <a:gd name="connsiteY5" fmla="*/ 0 h 180975"/>
                <a:gd name="connsiteX0" fmla="*/ 0 w 2319338"/>
                <a:gd name="connsiteY0" fmla="*/ 7144 h 180975"/>
                <a:gd name="connsiteX1" fmla="*/ 0 w 2319338"/>
                <a:gd name="connsiteY1" fmla="*/ 7144 h 180975"/>
                <a:gd name="connsiteX2" fmla="*/ 390525 w 2319338"/>
                <a:gd name="connsiteY2" fmla="*/ 122266 h 180975"/>
                <a:gd name="connsiteX3" fmla="*/ 676275 w 2319338"/>
                <a:gd name="connsiteY3" fmla="*/ 176212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0 w 2319338"/>
                <a:gd name="connsiteY1" fmla="*/ 7144 h 180975"/>
                <a:gd name="connsiteX2" fmla="*/ 664369 w 2319338"/>
                <a:gd name="connsiteY2" fmla="*/ 15254 h 180975"/>
                <a:gd name="connsiteX3" fmla="*/ 676275 w 2319338"/>
                <a:gd name="connsiteY3" fmla="*/ 176212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0 w 2319338"/>
                <a:gd name="connsiteY1" fmla="*/ 7144 h 180975"/>
                <a:gd name="connsiteX2" fmla="*/ 664369 w 2319338"/>
                <a:gd name="connsiteY2" fmla="*/ 15254 h 180975"/>
                <a:gd name="connsiteX3" fmla="*/ 676275 w 2319338"/>
                <a:gd name="connsiteY3" fmla="*/ 176212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0 w 2319338"/>
                <a:gd name="connsiteY1" fmla="*/ 7144 h 180975"/>
                <a:gd name="connsiteX2" fmla="*/ 664369 w 2319338"/>
                <a:gd name="connsiteY2" fmla="*/ 15254 h 180975"/>
                <a:gd name="connsiteX3" fmla="*/ 676275 w 2319338"/>
                <a:gd name="connsiteY3" fmla="*/ 176212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0 w 2319338"/>
                <a:gd name="connsiteY1" fmla="*/ 7144 h 180975"/>
                <a:gd name="connsiteX2" fmla="*/ 664369 w 2319338"/>
                <a:gd name="connsiteY2" fmla="*/ 15254 h 180975"/>
                <a:gd name="connsiteX3" fmla="*/ 669131 w 2319338"/>
                <a:gd name="connsiteY3" fmla="*/ 173724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2385 w 2319338"/>
                <a:gd name="connsiteY1" fmla="*/ 16667 h 180975"/>
                <a:gd name="connsiteX2" fmla="*/ 664369 w 2319338"/>
                <a:gd name="connsiteY2" fmla="*/ 15254 h 180975"/>
                <a:gd name="connsiteX3" fmla="*/ 669131 w 2319338"/>
                <a:gd name="connsiteY3" fmla="*/ 173724 h 180975"/>
                <a:gd name="connsiteX4" fmla="*/ 1804988 w 2319338"/>
                <a:gd name="connsiteY4" fmla="*/ 180975 h 180975"/>
                <a:gd name="connsiteX5" fmla="*/ 1800225 w 2319338"/>
                <a:gd name="connsiteY5" fmla="*/ 5299 h 180975"/>
                <a:gd name="connsiteX6" fmla="*/ 2319338 w 2319338"/>
                <a:gd name="connsiteY6" fmla="*/ 0 h 180975"/>
                <a:gd name="connsiteX0" fmla="*/ 0 w 2319338"/>
                <a:gd name="connsiteY0" fmla="*/ 7144 h 180975"/>
                <a:gd name="connsiteX1" fmla="*/ 664369 w 2319338"/>
                <a:gd name="connsiteY1" fmla="*/ 15254 h 180975"/>
                <a:gd name="connsiteX2" fmla="*/ 669131 w 2319338"/>
                <a:gd name="connsiteY2" fmla="*/ 173724 h 180975"/>
                <a:gd name="connsiteX3" fmla="*/ 1804988 w 2319338"/>
                <a:gd name="connsiteY3" fmla="*/ 180975 h 180975"/>
                <a:gd name="connsiteX4" fmla="*/ 1800225 w 2319338"/>
                <a:gd name="connsiteY4" fmla="*/ 5299 h 180975"/>
                <a:gd name="connsiteX5" fmla="*/ 2319338 w 2319338"/>
                <a:gd name="connsiteY5" fmla="*/ 0 h 180975"/>
                <a:gd name="connsiteX0" fmla="*/ 0 w 2321723"/>
                <a:gd name="connsiteY0" fmla="*/ 14285 h 180975"/>
                <a:gd name="connsiteX1" fmla="*/ 666754 w 2321723"/>
                <a:gd name="connsiteY1" fmla="*/ 15254 h 180975"/>
                <a:gd name="connsiteX2" fmla="*/ 671516 w 2321723"/>
                <a:gd name="connsiteY2" fmla="*/ 173724 h 180975"/>
                <a:gd name="connsiteX3" fmla="*/ 1807373 w 2321723"/>
                <a:gd name="connsiteY3" fmla="*/ 180975 h 180975"/>
                <a:gd name="connsiteX4" fmla="*/ 1802610 w 2321723"/>
                <a:gd name="connsiteY4" fmla="*/ 5299 h 180975"/>
                <a:gd name="connsiteX5" fmla="*/ 2321723 w 2321723"/>
                <a:gd name="connsiteY5" fmla="*/ 0 h 180975"/>
                <a:gd name="connsiteX0" fmla="*/ 0 w 2321723"/>
                <a:gd name="connsiteY0" fmla="*/ 9523 h 176213"/>
                <a:gd name="connsiteX1" fmla="*/ 666754 w 2321723"/>
                <a:gd name="connsiteY1" fmla="*/ 10492 h 176213"/>
                <a:gd name="connsiteX2" fmla="*/ 671516 w 2321723"/>
                <a:gd name="connsiteY2" fmla="*/ 168962 h 176213"/>
                <a:gd name="connsiteX3" fmla="*/ 1807373 w 2321723"/>
                <a:gd name="connsiteY3" fmla="*/ 176213 h 176213"/>
                <a:gd name="connsiteX4" fmla="*/ 1802610 w 2321723"/>
                <a:gd name="connsiteY4" fmla="*/ 537 h 176213"/>
                <a:gd name="connsiteX5" fmla="*/ 2321723 w 2321723"/>
                <a:gd name="connsiteY5" fmla="*/ 0 h 176213"/>
                <a:gd name="connsiteX0" fmla="*/ 0 w 2321723"/>
                <a:gd name="connsiteY0" fmla="*/ 9523 h 176213"/>
                <a:gd name="connsiteX1" fmla="*/ 666754 w 2321723"/>
                <a:gd name="connsiteY1" fmla="*/ 10492 h 176213"/>
                <a:gd name="connsiteX2" fmla="*/ 671516 w 2321723"/>
                <a:gd name="connsiteY2" fmla="*/ 168962 h 176213"/>
                <a:gd name="connsiteX3" fmla="*/ 1807373 w 2321723"/>
                <a:gd name="connsiteY3" fmla="*/ 176213 h 176213"/>
                <a:gd name="connsiteX4" fmla="*/ 1807381 w 2321723"/>
                <a:gd name="connsiteY4" fmla="*/ 537 h 176213"/>
                <a:gd name="connsiteX5" fmla="*/ 2321723 w 2321723"/>
                <a:gd name="connsiteY5" fmla="*/ 0 h 176213"/>
                <a:gd name="connsiteX0" fmla="*/ 0 w 2321723"/>
                <a:gd name="connsiteY0" fmla="*/ 9523 h 176213"/>
                <a:gd name="connsiteX1" fmla="*/ 666754 w 2321723"/>
                <a:gd name="connsiteY1" fmla="*/ 10492 h 176213"/>
                <a:gd name="connsiteX2" fmla="*/ 671516 w 2321723"/>
                <a:gd name="connsiteY2" fmla="*/ 173724 h 176213"/>
                <a:gd name="connsiteX3" fmla="*/ 1807373 w 2321723"/>
                <a:gd name="connsiteY3" fmla="*/ 176213 h 176213"/>
                <a:gd name="connsiteX4" fmla="*/ 1807381 w 2321723"/>
                <a:gd name="connsiteY4" fmla="*/ 537 h 176213"/>
                <a:gd name="connsiteX5" fmla="*/ 2321723 w 2321723"/>
                <a:gd name="connsiteY5" fmla="*/ 0 h 176213"/>
                <a:gd name="connsiteX0" fmla="*/ 0 w 2321723"/>
                <a:gd name="connsiteY0" fmla="*/ 9523 h 176213"/>
                <a:gd name="connsiteX1" fmla="*/ 666754 w 2321723"/>
                <a:gd name="connsiteY1" fmla="*/ 10492 h 176213"/>
                <a:gd name="connsiteX2" fmla="*/ 671516 w 2321723"/>
                <a:gd name="connsiteY2" fmla="*/ 176104 h 176213"/>
                <a:gd name="connsiteX3" fmla="*/ 1807373 w 2321723"/>
                <a:gd name="connsiteY3" fmla="*/ 176213 h 176213"/>
                <a:gd name="connsiteX4" fmla="*/ 1807381 w 2321723"/>
                <a:gd name="connsiteY4" fmla="*/ 537 h 176213"/>
                <a:gd name="connsiteX5" fmla="*/ 2321723 w 2321723"/>
                <a:gd name="connsiteY5" fmla="*/ 0 h 176213"/>
                <a:gd name="connsiteX0" fmla="*/ 0 w 2321723"/>
                <a:gd name="connsiteY0" fmla="*/ 9523 h 176213"/>
                <a:gd name="connsiteX1" fmla="*/ 666754 w 2321723"/>
                <a:gd name="connsiteY1" fmla="*/ 10492 h 176213"/>
                <a:gd name="connsiteX2" fmla="*/ 671516 w 2321723"/>
                <a:gd name="connsiteY2" fmla="*/ 176104 h 176213"/>
                <a:gd name="connsiteX3" fmla="*/ 1807373 w 2321723"/>
                <a:gd name="connsiteY3" fmla="*/ 176213 h 176213"/>
                <a:gd name="connsiteX4" fmla="*/ 1807381 w 2321723"/>
                <a:gd name="connsiteY4" fmla="*/ 5533 h 176213"/>
                <a:gd name="connsiteX5" fmla="*/ 2321723 w 2321723"/>
                <a:gd name="connsiteY5" fmla="*/ 0 h 176213"/>
                <a:gd name="connsiteX0" fmla="*/ 0 w 2324108"/>
                <a:gd name="connsiteY0" fmla="*/ 7858 h 174548"/>
                <a:gd name="connsiteX1" fmla="*/ 666754 w 2324108"/>
                <a:gd name="connsiteY1" fmla="*/ 8827 h 174548"/>
                <a:gd name="connsiteX2" fmla="*/ 671516 w 2324108"/>
                <a:gd name="connsiteY2" fmla="*/ 174439 h 174548"/>
                <a:gd name="connsiteX3" fmla="*/ 1807373 w 2324108"/>
                <a:gd name="connsiteY3" fmla="*/ 174548 h 174548"/>
                <a:gd name="connsiteX4" fmla="*/ 1807381 w 2324108"/>
                <a:gd name="connsiteY4" fmla="*/ 3868 h 174548"/>
                <a:gd name="connsiteX5" fmla="*/ 2324108 w 2324108"/>
                <a:gd name="connsiteY5" fmla="*/ 0 h 174548"/>
                <a:gd name="connsiteX0" fmla="*/ 0 w 2324108"/>
                <a:gd name="connsiteY0" fmla="*/ 6193 h 172883"/>
                <a:gd name="connsiteX1" fmla="*/ 666754 w 2324108"/>
                <a:gd name="connsiteY1" fmla="*/ 7162 h 172883"/>
                <a:gd name="connsiteX2" fmla="*/ 671516 w 2324108"/>
                <a:gd name="connsiteY2" fmla="*/ 172774 h 172883"/>
                <a:gd name="connsiteX3" fmla="*/ 1807373 w 2324108"/>
                <a:gd name="connsiteY3" fmla="*/ 172883 h 172883"/>
                <a:gd name="connsiteX4" fmla="*/ 1807381 w 2324108"/>
                <a:gd name="connsiteY4" fmla="*/ 2203 h 172883"/>
                <a:gd name="connsiteX5" fmla="*/ 2324108 w 2324108"/>
                <a:gd name="connsiteY5" fmla="*/ 0 h 172883"/>
                <a:gd name="connsiteX0" fmla="*/ 0 w 2324108"/>
                <a:gd name="connsiteY0" fmla="*/ 6193 h 172883"/>
                <a:gd name="connsiteX1" fmla="*/ 666754 w 2324108"/>
                <a:gd name="connsiteY1" fmla="*/ 7162 h 172883"/>
                <a:gd name="connsiteX2" fmla="*/ 671516 w 2324108"/>
                <a:gd name="connsiteY2" fmla="*/ 172774 h 172883"/>
                <a:gd name="connsiteX3" fmla="*/ 1807373 w 2324108"/>
                <a:gd name="connsiteY3" fmla="*/ 172883 h 172883"/>
                <a:gd name="connsiteX4" fmla="*/ 1807381 w 2324108"/>
                <a:gd name="connsiteY4" fmla="*/ 4423 h 172883"/>
                <a:gd name="connsiteX5" fmla="*/ 2324108 w 2324108"/>
                <a:gd name="connsiteY5" fmla="*/ 0 h 172883"/>
                <a:gd name="connsiteX0" fmla="*/ 0 w 2320927"/>
                <a:gd name="connsiteY0" fmla="*/ 1770 h 168460"/>
                <a:gd name="connsiteX1" fmla="*/ 666754 w 2320927"/>
                <a:gd name="connsiteY1" fmla="*/ 2739 h 168460"/>
                <a:gd name="connsiteX2" fmla="*/ 671516 w 2320927"/>
                <a:gd name="connsiteY2" fmla="*/ 168351 h 168460"/>
                <a:gd name="connsiteX3" fmla="*/ 1807373 w 2320927"/>
                <a:gd name="connsiteY3" fmla="*/ 168460 h 168460"/>
                <a:gd name="connsiteX4" fmla="*/ 1807381 w 2320927"/>
                <a:gd name="connsiteY4" fmla="*/ 0 h 168460"/>
                <a:gd name="connsiteX5" fmla="*/ 2320927 w 2320927"/>
                <a:gd name="connsiteY5" fmla="*/ 2237 h 168460"/>
                <a:gd name="connsiteX0" fmla="*/ 0 w 2320927"/>
                <a:gd name="connsiteY0" fmla="*/ 0 h 166690"/>
                <a:gd name="connsiteX1" fmla="*/ 666754 w 2320927"/>
                <a:gd name="connsiteY1" fmla="*/ 969 h 166690"/>
                <a:gd name="connsiteX2" fmla="*/ 671516 w 2320927"/>
                <a:gd name="connsiteY2" fmla="*/ 166581 h 166690"/>
                <a:gd name="connsiteX3" fmla="*/ 1807373 w 2320927"/>
                <a:gd name="connsiteY3" fmla="*/ 166690 h 166690"/>
                <a:gd name="connsiteX4" fmla="*/ 1807381 w 2320927"/>
                <a:gd name="connsiteY4" fmla="*/ 1560 h 166690"/>
                <a:gd name="connsiteX5" fmla="*/ 2320927 w 2320927"/>
                <a:gd name="connsiteY5" fmla="*/ 467 h 166690"/>
                <a:gd name="connsiteX0" fmla="*/ 0 w 2320927"/>
                <a:gd name="connsiteY0" fmla="*/ 0 h 166690"/>
                <a:gd name="connsiteX1" fmla="*/ 666754 w 2320927"/>
                <a:gd name="connsiteY1" fmla="*/ 969 h 166690"/>
                <a:gd name="connsiteX2" fmla="*/ 671516 w 2320927"/>
                <a:gd name="connsiteY2" fmla="*/ 166581 h 166690"/>
                <a:gd name="connsiteX3" fmla="*/ 1766816 w 2320927"/>
                <a:gd name="connsiteY3" fmla="*/ 166690 h 166690"/>
                <a:gd name="connsiteX4" fmla="*/ 1807381 w 2320927"/>
                <a:gd name="connsiteY4" fmla="*/ 1560 h 166690"/>
                <a:gd name="connsiteX5" fmla="*/ 2320927 w 2320927"/>
                <a:gd name="connsiteY5" fmla="*/ 467 h 166690"/>
                <a:gd name="connsiteX0" fmla="*/ 0 w 2320927"/>
                <a:gd name="connsiteY0" fmla="*/ 0 h 166690"/>
                <a:gd name="connsiteX1" fmla="*/ 666754 w 2320927"/>
                <a:gd name="connsiteY1" fmla="*/ 969 h 166690"/>
                <a:gd name="connsiteX2" fmla="*/ 671516 w 2320927"/>
                <a:gd name="connsiteY2" fmla="*/ 166581 h 166690"/>
                <a:gd name="connsiteX3" fmla="*/ 1766816 w 2320927"/>
                <a:gd name="connsiteY3" fmla="*/ 166690 h 166690"/>
                <a:gd name="connsiteX4" fmla="*/ 1759667 w 2320927"/>
                <a:gd name="connsiteY4" fmla="*/ 1560 h 166690"/>
                <a:gd name="connsiteX5" fmla="*/ 2320927 w 2320927"/>
                <a:gd name="connsiteY5" fmla="*/ 467 h 166690"/>
                <a:gd name="connsiteX0" fmla="*/ 0 w 2320927"/>
                <a:gd name="connsiteY0" fmla="*/ 0 h 166690"/>
                <a:gd name="connsiteX1" fmla="*/ 666754 w 2320927"/>
                <a:gd name="connsiteY1" fmla="*/ 969 h 166690"/>
                <a:gd name="connsiteX2" fmla="*/ 671516 w 2320927"/>
                <a:gd name="connsiteY2" fmla="*/ 166581 h 166690"/>
                <a:gd name="connsiteX3" fmla="*/ 1766816 w 2320927"/>
                <a:gd name="connsiteY3" fmla="*/ 166690 h 166690"/>
                <a:gd name="connsiteX4" fmla="*/ 1759667 w 2320927"/>
                <a:gd name="connsiteY4" fmla="*/ 1560 h 166690"/>
                <a:gd name="connsiteX5" fmla="*/ 2320927 w 2320927"/>
                <a:gd name="connsiteY5" fmla="*/ 467 h 166690"/>
                <a:gd name="connsiteX0" fmla="*/ 0 w 2320927"/>
                <a:gd name="connsiteY0" fmla="*/ 0 h 166690"/>
                <a:gd name="connsiteX1" fmla="*/ 666754 w 2320927"/>
                <a:gd name="connsiteY1" fmla="*/ 969 h 166690"/>
                <a:gd name="connsiteX2" fmla="*/ 671516 w 2320927"/>
                <a:gd name="connsiteY2" fmla="*/ 166581 h 166690"/>
                <a:gd name="connsiteX3" fmla="*/ 1766816 w 2320927"/>
                <a:gd name="connsiteY3" fmla="*/ 166690 h 166690"/>
                <a:gd name="connsiteX4" fmla="*/ 1759667 w 2320927"/>
                <a:gd name="connsiteY4" fmla="*/ 1560 h 166690"/>
                <a:gd name="connsiteX5" fmla="*/ 2320927 w 2320927"/>
                <a:gd name="connsiteY5" fmla="*/ 467 h 166690"/>
                <a:gd name="connsiteX0" fmla="*/ 0 w 2320927"/>
                <a:gd name="connsiteY0" fmla="*/ 0 h 166690"/>
                <a:gd name="connsiteX1" fmla="*/ 666754 w 2320927"/>
                <a:gd name="connsiteY1" fmla="*/ 969 h 166690"/>
                <a:gd name="connsiteX2" fmla="*/ 671516 w 2320927"/>
                <a:gd name="connsiteY2" fmla="*/ 166581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0 h 166690"/>
                <a:gd name="connsiteX1" fmla="*/ 681069 w 2320927"/>
                <a:gd name="connsiteY1" fmla="*/ 969 h 166690"/>
                <a:gd name="connsiteX2" fmla="*/ 671516 w 2320927"/>
                <a:gd name="connsiteY2" fmla="*/ 166581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0 h 166690"/>
                <a:gd name="connsiteX1" fmla="*/ 681069 w 2320927"/>
                <a:gd name="connsiteY1" fmla="*/ 969 h 166690"/>
                <a:gd name="connsiteX2" fmla="*/ 690602 w 2320927"/>
                <a:gd name="connsiteY2" fmla="*/ 166581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0 h 166690"/>
                <a:gd name="connsiteX1" fmla="*/ 690612 w 2320927"/>
                <a:gd name="connsiteY1" fmla="*/ 969 h 166690"/>
                <a:gd name="connsiteX2" fmla="*/ 690602 w 2320927"/>
                <a:gd name="connsiteY2" fmla="*/ 166581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0 h 166690"/>
                <a:gd name="connsiteX1" fmla="*/ 690612 w 2320927"/>
                <a:gd name="connsiteY1" fmla="*/ 969 h 166690"/>
                <a:gd name="connsiteX2" fmla="*/ 709462 w 2320927"/>
                <a:gd name="connsiteY2" fmla="*/ 164916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0 h 166690"/>
                <a:gd name="connsiteX1" fmla="*/ 709472 w 2320927"/>
                <a:gd name="connsiteY1" fmla="*/ 969 h 166690"/>
                <a:gd name="connsiteX2" fmla="*/ 709462 w 2320927"/>
                <a:gd name="connsiteY2" fmla="*/ 164916 h 166690"/>
                <a:gd name="connsiteX3" fmla="*/ 1766816 w 2320927"/>
                <a:gd name="connsiteY3" fmla="*/ 166690 h 166690"/>
                <a:gd name="connsiteX4" fmla="*/ 1764439 w 2320927"/>
                <a:gd name="connsiteY4" fmla="*/ 1560 h 166690"/>
                <a:gd name="connsiteX5" fmla="*/ 2320927 w 2320927"/>
                <a:gd name="connsiteY5" fmla="*/ 467 h 166690"/>
                <a:gd name="connsiteX0" fmla="*/ 0 w 2320927"/>
                <a:gd name="connsiteY0" fmla="*/ 10959 h 177649"/>
                <a:gd name="connsiteX1" fmla="*/ 709472 w 2320927"/>
                <a:gd name="connsiteY1" fmla="*/ 11928 h 177649"/>
                <a:gd name="connsiteX2" fmla="*/ 709462 w 2320927"/>
                <a:gd name="connsiteY2" fmla="*/ 175875 h 177649"/>
                <a:gd name="connsiteX3" fmla="*/ 1778603 w 2320927"/>
                <a:gd name="connsiteY3" fmla="*/ 177649 h 177649"/>
                <a:gd name="connsiteX4" fmla="*/ 1764439 w 2320927"/>
                <a:gd name="connsiteY4" fmla="*/ 12519 h 177649"/>
                <a:gd name="connsiteX5" fmla="*/ 2320927 w 2320927"/>
                <a:gd name="connsiteY5" fmla="*/ 11426 h 177649"/>
                <a:gd name="connsiteX0" fmla="*/ 0 w 2320927"/>
                <a:gd name="connsiteY0" fmla="*/ 10959 h 177649"/>
                <a:gd name="connsiteX1" fmla="*/ 709472 w 2320927"/>
                <a:gd name="connsiteY1" fmla="*/ 11928 h 177649"/>
                <a:gd name="connsiteX2" fmla="*/ 709462 w 2320927"/>
                <a:gd name="connsiteY2" fmla="*/ 175875 h 177649"/>
                <a:gd name="connsiteX3" fmla="*/ 1778603 w 2320927"/>
                <a:gd name="connsiteY3" fmla="*/ 177649 h 177649"/>
                <a:gd name="connsiteX4" fmla="*/ 1764439 w 2320927"/>
                <a:gd name="connsiteY4" fmla="*/ 12519 h 177649"/>
                <a:gd name="connsiteX5" fmla="*/ 2320927 w 2320927"/>
                <a:gd name="connsiteY5" fmla="*/ 11426 h 177649"/>
                <a:gd name="connsiteX0" fmla="*/ 0 w 2320927"/>
                <a:gd name="connsiteY0" fmla="*/ 10959 h 177649"/>
                <a:gd name="connsiteX1" fmla="*/ 709472 w 2320927"/>
                <a:gd name="connsiteY1" fmla="*/ 11928 h 177649"/>
                <a:gd name="connsiteX2" fmla="*/ 709462 w 2320927"/>
                <a:gd name="connsiteY2" fmla="*/ 175875 h 177649"/>
                <a:gd name="connsiteX3" fmla="*/ 1778603 w 2320927"/>
                <a:gd name="connsiteY3" fmla="*/ 177649 h 177649"/>
                <a:gd name="connsiteX4" fmla="*/ 1764439 w 2320927"/>
                <a:gd name="connsiteY4" fmla="*/ 12519 h 177649"/>
                <a:gd name="connsiteX5" fmla="*/ 2320927 w 2320927"/>
                <a:gd name="connsiteY5" fmla="*/ 11426 h 177649"/>
                <a:gd name="connsiteX0" fmla="*/ 0 w 2320927"/>
                <a:gd name="connsiteY0" fmla="*/ 0 h 166690"/>
                <a:gd name="connsiteX1" fmla="*/ 709472 w 2320927"/>
                <a:gd name="connsiteY1" fmla="*/ 969 h 166690"/>
                <a:gd name="connsiteX2" fmla="*/ 709462 w 2320927"/>
                <a:gd name="connsiteY2" fmla="*/ 164916 h 166690"/>
                <a:gd name="connsiteX3" fmla="*/ 1778603 w 2320927"/>
                <a:gd name="connsiteY3" fmla="*/ 166690 h 166690"/>
                <a:gd name="connsiteX4" fmla="*/ 1764439 w 2320927"/>
                <a:gd name="connsiteY4" fmla="*/ 1560 h 166690"/>
                <a:gd name="connsiteX5" fmla="*/ 2320927 w 2320927"/>
                <a:gd name="connsiteY5" fmla="*/ 467 h 166690"/>
                <a:gd name="connsiteX0" fmla="*/ 0 w 2320927"/>
                <a:gd name="connsiteY0" fmla="*/ 0 h 178471"/>
                <a:gd name="connsiteX1" fmla="*/ 709472 w 2320927"/>
                <a:gd name="connsiteY1" fmla="*/ 969 h 178471"/>
                <a:gd name="connsiteX2" fmla="*/ 709462 w 2320927"/>
                <a:gd name="connsiteY2" fmla="*/ 164916 h 178471"/>
                <a:gd name="connsiteX3" fmla="*/ 1778603 w 2320927"/>
                <a:gd name="connsiteY3" fmla="*/ 166690 h 178471"/>
                <a:gd name="connsiteX4" fmla="*/ 1771511 w 2320927"/>
                <a:gd name="connsiteY4" fmla="*/ 1560 h 178471"/>
                <a:gd name="connsiteX5" fmla="*/ 2320927 w 2320927"/>
                <a:gd name="connsiteY5" fmla="*/ 467 h 178471"/>
                <a:gd name="connsiteX0" fmla="*/ 0 w 2320927"/>
                <a:gd name="connsiteY0" fmla="*/ 5502 h 177211"/>
                <a:gd name="connsiteX1" fmla="*/ 709472 w 2320927"/>
                <a:gd name="connsiteY1" fmla="*/ 6471 h 177211"/>
                <a:gd name="connsiteX2" fmla="*/ 709462 w 2320927"/>
                <a:gd name="connsiteY2" fmla="*/ 170418 h 177211"/>
                <a:gd name="connsiteX3" fmla="*/ 1778603 w 2320927"/>
                <a:gd name="connsiteY3" fmla="*/ 172192 h 177211"/>
                <a:gd name="connsiteX4" fmla="*/ 1835129 w 2320927"/>
                <a:gd name="connsiteY4" fmla="*/ 98493 h 177211"/>
                <a:gd name="connsiteX5" fmla="*/ 1771511 w 2320927"/>
                <a:gd name="connsiteY5" fmla="*/ 7062 h 177211"/>
                <a:gd name="connsiteX6" fmla="*/ 2320927 w 2320927"/>
                <a:gd name="connsiteY6" fmla="*/ 5969 h 177211"/>
                <a:gd name="connsiteX0" fmla="*/ 0 w 2320927"/>
                <a:gd name="connsiteY0" fmla="*/ 10959 h 189430"/>
                <a:gd name="connsiteX1" fmla="*/ 709472 w 2320927"/>
                <a:gd name="connsiteY1" fmla="*/ 11928 h 189430"/>
                <a:gd name="connsiteX2" fmla="*/ 709462 w 2320927"/>
                <a:gd name="connsiteY2" fmla="*/ 175875 h 189430"/>
                <a:gd name="connsiteX3" fmla="*/ 1778603 w 2320927"/>
                <a:gd name="connsiteY3" fmla="*/ 177649 h 189430"/>
                <a:gd name="connsiteX4" fmla="*/ 1771511 w 2320927"/>
                <a:gd name="connsiteY4" fmla="*/ 12519 h 189430"/>
                <a:gd name="connsiteX5" fmla="*/ 2320927 w 2320927"/>
                <a:gd name="connsiteY5" fmla="*/ 11426 h 189430"/>
                <a:gd name="connsiteX0" fmla="*/ 0 w 2320927"/>
                <a:gd name="connsiteY0" fmla="*/ 5380 h 177213"/>
                <a:gd name="connsiteX1" fmla="*/ 709472 w 2320927"/>
                <a:gd name="connsiteY1" fmla="*/ 6349 h 177213"/>
                <a:gd name="connsiteX2" fmla="*/ 709462 w 2320927"/>
                <a:gd name="connsiteY2" fmla="*/ 170296 h 177213"/>
                <a:gd name="connsiteX3" fmla="*/ 1778603 w 2320927"/>
                <a:gd name="connsiteY3" fmla="*/ 172070 h 177213"/>
                <a:gd name="connsiteX4" fmla="*/ 1816270 w 2320927"/>
                <a:gd name="connsiteY4" fmla="*/ 96706 h 177213"/>
                <a:gd name="connsiteX5" fmla="*/ 1771511 w 2320927"/>
                <a:gd name="connsiteY5" fmla="*/ 6940 h 177213"/>
                <a:gd name="connsiteX6" fmla="*/ 2320927 w 2320927"/>
                <a:gd name="connsiteY6" fmla="*/ 5847 h 177213"/>
                <a:gd name="connsiteX0" fmla="*/ 0 w 2320927"/>
                <a:gd name="connsiteY0" fmla="*/ 10959 h 189430"/>
                <a:gd name="connsiteX1" fmla="*/ 709472 w 2320927"/>
                <a:gd name="connsiteY1" fmla="*/ 11928 h 189430"/>
                <a:gd name="connsiteX2" fmla="*/ 709462 w 2320927"/>
                <a:gd name="connsiteY2" fmla="*/ 175875 h 189430"/>
                <a:gd name="connsiteX3" fmla="*/ 1778603 w 2320927"/>
                <a:gd name="connsiteY3" fmla="*/ 177649 h 189430"/>
                <a:gd name="connsiteX4" fmla="*/ 1771511 w 2320927"/>
                <a:gd name="connsiteY4" fmla="*/ 12519 h 189430"/>
                <a:gd name="connsiteX5" fmla="*/ 2320927 w 2320927"/>
                <a:gd name="connsiteY5" fmla="*/ 11426 h 189430"/>
                <a:gd name="connsiteX0" fmla="*/ 0 w 2320927"/>
                <a:gd name="connsiteY0" fmla="*/ 7599 h 174289"/>
                <a:gd name="connsiteX1" fmla="*/ 709472 w 2320927"/>
                <a:gd name="connsiteY1" fmla="*/ 8568 h 174289"/>
                <a:gd name="connsiteX2" fmla="*/ 709462 w 2320927"/>
                <a:gd name="connsiteY2" fmla="*/ 172515 h 174289"/>
                <a:gd name="connsiteX3" fmla="*/ 1778603 w 2320927"/>
                <a:gd name="connsiteY3" fmla="*/ 174289 h 174289"/>
                <a:gd name="connsiteX4" fmla="*/ 1830415 w 2320927"/>
                <a:gd name="connsiteY4" fmla="*/ 128897 h 174289"/>
                <a:gd name="connsiteX5" fmla="*/ 1771511 w 2320927"/>
                <a:gd name="connsiteY5" fmla="*/ 9159 h 174289"/>
                <a:gd name="connsiteX6" fmla="*/ 2320927 w 2320927"/>
                <a:gd name="connsiteY6" fmla="*/ 8066 h 174289"/>
                <a:gd name="connsiteX0" fmla="*/ 0 w 2320927"/>
                <a:gd name="connsiteY0" fmla="*/ 10959 h 189430"/>
                <a:gd name="connsiteX1" fmla="*/ 709472 w 2320927"/>
                <a:gd name="connsiteY1" fmla="*/ 11928 h 189430"/>
                <a:gd name="connsiteX2" fmla="*/ 709462 w 2320927"/>
                <a:gd name="connsiteY2" fmla="*/ 175875 h 189430"/>
                <a:gd name="connsiteX3" fmla="*/ 1778603 w 2320927"/>
                <a:gd name="connsiteY3" fmla="*/ 177649 h 189430"/>
                <a:gd name="connsiteX4" fmla="*/ 1771511 w 2320927"/>
                <a:gd name="connsiteY4" fmla="*/ 12519 h 189430"/>
                <a:gd name="connsiteX5" fmla="*/ 2320927 w 2320927"/>
                <a:gd name="connsiteY5" fmla="*/ 11426 h 189430"/>
                <a:gd name="connsiteX0" fmla="*/ 0 w 2320927"/>
                <a:gd name="connsiteY0" fmla="*/ 10959 h 189430"/>
                <a:gd name="connsiteX1" fmla="*/ 709472 w 2320927"/>
                <a:gd name="connsiteY1" fmla="*/ 11928 h 189430"/>
                <a:gd name="connsiteX2" fmla="*/ 709462 w 2320927"/>
                <a:gd name="connsiteY2" fmla="*/ 175875 h 189430"/>
                <a:gd name="connsiteX3" fmla="*/ 1778603 w 2320927"/>
                <a:gd name="connsiteY3" fmla="*/ 177649 h 189430"/>
                <a:gd name="connsiteX4" fmla="*/ 1771511 w 2320927"/>
                <a:gd name="connsiteY4" fmla="*/ 12519 h 189430"/>
                <a:gd name="connsiteX5" fmla="*/ 2320927 w 2320927"/>
                <a:gd name="connsiteY5" fmla="*/ 11426 h 189430"/>
                <a:gd name="connsiteX0" fmla="*/ 0 w 2320927"/>
                <a:gd name="connsiteY0" fmla="*/ 0 h 178471"/>
                <a:gd name="connsiteX1" fmla="*/ 709472 w 2320927"/>
                <a:gd name="connsiteY1" fmla="*/ 969 h 178471"/>
                <a:gd name="connsiteX2" fmla="*/ 709462 w 2320927"/>
                <a:gd name="connsiteY2" fmla="*/ 164916 h 178471"/>
                <a:gd name="connsiteX3" fmla="*/ 1778603 w 2320927"/>
                <a:gd name="connsiteY3" fmla="*/ 166690 h 178471"/>
                <a:gd name="connsiteX4" fmla="*/ 1771511 w 2320927"/>
                <a:gd name="connsiteY4" fmla="*/ 1560 h 178471"/>
                <a:gd name="connsiteX5" fmla="*/ 2320927 w 2320927"/>
                <a:gd name="connsiteY5" fmla="*/ 467 h 178471"/>
                <a:gd name="connsiteX0" fmla="*/ 0 w 2320927"/>
                <a:gd name="connsiteY0" fmla="*/ 0 h 166690"/>
                <a:gd name="connsiteX1" fmla="*/ 709472 w 2320927"/>
                <a:gd name="connsiteY1" fmla="*/ 969 h 166690"/>
                <a:gd name="connsiteX2" fmla="*/ 709462 w 2320927"/>
                <a:gd name="connsiteY2" fmla="*/ 164916 h 166690"/>
                <a:gd name="connsiteX3" fmla="*/ 1778603 w 2320927"/>
                <a:gd name="connsiteY3" fmla="*/ 166690 h 166690"/>
                <a:gd name="connsiteX4" fmla="*/ 1771511 w 2320927"/>
                <a:gd name="connsiteY4" fmla="*/ 1560 h 166690"/>
                <a:gd name="connsiteX5" fmla="*/ 2320927 w 2320927"/>
                <a:gd name="connsiteY5" fmla="*/ 467 h 166690"/>
                <a:gd name="connsiteX0" fmla="*/ 0 w 2320927"/>
                <a:gd name="connsiteY0" fmla="*/ 1770 h 180487"/>
                <a:gd name="connsiteX1" fmla="*/ 709472 w 2320927"/>
                <a:gd name="connsiteY1" fmla="*/ 2739 h 180487"/>
                <a:gd name="connsiteX2" fmla="*/ 709462 w 2320927"/>
                <a:gd name="connsiteY2" fmla="*/ 166686 h 180487"/>
                <a:gd name="connsiteX3" fmla="*/ 1778603 w 2320927"/>
                <a:gd name="connsiteY3" fmla="*/ 168460 h 180487"/>
                <a:gd name="connsiteX4" fmla="*/ 1771511 w 2320927"/>
                <a:gd name="connsiteY4" fmla="*/ 0 h 180487"/>
                <a:gd name="connsiteX5" fmla="*/ 2320927 w 2320927"/>
                <a:gd name="connsiteY5" fmla="*/ 2237 h 180487"/>
                <a:gd name="connsiteX0" fmla="*/ 0 w 2320927"/>
                <a:gd name="connsiteY0" fmla="*/ 1770 h 180487"/>
                <a:gd name="connsiteX1" fmla="*/ 709472 w 2320927"/>
                <a:gd name="connsiteY1" fmla="*/ 2739 h 180487"/>
                <a:gd name="connsiteX2" fmla="*/ 709462 w 2320927"/>
                <a:gd name="connsiteY2" fmla="*/ 166686 h 180487"/>
                <a:gd name="connsiteX3" fmla="*/ 1778603 w 2320927"/>
                <a:gd name="connsiteY3" fmla="*/ 168460 h 180487"/>
                <a:gd name="connsiteX4" fmla="*/ 1771511 w 2320927"/>
                <a:gd name="connsiteY4" fmla="*/ 0 h 180487"/>
                <a:gd name="connsiteX5" fmla="*/ 2320927 w 2320927"/>
                <a:gd name="connsiteY5" fmla="*/ 2237 h 180487"/>
                <a:gd name="connsiteX0" fmla="*/ 0 w 2320927"/>
                <a:gd name="connsiteY0" fmla="*/ 1770 h 168460"/>
                <a:gd name="connsiteX1" fmla="*/ 709472 w 2320927"/>
                <a:gd name="connsiteY1" fmla="*/ 2739 h 168460"/>
                <a:gd name="connsiteX2" fmla="*/ 709462 w 2320927"/>
                <a:gd name="connsiteY2" fmla="*/ 166686 h 168460"/>
                <a:gd name="connsiteX3" fmla="*/ 1778603 w 2320927"/>
                <a:gd name="connsiteY3" fmla="*/ 168460 h 168460"/>
                <a:gd name="connsiteX4" fmla="*/ 1771511 w 2320927"/>
                <a:gd name="connsiteY4" fmla="*/ 0 h 168460"/>
                <a:gd name="connsiteX5" fmla="*/ 2320927 w 2320927"/>
                <a:gd name="connsiteY5" fmla="*/ 2237 h 168460"/>
                <a:gd name="connsiteX0" fmla="*/ 0 w 2320927"/>
                <a:gd name="connsiteY0" fmla="*/ 13559 h 178584"/>
                <a:gd name="connsiteX1" fmla="*/ 709472 w 2320927"/>
                <a:gd name="connsiteY1" fmla="*/ 14528 h 178584"/>
                <a:gd name="connsiteX2" fmla="*/ 709462 w 2320927"/>
                <a:gd name="connsiteY2" fmla="*/ 178475 h 178584"/>
                <a:gd name="connsiteX3" fmla="*/ 1778603 w 2320927"/>
                <a:gd name="connsiteY3" fmla="*/ 178584 h 178584"/>
                <a:gd name="connsiteX4" fmla="*/ 1771511 w 2320927"/>
                <a:gd name="connsiteY4" fmla="*/ 11789 h 178584"/>
                <a:gd name="connsiteX5" fmla="*/ 2320927 w 2320927"/>
                <a:gd name="connsiteY5" fmla="*/ 14026 h 178584"/>
                <a:gd name="connsiteX0" fmla="*/ 0 w 2320927"/>
                <a:gd name="connsiteY0" fmla="*/ 13559 h 178584"/>
                <a:gd name="connsiteX1" fmla="*/ 709472 w 2320927"/>
                <a:gd name="connsiteY1" fmla="*/ 14528 h 178584"/>
                <a:gd name="connsiteX2" fmla="*/ 709462 w 2320927"/>
                <a:gd name="connsiteY2" fmla="*/ 178475 h 178584"/>
                <a:gd name="connsiteX3" fmla="*/ 1778603 w 2320927"/>
                <a:gd name="connsiteY3" fmla="*/ 178584 h 178584"/>
                <a:gd name="connsiteX4" fmla="*/ 1771511 w 2320927"/>
                <a:gd name="connsiteY4" fmla="*/ 11789 h 178584"/>
                <a:gd name="connsiteX5" fmla="*/ 2320927 w 2320927"/>
                <a:gd name="connsiteY5" fmla="*/ 14026 h 178584"/>
                <a:gd name="connsiteX0" fmla="*/ 0 w 2320927"/>
                <a:gd name="connsiteY0" fmla="*/ 1770 h 166795"/>
                <a:gd name="connsiteX1" fmla="*/ 709472 w 2320927"/>
                <a:gd name="connsiteY1" fmla="*/ 2739 h 166795"/>
                <a:gd name="connsiteX2" fmla="*/ 709462 w 2320927"/>
                <a:gd name="connsiteY2" fmla="*/ 166686 h 166795"/>
                <a:gd name="connsiteX3" fmla="*/ 1778603 w 2320927"/>
                <a:gd name="connsiteY3" fmla="*/ 166795 h 166795"/>
                <a:gd name="connsiteX4" fmla="*/ 1771511 w 2320927"/>
                <a:gd name="connsiteY4" fmla="*/ 0 h 166795"/>
                <a:gd name="connsiteX5" fmla="*/ 2320927 w 2320927"/>
                <a:gd name="connsiteY5" fmla="*/ 2237 h 166795"/>
                <a:gd name="connsiteX0" fmla="*/ 0 w 2320927"/>
                <a:gd name="connsiteY0" fmla="*/ 3435 h 180909"/>
                <a:gd name="connsiteX1" fmla="*/ 709472 w 2320927"/>
                <a:gd name="connsiteY1" fmla="*/ 4404 h 180909"/>
                <a:gd name="connsiteX2" fmla="*/ 709462 w 2320927"/>
                <a:gd name="connsiteY2" fmla="*/ 168351 h 180909"/>
                <a:gd name="connsiteX3" fmla="*/ 1778603 w 2320927"/>
                <a:gd name="connsiteY3" fmla="*/ 168460 h 180909"/>
                <a:gd name="connsiteX4" fmla="*/ 1773868 w 2320927"/>
                <a:gd name="connsiteY4" fmla="*/ 0 h 180909"/>
                <a:gd name="connsiteX5" fmla="*/ 2320927 w 2320927"/>
                <a:gd name="connsiteY5" fmla="*/ 3902 h 180909"/>
                <a:gd name="connsiteX0" fmla="*/ 0 w 2320927"/>
                <a:gd name="connsiteY0" fmla="*/ 7933 h 179992"/>
                <a:gd name="connsiteX1" fmla="*/ 709472 w 2320927"/>
                <a:gd name="connsiteY1" fmla="*/ 8902 h 179992"/>
                <a:gd name="connsiteX2" fmla="*/ 709462 w 2320927"/>
                <a:gd name="connsiteY2" fmla="*/ 172849 h 179992"/>
                <a:gd name="connsiteX3" fmla="*/ 1778603 w 2320927"/>
                <a:gd name="connsiteY3" fmla="*/ 172958 h 179992"/>
                <a:gd name="connsiteX4" fmla="*/ 1825700 w 2320927"/>
                <a:gd name="connsiteY4" fmla="*/ 77614 h 179992"/>
                <a:gd name="connsiteX5" fmla="*/ 1773868 w 2320927"/>
                <a:gd name="connsiteY5" fmla="*/ 4498 h 179992"/>
                <a:gd name="connsiteX6" fmla="*/ 2320927 w 2320927"/>
                <a:gd name="connsiteY6" fmla="*/ 8400 h 179992"/>
                <a:gd name="connsiteX0" fmla="*/ 0 w 2320927"/>
                <a:gd name="connsiteY0" fmla="*/ 14945 h 192419"/>
                <a:gd name="connsiteX1" fmla="*/ 709472 w 2320927"/>
                <a:gd name="connsiteY1" fmla="*/ 15914 h 192419"/>
                <a:gd name="connsiteX2" fmla="*/ 709462 w 2320927"/>
                <a:gd name="connsiteY2" fmla="*/ 179861 h 192419"/>
                <a:gd name="connsiteX3" fmla="*/ 1778603 w 2320927"/>
                <a:gd name="connsiteY3" fmla="*/ 179970 h 192419"/>
                <a:gd name="connsiteX4" fmla="*/ 1773868 w 2320927"/>
                <a:gd name="connsiteY4" fmla="*/ 11510 h 192419"/>
                <a:gd name="connsiteX5" fmla="*/ 2320927 w 2320927"/>
                <a:gd name="connsiteY5" fmla="*/ 15412 h 192419"/>
                <a:gd name="connsiteX0" fmla="*/ 0 w 2320927"/>
                <a:gd name="connsiteY0" fmla="*/ 14945 h 192419"/>
                <a:gd name="connsiteX1" fmla="*/ 709472 w 2320927"/>
                <a:gd name="connsiteY1" fmla="*/ 15914 h 192419"/>
                <a:gd name="connsiteX2" fmla="*/ 709462 w 2320927"/>
                <a:gd name="connsiteY2" fmla="*/ 179861 h 192419"/>
                <a:gd name="connsiteX3" fmla="*/ 1778603 w 2320927"/>
                <a:gd name="connsiteY3" fmla="*/ 179970 h 192419"/>
                <a:gd name="connsiteX4" fmla="*/ 1773868 w 2320927"/>
                <a:gd name="connsiteY4" fmla="*/ 11510 h 192419"/>
                <a:gd name="connsiteX5" fmla="*/ 2320927 w 2320927"/>
                <a:gd name="connsiteY5" fmla="*/ 15412 h 192419"/>
                <a:gd name="connsiteX0" fmla="*/ 0 w 2320927"/>
                <a:gd name="connsiteY0" fmla="*/ 3435 h 180909"/>
                <a:gd name="connsiteX1" fmla="*/ 709472 w 2320927"/>
                <a:gd name="connsiteY1" fmla="*/ 4404 h 180909"/>
                <a:gd name="connsiteX2" fmla="*/ 709462 w 2320927"/>
                <a:gd name="connsiteY2" fmla="*/ 168351 h 180909"/>
                <a:gd name="connsiteX3" fmla="*/ 1778603 w 2320927"/>
                <a:gd name="connsiteY3" fmla="*/ 168460 h 180909"/>
                <a:gd name="connsiteX4" fmla="*/ 1773868 w 2320927"/>
                <a:gd name="connsiteY4" fmla="*/ 0 h 180909"/>
                <a:gd name="connsiteX5" fmla="*/ 2320927 w 2320927"/>
                <a:gd name="connsiteY5" fmla="*/ 3902 h 180909"/>
                <a:gd name="connsiteX0" fmla="*/ 0 w 2320927"/>
                <a:gd name="connsiteY0" fmla="*/ 3435 h 168460"/>
                <a:gd name="connsiteX1" fmla="*/ 709472 w 2320927"/>
                <a:gd name="connsiteY1" fmla="*/ 4404 h 168460"/>
                <a:gd name="connsiteX2" fmla="*/ 709462 w 2320927"/>
                <a:gd name="connsiteY2" fmla="*/ 168351 h 168460"/>
                <a:gd name="connsiteX3" fmla="*/ 1778603 w 2320927"/>
                <a:gd name="connsiteY3" fmla="*/ 168460 h 168460"/>
                <a:gd name="connsiteX4" fmla="*/ 1773868 w 2320927"/>
                <a:gd name="connsiteY4" fmla="*/ 0 h 168460"/>
                <a:gd name="connsiteX5" fmla="*/ 2320927 w 2320927"/>
                <a:gd name="connsiteY5" fmla="*/ 3902 h 168460"/>
                <a:gd name="connsiteX0" fmla="*/ 0 w 2320927"/>
                <a:gd name="connsiteY0" fmla="*/ 104 h 177331"/>
                <a:gd name="connsiteX1" fmla="*/ 709472 w 2320927"/>
                <a:gd name="connsiteY1" fmla="*/ 1073 h 177331"/>
                <a:gd name="connsiteX2" fmla="*/ 709462 w 2320927"/>
                <a:gd name="connsiteY2" fmla="*/ 165020 h 177331"/>
                <a:gd name="connsiteX3" fmla="*/ 1778603 w 2320927"/>
                <a:gd name="connsiteY3" fmla="*/ 165129 h 177331"/>
                <a:gd name="connsiteX4" fmla="*/ 1773868 w 2320927"/>
                <a:gd name="connsiteY4" fmla="*/ 0 h 177331"/>
                <a:gd name="connsiteX5" fmla="*/ 2320927 w 2320927"/>
                <a:gd name="connsiteY5" fmla="*/ 571 h 177331"/>
                <a:gd name="connsiteX0" fmla="*/ 0 w 2320927"/>
                <a:gd name="connsiteY0" fmla="*/ 104 h 177332"/>
                <a:gd name="connsiteX1" fmla="*/ 709472 w 2320927"/>
                <a:gd name="connsiteY1" fmla="*/ 1073 h 177332"/>
                <a:gd name="connsiteX2" fmla="*/ 709462 w 2320927"/>
                <a:gd name="connsiteY2" fmla="*/ 165020 h 177332"/>
                <a:gd name="connsiteX3" fmla="*/ 1778603 w 2320927"/>
                <a:gd name="connsiteY3" fmla="*/ 165129 h 177332"/>
                <a:gd name="connsiteX4" fmla="*/ 1773868 w 2320927"/>
                <a:gd name="connsiteY4" fmla="*/ 0 h 177332"/>
                <a:gd name="connsiteX5" fmla="*/ 2320927 w 2320927"/>
                <a:gd name="connsiteY5" fmla="*/ 571 h 177332"/>
                <a:gd name="connsiteX0" fmla="*/ 0 w 2320927"/>
                <a:gd name="connsiteY0" fmla="*/ 104 h 165129"/>
                <a:gd name="connsiteX1" fmla="*/ 709472 w 2320927"/>
                <a:gd name="connsiteY1" fmla="*/ 1073 h 165129"/>
                <a:gd name="connsiteX2" fmla="*/ 709462 w 2320927"/>
                <a:gd name="connsiteY2" fmla="*/ 165020 h 165129"/>
                <a:gd name="connsiteX3" fmla="*/ 1778603 w 2320927"/>
                <a:gd name="connsiteY3" fmla="*/ 165129 h 165129"/>
                <a:gd name="connsiteX4" fmla="*/ 1773868 w 2320927"/>
                <a:gd name="connsiteY4" fmla="*/ 0 h 165129"/>
                <a:gd name="connsiteX5" fmla="*/ 2320927 w 2320927"/>
                <a:gd name="connsiteY5" fmla="*/ 571 h 165129"/>
                <a:gd name="connsiteX0" fmla="*/ 0 w 2320927"/>
                <a:gd name="connsiteY0" fmla="*/ 104 h 177332"/>
                <a:gd name="connsiteX1" fmla="*/ 709472 w 2320927"/>
                <a:gd name="connsiteY1" fmla="*/ 1073 h 177332"/>
                <a:gd name="connsiteX2" fmla="*/ 709462 w 2320927"/>
                <a:gd name="connsiteY2" fmla="*/ 165020 h 177332"/>
                <a:gd name="connsiteX3" fmla="*/ 1778603 w 2320927"/>
                <a:gd name="connsiteY3" fmla="*/ 165129 h 177332"/>
                <a:gd name="connsiteX4" fmla="*/ 1776225 w 2320927"/>
                <a:gd name="connsiteY4" fmla="*/ 0 h 177332"/>
                <a:gd name="connsiteX5" fmla="*/ 2320927 w 2320927"/>
                <a:gd name="connsiteY5" fmla="*/ 571 h 177332"/>
                <a:gd name="connsiteX0" fmla="*/ 0 w 2320927"/>
                <a:gd name="connsiteY0" fmla="*/ 104 h 177332"/>
                <a:gd name="connsiteX1" fmla="*/ 709472 w 2320927"/>
                <a:gd name="connsiteY1" fmla="*/ 1073 h 177332"/>
                <a:gd name="connsiteX2" fmla="*/ 709462 w 2320927"/>
                <a:gd name="connsiteY2" fmla="*/ 165020 h 177332"/>
                <a:gd name="connsiteX3" fmla="*/ 1778603 w 2320927"/>
                <a:gd name="connsiteY3" fmla="*/ 165129 h 177332"/>
                <a:gd name="connsiteX4" fmla="*/ 1776225 w 2320927"/>
                <a:gd name="connsiteY4" fmla="*/ 0 h 177332"/>
                <a:gd name="connsiteX5" fmla="*/ 2320927 w 2320927"/>
                <a:gd name="connsiteY5" fmla="*/ 571 h 177332"/>
                <a:gd name="connsiteX0" fmla="*/ 0 w 2320927"/>
                <a:gd name="connsiteY0" fmla="*/ 104 h 165129"/>
                <a:gd name="connsiteX1" fmla="*/ 709472 w 2320927"/>
                <a:gd name="connsiteY1" fmla="*/ 1073 h 165129"/>
                <a:gd name="connsiteX2" fmla="*/ 709462 w 2320927"/>
                <a:gd name="connsiteY2" fmla="*/ 165020 h 165129"/>
                <a:gd name="connsiteX3" fmla="*/ 1778603 w 2320927"/>
                <a:gd name="connsiteY3" fmla="*/ 165129 h 165129"/>
                <a:gd name="connsiteX4" fmla="*/ 1776225 w 2320927"/>
                <a:gd name="connsiteY4" fmla="*/ 0 h 165129"/>
                <a:gd name="connsiteX5" fmla="*/ 2320927 w 2320927"/>
                <a:gd name="connsiteY5" fmla="*/ 571 h 165129"/>
                <a:gd name="connsiteX0" fmla="*/ 0 w 2280851"/>
                <a:gd name="connsiteY0" fmla="*/ 104 h 165129"/>
                <a:gd name="connsiteX1" fmla="*/ 669396 w 2280851"/>
                <a:gd name="connsiteY1" fmla="*/ 1073 h 165129"/>
                <a:gd name="connsiteX2" fmla="*/ 669386 w 2280851"/>
                <a:gd name="connsiteY2" fmla="*/ 165020 h 165129"/>
                <a:gd name="connsiteX3" fmla="*/ 1738527 w 2280851"/>
                <a:gd name="connsiteY3" fmla="*/ 165129 h 165129"/>
                <a:gd name="connsiteX4" fmla="*/ 1736149 w 2280851"/>
                <a:gd name="connsiteY4" fmla="*/ 0 h 165129"/>
                <a:gd name="connsiteX5" fmla="*/ 2280851 w 2280851"/>
                <a:gd name="connsiteY5" fmla="*/ 571 h 165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280851" h="165129">
                  <a:moveTo>
                    <a:pt x="0" y="104"/>
                  </a:moveTo>
                  <a:lnTo>
                    <a:pt x="669396" y="1073"/>
                  </a:lnTo>
                  <a:cubicBezTo>
                    <a:pt x="669393" y="56277"/>
                    <a:pt x="669389" y="109816"/>
                    <a:pt x="669386" y="165020"/>
                  </a:cubicBezTo>
                  <a:lnTo>
                    <a:pt x="1738527" y="165129"/>
                  </a:lnTo>
                  <a:cubicBezTo>
                    <a:pt x="1737734" y="110086"/>
                    <a:pt x="1736942" y="55043"/>
                    <a:pt x="1736149" y="0"/>
                  </a:cubicBezTo>
                  <a:lnTo>
                    <a:pt x="2280851" y="571"/>
                  </a:lnTo>
                </a:path>
              </a:pathLst>
            </a:cu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clientData/>
  </xdr:twoCellAnchor>
  <xdr:twoCellAnchor>
    <xdr:from>
      <xdr:col>1</xdr:col>
      <xdr:colOff>190501</xdr:colOff>
      <xdr:row>37</xdr:row>
      <xdr:rowOff>168518</xdr:rowOff>
    </xdr:from>
    <xdr:to>
      <xdr:col>12</xdr:col>
      <xdr:colOff>233022</xdr:colOff>
      <xdr:row>66</xdr:row>
      <xdr:rowOff>27657</xdr:rowOff>
    </xdr:to>
    <xdr:grpSp>
      <xdr:nvGrpSpPr>
        <xdr:cNvPr id="1109" name="Groep 1108"/>
        <xdr:cNvGrpSpPr/>
      </xdr:nvGrpSpPr>
      <xdr:grpSpPr>
        <a:xfrm>
          <a:off x="800101" y="7217018"/>
          <a:ext cx="6748121" cy="5383639"/>
          <a:chOff x="1367086" y="280146"/>
          <a:chExt cx="6732001" cy="5383639"/>
        </a:xfrm>
      </xdr:grpSpPr>
      <xdr:cxnSp macro="">
        <xdr:nvCxnSpPr>
          <xdr:cNvPr id="1110" name="AutoShape 1267"/>
          <xdr:cNvCxnSpPr>
            <a:cxnSpLocks noChangeShapeType="1"/>
          </xdr:cNvCxnSpPr>
        </xdr:nvCxnSpPr>
        <xdr:spPr bwMode="auto">
          <a:xfrm>
            <a:off x="1766410" y="4333463"/>
            <a:ext cx="0" cy="792000"/>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grpSp>
        <xdr:nvGrpSpPr>
          <xdr:cNvPr id="1111" name="Groep 1110"/>
          <xdr:cNvGrpSpPr/>
        </xdr:nvGrpSpPr>
        <xdr:grpSpPr>
          <a:xfrm>
            <a:off x="1367086" y="280146"/>
            <a:ext cx="6732001" cy="5383639"/>
            <a:chOff x="1367086" y="280146"/>
            <a:chExt cx="6732001" cy="5383639"/>
          </a:xfrm>
        </xdr:grpSpPr>
        <xdr:cxnSp macro="">
          <xdr:nvCxnSpPr>
            <xdr:cNvPr id="1112" name="AutoShape 1267"/>
            <xdr:cNvCxnSpPr>
              <a:cxnSpLocks noChangeShapeType="1"/>
            </xdr:cNvCxnSpPr>
          </xdr:nvCxnSpPr>
          <xdr:spPr bwMode="auto">
            <a:xfrm>
              <a:off x="2237366" y="4305090"/>
              <a:ext cx="756000" cy="0"/>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grpSp>
          <xdr:nvGrpSpPr>
            <xdr:cNvPr id="1113" name="Groep 1112"/>
            <xdr:cNvGrpSpPr/>
          </xdr:nvGrpSpPr>
          <xdr:grpSpPr>
            <a:xfrm>
              <a:off x="1367086" y="280146"/>
              <a:ext cx="6732001" cy="5383639"/>
              <a:chOff x="1367086" y="280146"/>
              <a:chExt cx="6732001" cy="5383639"/>
            </a:xfrm>
          </xdr:grpSpPr>
          <xdr:grpSp>
            <xdr:nvGrpSpPr>
              <xdr:cNvPr id="1114" name="Groep 1113"/>
              <xdr:cNvGrpSpPr>
                <a:grpSpLocks noChangeAspect="1"/>
              </xdr:cNvGrpSpPr>
            </xdr:nvGrpSpPr>
            <xdr:grpSpPr>
              <a:xfrm>
                <a:off x="1367086" y="280146"/>
                <a:ext cx="6732001" cy="5383639"/>
                <a:chOff x="3710623" y="1807210"/>
                <a:chExt cx="4772977" cy="3816985"/>
              </a:xfrm>
            </xdr:grpSpPr>
            <xdr:cxnSp macro="">
              <xdr:nvCxnSpPr>
                <xdr:cNvPr id="1119" name="AutoShape 623"/>
                <xdr:cNvCxnSpPr>
                  <a:cxnSpLocks noChangeShapeType="1"/>
                </xdr:cNvCxnSpPr>
              </xdr:nvCxnSpPr>
              <xdr:spPr bwMode="auto">
                <a:xfrm flipH="1" flipV="1">
                  <a:off x="4521201" y="2263617"/>
                  <a:ext cx="2249805" cy="1381919"/>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sp macro="" textlink="">
              <xdr:nvSpPr>
                <xdr:cNvPr id="1120" name="Rechthoek 1119"/>
                <xdr:cNvSpPr/>
              </xdr:nvSpPr>
              <xdr:spPr>
                <a:xfrm>
                  <a:off x="4004310" y="2312035"/>
                  <a:ext cx="299720" cy="234442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121" name="Rechthoek 1120"/>
                <xdr:cNvSpPr/>
              </xdr:nvSpPr>
              <xdr:spPr>
                <a:xfrm>
                  <a:off x="4003675" y="5230495"/>
                  <a:ext cx="881380" cy="38417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122" name="Rechthoek 1121"/>
                <xdr:cNvSpPr/>
              </xdr:nvSpPr>
              <xdr:spPr>
                <a:xfrm>
                  <a:off x="5452110" y="5176520"/>
                  <a:ext cx="2329180" cy="44767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123" name="Rechthoek 1122"/>
                <xdr:cNvSpPr/>
              </xdr:nvSpPr>
              <xdr:spPr>
                <a:xfrm>
                  <a:off x="4872990" y="2872105"/>
                  <a:ext cx="579120" cy="274193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124" name="Rechthoek 1123"/>
                <xdr:cNvSpPr/>
              </xdr:nvSpPr>
              <xdr:spPr>
                <a:xfrm>
                  <a:off x="7762875" y="2257425"/>
                  <a:ext cx="703580" cy="336169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125" name="Rechthoek 1124"/>
                <xdr:cNvSpPr/>
              </xdr:nvSpPr>
              <xdr:spPr>
                <a:xfrm>
                  <a:off x="4006215" y="1830705"/>
                  <a:ext cx="4474845" cy="48196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cxnSp macro="">
              <xdr:nvCxnSpPr>
                <xdr:cNvPr id="1126" name="AutoShape 69"/>
                <xdr:cNvCxnSpPr>
                  <a:cxnSpLocks noChangeShapeType="1"/>
                </xdr:cNvCxnSpPr>
              </xdr:nvCxnSpPr>
              <xdr:spPr bwMode="auto">
                <a:xfrm flipV="1">
                  <a:off x="4320223" y="2315211"/>
                  <a:ext cx="693101" cy="2353310"/>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sp macro="" textlink="">
              <xdr:nvSpPr>
                <xdr:cNvPr id="1127" name="Text Box 337"/>
                <xdr:cNvSpPr txBox="1">
                  <a:spLocks noChangeArrowheads="1"/>
                </xdr:cNvSpPr>
              </xdr:nvSpPr>
              <xdr:spPr bwMode="auto">
                <a:xfrm>
                  <a:off x="7416165" y="3636646"/>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p1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1128" name="AutoShape 620"/>
                <xdr:cNvCxnSpPr>
                  <a:cxnSpLocks noChangeShapeType="1"/>
                </xdr:cNvCxnSpPr>
              </xdr:nvCxnSpPr>
              <xdr:spPr bwMode="auto">
                <a:xfrm flipH="1" flipV="1">
                  <a:off x="4318635" y="2473960"/>
                  <a:ext cx="3423285" cy="1171575"/>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129" name="AutoShape 621"/>
                <xdr:cNvCxnSpPr>
                  <a:cxnSpLocks noChangeShapeType="1"/>
                </xdr:cNvCxnSpPr>
              </xdr:nvCxnSpPr>
              <xdr:spPr bwMode="auto">
                <a:xfrm flipH="1" flipV="1">
                  <a:off x="5015865" y="2350770"/>
                  <a:ext cx="2728595" cy="1295400"/>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130" name="AutoShape 622"/>
                <xdr:cNvCxnSpPr>
                  <a:cxnSpLocks noChangeShapeType="1"/>
                </xdr:cNvCxnSpPr>
              </xdr:nvCxnSpPr>
              <xdr:spPr bwMode="auto">
                <a:xfrm flipH="1" flipV="1">
                  <a:off x="4672330" y="2405380"/>
                  <a:ext cx="3071495" cy="1240155"/>
                </a:xfrm>
                <a:prstGeom prst="straightConnector1">
                  <a:avLst/>
                </a:prstGeom>
                <a:noFill/>
                <a:ln w="9525">
                  <a:solidFill>
                    <a:srgbClr val="0070C0"/>
                  </a:solidFill>
                  <a:round/>
                  <a:headEnd/>
                  <a:tailEnd type="triangle"/>
                </a:ln>
                <a:extLst>
                  <a:ext uri="{909E8E84-426E-40DD-AFC4-6F175D3DCCD1}">
                    <a14:hiddenFill xmlns:a14="http://schemas.microsoft.com/office/drawing/2010/main">
                      <a:noFill/>
                    </a14:hiddenFill>
                  </a:ext>
                </a:extLst>
              </xdr:spPr>
            </xdr:cxnSp>
            <xdr:cxnSp macro="">
              <xdr:nvCxnSpPr>
                <xdr:cNvPr id="1131" name="AutoShape 624"/>
                <xdr:cNvCxnSpPr>
                  <a:cxnSpLocks noChangeShapeType="1"/>
                </xdr:cNvCxnSpPr>
              </xdr:nvCxnSpPr>
              <xdr:spPr bwMode="auto">
                <a:xfrm flipV="1">
                  <a:off x="4316095" y="3642995"/>
                  <a:ext cx="2944495" cy="9525"/>
                </a:xfrm>
                <a:prstGeom prst="straightConnector1">
                  <a:avLst/>
                </a:prstGeom>
                <a:noFill/>
                <a:ln w="9525">
                  <a:solidFill>
                    <a:srgbClr val="00B050"/>
                  </a:solidFill>
                  <a:round/>
                  <a:headEnd type="triangle"/>
                  <a:tailEnd/>
                </a:ln>
                <a:extLst>
                  <a:ext uri="{909E8E84-426E-40DD-AFC4-6F175D3DCCD1}">
                    <a14:hiddenFill xmlns:a14="http://schemas.microsoft.com/office/drawing/2010/main">
                      <a:noFill/>
                    </a14:hiddenFill>
                  </a:ext>
                </a:extLst>
              </xdr:spPr>
            </xdr:cxnSp>
            <xdr:cxnSp macro="">
              <xdr:nvCxnSpPr>
                <xdr:cNvPr id="1132" name="AutoShape 625"/>
                <xdr:cNvCxnSpPr>
                  <a:cxnSpLocks noChangeShapeType="1"/>
                </xdr:cNvCxnSpPr>
              </xdr:nvCxnSpPr>
              <xdr:spPr bwMode="auto">
                <a:xfrm>
                  <a:off x="6340475" y="3642995"/>
                  <a:ext cx="1416579" cy="635"/>
                </a:xfrm>
                <a:prstGeom prst="straightConnector1">
                  <a:avLst/>
                </a:prstGeom>
                <a:noFill/>
                <a:ln w="9525">
                  <a:solidFill>
                    <a:srgbClr val="0070C0"/>
                  </a:solidFill>
                  <a:round/>
                  <a:headEnd/>
                  <a:tailEnd type="triangle"/>
                </a:ln>
                <a:extLst>
                  <a:ext uri="{909E8E84-426E-40DD-AFC4-6F175D3DCCD1}">
                    <a14:hiddenFill xmlns:a14="http://schemas.microsoft.com/office/drawing/2010/main">
                      <a:noFill/>
                    </a14:hiddenFill>
                  </a:ext>
                </a:extLst>
              </xdr:spPr>
            </xdr:cxnSp>
            <xdr:cxnSp macro="">
              <xdr:nvCxnSpPr>
                <xdr:cNvPr id="1133" name="AutoShape 626"/>
                <xdr:cNvCxnSpPr>
                  <a:cxnSpLocks noChangeShapeType="1"/>
                </xdr:cNvCxnSpPr>
              </xdr:nvCxnSpPr>
              <xdr:spPr bwMode="auto">
                <a:xfrm>
                  <a:off x="5003165" y="2335530"/>
                  <a:ext cx="1770380" cy="1309370"/>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cxnSp macro="">
              <xdr:nvCxnSpPr>
                <xdr:cNvPr id="1134" name="AutoShape 628"/>
                <xdr:cNvCxnSpPr>
                  <a:cxnSpLocks noChangeShapeType="1"/>
                </xdr:cNvCxnSpPr>
              </xdr:nvCxnSpPr>
              <xdr:spPr bwMode="auto">
                <a:xfrm flipH="1">
                  <a:off x="8467725" y="1807210"/>
                  <a:ext cx="635" cy="381190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135" name="AutoShape 629"/>
                <xdr:cNvCxnSpPr>
                  <a:cxnSpLocks noChangeShapeType="1"/>
                </xdr:cNvCxnSpPr>
              </xdr:nvCxnSpPr>
              <xdr:spPr bwMode="auto">
                <a:xfrm flipV="1">
                  <a:off x="6315710" y="3272118"/>
                  <a:ext cx="1435418" cy="372147"/>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136" name="AutoShape 630"/>
                <xdr:cNvCxnSpPr>
                  <a:cxnSpLocks noChangeShapeType="1"/>
                </xdr:cNvCxnSpPr>
              </xdr:nvCxnSpPr>
              <xdr:spPr bwMode="auto">
                <a:xfrm>
                  <a:off x="6315710" y="3644265"/>
                  <a:ext cx="1440181" cy="379131"/>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137" name="AutoShape 632"/>
                <xdr:cNvCxnSpPr>
                  <a:cxnSpLocks noChangeShapeType="1"/>
                </xdr:cNvCxnSpPr>
              </xdr:nvCxnSpPr>
              <xdr:spPr bwMode="auto">
                <a:xfrm>
                  <a:off x="4862195" y="2864485"/>
                  <a:ext cx="635" cy="236664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138" name="AutoShape 634"/>
                <xdr:cNvCxnSpPr>
                  <a:cxnSpLocks noChangeShapeType="1"/>
                </xdr:cNvCxnSpPr>
              </xdr:nvCxnSpPr>
              <xdr:spPr bwMode="auto">
                <a:xfrm flipH="1" flipV="1">
                  <a:off x="4309110" y="2309495"/>
                  <a:ext cx="3456940" cy="63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139" name="AutoShape 637"/>
                <xdr:cNvCxnSpPr>
                  <a:cxnSpLocks noChangeShapeType="1"/>
                </xdr:cNvCxnSpPr>
              </xdr:nvCxnSpPr>
              <xdr:spPr bwMode="auto">
                <a:xfrm>
                  <a:off x="3983355" y="1824990"/>
                  <a:ext cx="450024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140" name="AutoShape 638"/>
                <xdr:cNvCxnSpPr>
                  <a:cxnSpLocks noChangeShapeType="1"/>
                </xdr:cNvCxnSpPr>
              </xdr:nvCxnSpPr>
              <xdr:spPr bwMode="auto">
                <a:xfrm flipH="1" flipV="1">
                  <a:off x="7762240" y="2291716"/>
                  <a:ext cx="3810" cy="287655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sp macro="" textlink="">
              <xdr:nvSpPr>
                <xdr:cNvPr id="1141" name="Rectangle 650"/>
                <xdr:cNvSpPr>
                  <a:spLocks noChangeArrowheads="1"/>
                </xdr:cNvSpPr>
              </xdr:nvSpPr>
              <xdr:spPr bwMode="auto">
                <a:xfrm>
                  <a:off x="4563978" y="2269586"/>
                  <a:ext cx="445135" cy="17780"/>
                </a:xfrm>
                <a:prstGeom prst="rect">
                  <a:avLst/>
                </a:prstGeom>
                <a:solidFill>
                  <a:srgbClr val="FFC000"/>
                </a:solidFill>
                <a:ln w="9525">
                  <a:solidFill>
                    <a:srgbClr val="FFC00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1142" name="Rectangle 651" descr="5%"/>
                <xdr:cNvSpPr>
                  <a:spLocks noChangeArrowheads="1"/>
                </xdr:cNvSpPr>
              </xdr:nvSpPr>
              <xdr:spPr bwMode="auto">
                <a:xfrm rot="5400000">
                  <a:off x="7420437" y="3637165"/>
                  <a:ext cx="745490" cy="17780"/>
                </a:xfrm>
                <a:prstGeom prst="rect">
                  <a:avLst/>
                </a:prstGeom>
                <a:pattFill prst="pct5">
                  <a:fgClr>
                    <a:srgbClr val="0070C0"/>
                  </a:fgClr>
                  <a:bgClr>
                    <a:srgbClr val="0070C0"/>
                  </a:bgClr>
                </a:patt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1143" name="Rectangle 655"/>
                <xdr:cNvSpPr>
                  <a:spLocks noChangeArrowheads="1"/>
                </xdr:cNvSpPr>
              </xdr:nvSpPr>
              <xdr:spPr bwMode="auto">
                <a:xfrm flipV="1">
                  <a:off x="4323126" y="2329413"/>
                  <a:ext cx="689146" cy="17780"/>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1144" name="Rectangle 656"/>
                <xdr:cNvSpPr>
                  <a:spLocks noChangeArrowheads="1"/>
                </xdr:cNvSpPr>
              </xdr:nvSpPr>
              <xdr:spPr bwMode="auto">
                <a:xfrm rot="5400000">
                  <a:off x="4278979" y="2399798"/>
                  <a:ext cx="113665" cy="17780"/>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1145" name="AutoShape 660"/>
                <xdr:cNvCxnSpPr>
                  <a:cxnSpLocks noChangeShapeType="1"/>
                </xdr:cNvCxnSpPr>
              </xdr:nvCxnSpPr>
              <xdr:spPr bwMode="auto">
                <a:xfrm>
                  <a:off x="4324350" y="2915599"/>
                  <a:ext cx="2942591" cy="726761"/>
                </a:xfrm>
                <a:prstGeom prst="straightConnector1">
                  <a:avLst/>
                </a:prstGeom>
                <a:noFill/>
                <a:ln w="12700">
                  <a:solidFill>
                    <a:srgbClr val="00B050"/>
                  </a:solidFill>
                  <a:prstDash val="sysDot"/>
                  <a:round/>
                  <a:headEnd/>
                  <a:tailEnd/>
                </a:ln>
                <a:extLst>
                  <a:ext uri="{909E8E84-426E-40DD-AFC4-6F175D3DCCD1}">
                    <a14:hiddenFill xmlns:a14="http://schemas.microsoft.com/office/drawing/2010/main">
                      <a:noFill/>
                    </a14:hiddenFill>
                  </a:ext>
                </a:extLst>
              </xdr:spPr>
            </xdr:cxnSp>
            <xdr:cxnSp macro="">
              <xdr:nvCxnSpPr>
                <xdr:cNvPr id="1146" name="AutoShape 661"/>
                <xdr:cNvCxnSpPr>
                  <a:cxnSpLocks noChangeShapeType="1"/>
                </xdr:cNvCxnSpPr>
              </xdr:nvCxnSpPr>
              <xdr:spPr bwMode="auto">
                <a:xfrm flipV="1">
                  <a:off x="4323483" y="3642996"/>
                  <a:ext cx="2943457" cy="753268"/>
                </a:xfrm>
                <a:prstGeom prst="straightConnector1">
                  <a:avLst/>
                </a:prstGeom>
                <a:noFill/>
                <a:ln w="12700">
                  <a:solidFill>
                    <a:srgbClr val="00B050"/>
                  </a:solidFill>
                  <a:prstDash val="sysDot"/>
                  <a:round/>
                  <a:headEnd/>
                  <a:tailEnd/>
                </a:ln>
                <a:extLst>
                  <a:ext uri="{909E8E84-426E-40DD-AFC4-6F175D3DCCD1}">
                    <a14:hiddenFill xmlns:a14="http://schemas.microsoft.com/office/drawing/2010/main">
                      <a:noFill/>
                    </a14:hiddenFill>
                  </a:ext>
                </a:extLst>
              </xdr:spPr>
            </xdr:cxnSp>
            <xdr:sp macro="" textlink="">
              <xdr:nvSpPr>
                <xdr:cNvPr id="1147" name="Rectangle 662" descr="5%"/>
                <xdr:cNvSpPr>
                  <a:spLocks noChangeArrowheads="1"/>
                </xdr:cNvSpPr>
              </xdr:nvSpPr>
              <xdr:spPr bwMode="auto">
                <a:xfrm rot="5400000">
                  <a:off x="3543658" y="3646881"/>
                  <a:ext cx="1480386" cy="17780"/>
                </a:xfrm>
                <a:prstGeom prst="rect">
                  <a:avLst/>
                </a:prstGeom>
                <a:pattFill prst="pct5">
                  <a:fgClr>
                    <a:srgbClr val="00B050"/>
                  </a:fgClr>
                  <a:bgClr>
                    <a:srgbClr val="00B050"/>
                  </a:bgClr>
                </a:pattFill>
                <a:ln w="9525">
                  <a:solidFill>
                    <a:srgbClr val="00B05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1148" name="AutoShape 663"/>
                <xdr:cNvCxnSpPr>
                  <a:cxnSpLocks noChangeShapeType="1"/>
                </xdr:cNvCxnSpPr>
              </xdr:nvCxnSpPr>
              <xdr:spPr bwMode="auto">
                <a:xfrm flipH="1">
                  <a:off x="4511041" y="2406015"/>
                  <a:ext cx="160020" cy="2355215"/>
                </a:xfrm>
                <a:prstGeom prst="straightConnector1">
                  <a:avLst/>
                </a:prstGeom>
                <a:noFill/>
                <a:ln w="9525">
                  <a:solidFill>
                    <a:srgbClr val="0070C0"/>
                  </a:solidFill>
                  <a:round/>
                  <a:headEnd/>
                  <a:tailEnd type="none"/>
                </a:ln>
                <a:extLst>
                  <a:ext uri="{909E8E84-426E-40DD-AFC4-6F175D3DCCD1}">
                    <a14:hiddenFill xmlns:a14="http://schemas.microsoft.com/office/drawing/2010/main">
                      <a:noFill/>
                    </a14:hiddenFill>
                  </a:ext>
                </a:extLst>
              </xdr:spPr>
            </xdr:cxnSp>
            <xdr:cxnSp macro="">
              <xdr:nvCxnSpPr>
                <xdr:cNvPr id="1149" name="AutoShape 664"/>
                <xdr:cNvCxnSpPr>
                  <a:cxnSpLocks noChangeShapeType="1"/>
                </xdr:cNvCxnSpPr>
              </xdr:nvCxnSpPr>
              <xdr:spPr bwMode="auto">
                <a:xfrm flipH="1" flipV="1">
                  <a:off x="4320030" y="3653790"/>
                  <a:ext cx="191644" cy="1106170"/>
                </a:xfrm>
                <a:prstGeom prst="straightConnector1">
                  <a:avLst/>
                </a:prstGeom>
                <a:noFill/>
                <a:ln w="9525">
                  <a:solidFill>
                    <a:srgbClr val="00B050"/>
                  </a:solidFill>
                  <a:round/>
                  <a:headEnd/>
                  <a:tailEnd/>
                </a:ln>
                <a:extLst>
                  <a:ext uri="{909E8E84-426E-40DD-AFC4-6F175D3DCCD1}">
                    <a14:hiddenFill xmlns:a14="http://schemas.microsoft.com/office/drawing/2010/main">
                      <a:noFill/>
                    </a14:hiddenFill>
                  </a:ext>
                </a:extLst>
              </xdr:spPr>
            </xdr:cxnSp>
            <xdr:sp macro="" textlink="">
              <xdr:nvSpPr>
                <xdr:cNvPr id="1150" name="Text Box 667"/>
                <xdr:cNvSpPr txBox="1">
                  <a:spLocks noChangeArrowheads="1"/>
                </xdr:cNvSpPr>
              </xdr:nvSpPr>
              <xdr:spPr bwMode="auto">
                <a:xfrm>
                  <a:off x="4141755" y="2144836"/>
                  <a:ext cx="179388" cy="179387"/>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51" name="Text Box 668"/>
                <xdr:cNvSpPr txBox="1">
                  <a:spLocks noChangeArrowheads="1"/>
                </xdr:cNvSpPr>
              </xdr:nvSpPr>
              <xdr:spPr bwMode="auto">
                <a:xfrm>
                  <a:off x="4716621" y="2076979"/>
                  <a:ext cx="179387" cy="179387"/>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4</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52" name="Text Box 669"/>
                <xdr:cNvSpPr txBox="1">
                  <a:spLocks noChangeArrowheads="1"/>
                </xdr:cNvSpPr>
              </xdr:nvSpPr>
              <xdr:spPr bwMode="auto">
                <a:xfrm>
                  <a:off x="4080950" y="3545522"/>
                  <a:ext cx="188913" cy="193675"/>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2</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53" name="Text Box 670"/>
                <xdr:cNvSpPr txBox="1">
                  <a:spLocks noChangeArrowheads="1"/>
                </xdr:cNvSpPr>
              </xdr:nvSpPr>
              <xdr:spPr bwMode="auto">
                <a:xfrm>
                  <a:off x="7822723" y="3550094"/>
                  <a:ext cx="179388" cy="179388"/>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54" name="Text Box 671"/>
                <xdr:cNvSpPr txBox="1">
                  <a:spLocks noChangeArrowheads="1"/>
                </xdr:cNvSpPr>
              </xdr:nvSpPr>
              <xdr:spPr bwMode="auto">
                <a:xfrm>
                  <a:off x="5780721" y="3628074"/>
                  <a:ext cx="166688"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p2</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55" name="Text Box 672"/>
                <xdr:cNvSpPr txBox="1">
                  <a:spLocks noChangeArrowheads="1"/>
                </xdr:cNvSpPr>
              </xdr:nvSpPr>
              <xdr:spPr bwMode="auto">
                <a:xfrm>
                  <a:off x="5846944" y="2763776"/>
                  <a:ext cx="1619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56" name="Text Box 673"/>
                <xdr:cNvSpPr txBox="1">
                  <a:spLocks noChangeArrowheads="1"/>
                </xdr:cNvSpPr>
              </xdr:nvSpPr>
              <xdr:spPr bwMode="auto">
                <a:xfrm>
                  <a:off x="5788341" y="2980961"/>
                  <a:ext cx="1460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l1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57" name="Text Box 677"/>
                <xdr:cNvSpPr txBox="1">
                  <a:spLocks noChangeArrowheads="1"/>
                </xdr:cNvSpPr>
              </xdr:nvSpPr>
              <xdr:spPr bwMode="auto">
                <a:xfrm>
                  <a:off x="4474958" y="3212148"/>
                  <a:ext cx="171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58" name="Text Box 676"/>
                <xdr:cNvSpPr txBox="1">
                  <a:spLocks noChangeArrowheads="1"/>
                </xdr:cNvSpPr>
              </xdr:nvSpPr>
              <xdr:spPr bwMode="auto">
                <a:xfrm>
                  <a:off x="4769803" y="2666365"/>
                  <a:ext cx="17145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z4</a:t>
                  </a:r>
                  <a:endParaRPr kumimoji="0" lang="nl-NL" altLang="nl-NL" sz="1000" b="0" i="0" u="none" strike="noStrike" cap="none" normalizeH="0" baseline="0">
                    <a:ln>
                      <a:noFill/>
                    </a:ln>
                    <a:solidFill>
                      <a:schemeClr val="tx1"/>
                    </a:solidFill>
                    <a:effectLst/>
                    <a:latin typeface="Arial" panose="020B0604020202020204" pitchFamily="34" charset="0"/>
                  </a:endParaRPr>
                </a:p>
                <a:p>
                  <a:pPr marL="0" marR="0" lvl="0" indent="0" algn="l" defTabSz="914400" rtl="0" eaLnBrk="0" fontAlgn="base" latinLnBrk="0" hangingPunct="0">
                    <a:lnSpc>
                      <a:spcPct val="100000"/>
                    </a:lnSpc>
                    <a:spcBef>
                      <a:spcPct val="0"/>
                    </a:spcBef>
                    <a:spcAft>
                      <a:spcPct val="0"/>
                    </a:spcAft>
                    <a:buClrTx/>
                    <a:buSzTx/>
                    <a:buFontTx/>
                    <a:buNone/>
                    <a:tabLst/>
                  </a:pP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1159" name="AutoShape 695"/>
                <xdr:cNvCxnSpPr>
                  <a:cxnSpLocks noChangeShapeType="1"/>
                </xdr:cNvCxnSpPr>
              </xdr:nvCxnSpPr>
              <xdr:spPr bwMode="auto">
                <a:xfrm>
                  <a:off x="5447665" y="2885440"/>
                  <a:ext cx="10160" cy="228282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160" name="AutoShape 696"/>
                <xdr:cNvCxnSpPr>
                  <a:cxnSpLocks noChangeShapeType="1"/>
                </xdr:cNvCxnSpPr>
              </xdr:nvCxnSpPr>
              <xdr:spPr bwMode="auto">
                <a:xfrm>
                  <a:off x="4845685" y="2879725"/>
                  <a:ext cx="61150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161" name="AutoShape 702"/>
                <xdr:cNvCxnSpPr>
                  <a:cxnSpLocks noChangeShapeType="1"/>
                </xdr:cNvCxnSpPr>
              </xdr:nvCxnSpPr>
              <xdr:spPr bwMode="auto">
                <a:xfrm>
                  <a:off x="5440045" y="5168900"/>
                  <a:ext cx="233997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162" name="AutoShape 703"/>
                <xdr:cNvCxnSpPr>
                  <a:cxnSpLocks noChangeShapeType="1"/>
                </xdr:cNvCxnSpPr>
              </xdr:nvCxnSpPr>
              <xdr:spPr bwMode="auto">
                <a:xfrm flipH="1">
                  <a:off x="3985260" y="5234940"/>
                  <a:ext cx="893338"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163" name="AutoShape 704"/>
                <xdr:cNvCxnSpPr>
                  <a:cxnSpLocks noChangeShapeType="1"/>
                </xdr:cNvCxnSpPr>
              </xdr:nvCxnSpPr>
              <xdr:spPr bwMode="auto">
                <a:xfrm flipV="1">
                  <a:off x="3999865" y="5229225"/>
                  <a:ext cx="0" cy="38862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164" name="AutoShape 705"/>
                <xdr:cNvCxnSpPr>
                  <a:cxnSpLocks noChangeShapeType="1"/>
                </xdr:cNvCxnSpPr>
              </xdr:nvCxnSpPr>
              <xdr:spPr bwMode="auto">
                <a:xfrm>
                  <a:off x="3981450" y="5623560"/>
                  <a:ext cx="450024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165" name="AutoShape 706"/>
                <xdr:cNvCxnSpPr>
                  <a:cxnSpLocks noChangeShapeType="1"/>
                </xdr:cNvCxnSpPr>
              </xdr:nvCxnSpPr>
              <xdr:spPr bwMode="auto">
                <a:xfrm flipH="1">
                  <a:off x="4002405" y="4763135"/>
                  <a:ext cx="511175" cy="172721"/>
                </a:xfrm>
                <a:prstGeom prst="straightConnector1">
                  <a:avLst/>
                </a:prstGeom>
                <a:noFill/>
                <a:ln w="9525">
                  <a:solidFill>
                    <a:srgbClr val="7030A0"/>
                  </a:solidFill>
                  <a:round/>
                  <a:headEnd type="none"/>
                  <a:tailEnd type="none"/>
                </a:ln>
                <a:extLst>
                  <a:ext uri="{909E8E84-426E-40DD-AFC4-6F175D3DCCD1}">
                    <a14:hiddenFill xmlns:a14="http://schemas.microsoft.com/office/drawing/2010/main">
                      <a:noFill/>
                    </a14:hiddenFill>
                  </a:ext>
                </a:extLst>
              </xdr:spPr>
            </xdr:cxnSp>
            <xdr:cxnSp macro="">
              <xdr:nvCxnSpPr>
                <xdr:cNvPr id="1166" name="AutoShape 709"/>
                <xdr:cNvCxnSpPr>
                  <a:cxnSpLocks noChangeShapeType="1"/>
                </xdr:cNvCxnSpPr>
              </xdr:nvCxnSpPr>
              <xdr:spPr bwMode="auto">
                <a:xfrm flipV="1">
                  <a:off x="4308475" y="2296160"/>
                  <a:ext cx="0" cy="237236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1167" name="AutoShape 710"/>
                <xdr:cNvCxnSpPr>
                  <a:cxnSpLocks noChangeShapeType="1"/>
                </xdr:cNvCxnSpPr>
              </xdr:nvCxnSpPr>
              <xdr:spPr bwMode="auto">
                <a:xfrm flipH="1">
                  <a:off x="3992880" y="4657090"/>
                  <a:ext cx="329565" cy="63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168" name="AutoShape 711"/>
                <xdr:cNvCxnSpPr>
                  <a:cxnSpLocks noChangeShapeType="1"/>
                </xdr:cNvCxnSpPr>
              </xdr:nvCxnSpPr>
              <xdr:spPr bwMode="auto">
                <a:xfrm flipV="1">
                  <a:off x="3999865" y="1808481"/>
                  <a:ext cx="635" cy="286004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sp macro="" textlink="">
              <xdr:nvSpPr>
                <xdr:cNvPr id="1169" name="Text Box 714"/>
                <xdr:cNvSpPr txBox="1">
                  <a:spLocks noChangeArrowheads="1"/>
                </xdr:cNvSpPr>
              </xdr:nvSpPr>
              <xdr:spPr bwMode="auto">
                <a:xfrm>
                  <a:off x="3710623" y="4863782"/>
                  <a:ext cx="1143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L</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x</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70" name="Text Box 715"/>
                <xdr:cNvSpPr txBox="1">
                  <a:spLocks noChangeArrowheads="1"/>
                </xdr:cNvSpPr>
              </xdr:nvSpPr>
              <xdr:spPr bwMode="auto">
                <a:xfrm>
                  <a:off x="4870127" y="5242922"/>
                  <a:ext cx="179387" cy="179388"/>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5</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71" name="Text Box 716"/>
                <xdr:cNvSpPr txBox="1">
                  <a:spLocks noChangeArrowheads="1"/>
                </xdr:cNvSpPr>
              </xdr:nvSpPr>
              <xdr:spPr bwMode="auto">
                <a:xfrm>
                  <a:off x="4200713" y="4854338"/>
                  <a:ext cx="171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z5</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72" name="Text Box 1162"/>
                <xdr:cNvSpPr txBox="1">
                  <a:spLocks noChangeArrowheads="1"/>
                </xdr:cNvSpPr>
              </xdr:nvSpPr>
              <xdr:spPr bwMode="auto">
                <a:xfrm>
                  <a:off x="5788342" y="4112895"/>
                  <a:ext cx="106362"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l</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1173" name="AutoShape 1267"/>
                <xdr:cNvCxnSpPr>
                  <a:cxnSpLocks noChangeShapeType="1"/>
                </xdr:cNvCxnSpPr>
              </xdr:nvCxnSpPr>
              <xdr:spPr bwMode="auto">
                <a:xfrm>
                  <a:off x="4000500" y="4943475"/>
                  <a:ext cx="250275" cy="282576"/>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1174" name="Rechte verbindingslijn met pijl 1173"/>
                <xdr:cNvCxnSpPr>
                  <a:cxnSpLocks noChangeShapeType="1"/>
                </xdr:cNvCxnSpPr>
              </xdr:nvCxnSpPr>
              <xdr:spPr bwMode="auto">
                <a:xfrm flipV="1">
                  <a:off x="3998378" y="4223406"/>
                  <a:ext cx="853658" cy="711815"/>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sp macro="" textlink="">
              <xdr:nvSpPr>
                <xdr:cNvPr id="1175" name="Rechthoek 1174"/>
                <xdr:cNvSpPr>
                  <a:spLocks noChangeArrowheads="1"/>
                </xdr:cNvSpPr>
              </xdr:nvSpPr>
              <xdr:spPr bwMode="auto">
                <a:xfrm rot="5400000">
                  <a:off x="4370721" y="4743039"/>
                  <a:ext cx="1046480" cy="17780"/>
                </a:xfrm>
                <a:prstGeom prst="rect">
                  <a:avLst/>
                </a:prstGeom>
                <a:solidFill>
                  <a:srgbClr val="7030A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1176" name="AutoShape 675"/>
                <xdr:cNvCxnSpPr>
                  <a:cxnSpLocks noChangeShapeType="1"/>
                </xdr:cNvCxnSpPr>
              </xdr:nvCxnSpPr>
              <xdr:spPr bwMode="auto">
                <a:xfrm flipH="1">
                  <a:off x="4003675" y="3644900"/>
                  <a:ext cx="2767966" cy="1292819"/>
                </a:xfrm>
                <a:prstGeom prst="straightConnector1">
                  <a:avLst/>
                </a:prstGeom>
                <a:noFill/>
                <a:ln w="9525">
                  <a:solidFill>
                    <a:srgbClr val="C00000"/>
                  </a:solidFill>
                  <a:round/>
                  <a:headEnd type="none"/>
                  <a:tailEnd type="none"/>
                </a:ln>
                <a:extLst>
                  <a:ext uri="{909E8E84-426E-40DD-AFC4-6F175D3DCCD1}">
                    <a14:hiddenFill xmlns:a14="http://schemas.microsoft.com/office/drawing/2010/main">
                      <a:noFill/>
                    </a14:hiddenFill>
                  </a:ext>
                </a:extLst>
              </xdr:spPr>
            </xdr:cxnSp>
            <xdr:cxnSp macro="">
              <xdr:nvCxnSpPr>
                <xdr:cNvPr id="1177" name="Rechte verbindingslijn 1176"/>
                <xdr:cNvCxnSpPr/>
              </xdr:nvCxnSpPr>
              <xdr:spPr>
                <a:xfrm flipH="1">
                  <a:off x="4256490" y="4229258"/>
                  <a:ext cx="595547" cy="991078"/>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178" name="Rechte verbindingslijn 1177"/>
                <xdr:cNvCxnSpPr/>
              </xdr:nvCxnSpPr>
              <xdr:spPr>
                <a:xfrm flipV="1">
                  <a:off x="4329430" y="2339976"/>
                  <a:ext cx="666115" cy="139065"/>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179" name="Ovaal 1178"/>
                <xdr:cNvSpPr/>
              </xdr:nvSpPr>
              <xdr:spPr>
                <a:xfrm>
                  <a:off x="6754495" y="3626485"/>
                  <a:ext cx="35560" cy="35560"/>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cxnSp macro="">
              <xdr:nvCxnSpPr>
                <xdr:cNvPr id="1180" name="AutoShape 309"/>
                <xdr:cNvCxnSpPr>
                  <a:cxnSpLocks noChangeShapeType="1"/>
                </xdr:cNvCxnSpPr>
              </xdr:nvCxnSpPr>
              <xdr:spPr bwMode="auto">
                <a:xfrm flipH="1">
                  <a:off x="4511675" y="2311230"/>
                  <a:ext cx="279400" cy="2449365"/>
                </a:xfrm>
                <a:prstGeom prst="straightConnector1">
                  <a:avLst/>
                </a:prstGeom>
                <a:noFill/>
                <a:ln w="9525">
                  <a:solidFill>
                    <a:srgbClr val="FFC000"/>
                  </a:solidFill>
                  <a:round/>
                  <a:headEnd/>
                  <a:tailEnd/>
                </a:ln>
                <a:extLst>
                  <a:ext uri="{909E8E84-426E-40DD-AFC4-6F175D3DCCD1}">
                    <a14:hiddenFill xmlns:a14="http://schemas.microsoft.com/office/drawing/2010/main">
                      <a:noFill/>
                    </a14:hiddenFill>
                  </a:ext>
                </a:extLst>
              </xdr:spPr>
            </xdr:cxnSp>
            <xdr:cxnSp macro="">
              <xdr:nvCxnSpPr>
                <xdr:cNvPr id="1181" name="AutoShape 627"/>
                <xdr:cNvCxnSpPr>
                  <a:cxnSpLocks noChangeShapeType="1"/>
                </xdr:cNvCxnSpPr>
              </xdr:nvCxnSpPr>
              <xdr:spPr bwMode="auto">
                <a:xfrm>
                  <a:off x="4791710" y="2315210"/>
                  <a:ext cx="1985010" cy="1329055"/>
                </a:xfrm>
                <a:prstGeom prst="straightConnector1">
                  <a:avLst/>
                </a:prstGeom>
                <a:noFill/>
                <a:ln w="9525">
                  <a:solidFill>
                    <a:srgbClr val="FFC000"/>
                  </a:solidFill>
                  <a:round/>
                  <a:headEnd type="triangle"/>
                  <a:tailEnd/>
                </a:ln>
                <a:extLst>
                  <a:ext uri="{909E8E84-426E-40DD-AFC4-6F175D3DCCD1}">
                    <a14:hiddenFill xmlns:a14="http://schemas.microsoft.com/office/drawing/2010/main">
                      <a:noFill/>
                    </a14:hiddenFill>
                  </a:ext>
                </a:extLst>
              </xdr:spPr>
            </xdr:cxnSp>
            <xdr:sp macro="" textlink="">
              <xdr:nvSpPr>
                <xdr:cNvPr id="1182" name="Text Box 678"/>
                <xdr:cNvSpPr txBox="1">
                  <a:spLocks noChangeArrowheads="1"/>
                </xdr:cNvSpPr>
              </xdr:nvSpPr>
              <xdr:spPr bwMode="auto">
                <a:xfrm>
                  <a:off x="4364461" y="3791426"/>
                  <a:ext cx="171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z2</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183" name="Rectangle 693"/>
                <xdr:cNvSpPr>
                  <a:spLocks noChangeArrowheads="1"/>
                </xdr:cNvSpPr>
              </xdr:nvSpPr>
              <xdr:spPr bwMode="auto">
                <a:xfrm>
                  <a:off x="4319388" y="5256539"/>
                  <a:ext cx="561527" cy="17780"/>
                </a:xfrm>
                <a:prstGeom prst="rect">
                  <a:avLst/>
                </a:prstGeom>
                <a:solidFill>
                  <a:srgbClr val="7030A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grpSp>
          <xdr:cxnSp macro="">
            <xdr:nvCxnSpPr>
              <xdr:cNvPr id="1115" name="AutoShape 69"/>
              <xdr:cNvCxnSpPr>
                <a:cxnSpLocks noChangeShapeType="1"/>
              </xdr:cNvCxnSpPr>
            </xdr:nvCxnSpPr>
            <xdr:spPr bwMode="auto">
              <a:xfrm flipV="1">
                <a:off x="2063346" y="1021741"/>
                <a:ext cx="818063" cy="4072427"/>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cxnSp macro="">
            <xdr:nvCxnSpPr>
              <xdr:cNvPr id="1116" name="AutoShape 69"/>
              <xdr:cNvCxnSpPr>
                <a:cxnSpLocks noChangeShapeType="1"/>
              </xdr:cNvCxnSpPr>
            </xdr:nvCxnSpPr>
            <xdr:spPr bwMode="auto">
              <a:xfrm flipV="1">
                <a:off x="2103116" y="1128897"/>
                <a:ext cx="616364" cy="3965270"/>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117" name="AutoShape 660"/>
              <xdr:cNvCxnSpPr>
                <a:cxnSpLocks noChangeShapeType="1"/>
              </xdr:cNvCxnSpPr>
            </xdr:nvCxnSpPr>
            <xdr:spPr bwMode="auto">
              <a:xfrm flipH="1">
                <a:off x="2226470" y="2880164"/>
                <a:ext cx="983" cy="2215711"/>
              </a:xfrm>
              <a:prstGeom prst="straightConnector1">
                <a:avLst/>
              </a:prstGeom>
              <a:noFill/>
              <a:ln w="12700">
                <a:solidFill>
                  <a:srgbClr val="00B050"/>
                </a:solidFill>
                <a:prstDash val="sysDot"/>
                <a:round/>
                <a:headEnd/>
                <a:tailEnd/>
              </a:ln>
              <a:extLst>
                <a:ext uri="{909E8E84-426E-40DD-AFC4-6F175D3DCCD1}">
                  <a14:hiddenFill xmlns:a14="http://schemas.microsoft.com/office/drawing/2010/main">
                    <a:noFill/>
                  </a14:hiddenFill>
                </a:ext>
              </a:extLst>
            </xdr:spPr>
          </xdr:cxnSp>
          <xdr:sp macro="" textlink="">
            <xdr:nvSpPr>
              <xdr:cNvPr id="1118" name="Rectangle 1364"/>
              <xdr:cNvSpPr>
                <a:spLocks noChangeArrowheads="1"/>
              </xdr:cNvSpPr>
            </xdr:nvSpPr>
            <xdr:spPr bwMode="auto">
              <a:xfrm>
                <a:off x="2046998" y="5146473"/>
                <a:ext cx="180000" cy="25033"/>
              </a:xfrm>
              <a:prstGeom prst="rect">
                <a:avLst/>
              </a:prstGeom>
              <a:solidFill>
                <a:srgbClr val="C198E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grpSp>
      </xdr:grpSp>
    </xdr:grpSp>
    <xdr:clientData/>
  </xdr:twoCellAnchor>
  <xdr:twoCellAnchor>
    <xdr:from>
      <xdr:col>2</xdr:col>
      <xdr:colOff>7325</xdr:colOff>
      <xdr:row>73</xdr:row>
      <xdr:rowOff>161189</xdr:rowOff>
    </xdr:from>
    <xdr:to>
      <xdr:col>12</xdr:col>
      <xdr:colOff>261974</xdr:colOff>
      <xdr:row>106</xdr:row>
      <xdr:rowOff>127990</xdr:rowOff>
    </xdr:to>
    <xdr:grpSp>
      <xdr:nvGrpSpPr>
        <xdr:cNvPr id="1257" name="Groep 1256"/>
        <xdr:cNvGrpSpPr/>
      </xdr:nvGrpSpPr>
      <xdr:grpSpPr>
        <a:xfrm>
          <a:off x="1226525" y="14067689"/>
          <a:ext cx="6350649" cy="6253301"/>
          <a:chOff x="1730952" y="146209"/>
          <a:chExt cx="6335995" cy="6253301"/>
        </a:xfrm>
      </xdr:grpSpPr>
      <xdr:cxnSp macro="">
        <xdr:nvCxnSpPr>
          <xdr:cNvPr id="1258" name="AutoShape 1267"/>
          <xdr:cNvCxnSpPr>
            <a:cxnSpLocks noChangeShapeType="1"/>
          </xdr:cNvCxnSpPr>
        </xdr:nvCxnSpPr>
        <xdr:spPr bwMode="auto">
          <a:xfrm>
            <a:off x="2214506" y="5210600"/>
            <a:ext cx="864000" cy="0"/>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grpSp>
        <xdr:nvGrpSpPr>
          <xdr:cNvPr id="1259" name="Groep 1258"/>
          <xdr:cNvGrpSpPr/>
        </xdr:nvGrpSpPr>
        <xdr:grpSpPr>
          <a:xfrm>
            <a:off x="1730952" y="146209"/>
            <a:ext cx="6335995" cy="6253301"/>
            <a:chOff x="1730952" y="146209"/>
            <a:chExt cx="6335995" cy="6253301"/>
          </a:xfrm>
        </xdr:grpSpPr>
        <xdr:cxnSp macro="">
          <xdr:nvCxnSpPr>
            <xdr:cNvPr id="1260" name="AutoShape 1267"/>
            <xdr:cNvCxnSpPr>
              <a:cxnSpLocks noChangeShapeType="1"/>
            </xdr:cNvCxnSpPr>
          </xdr:nvCxnSpPr>
          <xdr:spPr bwMode="auto">
            <a:xfrm>
              <a:off x="5420062" y="5207725"/>
              <a:ext cx="0" cy="864000"/>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grpSp>
          <xdr:nvGrpSpPr>
            <xdr:cNvPr id="1261" name="Groep 1260"/>
            <xdr:cNvGrpSpPr/>
          </xdr:nvGrpSpPr>
          <xdr:grpSpPr>
            <a:xfrm>
              <a:off x="1730952" y="146209"/>
              <a:ext cx="6335995" cy="6253301"/>
              <a:chOff x="1730952" y="146209"/>
              <a:chExt cx="6335995" cy="6253301"/>
            </a:xfrm>
          </xdr:grpSpPr>
          <xdr:grpSp>
            <xdr:nvGrpSpPr>
              <xdr:cNvPr id="1262" name="Groep 1261"/>
              <xdr:cNvGrpSpPr>
                <a:grpSpLocks noChangeAspect="1"/>
              </xdr:cNvGrpSpPr>
            </xdr:nvGrpSpPr>
            <xdr:grpSpPr>
              <a:xfrm>
                <a:off x="1730952" y="146209"/>
                <a:ext cx="6335995" cy="6253301"/>
                <a:chOff x="1379220" y="985838"/>
                <a:chExt cx="4500245" cy="4441508"/>
              </a:xfrm>
            </xdr:grpSpPr>
            <xdr:sp macro="" textlink="">
              <xdr:nvSpPr>
                <xdr:cNvPr id="1267" name="Text Box 1321"/>
                <xdr:cNvSpPr txBox="1">
                  <a:spLocks noChangeArrowheads="1"/>
                </xdr:cNvSpPr>
              </xdr:nvSpPr>
              <xdr:spPr bwMode="auto">
                <a:xfrm>
                  <a:off x="2339975" y="985838"/>
                  <a:ext cx="1460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l1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268" name="Rechthoek 1267"/>
                <xdr:cNvSpPr/>
              </xdr:nvSpPr>
              <xdr:spPr>
                <a:xfrm>
                  <a:off x="1709420" y="5103495"/>
                  <a:ext cx="2290445" cy="29527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269" name="Rechthoek 1268"/>
                <xdr:cNvSpPr/>
              </xdr:nvSpPr>
              <xdr:spPr>
                <a:xfrm>
                  <a:off x="1402080" y="1492250"/>
                  <a:ext cx="319405" cy="392684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270" name="Rechthoek 1269"/>
                <xdr:cNvSpPr/>
              </xdr:nvSpPr>
              <xdr:spPr>
                <a:xfrm>
                  <a:off x="2341245" y="2062480"/>
                  <a:ext cx="560070" cy="199961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271" name="Rechthoek 1270"/>
                <xdr:cNvSpPr/>
              </xdr:nvSpPr>
              <xdr:spPr>
                <a:xfrm>
                  <a:off x="2341245" y="4004310"/>
                  <a:ext cx="2859405" cy="56451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272" name="Rechthoek 1271"/>
                <xdr:cNvSpPr/>
              </xdr:nvSpPr>
              <xdr:spPr>
                <a:xfrm>
                  <a:off x="5179695" y="1488440"/>
                  <a:ext cx="697230" cy="308038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273" name="Rechthoek 1272"/>
                <xdr:cNvSpPr/>
              </xdr:nvSpPr>
              <xdr:spPr>
                <a:xfrm>
                  <a:off x="1410970" y="1012825"/>
                  <a:ext cx="4465955" cy="49149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274" name="Rectangle 1310"/>
                <xdr:cNvSpPr>
                  <a:spLocks noChangeArrowheads="1"/>
                </xdr:cNvSpPr>
              </xdr:nvSpPr>
              <xdr:spPr bwMode="auto">
                <a:xfrm>
                  <a:off x="2000831" y="1455390"/>
                  <a:ext cx="434683" cy="17780"/>
                </a:xfrm>
                <a:prstGeom prst="rect">
                  <a:avLst/>
                </a:prstGeom>
                <a:solidFill>
                  <a:srgbClr val="FFC000"/>
                </a:solidFill>
                <a:ln w="9525">
                  <a:solidFill>
                    <a:srgbClr val="FFC00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1275" name="Rectangle 1311"/>
                <xdr:cNvSpPr>
                  <a:spLocks noChangeArrowheads="1"/>
                </xdr:cNvSpPr>
              </xdr:nvSpPr>
              <xdr:spPr bwMode="auto">
                <a:xfrm rot="5400000">
                  <a:off x="941835" y="2865756"/>
                  <a:ext cx="1464310" cy="17780"/>
                </a:xfrm>
                <a:prstGeom prst="rect">
                  <a:avLst/>
                </a:prstGeom>
                <a:gradFill rotWithShape="0">
                  <a:gsLst>
                    <a:gs pos="0">
                      <a:srgbClr val="00B050"/>
                    </a:gs>
                    <a:gs pos="100000">
                      <a:srgbClr val="00B050">
                        <a:gamma/>
                        <a:shade val="46275"/>
                        <a:invGamma/>
                      </a:srgbClr>
                    </a:gs>
                  </a:gsLst>
                  <a:lin ang="2700000" scaled="1"/>
                </a:gradFill>
                <a:ln w="9525">
                  <a:solidFill>
                    <a:srgbClr val="00B05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1276" name="AutoShape 1312"/>
                <xdr:cNvCxnSpPr>
                  <a:cxnSpLocks noChangeShapeType="1"/>
                </xdr:cNvCxnSpPr>
              </xdr:nvCxnSpPr>
              <xdr:spPr bwMode="auto">
                <a:xfrm flipH="1" flipV="1">
                  <a:off x="1708151" y="1630680"/>
                  <a:ext cx="3429000" cy="1190625"/>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277" name="AutoShape 1313"/>
                <xdr:cNvCxnSpPr>
                  <a:cxnSpLocks noChangeShapeType="1"/>
                </xdr:cNvCxnSpPr>
              </xdr:nvCxnSpPr>
              <xdr:spPr bwMode="auto">
                <a:xfrm flipH="1" flipV="1">
                  <a:off x="2405380" y="1507490"/>
                  <a:ext cx="2731770" cy="1313815"/>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278" name="AutoShape 1314"/>
                <xdr:cNvCxnSpPr>
                  <a:cxnSpLocks noChangeShapeType="1"/>
                </xdr:cNvCxnSpPr>
              </xdr:nvCxnSpPr>
              <xdr:spPr bwMode="auto">
                <a:xfrm flipH="1" flipV="1">
                  <a:off x="2068830" y="1576071"/>
                  <a:ext cx="3068320" cy="1243965"/>
                </a:xfrm>
                <a:prstGeom prst="straightConnector1">
                  <a:avLst/>
                </a:prstGeom>
                <a:noFill/>
                <a:ln w="9525">
                  <a:solidFill>
                    <a:srgbClr val="0070C0"/>
                  </a:solidFill>
                  <a:round/>
                  <a:headEnd type="none"/>
                  <a:tailEnd type="triangle"/>
                </a:ln>
                <a:extLst>
                  <a:ext uri="{909E8E84-426E-40DD-AFC4-6F175D3DCCD1}">
                    <a14:hiddenFill xmlns:a14="http://schemas.microsoft.com/office/drawing/2010/main">
                      <a:noFill/>
                    </a14:hiddenFill>
                  </a:ext>
                </a:extLst>
              </xdr:spPr>
            </xdr:cxnSp>
            <xdr:cxnSp macro="">
              <xdr:nvCxnSpPr>
                <xdr:cNvPr id="1279" name="AutoShape 1315"/>
                <xdr:cNvCxnSpPr>
                  <a:cxnSpLocks noChangeShapeType="1"/>
                </xdr:cNvCxnSpPr>
              </xdr:nvCxnSpPr>
              <xdr:spPr bwMode="auto">
                <a:xfrm>
                  <a:off x="2403475" y="1506855"/>
                  <a:ext cx="1764665" cy="1319530"/>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sp macro="" textlink="">
              <xdr:nvSpPr>
                <xdr:cNvPr id="1280" name="Rectangle 1316"/>
                <xdr:cNvSpPr>
                  <a:spLocks noChangeArrowheads="1"/>
                </xdr:cNvSpPr>
              </xdr:nvSpPr>
              <xdr:spPr bwMode="auto">
                <a:xfrm flipV="1">
                  <a:off x="1722773" y="1509616"/>
                  <a:ext cx="715948" cy="17780"/>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1281" name="Rectangle 1317"/>
                <xdr:cNvSpPr>
                  <a:spLocks noChangeArrowheads="1"/>
                </xdr:cNvSpPr>
              </xdr:nvSpPr>
              <xdr:spPr bwMode="auto">
                <a:xfrm rot="5400000">
                  <a:off x="1675889" y="1564958"/>
                  <a:ext cx="113665" cy="17780"/>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1282" name="Text Box 1318"/>
                <xdr:cNvSpPr txBox="1">
                  <a:spLocks noChangeArrowheads="1"/>
                </xdr:cNvSpPr>
              </xdr:nvSpPr>
              <xdr:spPr bwMode="auto">
                <a:xfrm>
                  <a:off x="2184761" y="1859281"/>
                  <a:ext cx="171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z4</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1283" name="AutoShape 1319"/>
                <xdr:cNvCxnSpPr>
                  <a:cxnSpLocks noChangeShapeType="1"/>
                </xdr:cNvCxnSpPr>
              </xdr:nvCxnSpPr>
              <xdr:spPr bwMode="auto">
                <a:xfrm>
                  <a:off x="2182495" y="1490345"/>
                  <a:ext cx="1983740" cy="1336675"/>
                </a:xfrm>
                <a:prstGeom prst="straightConnector1">
                  <a:avLst/>
                </a:prstGeom>
                <a:noFill/>
                <a:ln w="9525">
                  <a:solidFill>
                    <a:srgbClr val="FFC000"/>
                  </a:solidFill>
                  <a:round/>
                  <a:headEnd type="triangle"/>
                  <a:tailEnd/>
                </a:ln>
                <a:extLst>
                  <a:ext uri="{909E8E84-426E-40DD-AFC4-6F175D3DCCD1}">
                    <a14:hiddenFill xmlns:a14="http://schemas.microsoft.com/office/drawing/2010/main">
                      <a:noFill/>
                    </a14:hiddenFill>
                  </a:ext>
                </a:extLst>
              </xdr:spPr>
            </xdr:cxnSp>
            <xdr:sp macro="" textlink="">
              <xdr:nvSpPr>
                <xdr:cNvPr id="1284" name="Text Box 1320"/>
                <xdr:cNvSpPr txBox="1">
                  <a:spLocks noChangeArrowheads="1"/>
                </xdr:cNvSpPr>
              </xdr:nvSpPr>
              <xdr:spPr bwMode="auto">
                <a:xfrm>
                  <a:off x="3116263" y="2181225"/>
                  <a:ext cx="1206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l</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285" name="Text Box 1322"/>
                <xdr:cNvSpPr txBox="1">
                  <a:spLocks noChangeArrowheads="1"/>
                </xdr:cNvSpPr>
              </xdr:nvSpPr>
              <xdr:spPr bwMode="auto">
                <a:xfrm>
                  <a:off x="3207702" y="2822257"/>
                  <a:ext cx="1746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p2</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286" name="Text Box 1323"/>
                <xdr:cNvSpPr txBox="1">
                  <a:spLocks noChangeArrowheads="1"/>
                </xdr:cNvSpPr>
              </xdr:nvSpPr>
              <xdr:spPr bwMode="auto">
                <a:xfrm>
                  <a:off x="4808220" y="2826385"/>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p1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287" name="Text Box 1324"/>
                <xdr:cNvSpPr txBox="1">
                  <a:spLocks noChangeArrowheads="1"/>
                </xdr:cNvSpPr>
              </xdr:nvSpPr>
              <xdr:spPr bwMode="auto">
                <a:xfrm>
                  <a:off x="2982277" y="1798955"/>
                  <a:ext cx="1619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288" name="Text Box 1325"/>
                <xdr:cNvSpPr txBox="1">
                  <a:spLocks noChangeArrowheads="1"/>
                </xdr:cNvSpPr>
              </xdr:nvSpPr>
              <xdr:spPr bwMode="auto">
                <a:xfrm>
                  <a:off x="1933190" y="2352357"/>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289" name="Text Box 1326"/>
                <xdr:cNvSpPr txBox="1">
                  <a:spLocks noChangeArrowheads="1"/>
                </xdr:cNvSpPr>
              </xdr:nvSpPr>
              <xdr:spPr bwMode="auto">
                <a:xfrm>
                  <a:off x="1735361" y="3663882"/>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z2</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290" name="Rectangle 1327" descr="5%"/>
                <xdr:cNvSpPr>
                  <a:spLocks noChangeArrowheads="1"/>
                </xdr:cNvSpPr>
              </xdr:nvSpPr>
              <xdr:spPr bwMode="auto">
                <a:xfrm rot="5400000">
                  <a:off x="4831080" y="2834005"/>
                  <a:ext cx="745490" cy="17780"/>
                </a:xfrm>
                <a:prstGeom prst="rect">
                  <a:avLst/>
                </a:prstGeom>
                <a:pattFill prst="pct5">
                  <a:fgClr>
                    <a:srgbClr val="0070C0"/>
                  </a:fgClr>
                  <a:bgClr>
                    <a:srgbClr val="0070C0"/>
                  </a:bgClr>
                </a:patt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1291" name="Text Box 1328"/>
                <xdr:cNvSpPr txBox="1">
                  <a:spLocks noChangeArrowheads="1"/>
                </xdr:cNvSpPr>
              </xdr:nvSpPr>
              <xdr:spPr bwMode="auto">
                <a:xfrm>
                  <a:off x="2108676" y="1264105"/>
                  <a:ext cx="179388" cy="179388"/>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4</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292" name="Text Box 1329"/>
                <xdr:cNvSpPr txBox="1">
                  <a:spLocks noChangeArrowheads="1"/>
                </xdr:cNvSpPr>
              </xdr:nvSpPr>
              <xdr:spPr bwMode="auto">
                <a:xfrm>
                  <a:off x="5252562" y="2737038"/>
                  <a:ext cx="178987" cy="178987"/>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293" name="Text Box 1330"/>
                <xdr:cNvSpPr txBox="1">
                  <a:spLocks noChangeArrowheads="1"/>
                </xdr:cNvSpPr>
              </xdr:nvSpPr>
              <xdr:spPr bwMode="auto">
                <a:xfrm>
                  <a:off x="1469584" y="2730341"/>
                  <a:ext cx="180975" cy="179388"/>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2</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294" name="Text Box 1331"/>
                <xdr:cNvSpPr txBox="1">
                  <a:spLocks noChangeArrowheads="1"/>
                </xdr:cNvSpPr>
              </xdr:nvSpPr>
              <xdr:spPr bwMode="auto">
                <a:xfrm>
                  <a:off x="1545211" y="1322114"/>
                  <a:ext cx="179388" cy="179388"/>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1295" name="AutoShape 1332"/>
                <xdr:cNvCxnSpPr>
                  <a:cxnSpLocks noChangeShapeType="1"/>
                </xdr:cNvCxnSpPr>
              </xdr:nvCxnSpPr>
              <xdr:spPr bwMode="auto">
                <a:xfrm>
                  <a:off x="2312670" y="2052955"/>
                  <a:ext cx="579120"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296" name="AutoShape 1334"/>
                <xdr:cNvCxnSpPr>
                  <a:cxnSpLocks noChangeShapeType="1"/>
                </xdr:cNvCxnSpPr>
              </xdr:nvCxnSpPr>
              <xdr:spPr bwMode="auto">
                <a:xfrm flipH="1">
                  <a:off x="5876925" y="991870"/>
                  <a:ext cx="635" cy="359981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297" name="AutoShape 1335"/>
                <xdr:cNvCxnSpPr>
                  <a:cxnSpLocks noChangeShapeType="1"/>
                </xdr:cNvCxnSpPr>
              </xdr:nvCxnSpPr>
              <xdr:spPr bwMode="auto">
                <a:xfrm flipH="1" flipV="1">
                  <a:off x="1710056" y="1489075"/>
                  <a:ext cx="3456940" cy="63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298" name="AutoShape 1336"/>
                <xdr:cNvCxnSpPr>
                  <a:cxnSpLocks noChangeShapeType="1"/>
                </xdr:cNvCxnSpPr>
              </xdr:nvCxnSpPr>
              <xdr:spPr bwMode="auto">
                <a:xfrm flipV="1">
                  <a:off x="1708150" y="1468120"/>
                  <a:ext cx="0" cy="3633470"/>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1299" name="AutoShape 1337"/>
                <xdr:cNvCxnSpPr>
                  <a:cxnSpLocks noChangeShapeType="1"/>
                </xdr:cNvCxnSpPr>
              </xdr:nvCxnSpPr>
              <xdr:spPr bwMode="auto">
                <a:xfrm flipV="1">
                  <a:off x="1394460" y="1002666"/>
                  <a:ext cx="1270" cy="442468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00" name="AutoShape 1338"/>
                <xdr:cNvCxnSpPr>
                  <a:cxnSpLocks noChangeShapeType="1"/>
                </xdr:cNvCxnSpPr>
              </xdr:nvCxnSpPr>
              <xdr:spPr bwMode="auto">
                <a:xfrm>
                  <a:off x="1379220" y="1009650"/>
                  <a:ext cx="450024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01" name="AutoShape 1339"/>
                <xdr:cNvCxnSpPr>
                  <a:cxnSpLocks noChangeShapeType="1"/>
                </xdr:cNvCxnSpPr>
              </xdr:nvCxnSpPr>
              <xdr:spPr bwMode="auto">
                <a:xfrm flipV="1">
                  <a:off x="5162550" y="1470026"/>
                  <a:ext cx="635" cy="255587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02" name="AutoShape 1340"/>
                <xdr:cNvCxnSpPr>
                  <a:cxnSpLocks noChangeShapeType="1"/>
                </xdr:cNvCxnSpPr>
              </xdr:nvCxnSpPr>
              <xdr:spPr bwMode="auto">
                <a:xfrm flipH="1">
                  <a:off x="2312670" y="4572635"/>
                  <a:ext cx="356425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03" name="AutoShape 1341"/>
                <xdr:cNvCxnSpPr>
                  <a:cxnSpLocks noChangeShapeType="1"/>
                </xdr:cNvCxnSpPr>
              </xdr:nvCxnSpPr>
              <xdr:spPr bwMode="auto">
                <a:xfrm>
                  <a:off x="2879090" y="4008120"/>
                  <a:ext cx="229298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04" name="AutoShape 1342"/>
                <xdr:cNvCxnSpPr>
                  <a:cxnSpLocks noChangeShapeType="1"/>
                </xdr:cNvCxnSpPr>
              </xdr:nvCxnSpPr>
              <xdr:spPr bwMode="auto">
                <a:xfrm>
                  <a:off x="2891790" y="2040890"/>
                  <a:ext cx="0" cy="195897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05" name="AutoShape 1343"/>
                <xdr:cNvCxnSpPr>
                  <a:cxnSpLocks noChangeShapeType="1"/>
                </xdr:cNvCxnSpPr>
              </xdr:nvCxnSpPr>
              <xdr:spPr bwMode="auto">
                <a:xfrm flipH="1">
                  <a:off x="2324100" y="2040890"/>
                  <a:ext cx="635" cy="253111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06" name="AutoShape 1345"/>
                <xdr:cNvCxnSpPr>
                  <a:cxnSpLocks noChangeShapeType="1"/>
                </xdr:cNvCxnSpPr>
              </xdr:nvCxnSpPr>
              <xdr:spPr bwMode="auto">
                <a:xfrm>
                  <a:off x="1710055" y="2125345"/>
                  <a:ext cx="2944495" cy="699770"/>
                </a:xfrm>
                <a:prstGeom prst="straightConnector1">
                  <a:avLst/>
                </a:prstGeom>
                <a:noFill/>
                <a:ln w="12700">
                  <a:solidFill>
                    <a:srgbClr val="00B050"/>
                  </a:solidFill>
                  <a:prstDash val="sysDot"/>
                  <a:round/>
                  <a:headEnd/>
                  <a:tailEnd/>
                </a:ln>
                <a:extLst>
                  <a:ext uri="{909E8E84-426E-40DD-AFC4-6F175D3DCCD1}">
                    <a14:hiddenFill xmlns:a14="http://schemas.microsoft.com/office/drawing/2010/main">
                      <a:noFill/>
                    </a14:hiddenFill>
                  </a:ext>
                </a:extLst>
              </xdr:spPr>
            </xdr:cxnSp>
            <xdr:cxnSp macro="">
              <xdr:nvCxnSpPr>
                <xdr:cNvPr id="1307" name="AutoShape 1346"/>
                <xdr:cNvCxnSpPr>
                  <a:cxnSpLocks noChangeShapeType="1"/>
                </xdr:cNvCxnSpPr>
              </xdr:nvCxnSpPr>
              <xdr:spPr bwMode="auto">
                <a:xfrm flipV="1">
                  <a:off x="1711960" y="2825750"/>
                  <a:ext cx="2942590" cy="764540"/>
                </a:xfrm>
                <a:prstGeom prst="straightConnector1">
                  <a:avLst/>
                </a:prstGeom>
                <a:noFill/>
                <a:ln w="12700">
                  <a:solidFill>
                    <a:srgbClr val="00B050"/>
                  </a:solidFill>
                  <a:prstDash val="sysDot"/>
                  <a:round/>
                  <a:headEnd/>
                  <a:tailEnd/>
                </a:ln>
                <a:extLst>
                  <a:ext uri="{909E8E84-426E-40DD-AFC4-6F175D3DCCD1}">
                    <a14:hiddenFill xmlns:a14="http://schemas.microsoft.com/office/drawing/2010/main">
                      <a:noFill/>
                    </a14:hiddenFill>
                  </a:ext>
                </a:extLst>
              </xdr:spPr>
            </xdr:cxnSp>
            <xdr:cxnSp macro="">
              <xdr:nvCxnSpPr>
                <xdr:cNvPr id="1308" name="AutoShape 1347"/>
                <xdr:cNvCxnSpPr>
                  <a:cxnSpLocks noChangeShapeType="1"/>
                </xdr:cNvCxnSpPr>
              </xdr:nvCxnSpPr>
              <xdr:spPr bwMode="auto">
                <a:xfrm flipV="1">
                  <a:off x="3707130" y="2467610"/>
                  <a:ext cx="1440180" cy="362585"/>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309" name="AutoShape 1348"/>
                <xdr:cNvCxnSpPr>
                  <a:cxnSpLocks noChangeShapeType="1"/>
                </xdr:cNvCxnSpPr>
              </xdr:nvCxnSpPr>
              <xdr:spPr bwMode="auto">
                <a:xfrm>
                  <a:off x="3707130" y="2830195"/>
                  <a:ext cx="1440180" cy="385445"/>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310" name="AutoShape 1349"/>
                <xdr:cNvCxnSpPr>
                  <a:cxnSpLocks noChangeShapeType="1"/>
                </xdr:cNvCxnSpPr>
              </xdr:nvCxnSpPr>
              <xdr:spPr bwMode="auto">
                <a:xfrm flipV="1">
                  <a:off x="1706245" y="2829560"/>
                  <a:ext cx="2944495" cy="9525"/>
                </a:xfrm>
                <a:prstGeom prst="straightConnector1">
                  <a:avLst/>
                </a:prstGeom>
                <a:noFill/>
                <a:ln w="9525">
                  <a:solidFill>
                    <a:srgbClr val="00B050"/>
                  </a:solidFill>
                  <a:round/>
                  <a:headEnd type="triangle"/>
                  <a:tailEnd/>
                </a:ln>
                <a:extLst>
                  <a:ext uri="{909E8E84-426E-40DD-AFC4-6F175D3DCCD1}">
                    <a14:hiddenFill xmlns:a14="http://schemas.microsoft.com/office/drawing/2010/main">
                      <a:noFill/>
                    </a14:hiddenFill>
                  </a:ext>
                </a:extLst>
              </xdr:spPr>
            </xdr:cxnSp>
            <xdr:cxnSp macro="">
              <xdr:nvCxnSpPr>
                <xdr:cNvPr id="1311" name="AutoShape 1350"/>
                <xdr:cNvCxnSpPr>
                  <a:cxnSpLocks noChangeShapeType="1"/>
                </xdr:cNvCxnSpPr>
              </xdr:nvCxnSpPr>
              <xdr:spPr bwMode="auto">
                <a:xfrm>
                  <a:off x="4172168" y="2829352"/>
                  <a:ext cx="997213" cy="0"/>
                </a:xfrm>
                <a:prstGeom prst="straightConnector1">
                  <a:avLst/>
                </a:prstGeom>
                <a:noFill/>
                <a:ln w="9525">
                  <a:solidFill>
                    <a:srgbClr val="0070C0"/>
                  </a:solidFill>
                  <a:round/>
                  <a:headEnd type="none"/>
                  <a:tailEnd type="triangle"/>
                </a:ln>
                <a:extLst>
                  <a:ext uri="{909E8E84-426E-40DD-AFC4-6F175D3DCCD1}">
                    <a14:hiddenFill xmlns:a14="http://schemas.microsoft.com/office/drawing/2010/main">
                      <a:noFill/>
                    </a14:hiddenFill>
                  </a:ext>
                </a:extLst>
              </xdr:spPr>
            </xdr:cxnSp>
            <xdr:cxnSp macro="">
              <xdr:nvCxnSpPr>
                <xdr:cNvPr id="1312" name="AutoShape 1352"/>
                <xdr:cNvCxnSpPr>
                  <a:cxnSpLocks noChangeShapeType="1"/>
                </xdr:cNvCxnSpPr>
              </xdr:nvCxnSpPr>
              <xdr:spPr bwMode="auto">
                <a:xfrm flipH="1">
                  <a:off x="2036922" y="1574800"/>
                  <a:ext cx="31908" cy="3208126"/>
                </a:xfrm>
                <a:prstGeom prst="straightConnector1">
                  <a:avLst/>
                </a:prstGeom>
                <a:noFill/>
                <a:ln w="9525">
                  <a:solidFill>
                    <a:srgbClr val="0070C0"/>
                  </a:solidFill>
                  <a:round/>
                  <a:headEnd/>
                  <a:tailEnd/>
                </a:ln>
                <a:extLst>
                  <a:ext uri="{909E8E84-426E-40DD-AFC4-6F175D3DCCD1}">
                    <a14:hiddenFill xmlns:a14="http://schemas.microsoft.com/office/drawing/2010/main">
                      <a:noFill/>
                    </a14:hiddenFill>
                  </a:ext>
                </a:extLst>
              </xdr:spPr>
            </xdr:cxnSp>
            <xdr:cxnSp macro="">
              <xdr:nvCxnSpPr>
                <xdr:cNvPr id="1313" name="AutoShape 1353"/>
                <xdr:cNvCxnSpPr>
                  <a:cxnSpLocks noChangeShapeType="1"/>
                </xdr:cNvCxnSpPr>
              </xdr:nvCxnSpPr>
              <xdr:spPr bwMode="auto">
                <a:xfrm flipH="1" flipV="1">
                  <a:off x="1714679" y="2837499"/>
                  <a:ext cx="327563" cy="1945638"/>
                </a:xfrm>
                <a:prstGeom prst="straightConnector1">
                  <a:avLst/>
                </a:prstGeom>
                <a:noFill/>
                <a:ln w="9525">
                  <a:solidFill>
                    <a:srgbClr val="00B050"/>
                  </a:solidFill>
                  <a:round/>
                  <a:headEnd/>
                  <a:tailEnd/>
                </a:ln>
                <a:extLst>
                  <a:ext uri="{909E8E84-426E-40DD-AFC4-6F175D3DCCD1}">
                    <a14:hiddenFill xmlns:a14="http://schemas.microsoft.com/office/drawing/2010/main">
                      <a:noFill/>
                    </a14:hiddenFill>
                  </a:ext>
                </a:extLst>
              </xdr:spPr>
            </xdr:cxnSp>
            <xdr:cxnSp macro="">
              <xdr:nvCxnSpPr>
                <xdr:cNvPr id="1314" name="AutoShape 1354"/>
                <xdr:cNvCxnSpPr>
                  <a:cxnSpLocks noChangeShapeType="1"/>
                </xdr:cNvCxnSpPr>
              </xdr:nvCxnSpPr>
              <xdr:spPr bwMode="auto">
                <a:xfrm>
                  <a:off x="4166870" y="2829560"/>
                  <a:ext cx="12065" cy="1997075"/>
                </a:xfrm>
                <a:prstGeom prst="straightConnector1">
                  <a:avLst/>
                </a:prstGeom>
                <a:noFill/>
                <a:ln w="9525">
                  <a:solidFill>
                    <a:srgbClr val="C00000"/>
                  </a:solidFill>
                  <a:round/>
                  <a:headEnd type="none"/>
                  <a:tailEnd type="triangle"/>
                </a:ln>
                <a:extLst>
                  <a:ext uri="{909E8E84-426E-40DD-AFC4-6F175D3DCCD1}">
                    <a14:hiddenFill xmlns:a14="http://schemas.microsoft.com/office/drawing/2010/main">
                      <a:noFill/>
                    </a14:hiddenFill>
                  </a:ext>
                </a:extLst>
              </xdr:spPr>
            </xdr:cxnSp>
            <xdr:cxnSp macro="">
              <xdr:nvCxnSpPr>
                <xdr:cNvPr id="1315" name="AutoShape 1355"/>
                <xdr:cNvCxnSpPr>
                  <a:cxnSpLocks noChangeShapeType="1"/>
                </xdr:cNvCxnSpPr>
              </xdr:nvCxnSpPr>
              <xdr:spPr bwMode="auto">
                <a:xfrm flipV="1">
                  <a:off x="1722671" y="1501140"/>
                  <a:ext cx="716005" cy="3067685"/>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1316" name="AutoShape 1357"/>
                <xdr:cNvCxnSpPr>
                  <a:cxnSpLocks noChangeShapeType="1"/>
                </xdr:cNvCxnSpPr>
              </xdr:nvCxnSpPr>
              <xdr:spPr bwMode="auto">
                <a:xfrm>
                  <a:off x="4001135" y="5096510"/>
                  <a:ext cx="0" cy="31305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sp macro="" textlink="">
              <xdr:nvSpPr>
                <xdr:cNvPr id="1317" name="Text Box 1366"/>
                <xdr:cNvSpPr txBox="1">
                  <a:spLocks noChangeArrowheads="1"/>
                </xdr:cNvSpPr>
              </xdr:nvSpPr>
              <xdr:spPr bwMode="auto">
                <a:xfrm>
                  <a:off x="1536299" y="5094173"/>
                  <a:ext cx="178987" cy="178987"/>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5</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1318" name="AutoShape 1358"/>
                <xdr:cNvCxnSpPr>
                  <a:cxnSpLocks noChangeShapeType="1"/>
                </xdr:cNvCxnSpPr>
              </xdr:nvCxnSpPr>
              <xdr:spPr bwMode="auto">
                <a:xfrm flipH="1">
                  <a:off x="1693117" y="5103495"/>
                  <a:ext cx="2319160" cy="63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19" name="AutoShape 1359"/>
                <xdr:cNvCxnSpPr>
                  <a:cxnSpLocks noChangeShapeType="1"/>
                </xdr:cNvCxnSpPr>
              </xdr:nvCxnSpPr>
              <xdr:spPr bwMode="auto">
                <a:xfrm>
                  <a:off x="1394460" y="5410200"/>
                  <a:ext cx="2617470"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20" name="AutoShape 1361"/>
                <xdr:cNvCxnSpPr>
                  <a:cxnSpLocks noChangeShapeType="1"/>
                </xdr:cNvCxnSpPr>
              </xdr:nvCxnSpPr>
              <xdr:spPr bwMode="auto">
                <a:xfrm>
                  <a:off x="1720215" y="4500880"/>
                  <a:ext cx="2275205" cy="337820"/>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sp macro="" textlink="">
              <xdr:nvSpPr>
                <xdr:cNvPr id="1321" name="Rectangle 1364"/>
                <xdr:cNvSpPr>
                  <a:spLocks noChangeArrowheads="1"/>
                </xdr:cNvSpPr>
              </xdr:nvSpPr>
              <xdr:spPr bwMode="auto">
                <a:xfrm>
                  <a:off x="1692273" y="5125727"/>
                  <a:ext cx="634125" cy="17780"/>
                </a:xfrm>
                <a:prstGeom prst="rect">
                  <a:avLst/>
                </a:prstGeom>
                <a:solidFill>
                  <a:srgbClr val="7030A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1322" name="AutoShape 1372"/>
                <xdr:cNvCxnSpPr>
                  <a:cxnSpLocks noChangeShapeType="1"/>
                </xdr:cNvCxnSpPr>
              </xdr:nvCxnSpPr>
              <xdr:spPr bwMode="auto">
                <a:xfrm flipH="1" flipV="1">
                  <a:off x="2042240" y="4783137"/>
                  <a:ext cx="1953180" cy="55563"/>
                </a:xfrm>
                <a:prstGeom prst="straightConnector1">
                  <a:avLst/>
                </a:prstGeom>
                <a:noFill/>
                <a:ln w="9525">
                  <a:solidFill>
                    <a:srgbClr val="7030A0"/>
                  </a:solidFill>
                  <a:round/>
                  <a:headEnd type="triangle"/>
                  <a:tailEnd/>
                </a:ln>
                <a:extLst>
                  <a:ext uri="{909E8E84-426E-40DD-AFC4-6F175D3DCCD1}">
                    <a14:hiddenFill xmlns:a14="http://schemas.microsoft.com/office/drawing/2010/main">
                      <a:noFill/>
                    </a14:hiddenFill>
                  </a:ext>
                </a:extLst>
              </xdr:spPr>
            </xdr:cxnSp>
            <xdr:sp macro="" textlink="">
              <xdr:nvSpPr>
                <xdr:cNvPr id="1323" name="Text Box 1373"/>
                <xdr:cNvSpPr txBox="1">
                  <a:spLocks noChangeArrowheads="1"/>
                </xdr:cNvSpPr>
              </xdr:nvSpPr>
              <xdr:spPr bwMode="auto">
                <a:xfrm>
                  <a:off x="4149725" y="4836795"/>
                  <a:ext cx="1143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L</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x</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24" name="Text Box 1374"/>
                <xdr:cNvSpPr txBox="1">
                  <a:spLocks noChangeArrowheads="1"/>
                </xdr:cNvSpPr>
              </xdr:nvSpPr>
              <xdr:spPr bwMode="auto">
                <a:xfrm>
                  <a:off x="2435225" y="4803457"/>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z5</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25" name="Rechthoek 1324"/>
                <xdr:cNvSpPr>
                  <a:spLocks noChangeArrowheads="1"/>
                </xdr:cNvSpPr>
              </xdr:nvSpPr>
              <xdr:spPr bwMode="auto">
                <a:xfrm rot="5400000">
                  <a:off x="1355090" y="4813300"/>
                  <a:ext cx="647700" cy="17780"/>
                </a:xfrm>
                <a:prstGeom prst="rect">
                  <a:avLst/>
                </a:prstGeom>
                <a:solidFill>
                  <a:srgbClr val="7030A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1326" name="AutoShape 1361"/>
                <xdr:cNvCxnSpPr>
                  <a:cxnSpLocks noChangeShapeType="1"/>
                </xdr:cNvCxnSpPr>
              </xdr:nvCxnSpPr>
              <xdr:spPr bwMode="auto">
                <a:xfrm flipV="1">
                  <a:off x="2400087" y="4838701"/>
                  <a:ext cx="1616288" cy="250048"/>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1327" name="Rechte verbindingslijn 1326"/>
                <xdr:cNvCxnSpPr/>
              </xdr:nvCxnSpPr>
              <xdr:spPr>
                <a:xfrm flipV="1">
                  <a:off x="1727835" y="1504098"/>
                  <a:ext cx="710841" cy="133567"/>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328" name="Rechte verbindingslijn 1327"/>
                <xdr:cNvCxnSpPr/>
              </xdr:nvCxnSpPr>
              <xdr:spPr>
                <a:xfrm>
                  <a:off x="1729740" y="4500880"/>
                  <a:ext cx="663440" cy="588081"/>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329" name="Ovaal 1328"/>
                <xdr:cNvSpPr/>
              </xdr:nvSpPr>
              <xdr:spPr>
                <a:xfrm>
                  <a:off x="4149725" y="2811780"/>
                  <a:ext cx="35560" cy="35560"/>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cxnSp macro="">
              <xdr:nvCxnSpPr>
                <xdr:cNvPr id="1330" name="AutoShape 1309"/>
                <xdr:cNvCxnSpPr>
                  <a:cxnSpLocks noChangeShapeType="1"/>
                </xdr:cNvCxnSpPr>
              </xdr:nvCxnSpPr>
              <xdr:spPr bwMode="auto">
                <a:xfrm flipH="1">
                  <a:off x="2040970" y="1508125"/>
                  <a:ext cx="157401" cy="3274801"/>
                </a:xfrm>
                <a:prstGeom prst="straightConnector1">
                  <a:avLst/>
                </a:prstGeom>
                <a:noFill/>
                <a:ln w="9525">
                  <a:solidFill>
                    <a:srgbClr val="FFC000"/>
                  </a:solidFill>
                  <a:round/>
                  <a:headEnd/>
                  <a:tailEnd/>
                </a:ln>
                <a:extLst>
                  <a:ext uri="{909E8E84-426E-40DD-AFC4-6F175D3DCCD1}">
                    <a14:hiddenFill xmlns:a14="http://schemas.microsoft.com/office/drawing/2010/main">
                      <a:noFill/>
                    </a14:hiddenFill>
                  </a:ext>
                </a:extLst>
              </xdr:spPr>
            </xdr:cxnSp>
            <xdr:cxnSp macro="">
              <xdr:nvCxnSpPr>
                <xdr:cNvPr id="1331" name="AutoShape 1308"/>
                <xdr:cNvCxnSpPr>
                  <a:cxnSpLocks noChangeShapeType="1"/>
                </xdr:cNvCxnSpPr>
              </xdr:nvCxnSpPr>
              <xdr:spPr bwMode="auto">
                <a:xfrm flipH="1" flipV="1">
                  <a:off x="2005330" y="1502411"/>
                  <a:ext cx="2161540" cy="1325245"/>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grpSp>
          <xdr:cxnSp macro="">
            <xdr:nvCxnSpPr>
              <xdr:cNvPr id="1263" name="AutoShape 1355"/>
              <xdr:cNvCxnSpPr>
                <a:cxnSpLocks noChangeShapeType="1"/>
              </xdr:cNvCxnSpPr>
            </xdr:nvCxnSpPr>
            <xdr:spPr bwMode="auto">
              <a:xfrm flipH="1" flipV="1">
                <a:off x="2705363" y="982048"/>
                <a:ext cx="399050" cy="4945427"/>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264" name="AutoShape 1355"/>
              <xdr:cNvCxnSpPr>
                <a:cxnSpLocks noChangeShapeType="1"/>
              </xdr:cNvCxnSpPr>
            </xdr:nvCxnSpPr>
            <xdr:spPr bwMode="auto">
              <a:xfrm flipH="1" flipV="1">
                <a:off x="2875972" y="875588"/>
                <a:ext cx="192027" cy="5051887"/>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cxnSp macro="">
            <xdr:nvCxnSpPr>
              <xdr:cNvPr id="1265" name="AutoShape 1355"/>
              <xdr:cNvCxnSpPr>
                <a:cxnSpLocks noChangeShapeType="1"/>
              </xdr:cNvCxnSpPr>
            </xdr:nvCxnSpPr>
            <xdr:spPr bwMode="auto">
              <a:xfrm flipH="1" flipV="1">
                <a:off x="2207297" y="2756539"/>
                <a:ext cx="1081931" cy="3175693"/>
              </a:xfrm>
              <a:prstGeom prst="straightConnector1">
                <a:avLst/>
              </a:prstGeom>
              <a:noFill/>
              <a:ln w="12700">
                <a:solidFill>
                  <a:srgbClr val="00B050"/>
                </a:solidFill>
                <a:prstDash val="sysDot"/>
                <a:round/>
                <a:headEnd/>
                <a:tailEnd/>
              </a:ln>
              <a:extLst>
                <a:ext uri="{909E8E84-426E-40DD-AFC4-6F175D3DCCD1}">
                  <a14:hiddenFill xmlns:a14="http://schemas.microsoft.com/office/drawing/2010/main">
                    <a:noFill/>
                  </a14:hiddenFill>
                </a:ext>
              </a:extLst>
            </xdr:spPr>
          </xdr:cxnSp>
          <xdr:sp macro="" textlink="">
            <xdr:nvSpPr>
              <xdr:cNvPr id="1266" name="Rectangle 1364"/>
              <xdr:cNvSpPr>
                <a:spLocks noChangeArrowheads="1"/>
              </xdr:cNvSpPr>
            </xdr:nvSpPr>
            <xdr:spPr bwMode="auto">
              <a:xfrm>
                <a:off x="3066849" y="5974868"/>
                <a:ext cx="234000" cy="25200"/>
              </a:xfrm>
              <a:prstGeom prst="rect">
                <a:avLst/>
              </a:prstGeom>
              <a:solidFill>
                <a:srgbClr val="C198E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grpSp>
      </xdr:grpSp>
    </xdr:grpSp>
    <xdr:clientData/>
  </xdr:twoCellAnchor>
  <xdr:twoCellAnchor>
    <xdr:from>
      <xdr:col>14</xdr:col>
      <xdr:colOff>578826</xdr:colOff>
      <xdr:row>73</xdr:row>
      <xdr:rowOff>183175</xdr:rowOff>
    </xdr:from>
    <xdr:to>
      <xdr:col>25</xdr:col>
      <xdr:colOff>225346</xdr:colOff>
      <xdr:row>106</xdr:row>
      <xdr:rowOff>161153</xdr:rowOff>
    </xdr:to>
    <xdr:grpSp>
      <xdr:nvGrpSpPr>
        <xdr:cNvPr id="1332" name="Groep 1331"/>
        <xdr:cNvGrpSpPr/>
      </xdr:nvGrpSpPr>
      <xdr:grpSpPr>
        <a:xfrm>
          <a:off x="9113226" y="14089675"/>
          <a:ext cx="6352120" cy="6264478"/>
          <a:chOff x="1740064" y="228602"/>
          <a:chExt cx="6336000" cy="6264478"/>
        </a:xfrm>
      </xdr:grpSpPr>
      <xdr:cxnSp macro="">
        <xdr:nvCxnSpPr>
          <xdr:cNvPr id="1333" name="Rechte verbindingslijn 1332"/>
          <xdr:cNvCxnSpPr/>
        </xdr:nvCxnSpPr>
        <xdr:spPr>
          <a:xfrm>
            <a:off x="2207676" y="5241516"/>
            <a:ext cx="807310"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nvGrpSpPr>
          <xdr:cNvPr id="1334" name="Groep 1333"/>
          <xdr:cNvGrpSpPr/>
        </xdr:nvGrpSpPr>
        <xdr:grpSpPr>
          <a:xfrm>
            <a:off x="1740064" y="228602"/>
            <a:ext cx="6336000" cy="6264478"/>
            <a:chOff x="1740064" y="228602"/>
            <a:chExt cx="6336000" cy="6264478"/>
          </a:xfrm>
        </xdr:grpSpPr>
        <xdr:grpSp>
          <xdr:nvGrpSpPr>
            <xdr:cNvPr id="1335" name="Groep 1334"/>
            <xdr:cNvGrpSpPr/>
          </xdr:nvGrpSpPr>
          <xdr:grpSpPr>
            <a:xfrm>
              <a:off x="1740064" y="228602"/>
              <a:ext cx="6336000" cy="6264478"/>
              <a:chOff x="1740064" y="228602"/>
              <a:chExt cx="6336000" cy="6264478"/>
            </a:xfrm>
          </xdr:grpSpPr>
          <xdr:cxnSp macro="">
            <xdr:nvCxnSpPr>
              <xdr:cNvPr id="1337" name="AutoShape 1227"/>
              <xdr:cNvCxnSpPr>
                <a:cxnSpLocks noChangeShapeType="1"/>
              </xdr:cNvCxnSpPr>
            </xdr:nvCxnSpPr>
            <xdr:spPr bwMode="auto">
              <a:xfrm flipH="1" flipV="1">
                <a:off x="2221233" y="1631128"/>
                <a:ext cx="917562" cy="4347120"/>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grpSp>
            <xdr:nvGrpSpPr>
              <xdr:cNvPr id="1338" name="Groep 1337"/>
              <xdr:cNvGrpSpPr/>
            </xdr:nvGrpSpPr>
            <xdr:grpSpPr>
              <a:xfrm>
                <a:off x="1740064" y="228602"/>
                <a:ext cx="6336000" cy="6264478"/>
                <a:chOff x="1740064" y="228602"/>
                <a:chExt cx="6336000" cy="6264478"/>
              </a:xfrm>
            </xdr:grpSpPr>
            <xdr:grpSp>
              <xdr:nvGrpSpPr>
                <xdr:cNvPr id="1339" name="Groep 1338"/>
                <xdr:cNvGrpSpPr/>
              </xdr:nvGrpSpPr>
              <xdr:grpSpPr>
                <a:xfrm>
                  <a:off x="1740064" y="228602"/>
                  <a:ext cx="6336000" cy="6264478"/>
                  <a:chOff x="1740064" y="228602"/>
                  <a:chExt cx="6336000" cy="6264478"/>
                </a:xfrm>
              </xdr:grpSpPr>
              <xdr:grpSp>
                <xdr:nvGrpSpPr>
                  <xdr:cNvPr id="1341" name="Groep 1340"/>
                  <xdr:cNvGrpSpPr>
                    <a:grpSpLocks noChangeAspect="1"/>
                  </xdr:cNvGrpSpPr>
                </xdr:nvGrpSpPr>
                <xdr:grpSpPr>
                  <a:xfrm>
                    <a:off x="1740064" y="228602"/>
                    <a:ext cx="6336000" cy="6264478"/>
                    <a:chOff x="1527810" y="1219836"/>
                    <a:chExt cx="4500245" cy="4449444"/>
                  </a:xfrm>
                </xdr:grpSpPr>
                <xdr:sp macro="" textlink="">
                  <xdr:nvSpPr>
                    <xdr:cNvPr id="1343" name="Rechthoek 1342"/>
                    <xdr:cNvSpPr/>
                  </xdr:nvSpPr>
                  <xdr:spPr>
                    <a:xfrm>
                      <a:off x="1553845" y="1828165"/>
                      <a:ext cx="316865" cy="382206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344" name="Text Box 1285"/>
                    <xdr:cNvSpPr txBox="1">
                      <a:spLocks noChangeArrowheads="1"/>
                    </xdr:cNvSpPr>
                  </xdr:nvSpPr>
                  <xdr:spPr bwMode="auto">
                    <a:xfrm>
                      <a:off x="1696749" y="5291898"/>
                      <a:ext cx="179387" cy="179387"/>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5</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45" name="Text Box 1258"/>
                    <xdr:cNvSpPr txBox="1">
                      <a:spLocks noChangeArrowheads="1"/>
                    </xdr:cNvSpPr>
                  </xdr:nvSpPr>
                  <xdr:spPr bwMode="auto">
                    <a:xfrm>
                      <a:off x="3294856" y="2574291"/>
                      <a:ext cx="166688" cy="1635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l1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46" name="Rechthoek 1345"/>
                    <xdr:cNvSpPr/>
                  </xdr:nvSpPr>
                  <xdr:spPr>
                    <a:xfrm>
                      <a:off x="2833369" y="4166870"/>
                      <a:ext cx="2744264" cy="61849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347" name="Rechthoek 1346"/>
                    <xdr:cNvSpPr/>
                  </xdr:nvSpPr>
                  <xdr:spPr>
                    <a:xfrm>
                      <a:off x="2431922" y="2404326"/>
                      <a:ext cx="462915" cy="2374900"/>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348" name="Rechthoek 1347"/>
                    <xdr:cNvSpPr/>
                  </xdr:nvSpPr>
                  <xdr:spPr>
                    <a:xfrm>
                      <a:off x="5516880" y="1833245"/>
                      <a:ext cx="499110" cy="294449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349" name="Rechthoek 1348"/>
                    <xdr:cNvSpPr/>
                  </xdr:nvSpPr>
                  <xdr:spPr>
                    <a:xfrm>
                      <a:off x="1864360" y="5307965"/>
                      <a:ext cx="2151380" cy="36131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350" name="Rechthoek 1349"/>
                    <xdr:cNvSpPr/>
                  </xdr:nvSpPr>
                  <xdr:spPr>
                    <a:xfrm>
                      <a:off x="1557020" y="1225550"/>
                      <a:ext cx="4459605" cy="624205"/>
                    </a:xfrm>
                    <a:prstGeom prst="rect">
                      <a:avLst/>
                    </a:prstGeom>
                    <a:solidFill>
                      <a:schemeClr val="bg2">
                        <a:lumMod val="9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sp macro="" textlink="">
                  <xdr:nvSpPr>
                    <xdr:cNvPr id="1351" name="Text Box 1216"/>
                    <xdr:cNvSpPr txBox="1">
                      <a:spLocks noChangeArrowheads="1"/>
                    </xdr:cNvSpPr>
                  </xdr:nvSpPr>
                  <xdr:spPr bwMode="auto">
                    <a:xfrm>
                      <a:off x="4058285" y="2073375"/>
                      <a:ext cx="153988" cy="104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p1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52" name="Text Box 1217"/>
                    <xdr:cNvSpPr txBox="1">
                      <a:spLocks noChangeArrowheads="1"/>
                    </xdr:cNvSpPr>
                  </xdr:nvSpPr>
                  <xdr:spPr bwMode="auto">
                    <a:xfrm>
                      <a:off x="3924934" y="3674746"/>
                      <a:ext cx="112713"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l</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53" name="Text Box 1218"/>
                    <xdr:cNvSpPr txBox="1">
                      <a:spLocks noChangeArrowheads="1"/>
                    </xdr:cNvSpPr>
                  </xdr:nvSpPr>
                  <xdr:spPr bwMode="auto">
                    <a:xfrm>
                      <a:off x="2195194" y="4227274"/>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z4</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54" name="Text Box 1219"/>
                    <xdr:cNvSpPr txBox="1">
                      <a:spLocks noChangeArrowheads="1"/>
                    </xdr:cNvSpPr>
                  </xdr:nvSpPr>
                  <xdr:spPr bwMode="auto">
                    <a:xfrm>
                      <a:off x="3220244" y="1929765"/>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55" name="Text Box 1220"/>
                    <xdr:cNvSpPr txBox="1">
                      <a:spLocks noChangeArrowheads="1"/>
                    </xdr:cNvSpPr>
                  </xdr:nvSpPr>
                  <xdr:spPr bwMode="auto">
                    <a:xfrm>
                      <a:off x="1897087" y="3512011"/>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56" name="Text Box 1221"/>
                    <xdr:cNvSpPr txBox="1">
                      <a:spLocks noChangeArrowheads="1"/>
                    </xdr:cNvSpPr>
                  </xdr:nvSpPr>
                  <xdr:spPr bwMode="auto">
                    <a:xfrm>
                      <a:off x="1890543" y="2091664"/>
                      <a:ext cx="51139" cy="10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r</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57" name="Text Box 1222"/>
                    <xdr:cNvSpPr txBox="1">
                      <a:spLocks noChangeArrowheads="1"/>
                    </xdr:cNvSpPr>
                  </xdr:nvSpPr>
                  <xdr:spPr bwMode="auto">
                    <a:xfrm>
                      <a:off x="2152372" y="1636299"/>
                      <a:ext cx="179388" cy="179387"/>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4</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58" name="Text Box 1223"/>
                    <xdr:cNvSpPr txBox="1">
                      <a:spLocks noChangeArrowheads="1"/>
                    </xdr:cNvSpPr>
                  </xdr:nvSpPr>
                  <xdr:spPr bwMode="auto">
                    <a:xfrm>
                      <a:off x="3955099" y="1632344"/>
                      <a:ext cx="179388" cy="179387"/>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1</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1359" name="AutoShape 1225"/>
                    <xdr:cNvCxnSpPr>
                      <a:cxnSpLocks noChangeShapeType="1"/>
                    </xdr:cNvCxnSpPr>
                  </xdr:nvCxnSpPr>
                  <xdr:spPr bwMode="auto">
                    <a:xfrm>
                      <a:off x="6012180" y="1228090"/>
                      <a:ext cx="0" cy="357251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sp macro="" textlink="">
                  <xdr:nvSpPr>
                    <xdr:cNvPr id="1360" name="Text Box 1226"/>
                    <xdr:cNvSpPr txBox="1">
                      <a:spLocks noChangeArrowheads="1"/>
                    </xdr:cNvSpPr>
                  </xdr:nvSpPr>
                  <xdr:spPr bwMode="auto">
                    <a:xfrm>
                      <a:off x="1646589" y="2109623"/>
                      <a:ext cx="179388" cy="179387"/>
                    </a:xfrm>
                    <a:prstGeom prst="rect">
                      <a:avLst/>
                    </a:prstGeom>
                    <a:solidFill>
                      <a:schemeClr val="bg2">
                        <a:lumMod val="9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A</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3</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xnSp macro="">
                  <xdr:nvCxnSpPr>
                    <xdr:cNvPr id="1361" name="AutoShape 1227"/>
                    <xdr:cNvCxnSpPr>
                      <a:cxnSpLocks noChangeShapeType="1"/>
                    </xdr:cNvCxnSpPr>
                  </xdr:nvCxnSpPr>
                  <xdr:spPr bwMode="auto">
                    <a:xfrm flipH="1" flipV="1">
                      <a:off x="1872614" y="2208428"/>
                      <a:ext cx="292736" cy="2792198"/>
                    </a:xfrm>
                    <a:prstGeom prst="straightConnector1">
                      <a:avLst/>
                    </a:prstGeom>
                    <a:noFill/>
                    <a:ln w="9525">
                      <a:solidFill>
                        <a:srgbClr val="0070C0"/>
                      </a:solidFill>
                      <a:round/>
                      <a:headEnd/>
                      <a:tailEnd/>
                    </a:ln>
                    <a:extLst>
                      <a:ext uri="{909E8E84-426E-40DD-AFC4-6F175D3DCCD1}">
                        <a14:hiddenFill xmlns:a14="http://schemas.microsoft.com/office/drawing/2010/main">
                          <a:noFill/>
                        </a14:hiddenFill>
                      </a:ext>
                    </a:extLst>
                  </xdr:spPr>
                </xdr:cxnSp>
                <xdr:cxnSp macro="">
                  <xdr:nvCxnSpPr>
                    <xdr:cNvPr id="1362" name="AutoShape 1228"/>
                    <xdr:cNvCxnSpPr>
                      <a:cxnSpLocks noChangeShapeType="1"/>
                    </xdr:cNvCxnSpPr>
                  </xdr:nvCxnSpPr>
                  <xdr:spPr bwMode="auto">
                    <a:xfrm flipH="1" flipV="1">
                      <a:off x="1858645" y="1852930"/>
                      <a:ext cx="3650615" cy="63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63" name="AutoShape 1229"/>
                    <xdr:cNvCxnSpPr>
                      <a:cxnSpLocks noChangeShapeType="1"/>
                    </xdr:cNvCxnSpPr>
                  </xdr:nvCxnSpPr>
                  <xdr:spPr bwMode="auto">
                    <a:xfrm flipV="1">
                      <a:off x="5509260" y="1841500"/>
                      <a:ext cx="635" cy="234251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64" name="AutoShape 1230"/>
                    <xdr:cNvCxnSpPr>
                      <a:cxnSpLocks noChangeShapeType="1"/>
                    </xdr:cNvCxnSpPr>
                  </xdr:nvCxnSpPr>
                  <xdr:spPr bwMode="auto">
                    <a:xfrm flipH="1" flipV="1">
                      <a:off x="2420620" y="4779010"/>
                      <a:ext cx="3599815" cy="698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65" name="AutoShape 1231"/>
                    <xdr:cNvCxnSpPr>
                      <a:cxnSpLocks noChangeShapeType="1"/>
                    </xdr:cNvCxnSpPr>
                  </xdr:nvCxnSpPr>
                  <xdr:spPr bwMode="auto">
                    <a:xfrm flipV="1">
                      <a:off x="1859279" y="1840646"/>
                      <a:ext cx="0" cy="3474904"/>
                    </a:xfrm>
                    <a:prstGeom prst="straightConnector1">
                      <a:avLst/>
                    </a:prstGeom>
                    <a:noFill/>
                    <a:ln w="38100">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66" name="AutoShape 1232"/>
                    <xdr:cNvCxnSpPr>
                      <a:cxnSpLocks noChangeShapeType="1"/>
                    </xdr:cNvCxnSpPr>
                  </xdr:nvCxnSpPr>
                  <xdr:spPr bwMode="auto">
                    <a:xfrm flipH="1" flipV="1">
                      <a:off x="1543050" y="1219836"/>
                      <a:ext cx="5080" cy="444881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67" name="AutoShape 1233"/>
                    <xdr:cNvCxnSpPr>
                      <a:cxnSpLocks noChangeShapeType="1"/>
                    </xdr:cNvCxnSpPr>
                  </xdr:nvCxnSpPr>
                  <xdr:spPr bwMode="auto">
                    <a:xfrm>
                      <a:off x="2419350" y="2402205"/>
                      <a:ext cx="46037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68" name="AutoShape 1234"/>
                    <xdr:cNvCxnSpPr>
                      <a:cxnSpLocks noChangeShapeType="1"/>
                    </xdr:cNvCxnSpPr>
                  </xdr:nvCxnSpPr>
                  <xdr:spPr bwMode="auto">
                    <a:xfrm flipH="1">
                      <a:off x="1529716" y="5648325"/>
                      <a:ext cx="2499360" cy="63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69" name="AutoShape 1235"/>
                    <xdr:cNvCxnSpPr>
                      <a:cxnSpLocks noChangeShapeType="1"/>
                    </xdr:cNvCxnSpPr>
                  </xdr:nvCxnSpPr>
                  <xdr:spPr bwMode="auto">
                    <a:xfrm>
                      <a:off x="2428240" y="2390140"/>
                      <a:ext cx="0" cy="238887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70" name="AutoShape 1236"/>
                    <xdr:cNvCxnSpPr>
                      <a:cxnSpLocks noChangeShapeType="1"/>
                    </xdr:cNvCxnSpPr>
                  </xdr:nvCxnSpPr>
                  <xdr:spPr bwMode="auto">
                    <a:xfrm>
                      <a:off x="2879725" y="4166235"/>
                      <a:ext cx="2631440"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71" name="AutoShape 1237"/>
                    <xdr:cNvCxnSpPr>
                      <a:cxnSpLocks noChangeShapeType="1"/>
                    </xdr:cNvCxnSpPr>
                  </xdr:nvCxnSpPr>
                  <xdr:spPr bwMode="auto">
                    <a:xfrm>
                      <a:off x="4038600" y="3055620"/>
                      <a:ext cx="0" cy="1993900"/>
                    </a:xfrm>
                    <a:prstGeom prst="straightConnector1">
                      <a:avLst/>
                    </a:prstGeom>
                    <a:noFill/>
                    <a:ln w="9525">
                      <a:solidFill>
                        <a:srgbClr val="C00000"/>
                      </a:solidFill>
                      <a:round/>
                      <a:headEnd type="none"/>
                      <a:tailEnd type="triangle"/>
                    </a:ln>
                    <a:extLst>
                      <a:ext uri="{909E8E84-426E-40DD-AFC4-6F175D3DCCD1}">
                        <a14:hiddenFill xmlns:a14="http://schemas.microsoft.com/office/drawing/2010/main">
                          <a:noFill/>
                        </a14:hiddenFill>
                      </a:ext>
                    </a:extLst>
                  </xdr:spPr>
                </xdr:cxnSp>
                <xdr:cxnSp macro="">
                  <xdr:nvCxnSpPr>
                    <xdr:cNvPr id="1372" name="AutoShape 1238"/>
                    <xdr:cNvCxnSpPr>
                      <a:cxnSpLocks noChangeShapeType="1"/>
                    </xdr:cNvCxnSpPr>
                  </xdr:nvCxnSpPr>
                  <xdr:spPr bwMode="auto">
                    <a:xfrm flipH="1">
                      <a:off x="4038600" y="1866265"/>
                      <a:ext cx="1905" cy="1180465"/>
                    </a:xfrm>
                    <a:prstGeom prst="straightConnector1">
                      <a:avLst/>
                    </a:prstGeom>
                    <a:noFill/>
                    <a:ln w="9525">
                      <a:solidFill>
                        <a:srgbClr val="0070C0"/>
                      </a:solidFill>
                      <a:round/>
                      <a:headEnd type="triangle"/>
                      <a:tailEnd type="none"/>
                    </a:ln>
                    <a:extLst>
                      <a:ext uri="{909E8E84-426E-40DD-AFC4-6F175D3DCCD1}">
                        <a14:hiddenFill xmlns:a14="http://schemas.microsoft.com/office/drawing/2010/main">
                          <a:noFill/>
                        </a14:hiddenFill>
                      </a:ext>
                    </a:extLst>
                  </xdr:spPr>
                </xdr:cxnSp>
                <xdr:sp macro="" textlink="">
                  <xdr:nvSpPr>
                    <xdr:cNvPr id="1373" name="Rectangle 1240"/>
                    <xdr:cNvSpPr>
                      <a:spLocks noChangeArrowheads="1"/>
                    </xdr:cNvSpPr>
                  </xdr:nvSpPr>
                  <xdr:spPr bwMode="auto">
                    <a:xfrm>
                      <a:off x="3625229" y="1816735"/>
                      <a:ext cx="843796" cy="17780"/>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1374" name="AutoShape 1241"/>
                    <xdr:cNvCxnSpPr>
                      <a:cxnSpLocks noChangeShapeType="1"/>
                    </xdr:cNvCxnSpPr>
                  </xdr:nvCxnSpPr>
                  <xdr:spPr bwMode="auto">
                    <a:xfrm>
                      <a:off x="1968117" y="1871460"/>
                      <a:ext cx="2073658" cy="1168285"/>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cxnSp macro="">
                  <xdr:nvCxnSpPr>
                    <xdr:cNvPr id="1375" name="AutoShape 1242"/>
                    <xdr:cNvCxnSpPr>
                      <a:cxnSpLocks noChangeShapeType="1"/>
                    </xdr:cNvCxnSpPr>
                  </xdr:nvCxnSpPr>
                  <xdr:spPr bwMode="auto">
                    <a:xfrm>
                      <a:off x="2241893" y="1867535"/>
                      <a:ext cx="1797342" cy="1174115"/>
                    </a:xfrm>
                    <a:prstGeom prst="straightConnector1">
                      <a:avLst/>
                    </a:prstGeom>
                    <a:noFill/>
                    <a:ln w="9525">
                      <a:solidFill>
                        <a:srgbClr val="FFC000"/>
                      </a:solidFill>
                      <a:round/>
                      <a:headEnd type="triangle"/>
                      <a:tailEnd/>
                    </a:ln>
                    <a:extLst>
                      <a:ext uri="{909E8E84-426E-40DD-AFC4-6F175D3DCCD1}">
                        <a14:hiddenFill xmlns:a14="http://schemas.microsoft.com/office/drawing/2010/main">
                          <a:noFill/>
                        </a14:hiddenFill>
                      </a:ext>
                    </a:extLst>
                  </xdr:spPr>
                </xdr:cxnSp>
                <xdr:cxnSp macro="">
                  <xdr:nvCxnSpPr>
                    <xdr:cNvPr id="1376" name="AutoShape 1243"/>
                    <xdr:cNvCxnSpPr>
                      <a:cxnSpLocks noChangeShapeType="1"/>
                    </xdr:cNvCxnSpPr>
                  </xdr:nvCxnSpPr>
                  <xdr:spPr bwMode="auto">
                    <a:xfrm>
                      <a:off x="2537984" y="1865110"/>
                      <a:ext cx="1503791" cy="1176539"/>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sp macro="" textlink="">
                  <xdr:nvSpPr>
                    <xdr:cNvPr id="1377" name="Rectangle 1244"/>
                    <xdr:cNvSpPr>
                      <a:spLocks noChangeArrowheads="1"/>
                    </xdr:cNvSpPr>
                  </xdr:nvSpPr>
                  <xdr:spPr bwMode="auto">
                    <a:xfrm>
                      <a:off x="1958804" y="1816735"/>
                      <a:ext cx="572758" cy="17780"/>
                    </a:xfrm>
                    <a:prstGeom prst="rect">
                      <a:avLst/>
                    </a:prstGeom>
                    <a:solidFill>
                      <a:srgbClr val="FFC000"/>
                    </a:solidFill>
                    <a:ln w="9525">
                      <a:solidFill>
                        <a:srgbClr val="FFC00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1378" name="Rectangle 1245"/>
                    <xdr:cNvSpPr>
                      <a:spLocks noChangeArrowheads="1"/>
                    </xdr:cNvSpPr>
                  </xdr:nvSpPr>
                  <xdr:spPr bwMode="auto">
                    <a:xfrm rot="5400000">
                      <a:off x="1493231" y="2203134"/>
                      <a:ext cx="691515" cy="17780"/>
                    </a:xfrm>
                    <a:prstGeom prst="rect">
                      <a:avLst/>
                    </a:prstGeom>
                    <a:solidFill>
                      <a:srgbClr val="0070C0"/>
                    </a:solidFill>
                    <a:ln w="9525">
                      <a:solidFill>
                        <a:srgbClr val="0070C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1379" name="AutoShape 1246"/>
                    <xdr:cNvCxnSpPr>
                      <a:cxnSpLocks noChangeShapeType="1"/>
                    </xdr:cNvCxnSpPr>
                  </xdr:nvCxnSpPr>
                  <xdr:spPr bwMode="auto">
                    <a:xfrm flipH="1">
                      <a:off x="2165350" y="1867535"/>
                      <a:ext cx="76543" cy="3131185"/>
                    </a:xfrm>
                    <a:prstGeom prst="straightConnector1">
                      <a:avLst/>
                    </a:prstGeom>
                    <a:noFill/>
                    <a:ln w="9525">
                      <a:solidFill>
                        <a:srgbClr val="FFC000"/>
                      </a:solidFill>
                      <a:round/>
                      <a:headEnd/>
                      <a:tailEnd/>
                    </a:ln>
                    <a:extLst>
                      <a:ext uri="{909E8E84-426E-40DD-AFC4-6F175D3DCCD1}">
                        <a14:hiddenFill xmlns:a14="http://schemas.microsoft.com/office/drawing/2010/main">
                          <a:noFill/>
                        </a14:hiddenFill>
                      </a:ext>
                    </a:extLst>
                  </xdr:spPr>
                </xdr:cxnSp>
                <xdr:cxnSp macro="">
                  <xdr:nvCxnSpPr>
                    <xdr:cNvPr id="1380" name="AutoShape 1247"/>
                    <xdr:cNvCxnSpPr>
                      <a:cxnSpLocks noChangeShapeType="1"/>
                    </xdr:cNvCxnSpPr>
                  </xdr:nvCxnSpPr>
                  <xdr:spPr bwMode="auto">
                    <a:xfrm>
                      <a:off x="1527810" y="1232535"/>
                      <a:ext cx="4500245"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81" name="AutoShape 1248"/>
                    <xdr:cNvCxnSpPr>
                      <a:cxnSpLocks noChangeShapeType="1"/>
                    </xdr:cNvCxnSpPr>
                  </xdr:nvCxnSpPr>
                  <xdr:spPr bwMode="auto">
                    <a:xfrm flipV="1">
                      <a:off x="5514340" y="1836421"/>
                      <a:ext cx="635" cy="234251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82" name="AutoShape 1249"/>
                    <xdr:cNvCxnSpPr>
                      <a:cxnSpLocks noChangeShapeType="1"/>
                    </xdr:cNvCxnSpPr>
                  </xdr:nvCxnSpPr>
                  <xdr:spPr bwMode="auto">
                    <a:xfrm>
                      <a:off x="2884805" y="4161155"/>
                      <a:ext cx="2631440" cy="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83" name="AutoShape 1250"/>
                    <xdr:cNvCxnSpPr>
                      <a:cxnSpLocks noChangeShapeType="1"/>
                    </xdr:cNvCxnSpPr>
                  </xdr:nvCxnSpPr>
                  <xdr:spPr bwMode="auto">
                    <a:xfrm>
                      <a:off x="2889885" y="2394366"/>
                      <a:ext cx="635" cy="178562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84" name="AutoShape 1251"/>
                    <xdr:cNvCxnSpPr>
                      <a:cxnSpLocks noChangeShapeType="1"/>
                    </xdr:cNvCxnSpPr>
                  </xdr:nvCxnSpPr>
                  <xdr:spPr bwMode="auto">
                    <a:xfrm flipH="1">
                      <a:off x="1871344" y="1866265"/>
                      <a:ext cx="2169161" cy="688816"/>
                    </a:xfrm>
                    <a:prstGeom prst="straightConnector1">
                      <a:avLst/>
                    </a:prstGeom>
                    <a:noFill/>
                    <a:ln w="9525">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385" name="AutoShape 1253"/>
                    <xdr:cNvCxnSpPr>
                      <a:cxnSpLocks noChangeShapeType="1"/>
                    </xdr:cNvCxnSpPr>
                  </xdr:nvCxnSpPr>
                  <xdr:spPr bwMode="auto">
                    <a:xfrm flipV="1">
                      <a:off x="1873249" y="1864994"/>
                      <a:ext cx="661559" cy="2917510"/>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1386" name="AutoShape 1254"/>
                    <xdr:cNvCxnSpPr>
                      <a:cxnSpLocks noChangeShapeType="1"/>
                    </xdr:cNvCxnSpPr>
                  </xdr:nvCxnSpPr>
                  <xdr:spPr bwMode="auto">
                    <a:xfrm flipH="1">
                      <a:off x="4046221" y="1872615"/>
                      <a:ext cx="417195" cy="1634490"/>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387" name="AutoShape 1255"/>
                    <xdr:cNvCxnSpPr>
                      <a:cxnSpLocks noChangeShapeType="1"/>
                    </xdr:cNvCxnSpPr>
                  </xdr:nvCxnSpPr>
                  <xdr:spPr bwMode="auto">
                    <a:xfrm>
                      <a:off x="3630930" y="1867534"/>
                      <a:ext cx="414655" cy="1641475"/>
                    </a:xfrm>
                    <a:prstGeom prst="straightConnector1">
                      <a:avLst/>
                    </a:prstGeom>
                    <a:noFill/>
                    <a:ln w="12700">
                      <a:solidFill>
                        <a:srgbClr val="0070C0"/>
                      </a:solidFill>
                      <a:prstDash val="sysDot"/>
                      <a:round/>
                      <a:headEnd/>
                      <a:tailEnd/>
                    </a:ln>
                    <a:extLst>
                      <a:ext uri="{909E8E84-426E-40DD-AFC4-6F175D3DCCD1}">
                        <a14:hiddenFill xmlns:a14="http://schemas.microsoft.com/office/drawing/2010/main">
                          <a:noFill/>
                        </a14:hiddenFill>
                      </a:ext>
                    </a:extLst>
                  </xdr:spPr>
                </xdr:cxnSp>
                <xdr:cxnSp macro="">
                  <xdr:nvCxnSpPr>
                    <xdr:cNvPr id="1388" name="AutoShape 1260"/>
                    <xdr:cNvCxnSpPr>
                      <a:cxnSpLocks noChangeShapeType="1"/>
                    </xdr:cNvCxnSpPr>
                  </xdr:nvCxnSpPr>
                  <xdr:spPr bwMode="auto">
                    <a:xfrm>
                      <a:off x="1858010" y="5307965"/>
                      <a:ext cx="2171065" cy="635"/>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89" name="AutoShape 1262"/>
                    <xdr:cNvCxnSpPr>
                      <a:cxnSpLocks noChangeShapeType="1"/>
                    </xdr:cNvCxnSpPr>
                  </xdr:nvCxnSpPr>
                  <xdr:spPr bwMode="auto">
                    <a:xfrm>
                      <a:off x="4048760" y="2575560"/>
                      <a:ext cx="0" cy="2472690"/>
                    </a:xfrm>
                    <a:prstGeom prst="straightConnector1">
                      <a:avLst/>
                    </a:prstGeom>
                    <a:noFill/>
                    <a:ln w="9525">
                      <a:solidFill>
                        <a:srgbClr val="00B050"/>
                      </a:solidFill>
                      <a:round/>
                      <a:headEnd type="none"/>
                      <a:tailEnd type="triangle"/>
                    </a:ln>
                    <a:extLst>
                      <a:ext uri="{909E8E84-426E-40DD-AFC4-6F175D3DCCD1}">
                        <a14:hiddenFill xmlns:a14="http://schemas.microsoft.com/office/drawing/2010/main">
                          <a:noFill/>
                        </a14:hiddenFill>
                      </a:ext>
                    </a:extLst>
                  </xdr:spPr>
                </xdr:cxnSp>
                <xdr:cxnSp macro="">
                  <xdr:nvCxnSpPr>
                    <xdr:cNvPr id="1390" name="AutoShape 1263"/>
                    <xdr:cNvCxnSpPr>
                      <a:cxnSpLocks noChangeShapeType="1"/>
                    </xdr:cNvCxnSpPr>
                  </xdr:nvCxnSpPr>
                  <xdr:spPr bwMode="auto">
                    <a:xfrm>
                      <a:off x="4009390" y="5307965"/>
                      <a:ext cx="0" cy="340360"/>
                    </a:xfrm>
                    <a:prstGeom prst="straightConnector1">
                      <a:avLst/>
                    </a:prstGeom>
                    <a:noFill/>
                    <a:ln w="3810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28398" dir="3806097" algn="ctr" rotWithShape="0">
                              <a:srgbClr val="7F7F7F">
                                <a:alpha val="50000"/>
                              </a:srgbClr>
                            </a:outerShdw>
                          </a:effectLst>
                        </a14:hiddenEffects>
                      </a:ext>
                    </a:extLst>
                  </xdr:spPr>
                </xdr:cxnSp>
                <xdr:cxnSp macro="">
                  <xdr:nvCxnSpPr>
                    <xdr:cNvPr id="1391" name="AutoShape 1264"/>
                    <xdr:cNvCxnSpPr>
                      <a:cxnSpLocks noChangeShapeType="1"/>
                    </xdr:cNvCxnSpPr>
                  </xdr:nvCxnSpPr>
                  <xdr:spPr bwMode="auto">
                    <a:xfrm>
                      <a:off x="2162810" y="4992370"/>
                      <a:ext cx="1852930" cy="78164"/>
                    </a:xfrm>
                    <a:prstGeom prst="straightConnector1">
                      <a:avLst/>
                    </a:prstGeom>
                    <a:noFill/>
                    <a:ln w="9525">
                      <a:solidFill>
                        <a:srgbClr val="7030A0"/>
                      </a:solidFill>
                      <a:round/>
                      <a:headEnd type="none"/>
                      <a:tailEnd type="triangle"/>
                    </a:ln>
                    <a:extLst>
                      <a:ext uri="{909E8E84-426E-40DD-AFC4-6F175D3DCCD1}">
                        <a14:hiddenFill xmlns:a14="http://schemas.microsoft.com/office/drawing/2010/main">
                          <a:noFill/>
                        </a14:hiddenFill>
                      </a:ext>
                    </a:extLst>
                  </xdr:spPr>
                </xdr:cxnSp>
                <xdr:cxnSp macro="">
                  <xdr:nvCxnSpPr>
                    <xdr:cNvPr id="1392" name="AutoShape 1266"/>
                    <xdr:cNvCxnSpPr>
                      <a:cxnSpLocks noChangeShapeType="1"/>
                    </xdr:cNvCxnSpPr>
                  </xdr:nvCxnSpPr>
                  <xdr:spPr bwMode="auto">
                    <a:xfrm>
                      <a:off x="1873885" y="4693748"/>
                      <a:ext cx="2141855" cy="374645"/>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sp macro="" textlink="">
                  <xdr:nvSpPr>
                    <xdr:cNvPr id="1393" name="Rectangle 1282"/>
                    <xdr:cNvSpPr>
                      <a:spLocks noChangeArrowheads="1"/>
                    </xdr:cNvSpPr>
                  </xdr:nvSpPr>
                  <xdr:spPr bwMode="auto">
                    <a:xfrm>
                      <a:off x="1832203" y="5325124"/>
                      <a:ext cx="613670" cy="17780"/>
                    </a:xfrm>
                    <a:prstGeom prst="rect">
                      <a:avLst/>
                    </a:prstGeom>
                    <a:solidFill>
                      <a:srgbClr val="7030A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sp macro="" textlink="">
                  <xdr:nvSpPr>
                    <xdr:cNvPr id="1394" name="Text Box 1286"/>
                    <xdr:cNvSpPr txBox="1">
                      <a:spLocks noChangeArrowheads="1"/>
                    </xdr:cNvSpPr>
                  </xdr:nvSpPr>
                  <xdr:spPr bwMode="auto">
                    <a:xfrm>
                      <a:off x="4037330" y="5006658"/>
                      <a:ext cx="114300" cy="150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L</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x</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95" name="Text Box 1290"/>
                    <xdr:cNvSpPr txBox="1">
                      <a:spLocks noChangeArrowheads="1"/>
                    </xdr:cNvSpPr>
                  </xdr:nvSpPr>
                  <xdr:spPr bwMode="auto">
                    <a:xfrm>
                      <a:off x="4068445" y="3677602"/>
                      <a:ext cx="127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p</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96" name="Text Box 1307"/>
                    <xdr:cNvSpPr txBox="1">
                      <a:spLocks noChangeArrowheads="1"/>
                    </xdr:cNvSpPr>
                  </xdr:nvSpPr>
                  <xdr:spPr bwMode="auto">
                    <a:xfrm>
                      <a:off x="2593975" y="5011738"/>
                      <a:ext cx="142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z5</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sp macro="" textlink="">
                  <xdr:nvSpPr>
                    <xdr:cNvPr id="1397" name="Rechthoek 1396"/>
                    <xdr:cNvSpPr>
                      <a:spLocks noChangeArrowheads="1"/>
                    </xdr:cNvSpPr>
                  </xdr:nvSpPr>
                  <xdr:spPr bwMode="auto">
                    <a:xfrm rot="5400000">
                      <a:off x="1509388" y="5014389"/>
                      <a:ext cx="647700" cy="17780"/>
                    </a:xfrm>
                    <a:prstGeom prst="rect">
                      <a:avLst/>
                    </a:prstGeom>
                    <a:solidFill>
                      <a:srgbClr val="7030A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cxnSp macro="">
                  <xdr:nvCxnSpPr>
                    <xdr:cNvPr id="1398" name="AutoShape 1361"/>
                    <xdr:cNvCxnSpPr>
                      <a:cxnSpLocks noChangeShapeType="1"/>
                    </xdr:cNvCxnSpPr>
                  </xdr:nvCxnSpPr>
                  <xdr:spPr bwMode="auto">
                    <a:xfrm flipV="1">
                      <a:off x="2485309" y="5069495"/>
                      <a:ext cx="1530431" cy="226299"/>
                    </a:xfrm>
                    <a:prstGeom prst="straightConnector1">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cxnSp>
                <xdr:cxnSp macro="">
                  <xdr:nvCxnSpPr>
                    <xdr:cNvPr id="1399" name="Rechte verbindingslijn 1398"/>
                    <xdr:cNvCxnSpPr/>
                  </xdr:nvCxnSpPr>
                  <xdr:spPr>
                    <a:xfrm>
                      <a:off x="1880235" y="4710430"/>
                      <a:ext cx="596819" cy="587376"/>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400" name="Ovaal 1399"/>
                    <xdr:cNvSpPr/>
                  </xdr:nvSpPr>
                  <xdr:spPr>
                    <a:xfrm>
                      <a:off x="4023995" y="3023870"/>
                      <a:ext cx="35560" cy="35560"/>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nl-NL"/>
                    </a:p>
                  </xdr:txBody>
                </xdr:sp>
                <xdr:cxnSp macro="">
                  <xdr:nvCxnSpPr>
                    <xdr:cNvPr id="1401" name="AutoShape 1257"/>
                    <xdr:cNvCxnSpPr>
                      <a:cxnSpLocks noChangeShapeType="1"/>
                    </xdr:cNvCxnSpPr>
                  </xdr:nvCxnSpPr>
                  <xdr:spPr bwMode="auto">
                    <a:xfrm flipH="1">
                      <a:off x="3628639" y="2562064"/>
                      <a:ext cx="411480" cy="1571625"/>
                    </a:xfrm>
                    <a:prstGeom prst="straightConnector1">
                      <a:avLst/>
                    </a:prstGeom>
                    <a:noFill/>
                    <a:ln w="12700">
                      <a:solidFill>
                        <a:srgbClr val="00B050"/>
                      </a:solidFill>
                      <a:prstDash val="sysDot"/>
                      <a:round/>
                      <a:headEnd/>
                      <a:tailEnd/>
                    </a:ln>
                    <a:extLst>
                      <a:ext uri="{909E8E84-426E-40DD-AFC4-6F175D3DCCD1}">
                        <a14:hiddenFill xmlns:a14="http://schemas.microsoft.com/office/drawing/2010/main">
                          <a:noFill/>
                        </a14:hiddenFill>
                      </a:ext>
                    </a:extLst>
                  </xdr:spPr>
                </xdr:cxnSp>
                <xdr:cxnSp macro="">
                  <xdr:nvCxnSpPr>
                    <xdr:cNvPr id="1402" name="AutoShape 1257"/>
                    <xdr:cNvCxnSpPr>
                      <a:cxnSpLocks noChangeShapeType="1"/>
                    </xdr:cNvCxnSpPr>
                  </xdr:nvCxnSpPr>
                  <xdr:spPr bwMode="auto">
                    <a:xfrm>
                      <a:off x="4040963" y="2568717"/>
                      <a:ext cx="371475" cy="1572895"/>
                    </a:xfrm>
                    <a:prstGeom prst="straightConnector1">
                      <a:avLst/>
                    </a:prstGeom>
                    <a:noFill/>
                    <a:ln w="12700">
                      <a:solidFill>
                        <a:srgbClr val="00B050"/>
                      </a:solidFill>
                      <a:prstDash val="sysDot"/>
                      <a:round/>
                      <a:headEnd/>
                      <a:tailEnd/>
                    </a:ln>
                    <a:extLst>
                      <a:ext uri="{909E8E84-426E-40DD-AFC4-6F175D3DCCD1}">
                        <a14:hiddenFill xmlns:a14="http://schemas.microsoft.com/office/drawing/2010/main">
                          <a:noFill/>
                        </a14:hiddenFill>
                      </a:ext>
                    </a:extLst>
                  </xdr:spPr>
                </xdr:cxnSp>
              </xdr:grpSp>
              <xdr:cxnSp macro="">
                <xdr:nvCxnSpPr>
                  <xdr:cNvPr id="1342" name="AutoShape 1251"/>
                  <xdr:cNvCxnSpPr>
                    <a:cxnSpLocks noChangeShapeType="1"/>
                  </xdr:cNvCxnSpPr>
                </xdr:nvCxnSpPr>
                <xdr:spPr bwMode="auto">
                  <a:xfrm flipH="1">
                    <a:off x="2212995" y="1135879"/>
                    <a:ext cx="3049096" cy="489723"/>
                  </a:xfrm>
                  <a:prstGeom prst="straightConnector1">
                    <a:avLst/>
                  </a:prstGeom>
                  <a:noFill/>
                  <a:ln w="9525">
                    <a:solidFill>
                      <a:srgbClr val="0070C0"/>
                    </a:solidFill>
                    <a:round/>
                    <a:headEnd type="none" w="lg" len="lg"/>
                    <a:tailEnd type="triangle"/>
                  </a:ln>
                  <a:extLst>
                    <a:ext uri="{909E8E84-426E-40DD-AFC4-6F175D3DCCD1}">
                      <a14:hiddenFill xmlns:a14="http://schemas.microsoft.com/office/drawing/2010/main">
                        <a:noFill/>
                      </a14:hiddenFill>
                    </a:ext>
                  </a:extLst>
                </xdr:spPr>
              </xdr:cxnSp>
            </xdr:grpSp>
            <xdr:cxnSp macro="">
              <xdr:nvCxnSpPr>
                <xdr:cNvPr id="1340" name="AutoShape 1246"/>
                <xdr:cNvCxnSpPr>
                  <a:cxnSpLocks noChangeShapeType="1"/>
                </xdr:cNvCxnSpPr>
              </xdr:nvCxnSpPr>
              <xdr:spPr bwMode="auto">
                <a:xfrm>
                  <a:off x="2745438" y="1140512"/>
                  <a:ext cx="288950" cy="4827771"/>
                </a:xfrm>
                <a:prstGeom prst="straightConnector1">
                  <a:avLst/>
                </a:prstGeom>
                <a:noFill/>
                <a:ln w="12700">
                  <a:solidFill>
                    <a:srgbClr val="FFC000"/>
                  </a:solidFill>
                  <a:prstDash val="sysDot"/>
                  <a:round/>
                  <a:headEnd/>
                  <a:tailEnd/>
                </a:ln>
                <a:extLst>
                  <a:ext uri="{909E8E84-426E-40DD-AFC4-6F175D3DCCD1}">
                    <a14:hiddenFill xmlns:a14="http://schemas.microsoft.com/office/drawing/2010/main">
                      <a:noFill/>
                    </a14:hiddenFill>
                  </a:ext>
                </a:extLst>
              </xdr:spPr>
            </xdr:cxnSp>
          </xdr:grpSp>
        </xdr:grpSp>
        <xdr:sp macro="" textlink="">
          <xdr:nvSpPr>
            <xdr:cNvPr id="1336" name="Rectangle 1364"/>
            <xdr:cNvSpPr>
              <a:spLocks noChangeArrowheads="1"/>
            </xdr:cNvSpPr>
          </xdr:nvSpPr>
          <xdr:spPr bwMode="auto">
            <a:xfrm>
              <a:off x="3039779" y="6008533"/>
              <a:ext cx="108000" cy="25033"/>
            </a:xfrm>
            <a:prstGeom prst="rect">
              <a:avLst/>
            </a:prstGeom>
            <a:solidFill>
              <a:srgbClr val="C198E0"/>
            </a:solidFill>
            <a:ln w="9525">
              <a:solidFill>
                <a:srgbClr val="7030A0"/>
              </a:solidFill>
              <a:miter lim="800000"/>
              <a:headEnd/>
              <a:tailEnd/>
            </a:ln>
          </xdr:spPr>
          <xdr:txBody>
            <a:bodyPr rot="0" vert="horz" wrap="square" lIns="91440" tIns="45720" rIns="91440" bIns="45720" anchor="t" anchorCtr="0" upright="1">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nl-NL"/>
            </a:p>
          </xdr:txBody>
        </xdr:sp>
      </xdr:grpSp>
    </xdr:grpSp>
    <xdr:clientData/>
  </xdr:twoCellAnchor>
  <xdr:twoCellAnchor>
    <xdr:from>
      <xdr:col>1</xdr:col>
      <xdr:colOff>203538</xdr:colOff>
      <xdr:row>66</xdr:row>
      <xdr:rowOff>15599</xdr:rowOff>
    </xdr:from>
    <xdr:to>
      <xdr:col>19</xdr:col>
      <xdr:colOff>7090</xdr:colOff>
      <xdr:row>66</xdr:row>
      <xdr:rowOff>15599</xdr:rowOff>
    </xdr:to>
    <xdr:cxnSp macro="">
      <xdr:nvCxnSpPr>
        <xdr:cNvPr id="3" name="Rechte verbindingslijn 2"/>
        <xdr:cNvCxnSpPr/>
      </xdr:nvCxnSpPr>
      <xdr:spPr>
        <a:xfrm flipV="1">
          <a:off x="816451" y="12588599"/>
          <a:ext cx="1083598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99391</xdr:colOff>
      <xdr:row>92</xdr:row>
      <xdr:rowOff>0</xdr:rowOff>
    </xdr:from>
    <xdr:to>
      <xdr:col>8</xdr:col>
      <xdr:colOff>250580</xdr:colOff>
      <xdr:row>93</xdr:row>
      <xdr:rowOff>11017</xdr:rowOff>
    </xdr:to>
    <xdr:sp macro="" textlink="">
      <xdr:nvSpPr>
        <xdr:cNvPr id="571" name="Text Box 1162"/>
        <xdr:cNvSpPr txBox="1">
          <a:spLocks noChangeArrowheads="1"/>
        </xdr:cNvSpPr>
      </xdr:nvSpPr>
      <xdr:spPr bwMode="auto">
        <a:xfrm>
          <a:off x="5002695" y="17526000"/>
          <a:ext cx="151189" cy="201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no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nl-NL" altLang="nl-NL" sz="1000" b="0" i="0" u="none" strike="noStrike" cap="none" normalizeH="0" baseline="0">
              <a:ln>
                <a:noFill/>
              </a:ln>
              <a:solidFill>
                <a:schemeClr val="tx1"/>
              </a:solidFill>
              <a:effectLst/>
              <a:latin typeface="Arial" panose="020B0604020202020204" pitchFamily="34" charset="0"/>
              <a:ea typeface="Times New Roman" panose="02020603050405020304" pitchFamily="18" charset="0"/>
            </a:rPr>
            <a:t>d</a:t>
          </a:r>
          <a:r>
            <a:rPr kumimoji="0" lang="nl-NL" altLang="nl-NL" sz="1000" b="0" i="0" u="none" strike="noStrike" cap="none" normalizeH="0" baseline="-30000">
              <a:ln>
                <a:noFill/>
              </a:ln>
              <a:solidFill>
                <a:schemeClr val="tx1"/>
              </a:solidFill>
              <a:effectLst/>
              <a:latin typeface="Arial" panose="020B0604020202020204" pitchFamily="34" charset="0"/>
              <a:ea typeface="Times New Roman" panose="02020603050405020304" pitchFamily="18" charset="0"/>
            </a:rPr>
            <a:t>l</a:t>
          </a:r>
          <a:endParaRPr kumimoji="0" lang="nl-NL" altLang="nl-NL" sz="1800" b="0" i="0" u="none" strike="noStrike" cap="none" normalizeH="0" baseline="0">
            <a:ln>
              <a:noFill/>
            </a:ln>
            <a:solidFill>
              <a:schemeClr val="tx1"/>
            </a:solidFill>
            <a:effectLst/>
            <a:latin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476250</xdr:colOff>
      <xdr:row>19</xdr:row>
      <xdr:rowOff>180692</xdr:rowOff>
    </xdr:from>
    <xdr:to>
      <xdr:col>13</xdr:col>
      <xdr:colOff>584250</xdr:colOff>
      <xdr:row>20</xdr:row>
      <xdr:rowOff>0</xdr:rowOff>
    </xdr:to>
    <xdr:sp macro="" textlink="">
      <xdr:nvSpPr>
        <xdr:cNvPr id="2" name="Tekstvak 1"/>
        <xdr:cNvSpPr txBox="1"/>
      </xdr:nvSpPr>
      <xdr:spPr>
        <a:xfrm>
          <a:off x="10829925" y="4752692"/>
          <a:ext cx="108000" cy="19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3</a:t>
          </a:r>
          <a:endParaRPr lang="nl-NL"/>
        </a:p>
        <a:p>
          <a:endParaRPr lang="nl-NL" sz="1100">
            <a:solidFill>
              <a:schemeClr val="dk1"/>
            </a:solidFill>
            <a:latin typeface="+mn-lt"/>
            <a:ea typeface="+mn-ea"/>
            <a:cs typeface="+mn-cs"/>
          </a:endParaRPr>
        </a:p>
        <a:p>
          <a:endParaRPr lang="nl-NL" sz="1100"/>
        </a:p>
        <a:p>
          <a:endParaRPr lang="nl-NL"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476250</xdr:colOff>
      <xdr:row>17</xdr:row>
      <xdr:rowOff>180692</xdr:rowOff>
    </xdr:from>
    <xdr:to>
      <xdr:col>19</xdr:col>
      <xdr:colOff>584250</xdr:colOff>
      <xdr:row>18</xdr:row>
      <xdr:rowOff>0</xdr:rowOff>
    </xdr:to>
    <xdr:sp macro="" textlink="">
      <xdr:nvSpPr>
        <xdr:cNvPr id="2" name="Tekstvak 1"/>
        <xdr:cNvSpPr txBox="1"/>
      </xdr:nvSpPr>
      <xdr:spPr>
        <a:xfrm>
          <a:off x="10229850" y="5095592"/>
          <a:ext cx="108000" cy="9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3</a:t>
          </a:r>
          <a:endParaRPr lang="nl-NL"/>
        </a:p>
        <a:p>
          <a:endParaRPr lang="nl-NL" sz="1100">
            <a:solidFill>
              <a:schemeClr val="dk1"/>
            </a:solidFill>
            <a:latin typeface="+mn-lt"/>
            <a:ea typeface="+mn-ea"/>
            <a:cs typeface="+mn-cs"/>
          </a:endParaRPr>
        </a:p>
        <a:p>
          <a:endParaRPr lang="nl-NL" sz="1100"/>
        </a:p>
        <a:p>
          <a:endParaRPr lang="nl-NL" sz="1100"/>
        </a:p>
      </xdr:txBody>
    </xdr:sp>
    <xdr:clientData/>
  </xdr:twoCellAnchor>
  <xdr:twoCellAnchor editAs="oneCell">
    <xdr:from>
      <xdr:col>21</xdr:col>
      <xdr:colOff>29213</xdr:colOff>
      <xdr:row>86</xdr:row>
      <xdr:rowOff>43232</xdr:rowOff>
    </xdr:from>
    <xdr:to>
      <xdr:col>27</xdr:col>
      <xdr:colOff>286561</xdr:colOff>
      <xdr:row>103</xdr:row>
      <xdr:rowOff>45335</xdr:rowOff>
    </xdr:to>
    <xdr:pic>
      <xdr:nvPicPr>
        <xdr:cNvPr id="3" name="Afbeelding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09043" y="13653849"/>
          <a:ext cx="4124382" cy="311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75451</xdr:colOff>
      <xdr:row>88</xdr:row>
      <xdr:rowOff>43531</xdr:rowOff>
    </xdr:from>
    <xdr:to>
      <xdr:col>20</xdr:col>
      <xdr:colOff>587450</xdr:colOff>
      <xdr:row>89</xdr:row>
      <xdr:rowOff>2116</xdr:rowOff>
    </xdr:to>
    <xdr:sp macro="" textlink="">
      <xdr:nvSpPr>
        <xdr:cNvPr id="4" name="PIJL-RECHTS 3"/>
        <xdr:cNvSpPr/>
      </xdr:nvSpPr>
      <xdr:spPr>
        <a:xfrm>
          <a:off x="18123255" y="14024574"/>
          <a:ext cx="511999" cy="14080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12</xdr:col>
      <xdr:colOff>128238</xdr:colOff>
      <xdr:row>108</xdr:row>
      <xdr:rowOff>18583</xdr:rowOff>
    </xdr:from>
    <xdr:to>
      <xdr:col>17</xdr:col>
      <xdr:colOff>20711</xdr:colOff>
      <xdr:row>117</xdr:row>
      <xdr:rowOff>120804</xdr:rowOff>
    </xdr:to>
    <xdr:pic>
      <xdr:nvPicPr>
        <xdr:cNvPr id="5" name="Afbeelding 4"/>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044" b="24176"/>
        <a:stretch/>
      </xdr:blipFill>
      <xdr:spPr bwMode="auto">
        <a:xfrm>
          <a:off x="7850458" y="20513595"/>
          <a:ext cx="3098448" cy="1733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28</xdr:col>
      <xdr:colOff>590550</xdr:colOff>
      <xdr:row>2</xdr:row>
      <xdr:rowOff>0</xdr:rowOff>
    </xdr:from>
    <xdr:to>
      <xdr:col>36</xdr:col>
      <xdr:colOff>38100</xdr:colOff>
      <xdr:row>22</xdr:row>
      <xdr:rowOff>219075</xdr:rowOff>
    </xdr:to>
    <xdr:pic>
      <xdr:nvPicPr>
        <xdr:cNvPr id="8193" name="Picture 1"/>
        <xdr:cNvPicPr>
          <a:picLocks noChangeAspect="1" noChangeArrowheads="1"/>
        </xdr:cNvPicPr>
      </xdr:nvPicPr>
      <xdr:blipFill>
        <a:blip xmlns:r="http://schemas.openxmlformats.org/officeDocument/2006/relationships" r:embed="rId1" cstate="print"/>
        <a:srcRect t="9761" b="2390"/>
        <a:stretch>
          <a:fillRect/>
        </a:stretch>
      </xdr:blipFill>
      <xdr:spPr bwMode="auto">
        <a:xfrm>
          <a:off x="19307175" y="581025"/>
          <a:ext cx="4324350" cy="4095750"/>
        </a:xfrm>
        <a:prstGeom prst="rect">
          <a:avLst/>
        </a:prstGeom>
        <a:noFill/>
        <a:ln w="9525">
          <a:noFill/>
          <a:miter lim="800000"/>
          <a:headEnd/>
          <a:tailEnd/>
        </a:ln>
      </xdr:spPr>
    </xdr:pic>
    <xdr:clientData/>
  </xdr:twoCellAnchor>
  <xdr:twoCellAnchor editAs="oneCell">
    <xdr:from>
      <xdr:col>36</xdr:col>
      <xdr:colOff>123825</xdr:colOff>
      <xdr:row>2</xdr:row>
      <xdr:rowOff>0</xdr:rowOff>
    </xdr:from>
    <xdr:to>
      <xdr:col>43</xdr:col>
      <xdr:colOff>114300</xdr:colOff>
      <xdr:row>23</xdr:row>
      <xdr:rowOff>114300</xdr:rowOff>
    </xdr:to>
    <xdr:pic>
      <xdr:nvPicPr>
        <xdr:cNvPr id="819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23717250" y="581025"/>
          <a:ext cx="4257675" cy="4219575"/>
        </a:xfrm>
        <a:prstGeom prst="rect">
          <a:avLst/>
        </a:prstGeom>
        <a:noFill/>
        <a:ln w="9525">
          <a:noFill/>
          <a:miter lim="800000"/>
          <a:headEnd/>
          <a:tailEnd/>
        </a:ln>
      </xdr:spPr>
    </xdr:pic>
    <xdr:clientData/>
  </xdr:twoCellAnchor>
  <xdr:twoCellAnchor editAs="oneCell">
    <xdr:from>
      <xdr:col>28</xdr:col>
      <xdr:colOff>546651</xdr:colOff>
      <xdr:row>30</xdr:row>
      <xdr:rowOff>42522</xdr:rowOff>
    </xdr:from>
    <xdr:to>
      <xdr:col>38</xdr:col>
      <xdr:colOff>238124</xdr:colOff>
      <xdr:row>53</xdr:row>
      <xdr:rowOff>5241</xdr:rowOff>
    </xdr:to>
    <xdr:pic>
      <xdr:nvPicPr>
        <xdr:cNvPr id="8195" name="Picture 1"/>
        <xdr:cNvPicPr>
          <a:picLocks noChangeAspect="1" noChangeArrowheads="1"/>
        </xdr:cNvPicPr>
      </xdr:nvPicPr>
      <xdr:blipFill>
        <a:blip xmlns:r="http://schemas.openxmlformats.org/officeDocument/2006/relationships" r:embed="rId3" cstate="print"/>
        <a:srcRect/>
        <a:stretch>
          <a:fillRect/>
        </a:stretch>
      </xdr:blipFill>
      <xdr:spPr bwMode="auto">
        <a:xfrm rot="5400000">
          <a:off x="20175404" y="5416895"/>
          <a:ext cx="4391844" cy="5882723"/>
        </a:xfrm>
        <a:prstGeom prst="rect">
          <a:avLst/>
        </a:prstGeom>
        <a:noFill/>
        <a:ln w="9525">
          <a:noFill/>
          <a:miter lim="800000"/>
          <a:headEnd/>
          <a:tailEnd/>
        </a:ln>
      </xdr:spPr>
    </xdr:pic>
    <xdr:clientData/>
  </xdr:twoCellAnchor>
  <xdr:twoCellAnchor editAs="oneCell">
    <xdr:from>
      <xdr:col>39</xdr:col>
      <xdr:colOff>261937</xdr:colOff>
      <xdr:row>31</xdr:row>
      <xdr:rowOff>71852</xdr:rowOff>
    </xdr:from>
    <xdr:to>
      <xdr:col>44</xdr:col>
      <xdr:colOff>569016</xdr:colOff>
      <xdr:row>51</xdr:row>
      <xdr:rowOff>11502</xdr:rowOff>
    </xdr:to>
    <xdr:pic>
      <xdr:nvPicPr>
        <xdr:cNvPr id="8196"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25955625" y="6382165"/>
          <a:ext cx="3402704" cy="3779957"/>
        </a:xfrm>
        <a:prstGeom prst="rect">
          <a:avLst/>
        </a:prstGeom>
        <a:noFill/>
        <a:ln w="9525">
          <a:noFill/>
          <a:miter lim="800000"/>
          <a:headEnd/>
          <a:tailEnd/>
        </a:ln>
      </xdr:spPr>
    </xdr:pic>
    <xdr:clientData/>
  </xdr:twoCellAnchor>
  <xdr:twoCellAnchor>
    <xdr:from>
      <xdr:col>21</xdr:col>
      <xdr:colOff>476250</xdr:colOff>
      <xdr:row>15</xdr:row>
      <xdr:rowOff>180692</xdr:rowOff>
    </xdr:from>
    <xdr:to>
      <xdr:col>21</xdr:col>
      <xdr:colOff>584250</xdr:colOff>
      <xdr:row>16</xdr:row>
      <xdr:rowOff>0</xdr:rowOff>
    </xdr:to>
    <xdr:sp macro="" textlink="">
      <xdr:nvSpPr>
        <xdr:cNvPr id="6" name="Tekstvak 5"/>
        <xdr:cNvSpPr txBox="1"/>
      </xdr:nvSpPr>
      <xdr:spPr>
        <a:xfrm>
          <a:off x="11496675" y="5771867"/>
          <a:ext cx="108000" cy="9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3</a:t>
          </a:r>
          <a:endParaRPr lang="nl-NL"/>
        </a:p>
        <a:p>
          <a:endParaRPr lang="nl-NL" sz="1100">
            <a:solidFill>
              <a:schemeClr val="dk1"/>
            </a:solidFill>
            <a:latin typeface="+mn-lt"/>
            <a:ea typeface="+mn-ea"/>
            <a:cs typeface="+mn-cs"/>
          </a:endParaRPr>
        </a:p>
        <a:p>
          <a:endParaRPr lang="nl-NL" sz="1100"/>
        </a:p>
        <a:p>
          <a:endParaRPr lang="nl-NL" sz="1100"/>
        </a:p>
      </xdr:txBody>
    </xdr:sp>
    <xdr:clientData/>
  </xdr:twoCellAnchor>
  <xdr:twoCellAnchor>
    <xdr:from>
      <xdr:col>21</xdr:col>
      <xdr:colOff>476250</xdr:colOff>
      <xdr:row>26</xdr:row>
      <xdr:rowOff>180692</xdr:rowOff>
    </xdr:from>
    <xdr:to>
      <xdr:col>21</xdr:col>
      <xdr:colOff>584250</xdr:colOff>
      <xdr:row>27</xdr:row>
      <xdr:rowOff>0</xdr:rowOff>
    </xdr:to>
    <xdr:sp macro="" textlink="">
      <xdr:nvSpPr>
        <xdr:cNvPr id="7" name="Tekstvak 6"/>
        <xdr:cNvSpPr txBox="1"/>
      </xdr:nvSpPr>
      <xdr:spPr>
        <a:xfrm>
          <a:off x="3733800" y="2847692"/>
          <a:ext cx="108000" cy="9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3</a:t>
          </a:r>
          <a:endParaRPr lang="nl-NL"/>
        </a:p>
        <a:p>
          <a:endParaRPr lang="nl-NL" sz="1100">
            <a:solidFill>
              <a:schemeClr val="dk1"/>
            </a:solidFill>
            <a:latin typeface="+mn-lt"/>
            <a:ea typeface="+mn-ea"/>
            <a:cs typeface="+mn-cs"/>
          </a:endParaRPr>
        </a:p>
        <a:p>
          <a:endParaRPr lang="nl-NL" sz="1100"/>
        </a:p>
        <a:p>
          <a:endParaRPr lang="nl-NL" sz="1100"/>
        </a:p>
      </xdr:txBody>
    </xdr:sp>
    <xdr:clientData/>
  </xdr:twoCellAnchor>
  <xdr:twoCellAnchor>
    <xdr:from>
      <xdr:col>19</xdr:col>
      <xdr:colOff>514350</xdr:colOff>
      <xdr:row>34</xdr:row>
      <xdr:rowOff>133350</xdr:rowOff>
    </xdr:from>
    <xdr:to>
      <xdr:col>22</xdr:col>
      <xdr:colOff>352425</xdr:colOff>
      <xdr:row>35</xdr:row>
      <xdr:rowOff>47625</xdr:rowOff>
    </xdr:to>
    <xdr:sp macro="" textlink="">
      <xdr:nvSpPr>
        <xdr:cNvPr id="13" name="Rechthoek 12"/>
        <xdr:cNvSpPr/>
      </xdr:nvSpPr>
      <xdr:spPr>
        <a:xfrm>
          <a:off x="9115425" y="4124325"/>
          <a:ext cx="1666875" cy="10477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20</xdr:col>
      <xdr:colOff>57151</xdr:colOff>
      <xdr:row>35</xdr:row>
      <xdr:rowOff>47627</xdr:rowOff>
    </xdr:from>
    <xdr:to>
      <xdr:col>21</xdr:col>
      <xdr:colOff>209552</xdr:colOff>
      <xdr:row>40</xdr:row>
      <xdr:rowOff>20252</xdr:rowOff>
    </xdr:to>
    <xdr:cxnSp macro="">
      <xdr:nvCxnSpPr>
        <xdr:cNvPr id="16" name="Rechte verbindingslijn met pijl 15"/>
        <xdr:cNvCxnSpPr/>
      </xdr:nvCxnSpPr>
      <xdr:spPr>
        <a:xfrm rot="5400000" flipH="1" flipV="1">
          <a:off x="9267227" y="4229701"/>
          <a:ext cx="763200" cy="76200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204787</xdr:colOff>
      <xdr:row>35</xdr:row>
      <xdr:rowOff>85726</xdr:rowOff>
    </xdr:from>
    <xdr:to>
      <xdr:col>22</xdr:col>
      <xdr:colOff>315187</xdr:colOff>
      <xdr:row>40</xdr:row>
      <xdr:rowOff>15151</xdr:rowOff>
    </xdr:to>
    <xdr:cxnSp macro="">
      <xdr:nvCxnSpPr>
        <xdr:cNvPr id="19" name="Rechte verbindingslijn met pijl 18"/>
        <xdr:cNvCxnSpPr/>
      </xdr:nvCxnSpPr>
      <xdr:spPr>
        <a:xfrm>
          <a:off x="10025062" y="4267201"/>
          <a:ext cx="720000" cy="7200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35</xdr:row>
      <xdr:rowOff>190500</xdr:rowOff>
    </xdr:from>
    <xdr:to>
      <xdr:col>22</xdr:col>
      <xdr:colOff>216000</xdr:colOff>
      <xdr:row>36</xdr:row>
      <xdr:rowOff>180975</xdr:rowOff>
    </xdr:to>
    <xdr:sp macro="" textlink="">
      <xdr:nvSpPr>
        <xdr:cNvPr id="25" name="Tekstvak 24"/>
        <xdr:cNvSpPr txBox="1"/>
      </xdr:nvSpPr>
      <xdr:spPr>
        <a:xfrm>
          <a:off x="10429875" y="4371975"/>
          <a:ext cx="216000"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45</a:t>
          </a:r>
          <a:r>
            <a:rPr lang="nl-NL" sz="1100" baseline="30000"/>
            <a:t>0</a:t>
          </a:r>
          <a:endParaRPr lang="nl-NL" sz="1100"/>
        </a:p>
      </xdr:txBody>
    </xdr:sp>
    <xdr:clientData/>
  </xdr:twoCellAnchor>
  <xdr:twoCellAnchor>
    <xdr:from>
      <xdr:col>20</xdr:col>
      <xdr:colOff>190500</xdr:colOff>
      <xdr:row>35</xdr:row>
      <xdr:rowOff>209549</xdr:rowOff>
    </xdr:from>
    <xdr:to>
      <xdr:col>20</xdr:col>
      <xdr:colOff>406500</xdr:colOff>
      <xdr:row>36</xdr:row>
      <xdr:rowOff>171449</xdr:rowOff>
    </xdr:to>
    <xdr:sp macro="" textlink="">
      <xdr:nvSpPr>
        <xdr:cNvPr id="26" name="Tekstvak 25"/>
        <xdr:cNvSpPr txBox="1"/>
      </xdr:nvSpPr>
      <xdr:spPr>
        <a:xfrm>
          <a:off x="9401175" y="4391024"/>
          <a:ext cx="216000"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45</a:t>
          </a:r>
          <a:r>
            <a:rPr lang="nl-NL" sz="1100" baseline="30000"/>
            <a:t>0</a:t>
          </a:r>
          <a:endParaRPr lang="nl-NL" sz="1100"/>
        </a:p>
      </xdr:txBody>
    </xdr:sp>
    <xdr:clientData/>
  </xdr:twoCellAnchor>
  <xdr:twoCellAnchor>
    <xdr:from>
      <xdr:col>21</xdr:col>
      <xdr:colOff>0</xdr:colOff>
      <xdr:row>49</xdr:row>
      <xdr:rowOff>0</xdr:rowOff>
    </xdr:from>
    <xdr:to>
      <xdr:col>23</xdr:col>
      <xdr:colOff>447675</xdr:colOff>
      <xdr:row>49</xdr:row>
      <xdr:rowOff>104775</xdr:rowOff>
    </xdr:to>
    <xdr:sp macro="" textlink="">
      <xdr:nvSpPr>
        <xdr:cNvPr id="27" name="Rechthoek 26"/>
        <xdr:cNvSpPr/>
      </xdr:nvSpPr>
      <xdr:spPr>
        <a:xfrm>
          <a:off x="9210675" y="6905625"/>
          <a:ext cx="1666875" cy="10477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22</xdr:col>
      <xdr:colOff>304801</xdr:colOff>
      <xdr:row>49</xdr:row>
      <xdr:rowOff>146958</xdr:rowOff>
    </xdr:from>
    <xdr:to>
      <xdr:col>22</xdr:col>
      <xdr:colOff>315688</xdr:colOff>
      <xdr:row>54</xdr:row>
      <xdr:rowOff>0</xdr:rowOff>
    </xdr:to>
    <xdr:cxnSp macro="">
      <xdr:nvCxnSpPr>
        <xdr:cNvPr id="28" name="Rechte verbindingslijn met pijl 27"/>
        <xdr:cNvCxnSpPr/>
      </xdr:nvCxnSpPr>
      <xdr:spPr>
        <a:xfrm rot="5400000" flipH="1" flipV="1">
          <a:off x="11111101" y="9647958"/>
          <a:ext cx="811974" cy="1088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300037</xdr:colOff>
      <xdr:row>49</xdr:row>
      <xdr:rowOff>142876</xdr:rowOff>
    </xdr:from>
    <xdr:to>
      <xdr:col>23</xdr:col>
      <xdr:colOff>410437</xdr:colOff>
      <xdr:row>53</xdr:row>
      <xdr:rowOff>100876</xdr:rowOff>
    </xdr:to>
    <xdr:cxnSp macro="">
      <xdr:nvCxnSpPr>
        <xdr:cNvPr id="29" name="Rechte verbindingslijn met pijl 28"/>
        <xdr:cNvCxnSpPr/>
      </xdr:nvCxnSpPr>
      <xdr:spPr>
        <a:xfrm>
          <a:off x="10120312" y="7048501"/>
          <a:ext cx="720000" cy="7200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602456</xdr:colOff>
      <xdr:row>45</xdr:row>
      <xdr:rowOff>97632</xdr:rowOff>
    </xdr:from>
    <xdr:to>
      <xdr:col>24</xdr:col>
      <xdr:colOff>139256</xdr:colOff>
      <xdr:row>46</xdr:row>
      <xdr:rowOff>85726</xdr:rowOff>
    </xdr:to>
    <xdr:sp macro="" textlink="">
      <xdr:nvSpPr>
        <xdr:cNvPr id="40" name="Tekstvak 39"/>
        <xdr:cNvSpPr txBox="1"/>
      </xdr:nvSpPr>
      <xdr:spPr>
        <a:xfrm>
          <a:off x="11032331" y="8336757"/>
          <a:ext cx="756000" cy="1785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reflectiehoek</a:t>
          </a:r>
        </a:p>
        <a:p>
          <a:endParaRPr lang="nl-NL" sz="1100"/>
        </a:p>
      </xdr:txBody>
    </xdr:sp>
    <xdr:clientData/>
  </xdr:twoCellAnchor>
  <xdr:twoCellAnchor>
    <xdr:from>
      <xdr:col>22</xdr:col>
      <xdr:colOff>505217</xdr:colOff>
      <xdr:row>7</xdr:row>
      <xdr:rowOff>38099</xdr:rowOff>
    </xdr:from>
    <xdr:to>
      <xdr:col>25</xdr:col>
      <xdr:colOff>178668</xdr:colOff>
      <xdr:row>7</xdr:row>
      <xdr:rowOff>123824</xdr:rowOff>
    </xdr:to>
    <xdr:sp macro="" textlink="">
      <xdr:nvSpPr>
        <xdr:cNvPr id="41" name="Rechthoek 40"/>
        <xdr:cNvSpPr/>
      </xdr:nvSpPr>
      <xdr:spPr>
        <a:xfrm>
          <a:off x="11666276" y="1674158"/>
          <a:ext cx="1656892" cy="8572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24</xdr:col>
      <xdr:colOff>26270</xdr:colOff>
      <xdr:row>7</xdr:row>
      <xdr:rowOff>123825</xdr:rowOff>
    </xdr:from>
    <xdr:to>
      <xdr:col>24</xdr:col>
      <xdr:colOff>26270</xdr:colOff>
      <xdr:row>15</xdr:row>
      <xdr:rowOff>9150</xdr:rowOff>
    </xdr:to>
    <xdr:cxnSp macro="">
      <xdr:nvCxnSpPr>
        <xdr:cNvPr id="42" name="Rechte verbindingslijn met pijl 41"/>
        <xdr:cNvCxnSpPr/>
      </xdr:nvCxnSpPr>
      <xdr:spPr>
        <a:xfrm rot="5400000" flipH="1" flipV="1">
          <a:off x="11855386" y="2470150"/>
          <a:ext cx="1420531"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28649</xdr:colOff>
      <xdr:row>7</xdr:row>
      <xdr:rowOff>140496</xdr:rowOff>
    </xdr:from>
    <xdr:to>
      <xdr:col>25</xdr:col>
      <xdr:colOff>139049</xdr:colOff>
      <xdr:row>11</xdr:row>
      <xdr:rowOff>41346</xdr:rowOff>
    </xdr:to>
    <xdr:cxnSp macro="">
      <xdr:nvCxnSpPr>
        <xdr:cNvPr id="43" name="Rechte verbindingslijn met pijl 42"/>
        <xdr:cNvCxnSpPr/>
      </xdr:nvCxnSpPr>
      <xdr:spPr>
        <a:xfrm>
          <a:off x="12568031" y="1776555"/>
          <a:ext cx="715518" cy="70767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554201</xdr:colOff>
      <xdr:row>8</xdr:row>
      <xdr:rowOff>2380</xdr:rowOff>
    </xdr:from>
    <xdr:to>
      <xdr:col>24</xdr:col>
      <xdr:colOff>284995</xdr:colOff>
      <xdr:row>9</xdr:row>
      <xdr:rowOff>188830</xdr:rowOff>
    </xdr:to>
    <xdr:sp macro="" textlink="">
      <xdr:nvSpPr>
        <xdr:cNvPr id="44" name="Boog 43"/>
        <xdr:cNvSpPr/>
      </xdr:nvSpPr>
      <xdr:spPr>
        <a:xfrm>
          <a:off x="12320377" y="1840145"/>
          <a:ext cx="504000" cy="388156"/>
        </a:xfrm>
        <a:prstGeom prst="arc">
          <a:avLst>
            <a:gd name="adj1" fmla="val 21593014"/>
            <a:gd name="adj2" fmla="val 5495563"/>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twoCellAnchor>
    <xdr:from>
      <xdr:col>29</xdr:col>
      <xdr:colOff>231655</xdr:colOff>
      <xdr:row>10</xdr:row>
      <xdr:rowOff>59532</xdr:rowOff>
    </xdr:from>
    <xdr:to>
      <xdr:col>30</xdr:col>
      <xdr:colOff>378055</xdr:colOff>
      <xdr:row>11</xdr:row>
      <xdr:rowOff>28576</xdr:rowOff>
    </xdr:to>
    <xdr:sp macro="" textlink="">
      <xdr:nvSpPr>
        <xdr:cNvPr id="45" name="Tekstvak 44"/>
        <xdr:cNvSpPr txBox="1"/>
      </xdr:nvSpPr>
      <xdr:spPr>
        <a:xfrm>
          <a:off x="15563621" y="2299549"/>
          <a:ext cx="757313" cy="1661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reflectiehoek</a:t>
          </a:r>
        </a:p>
        <a:p>
          <a:endParaRPr lang="nl-NL" sz="1100"/>
        </a:p>
      </xdr:txBody>
    </xdr:sp>
    <xdr:clientData/>
  </xdr:twoCellAnchor>
  <xdr:twoCellAnchor>
    <xdr:from>
      <xdr:col>28</xdr:col>
      <xdr:colOff>476250</xdr:colOff>
      <xdr:row>15</xdr:row>
      <xdr:rowOff>180692</xdr:rowOff>
    </xdr:from>
    <xdr:to>
      <xdr:col>28</xdr:col>
      <xdr:colOff>584250</xdr:colOff>
      <xdr:row>16</xdr:row>
      <xdr:rowOff>0</xdr:rowOff>
    </xdr:to>
    <xdr:sp macro="" textlink="">
      <xdr:nvSpPr>
        <xdr:cNvPr id="30" name="Tekstvak 29"/>
        <xdr:cNvSpPr txBox="1"/>
      </xdr:nvSpPr>
      <xdr:spPr>
        <a:xfrm>
          <a:off x="10920905" y="3360071"/>
          <a:ext cx="108000" cy="3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3</a:t>
          </a:r>
          <a:endParaRPr lang="nl-NL"/>
        </a:p>
        <a:p>
          <a:endParaRPr lang="nl-NL" sz="1100">
            <a:solidFill>
              <a:schemeClr val="dk1"/>
            </a:solidFill>
            <a:latin typeface="+mn-lt"/>
            <a:ea typeface="+mn-ea"/>
            <a:cs typeface="+mn-cs"/>
          </a:endParaRPr>
        </a:p>
        <a:p>
          <a:endParaRPr lang="nl-NL" sz="1100"/>
        </a:p>
        <a:p>
          <a:endParaRPr lang="nl-NL" sz="1100"/>
        </a:p>
      </xdr:txBody>
    </xdr:sp>
    <xdr:clientData/>
  </xdr:twoCellAnchor>
  <xdr:twoCellAnchor>
    <xdr:from>
      <xdr:col>23</xdr:col>
      <xdr:colOff>0</xdr:colOff>
      <xdr:row>18</xdr:row>
      <xdr:rowOff>0</xdr:rowOff>
    </xdr:from>
    <xdr:to>
      <xdr:col>25</xdr:col>
      <xdr:colOff>278568</xdr:colOff>
      <xdr:row>18</xdr:row>
      <xdr:rowOff>85725</xdr:rowOff>
    </xdr:to>
    <xdr:sp macro="" textlink="">
      <xdr:nvSpPr>
        <xdr:cNvPr id="38" name="Rechthoek 37"/>
        <xdr:cNvSpPr/>
      </xdr:nvSpPr>
      <xdr:spPr>
        <a:xfrm>
          <a:off x="11766176" y="3742765"/>
          <a:ext cx="1656892" cy="8572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23</xdr:col>
      <xdr:colOff>267464</xdr:colOff>
      <xdr:row>18</xdr:row>
      <xdr:rowOff>85726</xdr:rowOff>
    </xdr:from>
    <xdr:to>
      <xdr:col>24</xdr:col>
      <xdr:colOff>126171</xdr:colOff>
      <xdr:row>21</xdr:row>
      <xdr:rowOff>172104</xdr:rowOff>
    </xdr:to>
    <xdr:cxnSp macro="">
      <xdr:nvCxnSpPr>
        <xdr:cNvPr id="39" name="Rechte verbindingslijn met pijl 38"/>
        <xdr:cNvCxnSpPr/>
      </xdr:nvCxnSpPr>
      <xdr:spPr>
        <a:xfrm rot="5400000" flipH="1" flipV="1">
          <a:off x="12064525" y="3835324"/>
          <a:ext cx="630000" cy="6300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128549</xdr:colOff>
      <xdr:row>18</xdr:row>
      <xdr:rowOff>102397</xdr:rowOff>
    </xdr:from>
    <xdr:to>
      <xdr:col>25</xdr:col>
      <xdr:colOff>149879</xdr:colOff>
      <xdr:row>22</xdr:row>
      <xdr:rowOff>7568</xdr:rowOff>
    </xdr:to>
    <xdr:cxnSp macro="">
      <xdr:nvCxnSpPr>
        <xdr:cNvPr id="46" name="Rechte verbindingslijn met pijl 45"/>
        <xdr:cNvCxnSpPr/>
      </xdr:nvCxnSpPr>
      <xdr:spPr>
        <a:xfrm>
          <a:off x="12696903" y="3851995"/>
          <a:ext cx="630000" cy="6300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617963</xdr:colOff>
      <xdr:row>18</xdr:row>
      <xdr:rowOff>165987</xdr:rowOff>
    </xdr:from>
    <xdr:to>
      <xdr:col>24</xdr:col>
      <xdr:colOff>384895</xdr:colOff>
      <xdr:row>21</xdr:row>
      <xdr:rowOff>16261</xdr:rowOff>
    </xdr:to>
    <xdr:sp macro="" textlink="">
      <xdr:nvSpPr>
        <xdr:cNvPr id="47" name="Boog 46"/>
        <xdr:cNvSpPr/>
      </xdr:nvSpPr>
      <xdr:spPr>
        <a:xfrm>
          <a:off x="12415024" y="3915585"/>
          <a:ext cx="538225" cy="393896"/>
        </a:xfrm>
        <a:prstGeom prst="arc">
          <a:avLst>
            <a:gd name="adj1" fmla="val 21593014"/>
            <a:gd name="adj2" fmla="val 5495563"/>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twoCellAnchor>
    <xdr:from>
      <xdr:col>24</xdr:col>
      <xdr:colOff>111509</xdr:colOff>
      <xdr:row>18</xdr:row>
      <xdr:rowOff>99663</xdr:rowOff>
    </xdr:from>
    <xdr:to>
      <xdr:col>24</xdr:col>
      <xdr:colOff>113726</xdr:colOff>
      <xdr:row>25</xdr:row>
      <xdr:rowOff>97573</xdr:rowOff>
    </xdr:to>
    <xdr:cxnSp macro="">
      <xdr:nvCxnSpPr>
        <xdr:cNvPr id="51" name="Rechte verbindingslijn 50"/>
        <xdr:cNvCxnSpPr/>
      </xdr:nvCxnSpPr>
      <xdr:spPr>
        <a:xfrm rot="5400000">
          <a:off x="12138395" y="4390729"/>
          <a:ext cx="1085153" cy="22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45043</xdr:colOff>
      <xdr:row>50</xdr:row>
      <xdr:rowOff>9246</xdr:rowOff>
    </xdr:from>
    <xdr:to>
      <xdr:col>22</xdr:col>
      <xdr:colOff>584861</xdr:colOff>
      <xdr:row>52</xdr:row>
      <xdr:rowOff>64172</xdr:rowOff>
    </xdr:to>
    <xdr:sp macro="" textlink="">
      <xdr:nvSpPr>
        <xdr:cNvPr id="35" name="Boog 34"/>
        <xdr:cNvSpPr/>
      </xdr:nvSpPr>
      <xdr:spPr>
        <a:xfrm>
          <a:off x="11251886" y="9321975"/>
          <a:ext cx="539818" cy="414154"/>
        </a:xfrm>
        <a:prstGeom prst="arc">
          <a:avLst>
            <a:gd name="adj1" fmla="val 21593014"/>
            <a:gd name="adj2" fmla="val 5495563"/>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twoCellAnchor>
    <xdr:from>
      <xdr:col>32</xdr:col>
      <xdr:colOff>499110</xdr:colOff>
      <xdr:row>48</xdr:row>
      <xdr:rowOff>179070</xdr:rowOff>
    </xdr:from>
    <xdr:to>
      <xdr:col>35</xdr:col>
      <xdr:colOff>259080</xdr:colOff>
      <xdr:row>49</xdr:row>
      <xdr:rowOff>0</xdr:rowOff>
    </xdr:to>
    <xdr:cxnSp macro="">
      <xdr:nvCxnSpPr>
        <xdr:cNvPr id="32" name="Rechte verbindingslijn 31"/>
        <xdr:cNvCxnSpPr/>
      </xdr:nvCxnSpPr>
      <xdr:spPr>
        <a:xfrm>
          <a:off x="18573750" y="9425940"/>
          <a:ext cx="1588770" cy="381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29</xdr:col>
      <xdr:colOff>242455</xdr:colOff>
      <xdr:row>58</xdr:row>
      <xdr:rowOff>51954</xdr:rowOff>
    </xdr:from>
    <xdr:to>
      <xdr:col>42</xdr:col>
      <xdr:colOff>243320</xdr:colOff>
      <xdr:row>94</xdr:row>
      <xdr:rowOff>52716</xdr:rowOff>
    </xdr:to>
    <xdr:pic>
      <xdr:nvPicPr>
        <xdr:cNvPr id="31" name="Afbeelding 3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517591" y="10771909"/>
          <a:ext cx="7880638" cy="6269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505217</xdr:colOff>
      <xdr:row>57</xdr:row>
      <xdr:rowOff>38099</xdr:rowOff>
    </xdr:from>
    <xdr:to>
      <xdr:col>25</xdr:col>
      <xdr:colOff>178668</xdr:colOff>
      <xdr:row>57</xdr:row>
      <xdr:rowOff>123824</xdr:rowOff>
    </xdr:to>
    <xdr:sp macro="" textlink="">
      <xdr:nvSpPr>
        <xdr:cNvPr id="34" name="Rechthoek 33"/>
        <xdr:cNvSpPr/>
      </xdr:nvSpPr>
      <xdr:spPr>
        <a:xfrm>
          <a:off x="15364217" y="1683326"/>
          <a:ext cx="1665042" cy="8572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24</xdr:col>
      <xdr:colOff>26270</xdr:colOff>
      <xdr:row>57</xdr:row>
      <xdr:rowOff>123825</xdr:rowOff>
    </xdr:from>
    <xdr:to>
      <xdr:col>24</xdr:col>
      <xdr:colOff>26270</xdr:colOff>
      <xdr:row>65</xdr:row>
      <xdr:rowOff>9150</xdr:rowOff>
    </xdr:to>
    <xdr:cxnSp macro="">
      <xdr:nvCxnSpPr>
        <xdr:cNvPr id="36" name="Rechte verbindingslijn met pijl 35"/>
        <xdr:cNvCxnSpPr/>
      </xdr:nvCxnSpPr>
      <xdr:spPr>
        <a:xfrm rot="5400000" flipH="1" flipV="1">
          <a:off x="15626676" y="2413101"/>
          <a:ext cx="128809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28649</xdr:colOff>
      <xdr:row>57</xdr:row>
      <xdr:rowOff>140496</xdr:rowOff>
    </xdr:from>
    <xdr:to>
      <xdr:col>25</xdr:col>
      <xdr:colOff>139049</xdr:colOff>
      <xdr:row>61</xdr:row>
      <xdr:rowOff>41346</xdr:rowOff>
    </xdr:to>
    <xdr:cxnSp macro="">
      <xdr:nvCxnSpPr>
        <xdr:cNvPr id="37" name="Rechte verbindingslijn met pijl 36"/>
        <xdr:cNvCxnSpPr/>
      </xdr:nvCxnSpPr>
      <xdr:spPr>
        <a:xfrm>
          <a:off x="16273104" y="1785723"/>
          <a:ext cx="716536" cy="61089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554201</xdr:colOff>
      <xdr:row>58</xdr:row>
      <xdr:rowOff>2380</xdr:rowOff>
    </xdr:from>
    <xdr:to>
      <xdr:col>24</xdr:col>
      <xdr:colOff>284995</xdr:colOff>
      <xdr:row>59</xdr:row>
      <xdr:rowOff>188830</xdr:rowOff>
    </xdr:to>
    <xdr:sp macro="" textlink="">
      <xdr:nvSpPr>
        <xdr:cNvPr id="48" name="Boog 47"/>
        <xdr:cNvSpPr/>
      </xdr:nvSpPr>
      <xdr:spPr>
        <a:xfrm>
          <a:off x="16019337" y="1838107"/>
          <a:ext cx="510113" cy="350107"/>
        </a:xfrm>
        <a:prstGeom prst="arc">
          <a:avLst>
            <a:gd name="adj1" fmla="val 21593014"/>
            <a:gd name="adj2" fmla="val 5495563"/>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twoCellAnchor>
    <xdr:from>
      <xdr:col>23</xdr:col>
      <xdr:colOff>0</xdr:colOff>
      <xdr:row>68</xdr:row>
      <xdr:rowOff>0</xdr:rowOff>
    </xdr:from>
    <xdr:to>
      <xdr:col>25</xdr:col>
      <xdr:colOff>278568</xdr:colOff>
      <xdr:row>68</xdr:row>
      <xdr:rowOff>85725</xdr:rowOff>
    </xdr:to>
    <xdr:sp macro="" textlink="">
      <xdr:nvSpPr>
        <xdr:cNvPr id="49" name="Rechthoek 48"/>
        <xdr:cNvSpPr/>
      </xdr:nvSpPr>
      <xdr:spPr>
        <a:xfrm>
          <a:off x="15465136" y="3602182"/>
          <a:ext cx="1664023" cy="85725"/>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23</xdr:col>
      <xdr:colOff>267464</xdr:colOff>
      <xdr:row>68</xdr:row>
      <xdr:rowOff>85726</xdr:rowOff>
    </xdr:from>
    <xdr:to>
      <xdr:col>24</xdr:col>
      <xdr:colOff>126171</xdr:colOff>
      <xdr:row>71</xdr:row>
      <xdr:rowOff>172104</xdr:rowOff>
    </xdr:to>
    <xdr:cxnSp macro="">
      <xdr:nvCxnSpPr>
        <xdr:cNvPr id="50" name="Rechte verbindingslijn met pijl 49"/>
        <xdr:cNvCxnSpPr/>
      </xdr:nvCxnSpPr>
      <xdr:spPr>
        <a:xfrm rot="5400000" flipH="1" flipV="1">
          <a:off x="15739992" y="3680516"/>
          <a:ext cx="623241" cy="63802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128549</xdr:colOff>
      <xdr:row>68</xdr:row>
      <xdr:rowOff>102397</xdr:rowOff>
    </xdr:from>
    <xdr:to>
      <xdr:col>25</xdr:col>
      <xdr:colOff>149879</xdr:colOff>
      <xdr:row>72</xdr:row>
      <xdr:rowOff>7568</xdr:rowOff>
    </xdr:to>
    <xdr:cxnSp macro="">
      <xdr:nvCxnSpPr>
        <xdr:cNvPr id="52" name="Rechte verbindingslijn met pijl 51"/>
        <xdr:cNvCxnSpPr/>
      </xdr:nvCxnSpPr>
      <xdr:spPr>
        <a:xfrm>
          <a:off x="16373004" y="3704579"/>
          <a:ext cx="627466" cy="66717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617963</xdr:colOff>
      <xdr:row>68</xdr:row>
      <xdr:rowOff>165987</xdr:rowOff>
    </xdr:from>
    <xdr:to>
      <xdr:col>24</xdr:col>
      <xdr:colOff>384895</xdr:colOff>
      <xdr:row>71</xdr:row>
      <xdr:rowOff>16261</xdr:rowOff>
    </xdr:to>
    <xdr:sp macro="" textlink="">
      <xdr:nvSpPr>
        <xdr:cNvPr id="53" name="Boog 52"/>
        <xdr:cNvSpPr/>
      </xdr:nvSpPr>
      <xdr:spPr>
        <a:xfrm>
          <a:off x="16083099" y="3768169"/>
          <a:ext cx="546251" cy="387137"/>
        </a:xfrm>
        <a:prstGeom prst="arc">
          <a:avLst>
            <a:gd name="adj1" fmla="val 21593014"/>
            <a:gd name="adj2" fmla="val 5495563"/>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twoCellAnchor>
    <xdr:from>
      <xdr:col>24</xdr:col>
      <xdr:colOff>111509</xdr:colOff>
      <xdr:row>68</xdr:row>
      <xdr:rowOff>99663</xdr:rowOff>
    </xdr:from>
    <xdr:to>
      <xdr:col>24</xdr:col>
      <xdr:colOff>113726</xdr:colOff>
      <xdr:row>75</xdr:row>
      <xdr:rowOff>97573</xdr:rowOff>
    </xdr:to>
    <xdr:cxnSp macro="">
      <xdr:nvCxnSpPr>
        <xdr:cNvPr id="54" name="Rechte verbindingslijn 53"/>
        <xdr:cNvCxnSpPr/>
      </xdr:nvCxnSpPr>
      <xdr:spPr>
        <a:xfrm rot="5400000">
          <a:off x="15700027" y="4357782"/>
          <a:ext cx="1314092" cy="22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476250</xdr:colOff>
      <xdr:row>90</xdr:row>
      <xdr:rowOff>180692</xdr:rowOff>
    </xdr:from>
    <xdr:to>
      <xdr:col>22</xdr:col>
      <xdr:colOff>584250</xdr:colOff>
      <xdr:row>91</xdr:row>
      <xdr:rowOff>0</xdr:rowOff>
    </xdr:to>
    <xdr:sp macro="" textlink="">
      <xdr:nvSpPr>
        <xdr:cNvPr id="55" name="Tekstvak 54"/>
        <xdr:cNvSpPr txBox="1"/>
      </xdr:nvSpPr>
      <xdr:spPr>
        <a:xfrm>
          <a:off x="14763750" y="3333467"/>
          <a:ext cx="108000" cy="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3</a:t>
          </a:r>
          <a:endParaRPr lang="nl-NL"/>
        </a:p>
        <a:p>
          <a:endParaRPr lang="nl-NL" sz="1100">
            <a:solidFill>
              <a:schemeClr val="dk1"/>
            </a:solidFill>
            <a:latin typeface="+mn-lt"/>
            <a:ea typeface="+mn-ea"/>
            <a:cs typeface="+mn-cs"/>
          </a:endParaRPr>
        </a:p>
        <a:p>
          <a:endParaRPr lang="nl-NL" sz="1100"/>
        </a:p>
        <a:p>
          <a:endParaRPr lang="nl-NL" sz="1100"/>
        </a:p>
      </xdr:txBody>
    </xdr:sp>
    <xdr:clientData/>
  </xdr:twoCellAnchor>
  <xdr:twoCellAnchor>
    <xdr:from>
      <xdr:col>22</xdr:col>
      <xdr:colOff>476250</xdr:colOff>
      <xdr:row>96</xdr:row>
      <xdr:rowOff>180692</xdr:rowOff>
    </xdr:from>
    <xdr:to>
      <xdr:col>22</xdr:col>
      <xdr:colOff>584250</xdr:colOff>
      <xdr:row>97</xdr:row>
      <xdr:rowOff>0</xdr:rowOff>
    </xdr:to>
    <xdr:sp macro="" textlink="">
      <xdr:nvSpPr>
        <xdr:cNvPr id="56" name="Tekstvak 55"/>
        <xdr:cNvSpPr txBox="1"/>
      </xdr:nvSpPr>
      <xdr:spPr>
        <a:xfrm>
          <a:off x="14763750" y="5400392"/>
          <a:ext cx="108000" cy="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3</a:t>
          </a:r>
          <a:endParaRPr lang="nl-NL"/>
        </a:p>
        <a:p>
          <a:endParaRPr lang="nl-NL" sz="1100">
            <a:solidFill>
              <a:schemeClr val="dk1"/>
            </a:solidFill>
            <a:latin typeface="+mn-lt"/>
            <a:ea typeface="+mn-ea"/>
            <a:cs typeface="+mn-cs"/>
          </a:endParaRPr>
        </a:p>
        <a:p>
          <a:endParaRPr lang="nl-NL" sz="1100"/>
        </a:p>
        <a:p>
          <a:endParaRPr lang="nl-NL"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476250</xdr:colOff>
      <xdr:row>15</xdr:row>
      <xdr:rowOff>180692</xdr:rowOff>
    </xdr:from>
    <xdr:to>
      <xdr:col>17</xdr:col>
      <xdr:colOff>584250</xdr:colOff>
      <xdr:row>16</xdr:row>
      <xdr:rowOff>0</xdr:rowOff>
    </xdr:to>
    <xdr:sp macro="" textlink="">
      <xdr:nvSpPr>
        <xdr:cNvPr id="6" name="Tekstvak 5"/>
        <xdr:cNvSpPr txBox="1"/>
      </xdr:nvSpPr>
      <xdr:spPr>
        <a:xfrm>
          <a:off x="14763750" y="3276317"/>
          <a:ext cx="108000" cy="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3</a:t>
          </a:r>
          <a:endParaRPr lang="nl-NL"/>
        </a:p>
        <a:p>
          <a:endParaRPr lang="nl-NL" sz="1100">
            <a:solidFill>
              <a:schemeClr val="dk1"/>
            </a:solidFill>
            <a:latin typeface="+mn-lt"/>
            <a:ea typeface="+mn-ea"/>
            <a:cs typeface="+mn-cs"/>
          </a:endParaRPr>
        </a:p>
        <a:p>
          <a:endParaRPr lang="nl-NL" sz="1100"/>
        </a:p>
        <a:p>
          <a:endParaRPr lang="nl-NL" sz="1100"/>
        </a:p>
      </xdr:txBody>
    </xdr:sp>
    <xdr:clientData/>
  </xdr:twoCellAnchor>
  <xdr:twoCellAnchor>
    <xdr:from>
      <xdr:col>17</xdr:col>
      <xdr:colOff>476250</xdr:colOff>
      <xdr:row>29</xdr:row>
      <xdr:rowOff>180692</xdr:rowOff>
    </xdr:from>
    <xdr:to>
      <xdr:col>17</xdr:col>
      <xdr:colOff>584250</xdr:colOff>
      <xdr:row>30</xdr:row>
      <xdr:rowOff>0</xdr:rowOff>
    </xdr:to>
    <xdr:sp macro="" textlink="">
      <xdr:nvSpPr>
        <xdr:cNvPr id="7" name="Tekstvak 6"/>
        <xdr:cNvSpPr txBox="1"/>
      </xdr:nvSpPr>
      <xdr:spPr>
        <a:xfrm>
          <a:off x="14763750" y="5543267"/>
          <a:ext cx="108000" cy="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3</a:t>
          </a:r>
          <a:endParaRPr lang="nl-NL"/>
        </a:p>
        <a:p>
          <a:endParaRPr lang="nl-NL" sz="1100">
            <a:solidFill>
              <a:schemeClr val="dk1"/>
            </a:solidFill>
            <a:latin typeface="+mn-lt"/>
            <a:ea typeface="+mn-ea"/>
            <a:cs typeface="+mn-cs"/>
          </a:endParaRPr>
        </a:p>
        <a:p>
          <a:endParaRPr lang="nl-NL" sz="1100"/>
        </a:p>
        <a:p>
          <a:endParaRPr lang="nl-NL" sz="1100"/>
        </a:p>
      </xdr:txBody>
    </xdr:sp>
    <xdr:clientData/>
  </xdr:twoCellAnchor>
  <xdr:twoCellAnchor>
    <xdr:from>
      <xdr:col>24</xdr:col>
      <xdr:colOff>476250</xdr:colOff>
      <xdr:row>15</xdr:row>
      <xdr:rowOff>180692</xdr:rowOff>
    </xdr:from>
    <xdr:to>
      <xdr:col>24</xdr:col>
      <xdr:colOff>584250</xdr:colOff>
      <xdr:row>16</xdr:row>
      <xdr:rowOff>0</xdr:rowOff>
    </xdr:to>
    <xdr:sp macro="" textlink="">
      <xdr:nvSpPr>
        <xdr:cNvPr id="23" name="Tekstvak 22"/>
        <xdr:cNvSpPr txBox="1"/>
      </xdr:nvSpPr>
      <xdr:spPr>
        <a:xfrm>
          <a:off x="19192875" y="3276317"/>
          <a:ext cx="108000" cy="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r>
            <a:rPr lang="nl-NL" sz="1100"/>
            <a:t>3</a:t>
          </a:r>
          <a:endParaRPr lang="nl-NL"/>
        </a:p>
        <a:p>
          <a:endParaRPr lang="nl-NL" sz="1100">
            <a:solidFill>
              <a:schemeClr val="dk1"/>
            </a:solidFill>
            <a:latin typeface="+mn-lt"/>
            <a:ea typeface="+mn-ea"/>
            <a:cs typeface="+mn-cs"/>
          </a:endParaRPr>
        </a:p>
        <a:p>
          <a:endParaRPr lang="nl-NL" sz="1100"/>
        </a:p>
        <a:p>
          <a:endParaRPr lang="nl-NL"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tabSelected="1" zoomScale="115" zoomScaleNormal="115" workbookViewId="0">
      <selection sqref="A1:K11"/>
    </sheetView>
  </sheetViews>
  <sheetFormatPr defaultRowHeight="15" x14ac:dyDescent="0.25"/>
  <sheetData>
    <row r="1" spans="1:12" x14ac:dyDescent="0.25">
      <c r="A1" s="26"/>
      <c r="B1" s="26"/>
      <c r="C1" s="26"/>
      <c r="D1" s="26"/>
      <c r="E1" s="26"/>
      <c r="F1" s="26"/>
      <c r="G1" s="26"/>
      <c r="H1" s="26"/>
      <c r="I1" s="26"/>
      <c r="J1" s="26"/>
      <c r="K1" s="26"/>
      <c r="L1" s="26"/>
    </row>
    <row r="2" spans="1:12" x14ac:dyDescent="0.25">
      <c r="A2" s="26"/>
      <c r="B2" s="26"/>
      <c r="C2" s="26"/>
      <c r="D2" s="26"/>
      <c r="E2" s="26"/>
      <c r="F2" s="26"/>
      <c r="G2" s="26"/>
      <c r="H2" s="26"/>
      <c r="I2" s="41">
        <v>43800</v>
      </c>
      <c r="J2" s="26"/>
      <c r="K2" s="26"/>
      <c r="L2" s="26"/>
    </row>
    <row r="3" spans="1:12" x14ac:dyDescent="0.25">
      <c r="A3" s="26"/>
      <c r="B3" s="26"/>
      <c r="C3" s="26"/>
      <c r="D3" s="26"/>
      <c r="E3" s="26"/>
      <c r="F3" s="26"/>
      <c r="G3" s="26"/>
      <c r="H3" s="26"/>
      <c r="I3" s="26"/>
      <c r="J3" s="26"/>
      <c r="K3" s="26"/>
      <c r="L3" s="26"/>
    </row>
    <row r="4" spans="1:12" x14ac:dyDescent="0.25">
      <c r="A4" s="26"/>
      <c r="B4" s="26" t="s">
        <v>350</v>
      </c>
      <c r="C4" s="26"/>
      <c r="D4" s="26"/>
      <c r="E4" s="26"/>
      <c r="F4" s="26"/>
      <c r="G4" s="26"/>
      <c r="H4" s="26"/>
      <c r="I4" s="26"/>
      <c r="J4" s="26"/>
      <c r="K4" s="26"/>
      <c r="L4" s="26"/>
    </row>
    <row r="5" spans="1:12" x14ac:dyDescent="0.25">
      <c r="A5" s="26"/>
      <c r="B5" s="26" t="s">
        <v>351</v>
      </c>
      <c r="C5" s="26"/>
      <c r="D5" s="26"/>
      <c r="E5" s="26"/>
      <c r="F5" s="26"/>
      <c r="G5" s="26"/>
      <c r="H5" s="26"/>
      <c r="I5" s="26"/>
      <c r="J5" s="26"/>
      <c r="K5" s="26"/>
      <c r="L5" s="26"/>
    </row>
    <row r="6" spans="1:12" x14ac:dyDescent="0.25">
      <c r="A6" s="26"/>
      <c r="B6" s="26" t="s">
        <v>352</v>
      </c>
      <c r="C6" s="26"/>
      <c r="D6" s="26"/>
      <c r="E6" s="26"/>
      <c r="F6" s="26"/>
      <c r="G6" s="26"/>
      <c r="H6" s="26"/>
      <c r="I6" s="26"/>
      <c r="J6" s="26"/>
      <c r="K6" s="26"/>
      <c r="L6" s="26"/>
    </row>
    <row r="7" spans="1:12" x14ac:dyDescent="0.25">
      <c r="A7" s="26"/>
      <c r="B7" s="26" t="s">
        <v>353</v>
      </c>
      <c r="C7" s="26"/>
      <c r="D7" s="26"/>
      <c r="E7" s="26"/>
      <c r="F7" s="26"/>
      <c r="G7" s="26"/>
      <c r="H7" s="26"/>
      <c r="I7" s="26"/>
      <c r="J7" s="26"/>
      <c r="K7" s="26"/>
      <c r="L7" s="26"/>
    </row>
    <row r="8" spans="1:12" x14ac:dyDescent="0.25">
      <c r="A8" s="26"/>
      <c r="B8" s="26" t="s">
        <v>354</v>
      </c>
      <c r="C8" s="26"/>
      <c r="D8" s="26"/>
      <c r="E8" s="26"/>
      <c r="F8" s="26"/>
      <c r="G8" s="26"/>
      <c r="H8" s="26"/>
      <c r="I8" s="26"/>
      <c r="J8" s="26"/>
      <c r="K8" s="26"/>
      <c r="L8" s="26"/>
    </row>
    <row r="9" spans="1:12" x14ac:dyDescent="0.25">
      <c r="A9" s="26"/>
      <c r="B9" s="26"/>
      <c r="C9" s="26"/>
      <c r="D9" s="26"/>
      <c r="E9" s="26"/>
      <c r="F9" s="26"/>
      <c r="G9" s="26"/>
      <c r="H9" s="26"/>
      <c r="I9" s="26"/>
      <c r="J9" s="26"/>
      <c r="K9" s="26"/>
      <c r="L9" s="26"/>
    </row>
    <row r="10" spans="1:12" x14ac:dyDescent="0.25">
      <c r="A10" s="26"/>
      <c r="B10" s="26" t="s">
        <v>355</v>
      </c>
      <c r="C10" s="26"/>
      <c r="D10" s="26"/>
      <c r="E10" s="26"/>
      <c r="F10" s="26"/>
      <c r="G10" s="26"/>
      <c r="H10" s="26"/>
      <c r="I10" s="26"/>
      <c r="J10" s="26"/>
      <c r="K10" s="26"/>
      <c r="L10" s="26"/>
    </row>
    <row r="11" spans="1:12" x14ac:dyDescent="0.25">
      <c r="A11" s="26"/>
      <c r="B11" s="26"/>
      <c r="C11" s="26"/>
      <c r="D11" s="26"/>
      <c r="E11" s="26"/>
      <c r="F11" s="26"/>
      <c r="G11" s="26"/>
      <c r="H11" s="26"/>
      <c r="I11" s="26"/>
      <c r="J11" s="26"/>
      <c r="K11" s="26"/>
      <c r="L11" s="26"/>
    </row>
  </sheetData>
  <phoneticPr fontId="0"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CL197"/>
  <sheetViews>
    <sheetView showGridLines="0" topLeftCell="A157" zoomScale="70" zoomScaleNormal="70" workbookViewId="0">
      <selection activeCell="P195" sqref="P195"/>
    </sheetView>
  </sheetViews>
  <sheetFormatPr defaultRowHeight="15" x14ac:dyDescent="0.25"/>
  <cols>
    <col min="1" max="1" width="6.7109375" style="201" customWidth="1"/>
    <col min="2" max="2" width="20.7109375" style="201" customWidth="1"/>
    <col min="3" max="21" width="12.7109375" style="201" customWidth="1"/>
    <col min="22" max="27" width="12.7109375" style="189" customWidth="1"/>
    <col min="28" max="36" width="12.7109375" style="202" customWidth="1"/>
    <col min="37" max="37" width="10" style="202" bestFit="1" customWidth="1"/>
    <col min="38" max="38" width="12.7109375" style="202" customWidth="1"/>
    <col min="39" max="39" width="10" style="202" bestFit="1" customWidth="1"/>
    <col min="40" max="45" width="12.7109375" style="202" customWidth="1"/>
    <col min="46" max="48" width="10.140625" style="202" bestFit="1" customWidth="1"/>
    <col min="49" max="55" width="12.140625" style="202" customWidth="1"/>
    <col min="56" max="60" width="10.140625" style="202" bestFit="1" customWidth="1"/>
    <col min="61" max="16384" width="9.140625" style="202"/>
  </cols>
  <sheetData>
    <row r="1" spans="1:31" s="187" customFormat="1" ht="26.25" customHeight="1" thickBot="1" x14ac:dyDescent="0.3">
      <c r="A1" s="181" t="s">
        <v>51</v>
      </c>
      <c r="B1" s="182"/>
      <c r="C1" s="183"/>
      <c r="D1" s="182"/>
      <c r="E1" s="182"/>
      <c r="F1" s="182"/>
      <c r="G1" s="182"/>
      <c r="H1" s="182"/>
      <c r="I1" s="182"/>
      <c r="J1" s="182"/>
      <c r="K1" s="182"/>
      <c r="L1" s="182"/>
      <c r="M1" s="182"/>
      <c r="N1" s="182"/>
      <c r="O1" s="182"/>
      <c r="P1" s="182"/>
      <c r="Q1" s="182"/>
      <c r="R1" s="182"/>
      <c r="S1" s="182"/>
      <c r="T1" s="182"/>
      <c r="U1" s="182"/>
      <c r="V1" s="184"/>
      <c r="W1" s="184"/>
      <c r="X1" s="184"/>
      <c r="Y1" s="184"/>
      <c r="Z1" s="184"/>
      <c r="AA1" s="184"/>
      <c r="AB1" s="185"/>
      <c r="AC1" s="185"/>
      <c r="AD1" s="185"/>
      <c r="AE1" s="186"/>
    </row>
    <row r="2" spans="1:31" s="189" customFormat="1" ht="18.75" customHeight="1" thickBot="1" x14ac:dyDescent="0.3">
      <c r="A2" s="188"/>
      <c r="F2" s="190"/>
      <c r="G2" s="190"/>
      <c r="H2" s="190"/>
    </row>
    <row r="3" spans="1:31" s="189" customFormat="1" ht="26.25" customHeight="1" thickBot="1" x14ac:dyDescent="0.3">
      <c r="A3" s="687" t="s">
        <v>314</v>
      </c>
      <c r="B3" s="688"/>
      <c r="C3" s="1868" t="s">
        <v>435</v>
      </c>
      <c r="D3" s="1868"/>
      <c r="E3" s="1868"/>
      <c r="F3" s="1869"/>
      <c r="G3" s="1870"/>
      <c r="H3" s="190"/>
      <c r="L3" s="193"/>
      <c r="M3" s="194" t="s">
        <v>420</v>
      </c>
      <c r="N3" s="195"/>
      <c r="O3" s="195"/>
      <c r="P3" s="195"/>
      <c r="Q3" s="195"/>
      <c r="R3" s="195"/>
      <c r="S3" s="195"/>
      <c r="T3" s="195"/>
    </row>
    <row r="4" spans="1:31" s="212" customFormat="1" ht="19.5" customHeight="1" thickBot="1" x14ac:dyDescent="0.3">
      <c r="A4" s="689" t="s">
        <v>55</v>
      </c>
      <c r="B4" s="690"/>
      <c r="C4" s="691">
        <v>6</v>
      </c>
      <c r="D4" s="691">
        <v>10</v>
      </c>
      <c r="E4" s="692">
        <v>18</v>
      </c>
      <c r="F4" s="691" t="s">
        <v>188</v>
      </c>
      <c r="G4" s="693" t="s">
        <v>189</v>
      </c>
      <c r="H4" s="207"/>
      <c r="I4" s="207"/>
      <c r="L4" s="195"/>
      <c r="M4" s="194"/>
      <c r="N4" s="195"/>
      <c r="O4" s="195"/>
      <c r="P4" s="195"/>
      <c r="Q4" s="195"/>
      <c r="R4" s="195"/>
      <c r="S4" s="195"/>
      <c r="T4" s="195"/>
      <c r="AD4" s="189"/>
    </row>
    <row r="5" spans="1:31" ht="22.5" customHeight="1" x14ac:dyDescent="0.25">
      <c r="A5" s="188"/>
      <c r="C5" s="205"/>
      <c r="D5" s="205"/>
      <c r="E5" s="205"/>
      <c r="F5" s="205"/>
      <c r="G5" s="205"/>
      <c r="L5" s="210"/>
      <c r="M5" s="194" t="s">
        <v>421</v>
      </c>
      <c r="N5" s="195"/>
      <c r="O5" s="195"/>
      <c r="P5" s="195"/>
      <c r="Q5" s="195"/>
      <c r="R5" s="195"/>
      <c r="S5" s="195"/>
      <c r="T5" s="195"/>
      <c r="U5" s="189"/>
      <c r="Z5" s="202"/>
      <c r="AA5" s="202"/>
    </row>
    <row r="6" spans="1:31" ht="19.5" customHeight="1" thickBot="1" x14ac:dyDescent="0.3">
      <c r="A6" s="188" t="s">
        <v>532</v>
      </c>
      <c r="B6" s="203"/>
      <c r="C6" s="650"/>
      <c r="D6" s="651"/>
      <c r="E6" s="651"/>
      <c r="F6" s="652"/>
      <c r="G6" s="652"/>
      <c r="H6" s="207"/>
      <c r="I6" s="207"/>
      <c r="J6" s="208"/>
      <c r="K6" s="209"/>
      <c r="L6" s="214"/>
      <c r="M6" s="194"/>
      <c r="N6" s="195"/>
      <c r="O6" s="195"/>
      <c r="P6" s="195"/>
      <c r="Q6" s="195"/>
      <c r="R6" s="195"/>
      <c r="S6" s="195"/>
      <c r="T6" s="195"/>
      <c r="AD6" s="211"/>
    </row>
    <row r="7" spans="1:31" s="212" customFormat="1" ht="19.5" customHeight="1" thickBot="1" x14ac:dyDescent="0.3">
      <c r="A7" s="215" t="s">
        <v>240</v>
      </c>
      <c r="B7" s="216"/>
      <c r="C7" s="1815">
        <f>10^3</f>
        <v>1000</v>
      </c>
      <c r="D7" s="217"/>
      <c r="E7" s="217"/>
      <c r="F7" s="217"/>
      <c r="G7" s="218"/>
      <c r="H7" s="189"/>
      <c r="I7" s="189"/>
      <c r="L7" s="219"/>
      <c r="M7" s="194" t="s">
        <v>651</v>
      </c>
      <c r="N7" s="195"/>
      <c r="O7" s="195"/>
      <c r="P7" s="195"/>
      <c r="Q7" s="195"/>
      <c r="R7" s="195"/>
      <c r="S7" s="195"/>
      <c r="T7" s="195"/>
    </row>
    <row r="8" spans="1:31" s="212" customFormat="1" ht="19.5" customHeight="1" x14ac:dyDescent="0.25">
      <c r="A8" s="215" t="s">
        <v>122</v>
      </c>
      <c r="B8" s="216"/>
      <c r="C8" s="1816">
        <v>0.2</v>
      </c>
      <c r="D8" s="1816">
        <v>0.2</v>
      </c>
      <c r="E8" s="1818">
        <v>0.2</v>
      </c>
      <c r="F8" s="1816">
        <v>0.2</v>
      </c>
      <c r="G8" s="1819">
        <v>0.2</v>
      </c>
      <c r="J8" s="220"/>
      <c r="K8" s="220"/>
      <c r="L8" s="195"/>
      <c r="M8" s="194"/>
      <c r="N8" s="195"/>
      <c r="O8" s="195"/>
      <c r="P8" s="195"/>
      <c r="Q8" s="195"/>
      <c r="R8" s="195"/>
      <c r="S8" s="195"/>
      <c r="T8" s="195"/>
    </row>
    <row r="9" spans="1:31" s="212" customFormat="1" ht="19.5" customHeight="1" x14ac:dyDescent="0.25">
      <c r="A9" s="221" t="s">
        <v>123</v>
      </c>
      <c r="B9" s="222"/>
      <c r="C9" s="1817">
        <v>0.5</v>
      </c>
      <c r="D9" s="1817">
        <v>0.5</v>
      </c>
      <c r="E9" s="1820">
        <v>0.5</v>
      </c>
      <c r="F9" s="1817">
        <v>0.5</v>
      </c>
      <c r="G9" s="1821">
        <v>0.5</v>
      </c>
      <c r="H9" s="189"/>
      <c r="I9" s="189"/>
      <c r="J9" s="220"/>
      <c r="K9" s="220"/>
      <c r="L9" s="223"/>
      <c r="M9" s="194" t="s">
        <v>422</v>
      </c>
      <c r="N9" s="195"/>
      <c r="O9" s="195"/>
      <c r="P9" s="195"/>
      <c r="Q9" s="195"/>
      <c r="R9" s="195"/>
      <c r="S9" s="195"/>
      <c r="T9" s="195"/>
    </row>
    <row r="10" spans="1:31" s="212" customFormat="1" ht="19.5" customHeight="1" x14ac:dyDescent="0.25">
      <c r="A10" s="221" t="s">
        <v>124</v>
      </c>
      <c r="B10" s="222"/>
      <c r="C10" s="178">
        <f>1-C9</f>
        <v>0.5</v>
      </c>
      <c r="D10" s="178">
        <f>1-D9</f>
        <v>0.5</v>
      </c>
      <c r="E10" s="179">
        <f>1-E9</f>
        <v>0.5</v>
      </c>
      <c r="F10" s="178">
        <f>1-F9</f>
        <v>0.5</v>
      </c>
      <c r="G10" s="180">
        <f>1-G9</f>
        <v>0.5</v>
      </c>
      <c r="H10" s="189"/>
      <c r="I10" s="189"/>
      <c r="J10" s="220"/>
      <c r="K10" s="220"/>
      <c r="L10" s="195"/>
      <c r="M10" s="195"/>
      <c r="N10" s="195"/>
      <c r="O10" s="195"/>
      <c r="P10" s="195"/>
      <c r="Q10" s="195"/>
      <c r="R10" s="195"/>
      <c r="S10" s="195"/>
      <c r="T10" s="195"/>
      <c r="U10" s="222"/>
      <c r="V10" s="225"/>
      <c r="W10" s="225"/>
      <c r="X10" s="225"/>
      <c r="Y10" s="225"/>
      <c r="Z10" s="225"/>
      <c r="AA10" s="225"/>
      <c r="AB10" s="225"/>
      <c r="AC10" s="225"/>
    </row>
    <row r="11" spans="1:31" s="212" customFormat="1" ht="19.5" customHeight="1" thickBot="1" x14ac:dyDescent="0.3">
      <c r="A11" s="226" t="s">
        <v>125</v>
      </c>
      <c r="B11" s="227"/>
      <c r="C11" s="1822">
        <v>5</v>
      </c>
      <c r="D11" s="1822">
        <v>5</v>
      </c>
      <c r="E11" s="1823">
        <v>5</v>
      </c>
      <c r="F11" s="1822">
        <v>5</v>
      </c>
      <c r="G11" s="1824">
        <v>5</v>
      </c>
      <c r="H11" s="189"/>
      <c r="I11" s="189"/>
      <c r="J11" s="220"/>
      <c r="K11" s="220"/>
      <c r="L11" s="228"/>
      <c r="M11" s="194" t="s">
        <v>650</v>
      </c>
      <c r="N11" s="195"/>
      <c r="O11" s="195"/>
      <c r="P11" s="195"/>
      <c r="Q11" s="195"/>
      <c r="R11" s="195"/>
      <c r="S11" s="195"/>
      <c r="T11" s="195"/>
      <c r="U11" s="222"/>
      <c r="V11" s="225"/>
      <c r="W11" s="225"/>
      <c r="X11" s="225"/>
      <c r="Y11" s="225"/>
      <c r="Z11" s="225"/>
      <c r="AA11" s="225"/>
      <c r="AB11" s="225"/>
      <c r="AC11" s="225"/>
    </row>
    <row r="12" spans="1:31" s="212" customFormat="1" ht="22.5" customHeight="1" x14ac:dyDescent="0.25">
      <c r="A12" s="222"/>
      <c r="B12" s="222"/>
      <c r="C12" s="229"/>
      <c r="D12" s="229"/>
      <c r="E12" s="229"/>
      <c r="F12" s="229"/>
      <c r="G12" s="229"/>
      <c r="H12" s="189"/>
      <c r="I12" s="189"/>
      <c r="J12" s="220"/>
      <c r="K12" s="220"/>
      <c r="L12" s="195"/>
      <c r="M12" s="194"/>
      <c r="N12" s="195"/>
      <c r="O12" s="195"/>
      <c r="P12" s="195"/>
      <c r="Q12" s="195"/>
      <c r="R12" s="195"/>
      <c r="S12" s="195"/>
      <c r="T12" s="195"/>
      <c r="U12" s="222"/>
      <c r="V12" s="225"/>
      <c r="W12" s="225"/>
      <c r="X12" s="225"/>
      <c r="Y12" s="225"/>
      <c r="Z12" s="225"/>
      <c r="AA12" s="225"/>
      <c r="AB12" s="225"/>
      <c r="AC12" s="225"/>
    </row>
    <row r="13" spans="1:31" s="212" customFormat="1" ht="19.5" customHeight="1" thickBot="1" x14ac:dyDescent="0.3">
      <c r="A13" s="230" t="s">
        <v>429</v>
      </c>
      <c r="B13" s="222"/>
      <c r="C13" s="231"/>
      <c r="D13" s="231"/>
      <c r="E13" s="231"/>
      <c r="F13" s="231"/>
      <c r="G13" s="231"/>
      <c r="H13" s="189"/>
      <c r="I13" s="189"/>
      <c r="J13" s="220"/>
      <c r="K13" s="220"/>
      <c r="L13" s="232"/>
      <c r="M13" s="194" t="s">
        <v>649</v>
      </c>
      <c r="N13" s="222"/>
      <c r="O13" s="222"/>
      <c r="P13" s="225"/>
      <c r="Q13" s="222"/>
      <c r="R13" s="222"/>
      <c r="S13" s="222"/>
      <c r="T13" s="233"/>
      <c r="U13" s="222"/>
      <c r="V13" s="225"/>
      <c r="W13" s="225"/>
      <c r="X13" s="225"/>
      <c r="Y13" s="225"/>
      <c r="Z13" s="225"/>
      <c r="AA13" s="225"/>
      <c r="AB13" s="225"/>
      <c r="AC13" s="225"/>
    </row>
    <row r="14" spans="1:31" s="212" customFormat="1" ht="19.5" customHeight="1" x14ac:dyDescent="0.2">
      <c r="A14" s="215" t="s">
        <v>417</v>
      </c>
      <c r="B14" s="234"/>
      <c r="C14" s="1825">
        <v>0.04</v>
      </c>
      <c r="D14" s="1825">
        <v>0.04</v>
      </c>
      <c r="E14" s="1825">
        <v>0.04</v>
      </c>
      <c r="F14" s="1825">
        <v>0.04</v>
      </c>
      <c r="G14" s="1826">
        <v>0.04</v>
      </c>
      <c r="H14" s="189"/>
      <c r="I14" s="189"/>
      <c r="L14" s="235"/>
      <c r="M14" s="194"/>
    </row>
    <row r="15" spans="1:31" s="212" customFormat="1" ht="19.5" customHeight="1" thickBot="1" x14ac:dyDescent="0.25">
      <c r="A15" s="236" t="s">
        <v>121</v>
      </c>
      <c r="B15" s="237"/>
      <c r="C15" s="1827">
        <v>1E-3</v>
      </c>
      <c r="D15" s="238"/>
      <c r="E15" s="238"/>
      <c r="F15" s="238"/>
      <c r="G15" s="239"/>
      <c r="H15" s="189"/>
      <c r="I15" s="189"/>
      <c r="J15" s="240"/>
      <c r="K15" s="225"/>
      <c r="L15" s="241"/>
      <c r="M15" s="194" t="s">
        <v>423</v>
      </c>
      <c r="N15" s="225"/>
      <c r="O15" s="225"/>
      <c r="P15" s="225"/>
      <c r="AD15" s="242"/>
    </row>
    <row r="16" spans="1:31" s="212" customFormat="1" ht="19.5" customHeight="1" thickBot="1" x14ac:dyDescent="0.25">
      <c r="A16" s="226" t="s">
        <v>652</v>
      </c>
      <c r="B16" s="227"/>
      <c r="C16" s="1828">
        <v>0.85</v>
      </c>
      <c r="D16" s="243"/>
      <c r="E16" s="243"/>
      <c r="F16" s="243"/>
      <c r="G16" s="244"/>
      <c r="H16" s="189"/>
      <c r="I16" s="189"/>
      <c r="J16" s="240"/>
      <c r="K16" s="225"/>
      <c r="L16" s="235"/>
      <c r="M16" s="194"/>
      <c r="N16" s="225"/>
      <c r="O16" s="225"/>
      <c r="P16" s="225"/>
      <c r="AD16" s="242"/>
    </row>
    <row r="17" spans="1:29" s="212" customFormat="1" ht="19.5" customHeight="1" thickBot="1" x14ac:dyDescent="0.3">
      <c r="A17" s="245" t="s">
        <v>210</v>
      </c>
      <c r="B17" s="246"/>
      <c r="C17" s="1829">
        <v>1</v>
      </c>
      <c r="D17" s="1830">
        <v>1</v>
      </c>
      <c r="E17" s="1831">
        <v>1</v>
      </c>
      <c r="F17" s="1832">
        <v>1</v>
      </c>
      <c r="G17" s="1833">
        <v>1</v>
      </c>
      <c r="J17" s="220"/>
      <c r="K17" s="220"/>
      <c r="L17" s="222"/>
      <c r="M17" s="222"/>
      <c r="N17" s="222"/>
      <c r="O17" s="222"/>
      <c r="P17" s="57"/>
      <c r="Q17" s="222"/>
    </row>
    <row r="18" spans="1:29" s="212" customFormat="1" ht="22.5" customHeight="1" x14ac:dyDescent="0.25">
      <c r="A18" s="222"/>
      <c r="B18" s="222"/>
      <c r="C18" s="229"/>
      <c r="D18" s="229"/>
      <c r="E18" s="229"/>
      <c r="F18" s="229"/>
      <c r="G18" s="229"/>
      <c r="H18" s="189"/>
      <c r="I18" s="189"/>
      <c r="J18" s="220"/>
      <c r="K18" s="220"/>
      <c r="L18" s="222"/>
      <c r="M18" s="222"/>
      <c r="N18" s="222"/>
      <c r="O18" s="222"/>
      <c r="P18" s="225"/>
      <c r="Q18" s="222"/>
      <c r="R18" s="222"/>
      <c r="S18" s="222"/>
      <c r="T18" s="233"/>
      <c r="U18" s="222"/>
      <c r="V18" s="225"/>
      <c r="W18" s="225"/>
      <c r="X18" s="225"/>
      <c r="Y18" s="225"/>
      <c r="Z18" s="225"/>
      <c r="AA18" s="225"/>
      <c r="AB18" s="225"/>
      <c r="AC18" s="225"/>
    </row>
    <row r="19" spans="1:29" s="212" customFormat="1" ht="19.5" customHeight="1" thickBot="1" x14ac:dyDescent="0.3">
      <c r="A19" s="247" t="s">
        <v>419</v>
      </c>
      <c r="B19" s="222"/>
      <c r="C19" s="231"/>
      <c r="D19" s="231"/>
      <c r="E19" s="231"/>
      <c r="F19" s="231"/>
      <c r="G19" s="231"/>
      <c r="H19" s="189"/>
      <c r="I19" s="189"/>
      <c r="J19" s="220"/>
      <c r="K19" s="220"/>
      <c r="L19" s="222"/>
      <c r="M19" s="222"/>
      <c r="N19" s="222"/>
      <c r="O19" s="222"/>
      <c r="P19" s="225"/>
      <c r="Q19" s="222"/>
      <c r="R19" s="222"/>
      <c r="S19" s="222"/>
      <c r="T19" s="233"/>
      <c r="U19" s="222"/>
      <c r="V19" s="225"/>
      <c r="W19" s="225"/>
      <c r="X19" s="225"/>
      <c r="Y19" s="225"/>
      <c r="Z19" s="225"/>
      <c r="AA19" s="225"/>
      <c r="AB19" s="225"/>
      <c r="AC19" s="225"/>
    </row>
    <row r="20" spans="1:29" s="212" customFormat="1" ht="19.5" customHeight="1" x14ac:dyDescent="0.25">
      <c r="A20" s="248"/>
      <c r="B20" s="249"/>
      <c r="C20" s="250" t="s">
        <v>20</v>
      </c>
      <c r="D20" s="251"/>
      <c r="E20" s="251"/>
      <c r="F20" s="251"/>
      <c r="G20" s="252"/>
      <c r="H20" s="221"/>
      <c r="I20" s="222"/>
      <c r="J20" s="220"/>
      <c r="K20" s="220"/>
      <c r="L20" s="222"/>
      <c r="M20" s="222"/>
      <c r="N20" s="222"/>
      <c r="O20" s="222"/>
      <c r="P20" s="225"/>
      <c r="Q20" s="222"/>
      <c r="R20" s="222"/>
      <c r="S20" s="222"/>
      <c r="T20" s="233"/>
      <c r="U20" s="222"/>
      <c r="V20" s="225"/>
      <c r="W20" s="225"/>
      <c r="X20" s="225"/>
      <c r="Y20" s="225"/>
      <c r="Z20" s="225"/>
      <c r="AA20" s="225"/>
      <c r="AB20" s="225"/>
      <c r="AC20" s="225"/>
    </row>
    <row r="21" spans="1:29" s="212" customFormat="1" ht="19.5" customHeight="1" x14ac:dyDescent="0.25">
      <c r="A21" s="221"/>
      <c r="B21" s="253" t="s">
        <v>266</v>
      </c>
      <c r="C21" s="254">
        <f>VLOOKUP($C$4,'TVT''s afscherming'!$A$10:$J$23,2)</f>
        <v>37</v>
      </c>
      <c r="D21" s="255">
        <f>VLOOKUP($D$4,'TVT''s afscherming'!$A$10:$J$23,2)</f>
        <v>41</v>
      </c>
      <c r="E21" s="255">
        <f>VLOOKUP($E$4,'TVT''s afscherming'!$A$10:$J$23,2)</f>
        <v>45</v>
      </c>
      <c r="F21" s="255">
        <f>VLOOKUP($F$4,'TVT''s afscherming'!$A$10:$J$23,2)</f>
        <v>30</v>
      </c>
      <c r="G21" s="256">
        <f>VLOOKUP($G$4,'TVT''s afscherming'!$A$10:$J$23,2)</f>
        <v>36</v>
      </c>
      <c r="H21" s="221"/>
      <c r="I21" s="225"/>
      <c r="J21" s="220"/>
      <c r="K21" s="220"/>
      <c r="L21" s="222"/>
      <c r="M21" s="222"/>
      <c r="N21" s="222"/>
      <c r="O21" s="222"/>
      <c r="P21" s="225"/>
      <c r="Q21" s="222"/>
      <c r="R21" s="222"/>
      <c r="S21" s="222"/>
      <c r="T21" s="233"/>
      <c r="U21" s="222"/>
      <c r="V21" s="225"/>
      <c r="W21" s="225"/>
      <c r="X21" s="225"/>
      <c r="Y21" s="225"/>
      <c r="Z21" s="225"/>
      <c r="AA21" s="225"/>
      <c r="AB21" s="225"/>
      <c r="AC21" s="225"/>
    </row>
    <row r="22" spans="1:29" s="262" customFormat="1" ht="19.5" customHeight="1" x14ac:dyDescent="0.25">
      <c r="A22" s="257"/>
      <c r="B22" s="222" t="s">
        <v>267</v>
      </c>
      <c r="C22" s="258">
        <f>VLOOKUP($C$4,'TVT''s afscherming'!$A$10:$J$23,3)</f>
        <v>33</v>
      </c>
      <c r="D22" s="258">
        <f>VLOOKUP($D$4,'TVT''s afscherming'!$A$10:$J$23,3)</f>
        <v>37</v>
      </c>
      <c r="E22" s="258">
        <f>VLOOKUP($E$4,'TVT''s afscherming'!$A$10:$J$23,3)</f>
        <v>43</v>
      </c>
      <c r="F22" s="258">
        <f>VLOOKUP($F$4,'TVT''s afscherming'!$A$10:$J$23,3)</f>
        <v>27</v>
      </c>
      <c r="G22" s="259">
        <f>VLOOKUP($G$4,'TVT''s afscherming'!$A$10:$J$23,3)</f>
        <v>36</v>
      </c>
      <c r="H22" s="260"/>
      <c r="I22" s="261"/>
      <c r="J22" s="220"/>
      <c r="K22" s="220"/>
      <c r="L22" s="222"/>
      <c r="M22" s="222"/>
      <c r="N22" s="222"/>
      <c r="O22" s="222"/>
      <c r="P22" s="261"/>
      <c r="Q22" s="222"/>
      <c r="R22" s="222"/>
      <c r="S22" s="222"/>
      <c r="U22" s="222"/>
      <c r="V22" s="222"/>
      <c r="W22" s="222"/>
      <c r="X22" s="261"/>
      <c r="Y22" s="261"/>
      <c r="Z22" s="225"/>
      <c r="AA22" s="225"/>
      <c r="AB22" s="225"/>
      <c r="AC22" s="225"/>
    </row>
    <row r="23" spans="1:29" s="262" customFormat="1" ht="19.5" customHeight="1" x14ac:dyDescent="0.25">
      <c r="A23" s="221"/>
      <c r="B23" s="211" t="s">
        <v>61</v>
      </c>
      <c r="C23" s="263">
        <f>VLOOKUP($C$4,'TVT''s afscherming'!$A$10:$J$23,4)</f>
        <v>24.2</v>
      </c>
      <c r="D23" s="258">
        <f>VLOOKUP($D$4,'TVT''s afscherming'!$A$10:$J$23,4)</f>
        <v>27</v>
      </c>
      <c r="E23" s="258">
        <f>VLOOKUP($E$4,'TVT''s afscherming'!$A$10:$J$23,4)</f>
        <v>27</v>
      </c>
      <c r="F23" s="258">
        <f>VLOOKUP($F$4,'TVT''s afscherming'!$A$10:$J$23,4)</f>
        <v>19.7</v>
      </c>
      <c r="G23" s="259">
        <f>VLOOKUP($G$4,'TVT''s afscherming'!$A$10:$J$23,4)</f>
        <v>23.6</v>
      </c>
      <c r="H23" s="264"/>
      <c r="I23" s="261"/>
      <c r="J23" s="220"/>
      <c r="K23" s="220"/>
      <c r="L23" s="222"/>
      <c r="M23" s="222"/>
      <c r="N23" s="222"/>
      <c r="O23" s="222"/>
      <c r="P23" s="261"/>
      <c r="Q23" s="222"/>
      <c r="R23" s="222"/>
      <c r="S23" s="222"/>
      <c r="U23" s="222"/>
      <c r="V23" s="222"/>
      <c r="W23" s="222"/>
      <c r="X23" s="261"/>
      <c r="Y23" s="261"/>
      <c r="Z23" s="261"/>
      <c r="AA23" s="225"/>
      <c r="AB23" s="225"/>
      <c r="AC23" s="225"/>
    </row>
    <row r="24" spans="1:29" s="212" customFormat="1" ht="19.5" customHeight="1" x14ac:dyDescent="0.25">
      <c r="A24" s="221"/>
      <c r="B24" s="211" t="s">
        <v>3</v>
      </c>
      <c r="C24" s="263">
        <f>VLOOKUP($C$4,'TVT''s afscherming'!$A$10:$J$23,5)</f>
        <v>9.9</v>
      </c>
      <c r="D24" s="258">
        <f>VLOOKUP($D$4,'TVT''s afscherming'!$A$10:$J$23,5)</f>
        <v>10</v>
      </c>
      <c r="E24" s="258">
        <f>VLOOKUP($E$4,'TVT''s afscherming'!$A$10:$J$23,5)</f>
        <v>11</v>
      </c>
      <c r="F24" s="258">
        <f>VLOOKUP($F$4,'TVT''s afscherming'!$A$10:$J$23,5)</f>
        <v>10.199999999999999</v>
      </c>
      <c r="G24" s="259">
        <f>VLOOKUP($G$4,'TVT''s afscherming'!$A$10:$J$23,5)</f>
        <v>10.199999999999999</v>
      </c>
      <c r="H24" s="257"/>
      <c r="I24" s="225"/>
      <c r="J24" s="220"/>
      <c r="K24" s="220"/>
      <c r="L24" s="222"/>
      <c r="M24" s="222"/>
      <c r="N24" s="222"/>
      <c r="O24" s="261"/>
      <c r="P24" s="225"/>
      <c r="Q24" s="262"/>
      <c r="R24" s="262"/>
      <c r="S24" s="262"/>
      <c r="T24" s="233"/>
      <c r="U24" s="222"/>
      <c r="V24" s="265"/>
      <c r="W24" s="266"/>
      <c r="X24" s="225"/>
      <c r="Y24" s="225"/>
      <c r="Z24" s="261"/>
      <c r="AA24" s="225"/>
      <c r="AB24" s="225"/>
      <c r="AC24" s="225"/>
    </row>
    <row r="25" spans="1:29" s="212" customFormat="1" ht="19.5" customHeight="1" x14ac:dyDescent="0.25">
      <c r="A25" s="221"/>
      <c r="B25" s="211" t="s">
        <v>22</v>
      </c>
      <c r="C25" s="263">
        <f>VLOOKUP($C$4,'TVT''s afscherming'!$A$10:$J$23,6)</f>
        <v>5.7</v>
      </c>
      <c r="D25" s="258">
        <f>VLOOKUP($D$4,'TVT''s afscherming'!$A$10:$J$23,6)</f>
        <v>5.7</v>
      </c>
      <c r="E25" s="258">
        <f>VLOOKUP($E$4,'TVT''s afscherming'!$A$10:$J$23,6)</f>
        <v>5.6</v>
      </c>
      <c r="F25" s="258">
        <f>VLOOKUP($F$4,'TVT''s afscherming'!$A$10:$J$23,6)</f>
        <v>5.7</v>
      </c>
      <c r="G25" s="259">
        <f>VLOOKUP($G$4,'TVT''s afscherming'!$A$10:$J$23,6)</f>
        <v>5.7</v>
      </c>
      <c r="H25" s="257"/>
      <c r="I25" s="225"/>
      <c r="J25" s="267"/>
      <c r="K25" s="267"/>
      <c r="L25" s="222"/>
      <c r="M25" s="222"/>
      <c r="N25" s="222"/>
      <c r="O25" s="261"/>
      <c r="P25" s="225"/>
      <c r="Q25" s="262"/>
      <c r="R25" s="262"/>
      <c r="S25" s="262"/>
      <c r="U25" s="222"/>
      <c r="V25" s="222"/>
      <c r="W25" s="222"/>
      <c r="X25" s="225"/>
      <c r="Y25" s="225"/>
      <c r="Z25" s="225"/>
      <c r="AA25" s="225"/>
      <c r="AB25" s="225"/>
      <c r="AC25" s="225"/>
    </row>
    <row r="26" spans="1:29" s="212" customFormat="1" ht="19.5" customHeight="1" x14ac:dyDescent="0.25">
      <c r="A26" s="257"/>
      <c r="B26" s="268"/>
      <c r="C26" s="269" t="s">
        <v>139</v>
      </c>
      <c r="D26" s="270"/>
      <c r="E26" s="270"/>
      <c r="F26" s="270"/>
      <c r="G26" s="271"/>
      <c r="H26" s="257"/>
      <c r="I26" s="225"/>
      <c r="J26" s="240"/>
      <c r="K26" s="225"/>
      <c r="L26" s="225"/>
      <c r="M26" s="225"/>
      <c r="N26" s="225"/>
      <c r="O26" s="225"/>
      <c r="P26" s="225"/>
      <c r="Q26" s="225"/>
      <c r="S26" s="222"/>
      <c r="U26" s="222"/>
      <c r="V26" s="222"/>
      <c r="W26" s="222"/>
      <c r="X26" s="225"/>
      <c r="Y26" s="225"/>
      <c r="Z26" s="225"/>
      <c r="AA26" s="225"/>
      <c r="AB26" s="225"/>
      <c r="AC26" s="225"/>
    </row>
    <row r="27" spans="1:29" s="212" customFormat="1" ht="19.5" customHeight="1" x14ac:dyDescent="0.25">
      <c r="A27" s="257"/>
      <c r="B27" s="253" t="s">
        <v>2</v>
      </c>
      <c r="C27" s="254">
        <f>VLOOKUP($C$4,'TVT''s afscherming'!$A$10:$J$23,7)</f>
        <v>34</v>
      </c>
      <c r="D27" s="254">
        <f>VLOOKUP($D$4,'TVT''s afscherming'!$A$10:$J$23,7)</f>
        <v>38</v>
      </c>
      <c r="E27" s="255">
        <f>VLOOKUP($E$4,'TVT''s afscherming'!$A$10:$J$23,7)</f>
        <v>44</v>
      </c>
      <c r="F27" s="254">
        <f>VLOOKUP($F$4,'TVT''s afscherming'!$A$10:$J$23,7)</f>
        <v>30.5</v>
      </c>
      <c r="G27" s="256">
        <f>VLOOKUP($G$4,'TVT''s afscherming'!$A$10:$J$23,7)</f>
        <v>35.6</v>
      </c>
      <c r="H27" s="257"/>
      <c r="I27" s="225"/>
      <c r="J27" s="272"/>
      <c r="K27" s="272"/>
      <c r="L27" s="222"/>
      <c r="M27" s="222"/>
      <c r="N27" s="222"/>
      <c r="O27" s="222"/>
      <c r="P27" s="225"/>
      <c r="Q27" s="222"/>
      <c r="U27" s="222"/>
      <c r="V27" s="225"/>
      <c r="W27" s="225"/>
      <c r="X27" s="225"/>
      <c r="Y27" s="225"/>
      <c r="Z27" s="225"/>
      <c r="AA27" s="261"/>
      <c r="AB27" s="261"/>
      <c r="AC27" s="261"/>
    </row>
    <row r="28" spans="1:29" s="212" customFormat="1" ht="19.5" customHeight="1" x14ac:dyDescent="0.25">
      <c r="A28" s="257"/>
      <c r="B28" s="211" t="s">
        <v>61</v>
      </c>
      <c r="C28" s="263">
        <f>VLOOKUP($C$4,'TVT''s afscherming'!$A$10:$J$23,8)</f>
        <v>20</v>
      </c>
      <c r="D28" s="263">
        <f>VLOOKUP($D$4,'TVT''s afscherming'!$A$10:$J$23,8)</f>
        <v>24</v>
      </c>
      <c r="E28" s="258">
        <f>VLOOKUP($E$4,'TVT''s afscherming'!$A$10:$J$23,8)</f>
        <v>26.8</v>
      </c>
      <c r="F28" s="263">
        <f>VLOOKUP($F$4,'TVT''s afscherming'!$A$10:$J$23,8)</f>
        <v>20.3</v>
      </c>
      <c r="G28" s="259">
        <f>VLOOKUP($G$4,'TVT''s afscherming'!$A$10:$J$23,8)</f>
        <v>23.7</v>
      </c>
      <c r="J28" s="272"/>
      <c r="K28" s="272"/>
      <c r="L28" s="222"/>
      <c r="M28" s="222"/>
      <c r="N28" s="222"/>
      <c r="O28" s="222"/>
      <c r="P28" s="225"/>
      <c r="Q28" s="222"/>
      <c r="U28" s="222"/>
      <c r="V28" s="222"/>
      <c r="W28" s="222"/>
      <c r="X28" s="222"/>
    </row>
    <row r="29" spans="1:29" s="212" customFormat="1" ht="19.5" customHeight="1" x14ac:dyDescent="0.25">
      <c r="A29" s="257"/>
      <c r="B29" s="211" t="s">
        <v>3</v>
      </c>
      <c r="C29" s="263">
        <f>VLOOKUP($C$4,'TVT''s afscherming'!$A$10:$J$23,9)</f>
        <v>9.9</v>
      </c>
      <c r="D29" s="263">
        <f>VLOOKUP($D$4,'TVT''s afscherming'!$A$10:$J$23,9)</f>
        <v>10</v>
      </c>
      <c r="E29" s="258">
        <f>VLOOKUP($E$4,'TVT''s afscherming'!$A$10:$J$23,9)</f>
        <v>11</v>
      </c>
      <c r="F29" s="263">
        <f>VLOOKUP($F$4,'TVT''s afscherming'!$A$10:$J$23,9)</f>
        <v>10.199999999999999</v>
      </c>
      <c r="G29" s="259">
        <f>VLOOKUP($G$4,'TVT''s afscherming'!$A$10:$J$23,9)</f>
        <v>10.7</v>
      </c>
      <c r="I29" s="211"/>
      <c r="J29" s="272"/>
      <c r="K29" s="272"/>
      <c r="L29" s="222"/>
      <c r="M29" s="222"/>
      <c r="N29" s="222"/>
      <c r="O29" s="222"/>
      <c r="P29" s="225"/>
      <c r="Q29" s="222"/>
      <c r="U29" s="222"/>
      <c r="V29" s="222"/>
      <c r="W29" s="222"/>
      <c r="X29" s="222"/>
    </row>
    <row r="30" spans="1:29" s="212" customFormat="1" ht="19.5" customHeight="1" thickBot="1" x14ac:dyDescent="0.3">
      <c r="A30" s="273"/>
      <c r="B30" s="274" t="s">
        <v>22</v>
      </c>
      <c r="C30" s="275">
        <f>VLOOKUP($C$4,'TVT''s afscherming'!$A$10:$J$23,10)</f>
        <v>5.7</v>
      </c>
      <c r="D30" s="275">
        <f>VLOOKUP($D$4,'TVT''s afscherming'!$A$10:$J$23,10)</f>
        <v>5.7</v>
      </c>
      <c r="E30" s="276">
        <f>VLOOKUP($E$4,'TVT''s afscherming'!$A$10:$J$23,10)</f>
        <v>5.6</v>
      </c>
      <c r="F30" s="275">
        <f>VLOOKUP($F$4,'TVT''s afscherming'!$A$10:$J$23,10)</f>
        <v>5</v>
      </c>
      <c r="G30" s="277">
        <f>VLOOKUP($G$4,'TVT''s afscherming'!$A$10:$J$23,10)</f>
        <v>5.7</v>
      </c>
      <c r="J30" s="272"/>
      <c r="K30" s="272"/>
      <c r="L30" s="222"/>
      <c r="M30" s="222"/>
      <c r="N30" s="222"/>
      <c r="O30" s="222"/>
      <c r="P30" s="225"/>
      <c r="Q30" s="222"/>
      <c r="T30" s="222"/>
      <c r="U30" s="242"/>
      <c r="V30" s="222"/>
      <c r="W30" s="222"/>
      <c r="X30" s="222"/>
      <c r="Y30" s="222"/>
    </row>
    <row r="31" spans="1:29" s="212" customFormat="1" ht="19.5" customHeight="1" x14ac:dyDescent="0.25">
      <c r="A31" s="222"/>
      <c r="J31" s="272"/>
      <c r="K31" s="272"/>
      <c r="L31" s="222"/>
      <c r="M31" s="222"/>
      <c r="N31" s="222"/>
      <c r="O31" s="222"/>
      <c r="P31" s="225"/>
      <c r="Q31" s="222"/>
      <c r="T31" s="222"/>
      <c r="U31" s="242"/>
      <c r="V31" s="222"/>
      <c r="W31" s="222"/>
      <c r="X31" s="222"/>
      <c r="Y31" s="222"/>
    </row>
    <row r="32" spans="1:29" s="212" customFormat="1" ht="22.5" customHeight="1" x14ac:dyDescent="0.25">
      <c r="T32" s="222"/>
      <c r="U32" s="233"/>
      <c r="V32" s="233"/>
      <c r="W32" s="222"/>
      <c r="X32" s="222"/>
      <c r="Y32" s="222"/>
    </row>
    <row r="33" spans="1:52" s="212" customFormat="1" ht="22.5" customHeight="1" x14ac:dyDescent="0.25">
      <c r="I33" s="189"/>
      <c r="T33" s="222"/>
      <c r="U33" s="233"/>
      <c r="V33" s="233"/>
      <c r="W33" s="222"/>
      <c r="X33" s="222"/>
      <c r="Y33" s="222"/>
    </row>
    <row r="34" spans="1:52" ht="19.5" customHeight="1" thickBot="1" x14ac:dyDescent="0.3">
      <c r="A34" s="283" t="s">
        <v>506</v>
      </c>
      <c r="B34" s="284"/>
      <c r="C34" s="284"/>
      <c r="D34" s="280"/>
      <c r="L34" s="289"/>
      <c r="M34" s="290"/>
      <c r="N34" s="290"/>
      <c r="O34" s="290"/>
      <c r="P34" s="290"/>
      <c r="Q34" s="290"/>
      <c r="R34" s="290"/>
      <c r="S34" s="290"/>
      <c r="T34" s="290"/>
      <c r="U34" s="290"/>
      <c r="V34" s="290"/>
      <c r="W34" s="290"/>
      <c r="X34" s="290"/>
      <c r="AB34" s="189"/>
      <c r="AF34" s="281"/>
      <c r="AG34" s="281"/>
      <c r="AH34" s="282"/>
      <c r="AI34" s="282"/>
    </row>
    <row r="35" spans="1:52" s="212" customFormat="1" ht="19.5" customHeight="1" x14ac:dyDescent="0.25">
      <c r="J35" s="653"/>
      <c r="K35" s="292">
        <f>$C$4</f>
        <v>6</v>
      </c>
      <c r="L35" s="293"/>
      <c r="M35" s="294"/>
      <c r="N35" s="292">
        <f>$D$4</f>
        <v>10</v>
      </c>
      <c r="O35" s="293"/>
      <c r="P35" s="294"/>
      <c r="Q35" s="292">
        <f>$E$4</f>
        <v>18</v>
      </c>
      <c r="R35" s="293"/>
      <c r="S35" s="294"/>
      <c r="T35" s="292" t="str">
        <f>$F$4</f>
        <v>6 FFF</v>
      </c>
      <c r="U35" s="293"/>
      <c r="V35" s="294"/>
      <c r="W35" s="292" t="str">
        <f>$G$4</f>
        <v>10 FFF</v>
      </c>
      <c r="X35" s="295"/>
      <c r="Y35" s="296"/>
      <c r="Z35" s="297" t="s">
        <v>16</v>
      </c>
      <c r="AA35" s="298"/>
      <c r="AB35" s="257"/>
      <c r="AC35" s="225"/>
      <c r="AG35" s="299"/>
      <c r="AH35" s="299"/>
      <c r="AI35" s="299"/>
      <c r="AJ35" s="299"/>
      <c r="AK35" s="299"/>
      <c r="AL35" s="299"/>
      <c r="AP35" s="222"/>
      <c r="AQ35" s="211"/>
      <c r="AR35" s="266"/>
      <c r="AS35" s="222"/>
      <c r="AT35" s="187"/>
      <c r="AU35" s="187"/>
      <c r="AV35" s="187"/>
      <c r="AW35" s="187"/>
      <c r="AX35" s="187"/>
      <c r="AY35" s="300"/>
      <c r="AZ35" s="300"/>
    </row>
    <row r="36" spans="1:52" s="212" customFormat="1" ht="19.5" customHeight="1" x14ac:dyDescent="0.25">
      <c r="A36" s="301" t="s">
        <v>50</v>
      </c>
      <c r="B36" s="301" t="s">
        <v>15</v>
      </c>
      <c r="C36" s="302" t="s">
        <v>25</v>
      </c>
      <c r="D36" s="302" t="s">
        <v>158</v>
      </c>
      <c r="E36" s="301" t="s">
        <v>524</v>
      </c>
      <c r="F36" s="303"/>
      <c r="G36" s="304" t="s">
        <v>77</v>
      </c>
      <c r="H36" s="305"/>
      <c r="I36" s="306"/>
      <c r="J36" s="301" t="s">
        <v>86</v>
      </c>
      <c r="K36" s="301" t="s">
        <v>206</v>
      </c>
      <c r="L36" s="301" t="s">
        <v>16</v>
      </c>
      <c r="M36" s="301" t="s">
        <v>86</v>
      </c>
      <c r="N36" s="301" t="s">
        <v>206</v>
      </c>
      <c r="O36" s="301" t="s">
        <v>16</v>
      </c>
      <c r="P36" s="301" t="s">
        <v>86</v>
      </c>
      <c r="Q36" s="301" t="s">
        <v>206</v>
      </c>
      <c r="R36" s="301" t="s">
        <v>16</v>
      </c>
      <c r="S36" s="301" t="s">
        <v>86</v>
      </c>
      <c r="T36" s="301" t="s">
        <v>206</v>
      </c>
      <c r="U36" s="301" t="s">
        <v>16</v>
      </c>
      <c r="V36" s="301" t="s">
        <v>86</v>
      </c>
      <c r="W36" s="301" t="s">
        <v>206</v>
      </c>
      <c r="X36" s="301" t="s">
        <v>16</v>
      </c>
      <c r="Y36" s="307" t="s">
        <v>23</v>
      </c>
      <c r="Z36" s="308" t="s">
        <v>11</v>
      </c>
      <c r="AA36" s="309" t="s">
        <v>11</v>
      </c>
      <c r="AG36" s="310"/>
      <c r="AH36" s="310"/>
      <c r="AI36" s="310"/>
      <c r="AJ36" s="310"/>
      <c r="AK36" s="310"/>
      <c r="AL36" s="310"/>
      <c r="AP36" s="222"/>
      <c r="AQ36" s="211"/>
      <c r="AR36" s="242"/>
      <c r="AS36" s="222"/>
      <c r="AT36" s="225"/>
      <c r="AU36" s="225"/>
      <c r="AV36" s="311"/>
      <c r="AW36" s="225"/>
      <c r="AX36" s="225"/>
      <c r="AY36" s="300"/>
      <c r="AZ36" s="300"/>
    </row>
    <row r="37" spans="1:52" s="212" customFormat="1" ht="19.5" customHeight="1" thickBot="1" x14ac:dyDescent="0.3">
      <c r="A37" s="308"/>
      <c r="B37" s="308"/>
      <c r="C37" s="313"/>
      <c r="D37" s="313" t="s">
        <v>383</v>
      </c>
      <c r="E37" s="312" t="s">
        <v>528</v>
      </c>
      <c r="F37" s="312" t="s">
        <v>1</v>
      </c>
      <c r="G37" s="312" t="s">
        <v>61</v>
      </c>
      <c r="H37" s="312" t="s">
        <v>3</v>
      </c>
      <c r="I37" s="312" t="s">
        <v>22</v>
      </c>
      <c r="J37" s="314" t="s">
        <v>208</v>
      </c>
      <c r="K37" s="314" t="s">
        <v>207</v>
      </c>
      <c r="L37" s="315" t="s">
        <v>174</v>
      </c>
      <c r="M37" s="314" t="s">
        <v>208</v>
      </c>
      <c r="N37" s="314" t="s">
        <v>207</v>
      </c>
      <c r="O37" s="315" t="s">
        <v>174</v>
      </c>
      <c r="P37" s="314" t="s">
        <v>208</v>
      </c>
      <c r="Q37" s="314" t="s">
        <v>207</v>
      </c>
      <c r="R37" s="315" t="s">
        <v>174</v>
      </c>
      <c r="S37" s="314" t="s">
        <v>208</v>
      </c>
      <c r="T37" s="314" t="s">
        <v>207</v>
      </c>
      <c r="U37" s="315" t="s">
        <v>174</v>
      </c>
      <c r="V37" s="314" t="s">
        <v>208</v>
      </c>
      <c r="W37" s="314" t="s">
        <v>207</v>
      </c>
      <c r="X37" s="315" t="s">
        <v>174</v>
      </c>
      <c r="Y37" s="316" t="s">
        <v>173</v>
      </c>
      <c r="Z37" s="179" t="s">
        <v>173</v>
      </c>
      <c r="AA37" s="309" t="s">
        <v>166</v>
      </c>
      <c r="AG37" s="310"/>
      <c r="AH37" s="310"/>
      <c r="AI37" s="310"/>
      <c r="AJ37" s="310"/>
      <c r="AK37" s="310"/>
      <c r="AL37" s="310"/>
      <c r="AP37" s="222"/>
      <c r="AQ37" s="211"/>
      <c r="AR37" s="222"/>
      <c r="AS37" s="222"/>
      <c r="AT37" s="225"/>
      <c r="AU37" s="225"/>
      <c r="AV37" s="225"/>
      <c r="AW37" s="225"/>
      <c r="AX37" s="225"/>
      <c r="AY37" s="300"/>
      <c r="AZ37" s="300"/>
    </row>
    <row r="38" spans="1:52" s="212" customFormat="1" ht="19.5" hidden="1" customHeight="1" thickBot="1" x14ac:dyDescent="0.3">
      <c r="A38" s="694"/>
      <c r="B38" s="694"/>
      <c r="C38" s="695"/>
      <c r="D38" s="695"/>
      <c r="E38" s="694"/>
      <c r="F38" s="694"/>
      <c r="G38" s="694"/>
      <c r="H38" s="694"/>
      <c r="I38" s="694"/>
      <c r="J38" s="97"/>
      <c r="K38" s="97"/>
      <c r="L38" s="58"/>
      <c r="M38" s="97"/>
      <c r="N38" s="97"/>
      <c r="O38" s="58"/>
      <c r="P38" s="97"/>
      <c r="Q38" s="97"/>
      <c r="R38" s="58"/>
      <c r="S38" s="97"/>
      <c r="T38" s="97"/>
      <c r="U38" s="58"/>
      <c r="V38" s="97"/>
      <c r="W38" s="97"/>
      <c r="X38" s="90"/>
      <c r="Y38" s="319"/>
      <c r="Z38" s="320"/>
      <c r="AA38" s="321"/>
      <c r="AG38" s="310"/>
      <c r="AH38" s="310"/>
      <c r="AI38" s="310"/>
      <c r="AJ38" s="310"/>
      <c r="AK38" s="310"/>
      <c r="AL38" s="310"/>
      <c r="AP38" s="222"/>
      <c r="AQ38" s="211"/>
      <c r="AR38" s="222"/>
      <c r="AS38" s="222"/>
      <c r="AT38" s="225"/>
      <c r="AU38" s="225"/>
      <c r="AV38" s="225"/>
      <c r="AW38" s="225"/>
      <c r="AX38" s="225"/>
      <c r="AY38" s="300"/>
      <c r="AZ38" s="300"/>
    </row>
    <row r="39" spans="1:52" s="212" customFormat="1" ht="30" customHeight="1" x14ac:dyDescent="0.25">
      <c r="A39" s="322"/>
      <c r="B39" s="322"/>
      <c r="C39" s="323" t="s">
        <v>569</v>
      </c>
      <c r="D39" s="1834">
        <v>6</v>
      </c>
      <c r="E39" s="1834">
        <v>1</v>
      </c>
      <c r="F39" s="1834">
        <v>250</v>
      </c>
      <c r="G39" s="1834">
        <v>0</v>
      </c>
      <c r="H39" s="1834">
        <v>0</v>
      </c>
      <c r="I39" s="1835">
        <v>0</v>
      </c>
      <c r="J39" s="91">
        <f>IF($F39=0,0,1+($F39-$C$21)/$C$22)+$G39/$C$23+$H39/$C$24+$I39/$C$25</f>
        <v>7.4545454545454541</v>
      </c>
      <c r="K39" s="97">
        <f t="shared" ref="K39:K82" si="0">10^(-J39)</f>
        <v>3.5111917342151263E-8</v>
      </c>
      <c r="L39" s="91">
        <f>($C$7*$C$14*$C$8*$E39/$D39^2*K39*10^6)</f>
        <v>7.8026482982558355E-3</v>
      </c>
      <c r="M39" s="91">
        <f>IF($F39=0,0,1+($F39-$D$21)/$D$22)+$G39/$D$23+$H39/$D$24+$I39/$D$25</f>
        <v>6.6486486486486482</v>
      </c>
      <c r="N39" s="97">
        <f t="shared" ref="N39:N82" si="1">10^(-M39)</f>
        <v>2.2456979955397711E-7</v>
      </c>
      <c r="O39" s="91">
        <f>($C$7*$D$14*$D$8*$E39/$D39^2*N39*10^6)</f>
        <v>4.99043999008838E-2</v>
      </c>
      <c r="P39" s="91">
        <f>IF($F39=0,0,1+($F39-$E$21)/$E$22)+$G39/$E$23+$H39/$E$24+$I39/$E$25</f>
        <v>5.7674418604651159</v>
      </c>
      <c r="Q39" s="97">
        <f t="shared" ref="Q39:Q82" si="2">10^(-P39)</f>
        <v>1.7082763938087111E-6</v>
      </c>
      <c r="R39" s="91">
        <f>($C$7*$E$14*$E$8*$E39/$D39^2*Q39*10^6)</f>
        <v>0.37961697640193576</v>
      </c>
      <c r="S39" s="91">
        <f>IF($F39=0,0,1+($F39-$F$21)/$F$22)+$G39/$F$23+$H39/$F$24+$I39/$F$25</f>
        <v>9.1481481481481488</v>
      </c>
      <c r="T39" s="97">
        <f t="shared" ref="T39:T82" si="3">10^(-S39)</f>
        <v>7.1097094323124171E-10</v>
      </c>
      <c r="U39" s="91">
        <f>($C$7*$F$14*$F$8*$E39/$D39^2*T39*10^6)</f>
        <v>1.5799354294027593E-4</v>
      </c>
      <c r="V39" s="91">
        <f>IF($F39=0,0,1+($F39-$G$21)/$G$22)+$G39/$G$23+$H39/$G$24+$I39/$G$25</f>
        <v>6.9444444444444446</v>
      </c>
      <c r="W39" s="97">
        <f t="shared" ref="W39:W82" si="4">10^(-V39)</f>
        <v>1.136463666385722E-7</v>
      </c>
      <c r="X39" s="76">
        <f>($C$7*$G$14*$G$8*$E39/$D39^2*W39*10^6)</f>
        <v>2.5254748141904933E-2</v>
      </c>
      <c r="Y39" s="654">
        <f t="shared" ref="Y39:Y49" si="5">SUM(L39,O39,R39,U39,X39)</f>
        <v>0.46273676628592059</v>
      </c>
      <c r="Z39" s="325"/>
      <c r="AA39" s="326"/>
      <c r="AG39" s="328"/>
      <c r="AI39" s="328"/>
      <c r="AJ39" s="328"/>
      <c r="AK39" s="328"/>
      <c r="AL39" s="328"/>
      <c r="AP39" s="222"/>
      <c r="AQ39" s="211"/>
      <c r="AR39" s="222"/>
      <c r="AS39" s="222"/>
      <c r="AT39" s="225"/>
      <c r="AU39" s="225"/>
      <c r="AV39" s="225"/>
      <c r="AW39" s="225"/>
      <c r="AX39" s="225"/>
      <c r="AY39" s="300"/>
      <c r="AZ39" s="300"/>
    </row>
    <row r="40" spans="1:52" s="212" customFormat="1" ht="30" customHeight="1" thickBot="1" x14ac:dyDescent="0.3">
      <c r="A40" s="329" t="str">
        <f>Samenvatting!A13</f>
        <v>B1</v>
      </c>
      <c r="B40" s="330" t="str">
        <f>Samenvatting!B13</f>
        <v>bedieningsruimte Linac 1</v>
      </c>
      <c r="C40" s="331" t="s">
        <v>568</v>
      </c>
      <c r="D40" s="1836">
        <v>5</v>
      </c>
      <c r="E40" s="89"/>
      <c r="F40" s="1834">
        <v>250</v>
      </c>
      <c r="G40" s="1834">
        <v>0</v>
      </c>
      <c r="H40" s="1834">
        <v>0</v>
      </c>
      <c r="I40" s="1835">
        <v>0</v>
      </c>
      <c r="J40" s="91">
        <f>$F40/$C$27+$G40/$C$28+$H40/$C$29+$I40/$C$30</f>
        <v>7.3529411764705879</v>
      </c>
      <c r="K40" s="97">
        <f t="shared" si="0"/>
        <v>4.4366873309786093E-8</v>
      </c>
      <c r="L40" s="91">
        <f>($C$7*$C$15*$C$8*($C$9+$C$10*$C$11)/$D40^2*K40*10^6)</f>
        <v>1.0648049594348663E-3</v>
      </c>
      <c r="M40" s="91">
        <f>$F40/$D$27+$G40/$D$28+$H40/$D$29+$I40/$D$30</f>
        <v>6.5789473684210522</v>
      </c>
      <c r="N40" s="97">
        <f t="shared" si="1"/>
        <v>2.636650898730358E-7</v>
      </c>
      <c r="O40" s="91">
        <f>($C$7*$C$15*$D$8*($D$9+$D$10*$D$11)/$D40^2*N40*10^6)</f>
        <v>6.3279621569528599E-3</v>
      </c>
      <c r="P40" s="91">
        <f>$F40/$E$27+$G40/$E$28+$H40/$E$29+$I40/$E$30</f>
        <v>5.6818181818181817</v>
      </c>
      <c r="Q40" s="97">
        <f t="shared" si="2"/>
        <v>2.0805675382171676E-6</v>
      </c>
      <c r="R40" s="91">
        <f>($C$7*$C$15*$E$8*($E$9+$E$10*$E$11)/$D40^2*Q40*10^6)</f>
        <v>4.9933620917212027E-2</v>
      </c>
      <c r="S40" s="91">
        <f>$F40/$F$27+$G40/$F$28+$H40/$F$29+$I40/$F$30</f>
        <v>8.1967213114754092</v>
      </c>
      <c r="T40" s="97">
        <f t="shared" si="3"/>
        <v>6.3573875711648393E-9</v>
      </c>
      <c r="U40" s="91">
        <f>($C$7*$C$15*$F$8*($F$9+$F$10*$F$11)/$D40^2*T40*10^6)</f>
        <v>1.5257730170795616E-4</v>
      </c>
      <c r="V40" s="91">
        <f>$F40/$G$27+$G40/$G$28+$H40/$G$29+$I40/$G$30</f>
        <v>7.0224719101123592</v>
      </c>
      <c r="W40" s="97">
        <f t="shared" si="4"/>
        <v>9.4957241494880226E-8</v>
      </c>
      <c r="X40" s="76">
        <f>($C$7*$C$15*$G$8*($G$9+$G$10*$G$11)/$D40^2*W40*10^6)</f>
        <v>2.278973795877126E-3</v>
      </c>
      <c r="Y40" s="655">
        <f t="shared" si="5"/>
        <v>5.9757939131184837E-2</v>
      </c>
      <c r="Z40" s="333">
        <f>SUM(Y38:Y41)</f>
        <v>0.52249470541710541</v>
      </c>
      <c r="AA40" s="334">
        <f>Z40*52/10^3</f>
        <v>2.7169724681689482E-2</v>
      </c>
      <c r="AG40" s="328"/>
      <c r="AH40" s="328"/>
      <c r="AI40" s="328"/>
      <c r="AJ40" s="328"/>
      <c r="AK40" s="328"/>
      <c r="AL40" s="328"/>
      <c r="AP40" s="222"/>
      <c r="AQ40" s="211"/>
      <c r="AR40" s="222"/>
      <c r="AS40" s="222"/>
      <c r="AT40" s="225"/>
      <c r="AU40" s="225"/>
      <c r="AV40" s="225"/>
      <c r="AW40" s="225"/>
      <c r="AX40" s="225"/>
      <c r="AY40" s="300"/>
      <c r="AZ40" s="300"/>
    </row>
    <row r="41" spans="1:52" s="212" customFormat="1" ht="30" hidden="1" customHeight="1" thickBot="1" x14ac:dyDescent="0.3">
      <c r="A41" s="317"/>
      <c r="B41" s="317"/>
      <c r="C41" s="318"/>
      <c r="D41" s="1838"/>
      <c r="E41" s="1839"/>
      <c r="F41" s="1839"/>
      <c r="G41" s="1839"/>
      <c r="H41" s="1839"/>
      <c r="I41" s="1839"/>
      <c r="J41" s="91"/>
      <c r="K41" s="97"/>
      <c r="L41" s="91"/>
      <c r="M41" s="91"/>
      <c r="N41" s="97"/>
      <c r="O41" s="91"/>
      <c r="P41" s="91"/>
      <c r="Q41" s="97"/>
      <c r="R41" s="91"/>
      <c r="S41" s="91"/>
      <c r="T41" s="97"/>
      <c r="U41" s="91"/>
      <c r="V41" s="91"/>
      <c r="W41" s="97"/>
      <c r="X41" s="76"/>
      <c r="Y41" s="335"/>
      <c r="Z41" s="336"/>
      <c r="AA41" s="309"/>
      <c r="AG41" s="328"/>
      <c r="AH41" s="328"/>
      <c r="AI41" s="328"/>
      <c r="AJ41" s="328"/>
      <c r="AK41" s="328"/>
      <c r="AL41" s="328"/>
      <c r="AP41" s="222"/>
      <c r="AQ41" s="211"/>
      <c r="AR41" s="222"/>
      <c r="AS41" s="222"/>
      <c r="AT41" s="225"/>
      <c r="AU41" s="225"/>
      <c r="AV41" s="225"/>
      <c r="AW41" s="225"/>
      <c r="AX41" s="225"/>
      <c r="AY41" s="300"/>
      <c r="AZ41" s="300"/>
    </row>
    <row r="42" spans="1:52" s="212" customFormat="1" ht="30" customHeight="1" x14ac:dyDescent="0.25">
      <c r="A42" s="322"/>
      <c r="B42" s="322"/>
      <c r="C42" s="323" t="s">
        <v>569</v>
      </c>
      <c r="D42" s="1840">
        <v>6</v>
      </c>
      <c r="E42" s="1840">
        <v>1</v>
      </c>
      <c r="F42" s="1834">
        <v>250</v>
      </c>
      <c r="G42" s="1834">
        <v>0</v>
      </c>
      <c r="H42" s="1834">
        <v>0</v>
      </c>
      <c r="I42" s="1835">
        <v>0</v>
      </c>
      <c r="J42" s="91">
        <f>IF($F42=0,0,1+($F42-$C$21)/$C$22)+$G42/$C$23+$H42/$C$24+$I42/$C$25</f>
        <v>7.4545454545454541</v>
      </c>
      <c r="K42" s="97">
        <f t="shared" si="0"/>
        <v>3.5111917342151263E-8</v>
      </c>
      <c r="L42" s="91">
        <f>($C$7*$C$14*$C$8*$E42/$D42^2*K42*10^6)</f>
        <v>7.8026482982558355E-3</v>
      </c>
      <c r="M42" s="91">
        <f>IF($F42=0,0,1+($F42-$D$21)/$D$22)+$G42/$D$23+$H42/$D$24+$I42/$D$25</f>
        <v>6.6486486486486482</v>
      </c>
      <c r="N42" s="97">
        <f t="shared" si="1"/>
        <v>2.2456979955397711E-7</v>
      </c>
      <c r="O42" s="91">
        <f>($C$7*$D$14*$D$8*$E42/$D42^2*N42*10^6)</f>
        <v>4.99043999008838E-2</v>
      </c>
      <c r="P42" s="91">
        <f>IF($F42=0,0,1+($F42-$E$21)/$E$22)+$G42/$E$23+$H42/$E$24+$I42/$E$25</f>
        <v>5.7674418604651159</v>
      </c>
      <c r="Q42" s="97">
        <f t="shared" si="2"/>
        <v>1.7082763938087111E-6</v>
      </c>
      <c r="R42" s="91">
        <f>($C$7*$E$14*$E$8*$E42/$D42^2*Q42*10^6)</f>
        <v>0.37961697640193576</v>
      </c>
      <c r="S42" s="91">
        <f>IF($F42=0,0,1+($F42-$F$21)/$F$22)+$G42/$F$23+$H42/$F$24+$I42/$F$25</f>
        <v>9.1481481481481488</v>
      </c>
      <c r="T42" s="97">
        <f t="shared" si="3"/>
        <v>7.1097094323124171E-10</v>
      </c>
      <c r="U42" s="91">
        <f>($C$7*$F$14*$F$8*$E42/$D42^2*T42*10^6)</f>
        <v>1.5799354294027593E-4</v>
      </c>
      <c r="V42" s="91">
        <f>IF($F42=0,0,1+($F42-$G$21)/$G$22)+$G42/$G$23+$H42/$G$24+$I42/$G$25</f>
        <v>6.9444444444444446</v>
      </c>
      <c r="W42" s="97">
        <f t="shared" si="4"/>
        <v>1.136463666385722E-7</v>
      </c>
      <c r="X42" s="76">
        <f>($C$7*$G$14*$G$8*$E42/$D42^2*W42*10^6)</f>
        <v>2.5254748141904933E-2</v>
      </c>
      <c r="Y42" s="324">
        <f t="shared" si="5"/>
        <v>0.46273676628592059</v>
      </c>
      <c r="Z42" s="325"/>
      <c r="AA42" s="326"/>
      <c r="AG42" s="328"/>
      <c r="AI42" s="328"/>
      <c r="AJ42" s="328"/>
      <c r="AK42" s="328"/>
      <c r="AL42" s="328"/>
      <c r="AP42" s="222"/>
      <c r="AQ42" s="211"/>
      <c r="AR42" s="222"/>
      <c r="AS42" s="222"/>
      <c r="AT42" s="225"/>
      <c r="AU42" s="225"/>
      <c r="AV42" s="225"/>
      <c r="AW42" s="225"/>
      <c r="AX42" s="225"/>
      <c r="AY42" s="300"/>
      <c r="AZ42" s="300"/>
    </row>
    <row r="43" spans="1:52" s="212" customFormat="1" ht="30" customHeight="1" thickBot="1" x14ac:dyDescent="0.3">
      <c r="A43" s="337" t="str">
        <f>Samenvatting!A25</f>
        <v>B2</v>
      </c>
      <c r="B43" s="338" t="str">
        <f>Samenvatting!B25</f>
        <v>bedieningsruimte Linac 2</v>
      </c>
      <c r="C43" s="331" t="s">
        <v>568</v>
      </c>
      <c r="D43" s="1836">
        <v>5</v>
      </c>
      <c r="E43" s="89"/>
      <c r="F43" s="1834">
        <v>250</v>
      </c>
      <c r="G43" s="1834">
        <v>0</v>
      </c>
      <c r="H43" s="1834">
        <v>0</v>
      </c>
      <c r="I43" s="1835">
        <v>0</v>
      </c>
      <c r="J43" s="91">
        <f>$F43/$C$27+$G43/$C$28+$H43/$C$29+$I43/$C$30</f>
        <v>7.3529411764705879</v>
      </c>
      <c r="K43" s="97">
        <f t="shared" si="0"/>
        <v>4.4366873309786093E-8</v>
      </c>
      <c r="L43" s="91">
        <f>($C$7*$C$15*$C$8*($C$9+$C$10*$C$11)/$D43^2*K43*10^6)</f>
        <v>1.0648049594348663E-3</v>
      </c>
      <c r="M43" s="91">
        <f>$F43/$D$27+$G43/$D$28+$H43/$D$29+$I43/$D$30</f>
        <v>6.5789473684210522</v>
      </c>
      <c r="N43" s="97">
        <f t="shared" si="1"/>
        <v>2.636650898730358E-7</v>
      </c>
      <c r="O43" s="91">
        <f>($C$7*$C$15*$D$8*($D$9+$D$10*$D$11)/$D43^2*N43*10^6)</f>
        <v>6.3279621569528599E-3</v>
      </c>
      <c r="P43" s="91">
        <f>$F43/$E$27+$G43/$E$28+$H43/$E$29+$I43/$E$30</f>
        <v>5.6818181818181817</v>
      </c>
      <c r="Q43" s="97">
        <f t="shared" si="2"/>
        <v>2.0805675382171676E-6</v>
      </c>
      <c r="R43" s="91">
        <f>($C$7*$C$15*$E$8*($E$9+$E$10*$E$11)/$D43^2*Q43*10^6)</f>
        <v>4.9933620917212027E-2</v>
      </c>
      <c r="S43" s="91">
        <f>$F43/$F$27+$G43/$F$28+$H43/$F$29+$I43/$F$30</f>
        <v>8.1967213114754092</v>
      </c>
      <c r="T43" s="97">
        <f t="shared" si="3"/>
        <v>6.3573875711648393E-9</v>
      </c>
      <c r="U43" s="91">
        <f>($C$7*$C$15*$F$8*($F$9+$F$10*$F$11)/$D43^2*T43*10^6)</f>
        <v>1.5257730170795616E-4</v>
      </c>
      <c r="V43" s="91">
        <f>$F43/$G$27+$G43/$G$28+$H43/$G$29+$I43/$G$30</f>
        <v>7.0224719101123592</v>
      </c>
      <c r="W43" s="97">
        <f t="shared" si="4"/>
        <v>9.4957241494880226E-8</v>
      </c>
      <c r="X43" s="76">
        <f>($C$7*$C$15*$G$8*($G$9+$G$10*$G$11)/$D43^2*W43*10^6)</f>
        <v>2.278973795877126E-3</v>
      </c>
      <c r="Y43" s="339">
        <f t="shared" si="5"/>
        <v>5.9757939131184837E-2</v>
      </c>
      <c r="Z43" s="333">
        <f>SUM(Y41:Y44)</f>
        <v>0.52249470541710541</v>
      </c>
      <c r="AA43" s="334">
        <f>Z43*52/10^3</f>
        <v>2.7169724681689482E-2</v>
      </c>
      <c r="AG43" s="328"/>
      <c r="AH43" s="328"/>
      <c r="AI43" s="328"/>
      <c r="AJ43" s="328"/>
      <c r="AK43" s="328"/>
      <c r="AL43" s="328"/>
      <c r="AP43" s="222"/>
      <c r="AQ43" s="211"/>
      <c r="AR43" s="222"/>
      <c r="AS43" s="222"/>
      <c r="AT43" s="225"/>
      <c r="AU43" s="225"/>
      <c r="AV43" s="225"/>
      <c r="AW43" s="225"/>
      <c r="AX43" s="225"/>
      <c r="AY43" s="300"/>
      <c r="AZ43" s="300"/>
    </row>
    <row r="44" spans="1:52" s="212" customFormat="1" ht="30" hidden="1" customHeight="1" thickBot="1" x14ac:dyDescent="0.3">
      <c r="A44" s="317"/>
      <c r="B44" s="317"/>
      <c r="C44" s="341"/>
      <c r="D44" s="1841"/>
      <c r="E44" s="1842"/>
      <c r="F44" s="1842"/>
      <c r="G44" s="1842"/>
      <c r="H44" s="1842"/>
      <c r="I44" s="1842"/>
      <c r="J44" s="91"/>
      <c r="K44" s="97"/>
      <c r="L44" s="91"/>
      <c r="M44" s="91"/>
      <c r="N44" s="97"/>
      <c r="O44" s="91"/>
      <c r="P44" s="91"/>
      <c r="Q44" s="97"/>
      <c r="R44" s="91"/>
      <c r="S44" s="91"/>
      <c r="T44" s="97"/>
      <c r="U44" s="91"/>
      <c r="V44" s="91"/>
      <c r="W44" s="97"/>
      <c r="X44" s="76"/>
      <c r="Y44" s="316"/>
      <c r="Z44" s="344"/>
      <c r="AA44" s="345"/>
      <c r="AG44" s="328"/>
      <c r="AH44" s="328"/>
      <c r="AI44" s="328"/>
      <c r="AJ44" s="328"/>
      <c r="AK44" s="328"/>
      <c r="AL44" s="328"/>
      <c r="AP44" s="222"/>
      <c r="AQ44" s="211"/>
      <c r="AR44" s="222"/>
      <c r="AS44" s="222"/>
      <c r="AT44" s="225"/>
      <c r="AU44" s="225"/>
      <c r="AV44" s="225"/>
      <c r="AW44" s="225"/>
      <c r="AX44" s="225"/>
      <c r="AY44" s="300"/>
      <c r="AZ44" s="300"/>
    </row>
    <row r="45" spans="1:52" s="212" customFormat="1" ht="30" customHeight="1" x14ac:dyDescent="0.25">
      <c r="A45" s="322"/>
      <c r="B45" s="322"/>
      <c r="C45" s="323" t="s">
        <v>569</v>
      </c>
      <c r="D45" s="1840">
        <v>6</v>
      </c>
      <c r="E45" s="1840">
        <v>1</v>
      </c>
      <c r="F45" s="1834">
        <v>250</v>
      </c>
      <c r="G45" s="1834">
        <v>0</v>
      </c>
      <c r="H45" s="1834">
        <v>0</v>
      </c>
      <c r="I45" s="1835">
        <v>0</v>
      </c>
      <c r="J45" s="91">
        <f>IF($F45=0,0,1+($F45-$C$21)/$C$22)+$G45/$C$23+$H45/$C$24+$I45/$C$25</f>
        <v>7.4545454545454541</v>
      </c>
      <c r="K45" s="97">
        <f t="shared" si="0"/>
        <v>3.5111917342151263E-8</v>
      </c>
      <c r="L45" s="91">
        <f>($C$7*$C$14*$C$8*$E45/$D45^2*K45*10^6)</f>
        <v>7.8026482982558355E-3</v>
      </c>
      <c r="M45" s="91">
        <f>IF($F45=0,0,1+($F45-$D$21)/$D$22)+$G45/$D$23+$H45/$D$24+$I45/$D$25</f>
        <v>6.6486486486486482</v>
      </c>
      <c r="N45" s="97">
        <f t="shared" si="1"/>
        <v>2.2456979955397711E-7</v>
      </c>
      <c r="O45" s="91">
        <f>($C$7*$E$14*$D$8*$E45/$D45^2*N45*10^6)</f>
        <v>4.99043999008838E-2</v>
      </c>
      <c r="P45" s="91">
        <f>IF($F45=0,0,1+($F45-$E$21)/$E$22)+$G45/$E$23+$H45/$E$24+$I45/$E$25</f>
        <v>5.7674418604651159</v>
      </c>
      <c r="Q45" s="97">
        <f t="shared" si="2"/>
        <v>1.7082763938087111E-6</v>
      </c>
      <c r="R45" s="91">
        <f>($C$7*$E$14*$E$8*$E45/$D45^2*Q45*10^6)</f>
        <v>0.37961697640193576</v>
      </c>
      <c r="S45" s="91">
        <f>IF($F45=0,0,1+($F45-$F$21)/$F$22)+$G45/$F$23+$H45/$F$24+$I45/$F$25</f>
        <v>9.1481481481481488</v>
      </c>
      <c r="T45" s="97">
        <f t="shared" si="3"/>
        <v>7.1097094323124171E-10</v>
      </c>
      <c r="U45" s="91">
        <f>($C$7*$F$14*$F$8*$E45/$D45^2*T45*10^6)</f>
        <v>1.5799354294027593E-4</v>
      </c>
      <c r="V45" s="91">
        <f>IF($F45=0,0,1+($F45-$G$21)/$G$22)+$G45/$G$23+$H45/$G$24+$I45/$G$25</f>
        <v>6.9444444444444446</v>
      </c>
      <c r="W45" s="97">
        <f t="shared" si="4"/>
        <v>1.136463666385722E-7</v>
      </c>
      <c r="X45" s="76">
        <f>($C$7*$G$14*$G$8*$E45/$D45^2*W45*10^6)</f>
        <v>2.5254748141904933E-2</v>
      </c>
      <c r="Y45" s="324">
        <f t="shared" si="5"/>
        <v>0.46273676628592059</v>
      </c>
      <c r="Z45" s="325"/>
      <c r="AA45" s="326"/>
      <c r="AG45" s="328"/>
      <c r="AI45" s="328"/>
      <c r="AJ45" s="328"/>
      <c r="AK45" s="328"/>
      <c r="AL45" s="328"/>
      <c r="AP45" s="222"/>
      <c r="AQ45" s="211"/>
      <c r="AR45" s="222"/>
      <c r="AS45" s="222"/>
      <c r="AT45" s="225"/>
      <c r="AU45" s="225"/>
      <c r="AV45" s="225"/>
      <c r="AW45" s="225"/>
      <c r="AX45" s="225"/>
      <c r="AY45" s="300"/>
      <c r="AZ45" s="300"/>
    </row>
    <row r="46" spans="1:52" s="212" customFormat="1" ht="30" customHeight="1" thickBot="1" x14ac:dyDescent="0.3">
      <c r="A46" s="343" t="str">
        <f>Samenvatting!A37</f>
        <v>B3</v>
      </c>
      <c r="B46" s="338" t="str">
        <f>Samenvatting!B37</f>
        <v>bedieningsruimte Linac 3</v>
      </c>
      <c r="C46" s="331" t="s">
        <v>568</v>
      </c>
      <c r="D46" s="1836">
        <v>5</v>
      </c>
      <c r="E46" s="89"/>
      <c r="F46" s="1834">
        <v>250</v>
      </c>
      <c r="G46" s="1834">
        <v>0</v>
      </c>
      <c r="H46" s="1834">
        <v>0</v>
      </c>
      <c r="I46" s="1835">
        <v>0</v>
      </c>
      <c r="J46" s="91">
        <f>$F46/$C$27+$G46/$C$28+$H46/$C$29+$I46/$C$30</f>
        <v>7.3529411764705879</v>
      </c>
      <c r="K46" s="97">
        <f t="shared" si="0"/>
        <v>4.4366873309786093E-8</v>
      </c>
      <c r="L46" s="91">
        <f>($C$7*$C$15*$C$8*($C$9+$C$10*$C$11)/$D46^2*K46*10^6)</f>
        <v>1.0648049594348663E-3</v>
      </c>
      <c r="M46" s="91">
        <f>$F46/$D$27+$G46/$D$28+$H46/$D$29+$I46/$D$30</f>
        <v>6.5789473684210522</v>
      </c>
      <c r="N46" s="97">
        <f t="shared" si="1"/>
        <v>2.636650898730358E-7</v>
      </c>
      <c r="O46" s="91">
        <f>($C$7*$C$15*$D$8*($D$9+$D$10*$D$11)/$D46^2*N46*10^6)</f>
        <v>6.3279621569528599E-3</v>
      </c>
      <c r="P46" s="91">
        <f>$F46/$E$27+$G46/$E$28+$H46/$E$29+$I46/$E$30</f>
        <v>5.6818181818181817</v>
      </c>
      <c r="Q46" s="97">
        <f t="shared" si="2"/>
        <v>2.0805675382171676E-6</v>
      </c>
      <c r="R46" s="91">
        <f>($C$7*$C$15*$E$8*($E$9+$E$10*$E$11)/$D46^2*Q46*10^6)</f>
        <v>4.9933620917212027E-2</v>
      </c>
      <c r="S46" s="91">
        <f>$F46/$F$27+$G46/$F$28+$H46/$F$29+$I46/$F$30</f>
        <v>8.1967213114754092</v>
      </c>
      <c r="T46" s="97">
        <f t="shared" si="3"/>
        <v>6.3573875711648393E-9</v>
      </c>
      <c r="U46" s="91">
        <f>($C$7*$C$15*$F$8*($F$9+$F$10*$F$11)/$D46^2*T46*10^6)</f>
        <v>1.5257730170795616E-4</v>
      </c>
      <c r="V46" s="91">
        <f>$F46/$G$27+$G46/$G$28+$H46/$G$29+$I46/$G$30</f>
        <v>7.0224719101123592</v>
      </c>
      <c r="W46" s="97">
        <f t="shared" si="4"/>
        <v>9.4957241494880226E-8</v>
      </c>
      <c r="X46" s="76">
        <f>($C$7*$C$15*$G$8*($G$9+$G$10*$G$11)/$D46^2*W46*10^6)</f>
        <v>2.278973795877126E-3</v>
      </c>
      <c r="Y46" s="339">
        <f t="shared" si="5"/>
        <v>5.9757939131184837E-2</v>
      </c>
      <c r="Z46" s="333">
        <f>SUM(Y44:Y47)</f>
        <v>0.52249470541710541</v>
      </c>
      <c r="AA46" s="334">
        <f>Z46*52/10^3</f>
        <v>2.7169724681689482E-2</v>
      </c>
      <c r="AG46" s="328"/>
      <c r="AH46" s="328"/>
      <c r="AI46" s="328"/>
      <c r="AJ46" s="328"/>
      <c r="AK46" s="328"/>
      <c r="AL46" s="328"/>
      <c r="AP46" s="222"/>
      <c r="AQ46" s="211"/>
      <c r="AR46" s="222"/>
      <c r="AS46" s="222"/>
      <c r="AT46" s="225"/>
      <c r="AU46" s="225"/>
      <c r="AV46" s="225"/>
      <c r="AW46" s="225"/>
      <c r="AX46" s="225"/>
      <c r="AY46" s="300"/>
      <c r="AZ46" s="300"/>
    </row>
    <row r="47" spans="1:52" s="212" customFormat="1" ht="30" hidden="1" customHeight="1" thickBot="1" x14ac:dyDescent="0.3">
      <c r="A47" s="317"/>
      <c r="B47" s="317"/>
      <c r="C47" s="318"/>
      <c r="D47" s="1838"/>
      <c r="E47" s="1839"/>
      <c r="F47" s="1839"/>
      <c r="G47" s="1839"/>
      <c r="H47" s="1839"/>
      <c r="I47" s="1839"/>
      <c r="J47" s="91"/>
      <c r="K47" s="97"/>
      <c r="L47" s="91"/>
      <c r="M47" s="91"/>
      <c r="N47" s="97"/>
      <c r="O47" s="91"/>
      <c r="P47" s="91"/>
      <c r="Q47" s="97"/>
      <c r="R47" s="91"/>
      <c r="S47" s="91"/>
      <c r="T47" s="97"/>
      <c r="U47" s="91"/>
      <c r="V47" s="91"/>
      <c r="W47" s="97"/>
      <c r="X47" s="76"/>
      <c r="Y47" s="335"/>
      <c r="Z47" s="344"/>
      <c r="AA47" s="345"/>
      <c r="AG47" s="328"/>
      <c r="AH47" s="328"/>
      <c r="AI47" s="328"/>
      <c r="AJ47" s="328"/>
      <c r="AK47" s="328"/>
      <c r="AL47" s="328"/>
      <c r="AP47" s="222"/>
      <c r="AQ47" s="211"/>
      <c r="AR47" s="222"/>
      <c r="AS47" s="222"/>
      <c r="AT47" s="225"/>
      <c r="AU47" s="225"/>
      <c r="AV47" s="225"/>
      <c r="AW47" s="225"/>
      <c r="AX47" s="225"/>
      <c r="AY47" s="300"/>
      <c r="AZ47" s="300"/>
    </row>
    <row r="48" spans="1:52" s="212" customFormat="1" ht="30" customHeight="1" x14ac:dyDescent="0.25">
      <c r="A48" s="322"/>
      <c r="B48" s="322"/>
      <c r="C48" s="323" t="s">
        <v>569</v>
      </c>
      <c r="D48" s="1840">
        <v>6</v>
      </c>
      <c r="E48" s="1840">
        <v>1</v>
      </c>
      <c r="F48" s="1834">
        <v>250</v>
      </c>
      <c r="G48" s="1834">
        <v>0</v>
      </c>
      <c r="H48" s="1834">
        <v>0</v>
      </c>
      <c r="I48" s="1835">
        <v>0</v>
      </c>
      <c r="J48" s="91">
        <f>IF($F48=0,0,1+($F48-$C$21)/$C$22)+$G48/$C$23+$H48/$C$24+$I48/$C$25</f>
        <v>7.4545454545454541</v>
      </c>
      <c r="K48" s="97">
        <f t="shared" si="0"/>
        <v>3.5111917342151263E-8</v>
      </c>
      <c r="L48" s="91">
        <f>($C$7*$C$14*$C$8*$E48/$D48^2*K48*10^6)</f>
        <v>7.8026482982558355E-3</v>
      </c>
      <c r="M48" s="91">
        <f>IF($F48=0,0,1+($F48-$D$21)/$D$22)+$G48/$D$23+$H48/$D$24+$I48/$D$25</f>
        <v>6.6486486486486482</v>
      </c>
      <c r="N48" s="97">
        <f t="shared" si="1"/>
        <v>2.2456979955397711E-7</v>
      </c>
      <c r="O48" s="91">
        <f>($C$7*$D$14*$D$8*$E48/$D48^2*N48*10^6)</f>
        <v>4.99043999008838E-2</v>
      </c>
      <c r="P48" s="91">
        <f>IF($F48=0,0,1+($F48-$E$21)/$E$22)+$G48/$E$23+$H48/$E$24+$I48/$E$25</f>
        <v>5.7674418604651159</v>
      </c>
      <c r="Q48" s="97">
        <f t="shared" si="2"/>
        <v>1.7082763938087111E-6</v>
      </c>
      <c r="R48" s="91">
        <f>($C$7*$E$14*$E$8*$E48/$D48^2*Q48*10^6)</f>
        <v>0.37961697640193576</v>
      </c>
      <c r="S48" s="91">
        <f>IF($F48=0,0,1+($F48-$F$21)/$F$22)+$G48/$F$23+$H48/$F$24+$I48/$F$25</f>
        <v>9.1481481481481488</v>
      </c>
      <c r="T48" s="97">
        <f t="shared" si="3"/>
        <v>7.1097094323124171E-10</v>
      </c>
      <c r="U48" s="91">
        <f>($C$7*$F$14*$F$8*$E48/$D48^2*T48*10^6)</f>
        <v>1.5799354294027593E-4</v>
      </c>
      <c r="V48" s="91">
        <f>IF($F48=0,0,1+($F48-$G$21)/$G$22)+$G48/$G$23+$H48/$G$24+$I48/$G$25</f>
        <v>6.9444444444444446</v>
      </c>
      <c r="W48" s="97">
        <f t="shared" si="4"/>
        <v>1.136463666385722E-7</v>
      </c>
      <c r="X48" s="76">
        <f>($C$7*$G$14*$G$8*$E48/$D48^2*W48*10^6)</f>
        <v>2.5254748141904933E-2</v>
      </c>
      <c r="Y48" s="324">
        <f t="shared" si="5"/>
        <v>0.46273676628592059</v>
      </c>
      <c r="Z48" s="325"/>
      <c r="AA48" s="326"/>
      <c r="AG48" s="328"/>
      <c r="AI48" s="328"/>
      <c r="AJ48" s="328"/>
      <c r="AK48" s="328"/>
      <c r="AL48" s="328"/>
      <c r="AP48" s="222"/>
      <c r="AQ48" s="211"/>
      <c r="AR48" s="222"/>
      <c r="AS48" s="222"/>
      <c r="AT48" s="225"/>
      <c r="AU48" s="225"/>
      <c r="AV48" s="225"/>
      <c r="AW48" s="225"/>
      <c r="AX48" s="225"/>
      <c r="AY48" s="300"/>
      <c r="AZ48" s="300"/>
    </row>
    <row r="49" spans="1:52" s="212" customFormat="1" ht="30" customHeight="1" thickBot="1" x14ac:dyDescent="0.3">
      <c r="A49" s="343" t="str">
        <f>Samenvatting!A49</f>
        <v>B4</v>
      </c>
      <c r="B49" s="338" t="str">
        <f>Samenvatting!B49</f>
        <v>bedieningsruimte Linac 4</v>
      </c>
      <c r="C49" s="331" t="s">
        <v>568</v>
      </c>
      <c r="D49" s="1836">
        <v>5</v>
      </c>
      <c r="E49" s="89"/>
      <c r="F49" s="1834">
        <v>250</v>
      </c>
      <c r="G49" s="1834">
        <v>0</v>
      </c>
      <c r="H49" s="1834">
        <v>0</v>
      </c>
      <c r="I49" s="1835">
        <v>0</v>
      </c>
      <c r="J49" s="91">
        <f>$F49/$C$27+$G49/$C$28+$H49/$C$29+$I49/$C$30</f>
        <v>7.3529411764705879</v>
      </c>
      <c r="K49" s="97">
        <f t="shared" si="0"/>
        <v>4.4366873309786093E-8</v>
      </c>
      <c r="L49" s="91">
        <f>($C$7*$C$15*$C$8*($C$9+$C$10*$C$11)/$D49^2*K49*10^6)</f>
        <v>1.0648049594348663E-3</v>
      </c>
      <c r="M49" s="91">
        <f>$F49/$D$27+$G49/$D$28+$H49/$D$29+$I49/$D$30</f>
        <v>6.5789473684210522</v>
      </c>
      <c r="N49" s="97">
        <f t="shared" si="1"/>
        <v>2.636650898730358E-7</v>
      </c>
      <c r="O49" s="91">
        <f>($C$7*$C$15*$D$8*($D$9+$D$10*$D$11)/$D49^2*N49*10^6)</f>
        <v>6.3279621569528599E-3</v>
      </c>
      <c r="P49" s="91">
        <f>$F49/$E$27+$G49/$E$28+$H49/$E$29+$I49/$E$30</f>
        <v>5.6818181818181817</v>
      </c>
      <c r="Q49" s="97">
        <f t="shared" si="2"/>
        <v>2.0805675382171676E-6</v>
      </c>
      <c r="R49" s="91">
        <f>($C$7*$C$15*$E$8*($E$9+$E$10*$E$11)/$D49^2*Q49*10^6)</f>
        <v>4.9933620917212027E-2</v>
      </c>
      <c r="S49" s="91">
        <f>$F49/$F$27+$G49/$F$28+$H49/$F$29+$I49/$F$30</f>
        <v>8.1967213114754092</v>
      </c>
      <c r="T49" s="97">
        <f t="shared" si="3"/>
        <v>6.3573875711648393E-9</v>
      </c>
      <c r="U49" s="91">
        <f>($C$7*$C$15*$F$8*($F$9+$F$10*$F$11)/$D49^2*T49*10^6)</f>
        <v>1.5257730170795616E-4</v>
      </c>
      <c r="V49" s="91">
        <f>$F49/$G$27+$G49/$G$28+$H49/$G$29+$I49/$G$30</f>
        <v>7.0224719101123592</v>
      </c>
      <c r="W49" s="97">
        <f t="shared" si="4"/>
        <v>9.4957241494880226E-8</v>
      </c>
      <c r="X49" s="76">
        <f>($C$7*$C$15*$G$8*($G$9+$G$10*$G$11)/$D49^2*W49*10^6)</f>
        <v>2.278973795877126E-3</v>
      </c>
      <c r="Y49" s="339">
        <f t="shared" si="5"/>
        <v>5.9757939131184837E-2</v>
      </c>
      <c r="Z49" s="333">
        <f>SUM(Y47:Y50)</f>
        <v>0.52249470541710541</v>
      </c>
      <c r="AA49" s="334">
        <f>Z49*52/10^3</f>
        <v>2.7169724681689482E-2</v>
      </c>
      <c r="AG49" s="328"/>
      <c r="AH49" s="328"/>
      <c r="AI49" s="328"/>
      <c r="AJ49" s="328"/>
      <c r="AK49" s="328"/>
      <c r="AL49" s="328"/>
      <c r="AP49" s="222"/>
      <c r="AQ49" s="211"/>
      <c r="AR49" s="222"/>
      <c r="AS49" s="222"/>
      <c r="AT49" s="225"/>
      <c r="AU49" s="225"/>
      <c r="AV49" s="225"/>
      <c r="AW49" s="225"/>
      <c r="AX49" s="225"/>
      <c r="AY49" s="300"/>
      <c r="AZ49" s="300"/>
    </row>
    <row r="50" spans="1:52" s="212" customFormat="1" ht="30" hidden="1" customHeight="1" thickBot="1" x14ac:dyDescent="0.3">
      <c r="A50" s="317"/>
      <c r="B50" s="317"/>
      <c r="C50" s="318"/>
      <c r="D50" s="1838"/>
      <c r="E50" s="1839"/>
      <c r="F50" s="1839"/>
      <c r="G50" s="1839"/>
      <c r="H50" s="1839"/>
      <c r="I50" s="1839"/>
      <c r="J50" s="91"/>
      <c r="K50" s="97"/>
      <c r="L50" s="91"/>
      <c r="M50" s="91"/>
      <c r="N50" s="97"/>
      <c r="O50" s="91"/>
      <c r="P50" s="91"/>
      <c r="Q50" s="97"/>
      <c r="R50" s="91"/>
      <c r="S50" s="91"/>
      <c r="T50" s="97"/>
      <c r="U50" s="91"/>
      <c r="V50" s="91"/>
      <c r="W50" s="97"/>
      <c r="X50" s="76"/>
      <c r="Y50" s="316"/>
      <c r="Z50" s="344"/>
      <c r="AA50" s="345"/>
      <c r="AG50" s="328"/>
      <c r="AH50" s="328"/>
      <c r="AI50" s="328"/>
      <c r="AJ50" s="328"/>
      <c r="AK50" s="328"/>
      <c r="AL50" s="328"/>
      <c r="AP50" s="222"/>
      <c r="AQ50" s="211"/>
      <c r="AR50" s="222"/>
      <c r="AS50" s="222"/>
      <c r="AT50" s="225"/>
      <c r="AU50" s="225"/>
      <c r="AV50" s="225"/>
      <c r="AW50" s="225"/>
      <c r="AX50" s="225"/>
      <c r="AY50" s="300"/>
      <c r="AZ50" s="300"/>
    </row>
    <row r="51" spans="1:52" s="212" customFormat="1" ht="30" customHeight="1" x14ac:dyDescent="0.25">
      <c r="A51" s="322"/>
      <c r="B51" s="322"/>
      <c r="C51" s="323" t="s">
        <v>569</v>
      </c>
      <c r="D51" s="1840">
        <v>6</v>
      </c>
      <c r="E51" s="1840">
        <v>1</v>
      </c>
      <c r="F51" s="1834">
        <v>250</v>
      </c>
      <c r="G51" s="1834">
        <v>0</v>
      </c>
      <c r="H51" s="1834">
        <v>0</v>
      </c>
      <c r="I51" s="1835">
        <v>0</v>
      </c>
      <c r="J51" s="91">
        <f>IF($F51=0,0,1+($F51-$C$21)/$C$22)+$G51/$C$23+$H51/$C$24+$I51/$C$25</f>
        <v>7.4545454545454541</v>
      </c>
      <c r="K51" s="97">
        <f t="shared" si="0"/>
        <v>3.5111917342151263E-8</v>
      </c>
      <c r="L51" s="91">
        <f>($C$7*$C$14*$C$8*$E51/$D51^2*K51*10^6)</f>
        <v>7.8026482982558355E-3</v>
      </c>
      <c r="M51" s="91">
        <f>IF($F51=0,0,1+($F51-$D$21)/$D$22)+$G51/$D$23+$H51/$D$24+$I51/$D$25</f>
        <v>6.6486486486486482</v>
      </c>
      <c r="N51" s="97">
        <f t="shared" si="1"/>
        <v>2.2456979955397711E-7</v>
      </c>
      <c r="O51" s="91">
        <f>($C$7*$D$14*$D$8*$E51/$D51^2*N51*10^6)</f>
        <v>4.99043999008838E-2</v>
      </c>
      <c r="P51" s="91">
        <f>IF($F51=0,0,1+($F51-$E$21)/$E$22)+$G51/$E$23+$H51/$E$24+$I51/$E$25</f>
        <v>5.7674418604651159</v>
      </c>
      <c r="Q51" s="97">
        <f t="shared" si="2"/>
        <v>1.7082763938087111E-6</v>
      </c>
      <c r="R51" s="91">
        <f>($C$7*$E$14*$E$8*$E51/$D51^2*Q51*10^6)</f>
        <v>0.37961697640193576</v>
      </c>
      <c r="S51" s="91">
        <f>IF($F51=0,0,1+($F51-$F$21)/$F$22)+$G51/$F$23+$H51/$F$24+$I51/$F$25</f>
        <v>9.1481481481481488</v>
      </c>
      <c r="T51" s="97">
        <f t="shared" si="3"/>
        <v>7.1097094323124171E-10</v>
      </c>
      <c r="U51" s="91">
        <f>($C$7*$F$14*$F$8*$E51/$D51^2*T51*10^6)</f>
        <v>1.5799354294027593E-4</v>
      </c>
      <c r="V51" s="91">
        <f>IF($F51=0,0,1+($F51-$G$21)/$G$22)+$G51/$G$23+$H51/$G$24+$I51/$G$25</f>
        <v>6.9444444444444446</v>
      </c>
      <c r="W51" s="97">
        <f t="shared" si="4"/>
        <v>1.136463666385722E-7</v>
      </c>
      <c r="X51" s="76">
        <f>($C$7*$G$14*$G$8*$E51/$D51^2*W51*10^6)</f>
        <v>2.5254748141904933E-2</v>
      </c>
      <c r="Y51" s="324">
        <f>SUM(L51,O51,R51,U51,X51)</f>
        <v>0.46273676628592059</v>
      </c>
      <c r="Z51" s="325"/>
      <c r="AA51" s="326"/>
      <c r="AG51" s="328"/>
      <c r="AI51" s="328"/>
      <c r="AJ51" s="328"/>
      <c r="AK51" s="328"/>
      <c r="AL51" s="328"/>
      <c r="AP51" s="222"/>
      <c r="AQ51" s="211"/>
      <c r="AR51" s="222"/>
      <c r="AS51" s="222"/>
      <c r="AT51" s="225"/>
      <c r="AU51" s="225"/>
      <c r="AV51" s="225"/>
      <c r="AW51" s="225"/>
      <c r="AX51" s="225"/>
      <c r="AY51" s="300"/>
      <c r="AZ51" s="300"/>
    </row>
    <row r="52" spans="1:52" s="212" customFormat="1" ht="30" customHeight="1" thickBot="1" x14ac:dyDescent="0.3">
      <c r="A52" s="343" t="str">
        <f>Samenvatting!A61</f>
        <v>B5</v>
      </c>
      <c r="B52" s="346" t="str">
        <f>Samenvatting!B61</f>
        <v>bedieningsruimte Linac 5</v>
      </c>
      <c r="C52" s="331" t="s">
        <v>568</v>
      </c>
      <c r="D52" s="1843">
        <v>5</v>
      </c>
      <c r="E52" s="347"/>
      <c r="F52" s="1834">
        <v>250</v>
      </c>
      <c r="G52" s="1834">
        <v>0</v>
      </c>
      <c r="H52" s="1834">
        <v>0</v>
      </c>
      <c r="I52" s="1835">
        <v>0</v>
      </c>
      <c r="J52" s="91">
        <f>$F52/$C$27+$G52/$C$28+$H52/$C$29+$I52/$C$30</f>
        <v>7.3529411764705879</v>
      </c>
      <c r="K52" s="97">
        <f t="shared" si="0"/>
        <v>4.4366873309786093E-8</v>
      </c>
      <c r="L52" s="91">
        <f>($C$7*$C$15*$C$8*($C$9+$C$10*$C$11)/$D52^2*K52*10^6)</f>
        <v>1.0648049594348663E-3</v>
      </c>
      <c r="M52" s="91">
        <f>$F52/$D$27+$G52/$D$28+$H52/$D$29+$I52/$D$30</f>
        <v>6.5789473684210522</v>
      </c>
      <c r="N52" s="97">
        <f t="shared" si="1"/>
        <v>2.636650898730358E-7</v>
      </c>
      <c r="O52" s="91">
        <f>($C$7*$C$15*$D$8*($D$9+$D$10*$D$11)/$D52^2*N52*10^6)</f>
        <v>6.3279621569528599E-3</v>
      </c>
      <c r="P52" s="91">
        <f>$F52/$E$27+$G52/$E$28+$H52/$E$29+$I52/$E$30</f>
        <v>5.6818181818181817</v>
      </c>
      <c r="Q52" s="97">
        <f t="shared" si="2"/>
        <v>2.0805675382171676E-6</v>
      </c>
      <c r="R52" s="91">
        <f>($C$7*$C$15*$E$8*($E$9+$E$10*$E$11)/$D52^2*Q52*10^6)</f>
        <v>4.9933620917212027E-2</v>
      </c>
      <c r="S52" s="91">
        <f>$F52/$F$27+$G52/$F$28+$H52/$F$29+$I52/$F$30</f>
        <v>8.1967213114754092</v>
      </c>
      <c r="T52" s="97">
        <f t="shared" si="3"/>
        <v>6.3573875711648393E-9</v>
      </c>
      <c r="U52" s="91">
        <f>($C$7*$C$15*$F$8*($F$9+$F$10*$F$11)/$D52^2*T52*10^6)</f>
        <v>1.5257730170795616E-4</v>
      </c>
      <c r="V52" s="91">
        <f>$F52/$G$27+$G52/$G$28+$H52/$G$29+$I52/$G$30</f>
        <v>7.0224719101123592</v>
      </c>
      <c r="W52" s="97">
        <f t="shared" si="4"/>
        <v>9.4957241494880226E-8</v>
      </c>
      <c r="X52" s="76">
        <f>($C$7*$C$15*$G$8*($G$9+$G$10*$G$11)/$D52^2*W52*10^6)</f>
        <v>2.278973795877126E-3</v>
      </c>
      <c r="Y52" s="339">
        <f>SUM(L52,O52,R52,U52,X52)</f>
        <v>5.9757939131184837E-2</v>
      </c>
      <c r="Z52" s="333">
        <f>SUM(Y50:Y53)</f>
        <v>0.52249470541710541</v>
      </c>
      <c r="AA52" s="334">
        <f>Z52*52/10^3</f>
        <v>2.7169724681689482E-2</v>
      </c>
      <c r="AG52" s="328"/>
      <c r="AH52" s="328"/>
      <c r="AI52" s="328"/>
      <c r="AJ52" s="328"/>
      <c r="AK52" s="328"/>
      <c r="AL52" s="328"/>
      <c r="AP52" s="222"/>
      <c r="AQ52" s="211"/>
      <c r="AR52" s="222"/>
      <c r="AS52" s="222"/>
      <c r="AT52" s="225"/>
      <c r="AU52" s="225"/>
      <c r="AV52" s="225"/>
      <c r="AW52" s="225"/>
      <c r="AX52" s="225"/>
      <c r="AY52" s="300"/>
      <c r="AZ52" s="300"/>
    </row>
    <row r="53" spans="1:52" s="212" customFormat="1" ht="30" hidden="1" customHeight="1" thickBot="1" x14ac:dyDescent="0.3">
      <c r="A53" s="317"/>
      <c r="B53" s="317"/>
      <c r="C53" s="318"/>
      <c r="D53" s="1838"/>
      <c r="E53" s="1839"/>
      <c r="F53" s="1839"/>
      <c r="G53" s="1839"/>
      <c r="H53" s="1839"/>
      <c r="I53" s="1839"/>
      <c r="J53" s="91"/>
      <c r="K53" s="97"/>
      <c r="L53" s="91"/>
      <c r="M53" s="91"/>
      <c r="N53" s="97"/>
      <c r="O53" s="91"/>
      <c r="P53" s="91"/>
      <c r="Q53" s="97"/>
      <c r="R53" s="91"/>
      <c r="S53" s="91"/>
      <c r="T53" s="97"/>
      <c r="U53" s="91"/>
      <c r="V53" s="91"/>
      <c r="W53" s="97"/>
      <c r="X53" s="76"/>
      <c r="Y53" s="316"/>
      <c r="Z53" s="344"/>
      <c r="AA53" s="345"/>
      <c r="AG53" s="328"/>
      <c r="AH53" s="328"/>
      <c r="AI53" s="328"/>
      <c r="AJ53" s="328"/>
      <c r="AK53" s="328"/>
      <c r="AL53" s="328"/>
      <c r="AP53" s="222"/>
      <c r="AQ53" s="211"/>
      <c r="AR53" s="222"/>
      <c r="AS53" s="222"/>
      <c r="AT53" s="225"/>
      <c r="AU53" s="225"/>
      <c r="AV53" s="225"/>
      <c r="AW53" s="225"/>
      <c r="AX53" s="225"/>
      <c r="AY53" s="300"/>
      <c r="AZ53" s="300"/>
    </row>
    <row r="54" spans="1:52" s="212" customFormat="1" ht="30" customHeight="1" x14ac:dyDescent="0.25">
      <c r="A54" s="322"/>
      <c r="B54" s="322"/>
      <c r="C54" s="323" t="s">
        <v>569</v>
      </c>
      <c r="D54" s="1840">
        <v>6</v>
      </c>
      <c r="E54" s="1840">
        <v>1</v>
      </c>
      <c r="F54" s="1834">
        <v>250</v>
      </c>
      <c r="G54" s="1834">
        <v>0</v>
      </c>
      <c r="H54" s="1834">
        <v>0</v>
      </c>
      <c r="I54" s="1835">
        <v>0</v>
      </c>
      <c r="J54" s="91">
        <f>IF($F54=0,0,1+($F54-$C$21)/$C$22)+$G54/$C$23+$H54/$C$24+$I54/$C$25</f>
        <v>7.4545454545454541</v>
      </c>
      <c r="K54" s="97">
        <f t="shared" si="0"/>
        <v>3.5111917342151263E-8</v>
      </c>
      <c r="L54" s="91">
        <f>($C$7*$C$14*$C$8*$E54/$D54^2*K54*10^6)</f>
        <v>7.8026482982558355E-3</v>
      </c>
      <c r="M54" s="91">
        <f>IF($F54=0,0,1+($F54-$D$21)/$D$22)+$G54/$D$23+$H54/$D$24+$I54/$D$25</f>
        <v>6.6486486486486482</v>
      </c>
      <c r="N54" s="97">
        <f t="shared" si="1"/>
        <v>2.2456979955397711E-7</v>
      </c>
      <c r="O54" s="91">
        <f>($C$7*$D$14*$D$8*$E54/$D54^2*N54*10^6)</f>
        <v>4.99043999008838E-2</v>
      </c>
      <c r="P54" s="91">
        <f>IF($F54=0,0,1+($F54-$E$21)/$E$22)+$G54/$E$23+$H54/$E$24+$I54/$E$25</f>
        <v>5.7674418604651159</v>
      </c>
      <c r="Q54" s="97">
        <f t="shared" si="2"/>
        <v>1.7082763938087111E-6</v>
      </c>
      <c r="R54" s="91">
        <f>($C$7*$E$14*$E$8*$E54/$D54^2*Q54*10^6)</f>
        <v>0.37961697640193576</v>
      </c>
      <c r="S54" s="91">
        <f>IF($F54=0,0,1+($F54-$F$21)/$F$22)+$G54/$F$23+$H54/$F$24+$I54/$F$25</f>
        <v>9.1481481481481488</v>
      </c>
      <c r="T54" s="97">
        <f t="shared" si="3"/>
        <v>7.1097094323124171E-10</v>
      </c>
      <c r="U54" s="91">
        <f>($C$7*$F$14*$F$8*$E54/$D54^2*T54*10^6)</f>
        <v>1.5799354294027593E-4</v>
      </c>
      <c r="V54" s="91">
        <f>IF($F54=0,0,1+($F54-$G$21)/$G$22)+$G54/$G$23+$H54/$G$24+$I54/$G$25</f>
        <v>6.9444444444444446</v>
      </c>
      <c r="W54" s="97">
        <f t="shared" si="4"/>
        <v>1.136463666385722E-7</v>
      </c>
      <c r="X54" s="76">
        <f>($C$7*$G$14*$G$8*$E54/$D54^2*W54*10^6)</f>
        <v>2.5254748141904933E-2</v>
      </c>
      <c r="Y54" s="324">
        <f>SUM(L54,O54,R54,U54,X54)</f>
        <v>0.46273676628592059</v>
      </c>
      <c r="Z54" s="325"/>
      <c r="AA54" s="326"/>
      <c r="AG54" s="328"/>
      <c r="AI54" s="328"/>
      <c r="AJ54" s="328"/>
      <c r="AK54" s="328"/>
      <c r="AL54" s="328"/>
      <c r="AP54" s="222"/>
      <c r="AQ54" s="211"/>
      <c r="AR54" s="222"/>
      <c r="AS54" s="222"/>
      <c r="AT54" s="225"/>
      <c r="AU54" s="225"/>
      <c r="AV54" s="225"/>
      <c r="AW54" s="225"/>
      <c r="AX54" s="225"/>
      <c r="AY54" s="300"/>
      <c r="AZ54" s="300"/>
    </row>
    <row r="55" spans="1:52" s="212" customFormat="1" ht="30" customHeight="1" thickBot="1" x14ac:dyDescent="0.3">
      <c r="A55" s="343" t="str">
        <f>Samenvatting!A73</f>
        <v>B6</v>
      </c>
      <c r="B55" s="338" t="str">
        <f>Samenvatting!B73</f>
        <v>bedieningsruimte Linac 6</v>
      </c>
      <c r="C55" s="331" t="s">
        <v>568</v>
      </c>
      <c r="D55" s="1836">
        <v>5</v>
      </c>
      <c r="E55" s="89"/>
      <c r="F55" s="1834">
        <v>250</v>
      </c>
      <c r="G55" s="1834">
        <v>0</v>
      </c>
      <c r="H55" s="1834">
        <v>0</v>
      </c>
      <c r="I55" s="1835">
        <v>0</v>
      </c>
      <c r="J55" s="91">
        <f>$F55/$C$27+$G55/$C$28+$H55/$C$29+$I55/$C$30</f>
        <v>7.3529411764705879</v>
      </c>
      <c r="K55" s="97">
        <f t="shared" si="0"/>
        <v>4.4366873309786093E-8</v>
      </c>
      <c r="L55" s="91">
        <f>($C$7*$C$15*$C$8*($C$9+$C$10*$C$11)/$D55^2*K55*10^6)</f>
        <v>1.0648049594348663E-3</v>
      </c>
      <c r="M55" s="91">
        <f>$F55/$D$27+$G55/$D$28+$H55/$D$29+$I55/$D$30</f>
        <v>6.5789473684210522</v>
      </c>
      <c r="N55" s="97">
        <f t="shared" si="1"/>
        <v>2.636650898730358E-7</v>
      </c>
      <c r="O55" s="91">
        <f>($C$7*$C$15*$D$8*($D$9+$D$10*$D$11)/$D55^2*N55*10^6)</f>
        <v>6.3279621569528599E-3</v>
      </c>
      <c r="P55" s="91">
        <f>$F55/$E$27+$G55/$E$28+$H55/$E$29+$I55/$E$30</f>
        <v>5.6818181818181817</v>
      </c>
      <c r="Q55" s="97">
        <f t="shared" si="2"/>
        <v>2.0805675382171676E-6</v>
      </c>
      <c r="R55" s="91">
        <f>($C$7*$C$15*$E$8*($E$9+$E$10*$E$11)/$D55^2*Q55*10^6)</f>
        <v>4.9933620917212027E-2</v>
      </c>
      <c r="S55" s="91">
        <f>$F55/$F$27+$G55/$F$28+$H55/$F$29+$I55/$F$30</f>
        <v>8.1967213114754092</v>
      </c>
      <c r="T55" s="97">
        <f t="shared" si="3"/>
        <v>6.3573875711648393E-9</v>
      </c>
      <c r="U55" s="91">
        <f>($C$7*$C$15*$F$8*($F$9+$F$10*$F$11)/$D55^2*T55*10^6)</f>
        <v>1.5257730170795616E-4</v>
      </c>
      <c r="V55" s="91">
        <f>$F55/$G$27+$G55/$G$28+$H55/$G$29+$I55/$G$30</f>
        <v>7.0224719101123592</v>
      </c>
      <c r="W55" s="97">
        <f t="shared" si="4"/>
        <v>9.4957241494880226E-8</v>
      </c>
      <c r="X55" s="76">
        <f>($C$7*$C$15*$G$8*($G$9+$G$10*$G$11)/$D55^2*W55*10^6)</f>
        <v>2.278973795877126E-3</v>
      </c>
      <c r="Y55" s="339">
        <f>SUM(L55,O55,R55,U55,X55)</f>
        <v>5.9757939131184837E-2</v>
      </c>
      <c r="Z55" s="333">
        <f>SUM(Y53:Y56)</f>
        <v>0.52249470541710541</v>
      </c>
      <c r="AA55" s="334">
        <f>Z55*52/10^3</f>
        <v>2.7169724681689482E-2</v>
      </c>
      <c r="AG55" s="328"/>
      <c r="AH55" s="328"/>
      <c r="AI55" s="328"/>
      <c r="AJ55" s="328"/>
      <c r="AK55" s="328"/>
      <c r="AL55" s="328"/>
      <c r="AP55" s="222"/>
      <c r="AQ55" s="211"/>
      <c r="AR55" s="222"/>
      <c r="AS55" s="222"/>
      <c r="AT55" s="225"/>
      <c r="AU55" s="225"/>
      <c r="AV55" s="225"/>
      <c r="AW55" s="225"/>
      <c r="AX55" s="225"/>
      <c r="AY55" s="300"/>
      <c r="AZ55" s="300"/>
    </row>
    <row r="56" spans="1:52" s="212" customFormat="1" ht="30" hidden="1" customHeight="1" thickBot="1" x14ac:dyDescent="0.3">
      <c r="A56" s="317"/>
      <c r="B56" s="317"/>
      <c r="C56" s="318"/>
      <c r="D56" s="1838"/>
      <c r="E56" s="1839"/>
      <c r="F56" s="1839"/>
      <c r="G56" s="1839"/>
      <c r="H56" s="1839"/>
      <c r="I56" s="1839"/>
      <c r="J56" s="91"/>
      <c r="K56" s="97"/>
      <c r="L56" s="91"/>
      <c r="M56" s="91"/>
      <c r="N56" s="97"/>
      <c r="O56" s="91"/>
      <c r="P56" s="91"/>
      <c r="Q56" s="97"/>
      <c r="R56" s="91"/>
      <c r="S56" s="91"/>
      <c r="T56" s="97"/>
      <c r="U56" s="91"/>
      <c r="V56" s="91"/>
      <c r="W56" s="97"/>
      <c r="X56" s="76"/>
      <c r="Y56" s="316"/>
      <c r="Z56" s="344"/>
      <c r="AA56" s="345"/>
      <c r="AG56" s="328"/>
      <c r="AH56" s="328"/>
      <c r="AI56" s="328"/>
      <c r="AJ56" s="328"/>
      <c r="AK56" s="328"/>
      <c r="AL56" s="328"/>
      <c r="AP56" s="222"/>
      <c r="AQ56" s="211"/>
      <c r="AR56" s="222"/>
      <c r="AS56" s="222"/>
      <c r="AT56" s="225"/>
      <c r="AU56" s="225"/>
      <c r="AV56" s="225"/>
      <c r="AW56" s="225"/>
      <c r="AX56" s="225"/>
      <c r="AY56" s="300"/>
      <c r="AZ56" s="300"/>
    </row>
    <row r="57" spans="1:52" s="212" customFormat="1" ht="30" customHeight="1" x14ac:dyDescent="0.25">
      <c r="A57" s="322"/>
      <c r="B57" s="322"/>
      <c r="C57" s="323" t="s">
        <v>569</v>
      </c>
      <c r="D57" s="1840">
        <v>6</v>
      </c>
      <c r="E57" s="1840">
        <v>1</v>
      </c>
      <c r="F57" s="1834">
        <v>250</v>
      </c>
      <c r="G57" s="1834">
        <v>0</v>
      </c>
      <c r="H57" s="1834">
        <v>0</v>
      </c>
      <c r="I57" s="1835">
        <v>0</v>
      </c>
      <c r="J57" s="91">
        <f>IF($F57=0,0,1+($F57-$C$21)/$C$22)+$G57/$C$23+$H57/$C$24+$I57/$C$25</f>
        <v>7.4545454545454541</v>
      </c>
      <c r="K57" s="97">
        <f t="shared" si="0"/>
        <v>3.5111917342151263E-8</v>
      </c>
      <c r="L57" s="91">
        <f>($C$7*$C$14*$C$8*$E57/$D57^2*K57*10^6)</f>
        <v>7.8026482982558355E-3</v>
      </c>
      <c r="M57" s="91">
        <f>IF($F57=0,0,1+($F57-$D$21)/$D$22)+$G57/$D$23+$H57/$D$24+$I57/$D$25</f>
        <v>6.6486486486486482</v>
      </c>
      <c r="N57" s="97">
        <f t="shared" si="1"/>
        <v>2.2456979955397711E-7</v>
      </c>
      <c r="O57" s="91">
        <f>($C$7*$D$14*$D$8*$E57/$D57^2*N57*10^6)</f>
        <v>4.99043999008838E-2</v>
      </c>
      <c r="P57" s="91">
        <f>IF($F57=0,0,1+($F57-$E$21)/$E$22)+$G57/$E$23+$H57/$E$24+$I57/$E$25</f>
        <v>5.7674418604651159</v>
      </c>
      <c r="Q57" s="97">
        <f t="shared" si="2"/>
        <v>1.7082763938087111E-6</v>
      </c>
      <c r="R57" s="91">
        <f>($C$7*$E$14*$E$8*$E57/$D57^2*Q57*10^6)</f>
        <v>0.37961697640193576</v>
      </c>
      <c r="S57" s="91">
        <f>IF($F57=0,0,1+($F57-$F$21)/$F$22)+$G57/$F$23+$H57/$F$24+$I57/$F$25</f>
        <v>9.1481481481481488</v>
      </c>
      <c r="T57" s="97">
        <f t="shared" si="3"/>
        <v>7.1097094323124171E-10</v>
      </c>
      <c r="U57" s="91">
        <f>($C$7*$F$14*$F$8*$E57/$D57^2*T57*10^6)</f>
        <v>1.5799354294027593E-4</v>
      </c>
      <c r="V57" s="91">
        <f>IF($F57=0,0,1+($F57-$G$21)/$G$22)+$G57/$G$23+$H57/$G$24+$I57/$G$25</f>
        <v>6.9444444444444446</v>
      </c>
      <c r="W57" s="97">
        <f t="shared" si="4"/>
        <v>1.136463666385722E-7</v>
      </c>
      <c r="X57" s="76">
        <f>($C$7*$G$14*$G$8*$E57/$D57^2*W57*10^6)</f>
        <v>2.5254748141904933E-2</v>
      </c>
      <c r="Y57" s="324">
        <f>SUM(L57,O57,R57,U57,X57)</f>
        <v>0.46273676628592059</v>
      </c>
      <c r="Z57" s="325"/>
      <c r="AA57" s="326"/>
      <c r="AG57" s="328"/>
      <c r="AI57" s="328"/>
      <c r="AJ57" s="328"/>
      <c r="AK57" s="328"/>
      <c r="AL57" s="328"/>
      <c r="AP57" s="222"/>
      <c r="AQ57" s="211"/>
      <c r="AR57" s="222"/>
      <c r="AS57" s="222"/>
      <c r="AT57" s="225"/>
      <c r="AU57" s="225"/>
      <c r="AV57" s="225"/>
      <c r="AW57" s="225"/>
      <c r="AX57" s="225"/>
      <c r="AY57" s="300"/>
      <c r="AZ57" s="300"/>
    </row>
    <row r="58" spans="1:52" s="212" customFormat="1" ht="30" customHeight="1" thickBot="1" x14ac:dyDescent="0.3">
      <c r="A58" s="343" t="str">
        <f>Samenvatting!A85</f>
        <v>B7</v>
      </c>
      <c r="B58" s="338" t="str">
        <f>Samenvatting!B85</f>
        <v>bedieningsruimte Linac 7</v>
      </c>
      <c r="C58" s="331" t="s">
        <v>568</v>
      </c>
      <c r="D58" s="1836">
        <v>5</v>
      </c>
      <c r="E58" s="89"/>
      <c r="F58" s="1834">
        <v>250</v>
      </c>
      <c r="G58" s="1834">
        <v>0</v>
      </c>
      <c r="H58" s="1834">
        <v>0</v>
      </c>
      <c r="I58" s="1835">
        <v>0</v>
      </c>
      <c r="J58" s="91">
        <f>$F58/$C$27+$G58/$C$28+$H58/$C$29+$I58/$C$30</f>
        <v>7.3529411764705879</v>
      </c>
      <c r="K58" s="97">
        <f t="shared" si="0"/>
        <v>4.4366873309786093E-8</v>
      </c>
      <c r="L58" s="91">
        <f>($C$7*$C$15*$C$8*($C$9+$C$10*$C$11)/$D58^2*K58*10^6)</f>
        <v>1.0648049594348663E-3</v>
      </c>
      <c r="M58" s="91">
        <f>$F58/$D$27+$G58/$D$28+$H58/$D$29+$I58/$D$30</f>
        <v>6.5789473684210522</v>
      </c>
      <c r="N58" s="97">
        <f t="shared" si="1"/>
        <v>2.636650898730358E-7</v>
      </c>
      <c r="O58" s="91">
        <f>($C$7*$C$15*$D$8*($D$9+$D$10*$D$11)/$D58^2*N58*10^6)</f>
        <v>6.3279621569528599E-3</v>
      </c>
      <c r="P58" s="91">
        <f>$F58/$E$27+$G58/$E$28+$H58/$E$29+$I58/$E$30</f>
        <v>5.6818181818181817</v>
      </c>
      <c r="Q58" s="97">
        <f t="shared" si="2"/>
        <v>2.0805675382171676E-6</v>
      </c>
      <c r="R58" s="91">
        <f>($C$7*$C$15*$E$8*($E$9+$E$10*$E$11)/$D58^2*Q58*10^6)</f>
        <v>4.9933620917212027E-2</v>
      </c>
      <c r="S58" s="91">
        <f>$F58/$F$27+$G58/$F$28+$H58/$F$29+$I58/$F$30</f>
        <v>8.1967213114754092</v>
      </c>
      <c r="T58" s="97">
        <f t="shared" si="3"/>
        <v>6.3573875711648393E-9</v>
      </c>
      <c r="U58" s="91">
        <f>($C$7*$C$15*$F$8*($F$9+$F$10*$F$11)/$D58^2*T58*10^6)</f>
        <v>1.5257730170795616E-4</v>
      </c>
      <c r="V58" s="91">
        <f>$F58/$G$27+$G58/$G$28+$H58/$G$29+$I58/$G$30</f>
        <v>7.0224719101123592</v>
      </c>
      <c r="W58" s="97">
        <f t="shared" si="4"/>
        <v>9.4957241494880226E-8</v>
      </c>
      <c r="X58" s="76">
        <f>($C$7*$C$15*$G$8*($G$9+$G$10*$G$11)/$D58^2*W58*10^6)</f>
        <v>2.278973795877126E-3</v>
      </c>
      <c r="Y58" s="339">
        <f>SUM(L58,O58,R58,U58,X58)</f>
        <v>5.9757939131184837E-2</v>
      </c>
      <c r="Z58" s="333">
        <f>SUM(Y56:Y59)</f>
        <v>0.52249470541710541</v>
      </c>
      <c r="AA58" s="334">
        <f>Z58*52/10^3</f>
        <v>2.7169724681689482E-2</v>
      </c>
      <c r="AG58" s="328"/>
      <c r="AH58" s="328"/>
      <c r="AI58" s="328"/>
      <c r="AJ58" s="328"/>
      <c r="AK58" s="328"/>
      <c r="AL58" s="328"/>
      <c r="AP58" s="222"/>
      <c r="AQ58" s="211"/>
      <c r="AR58" s="222"/>
      <c r="AS58" s="222"/>
      <c r="AT58" s="225"/>
      <c r="AU58" s="225"/>
      <c r="AV58" s="225"/>
      <c r="AW58" s="225"/>
      <c r="AX58" s="225"/>
      <c r="AY58" s="300"/>
      <c r="AZ58" s="300"/>
    </row>
    <row r="59" spans="1:52" s="212" customFormat="1" ht="30" hidden="1" customHeight="1" thickBot="1" x14ac:dyDescent="0.3">
      <c r="A59" s="317"/>
      <c r="B59" s="317"/>
      <c r="C59" s="318"/>
      <c r="D59" s="1838"/>
      <c r="E59" s="1839"/>
      <c r="F59" s="1839"/>
      <c r="G59" s="1839"/>
      <c r="H59" s="1839"/>
      <c r="I59" s="1839"/>
      <c r="J59" s="91"/>
      <c r="K59" s="97"/>
      <c r="L59" s="91"/>
      <c r="M59" s="91"/>
      <c r="N59" s="97"/>
      <c r="O59" s="91"/>
      <c r="P59" s="91"/>
      <c r="Q59" s="97"/>
      <c r="R59" s="91"/>
      <c r="S59" s="91"/>
      <c r="T59" s="97"/>
      <c r="U59" s="91"/>
      <c r="V59" s="91"/>
      <c r="W59" s="97"/>
      <c r="X59" s="76"/>
      <c r="Y59" s="316"/>
      <c r="Z59" s="344"/>
      <c r="AA59" s="345"/>
      <c r="AG59" s="328"/>
      <c r="AH59" s="328"/>
      <c r="AI59" s="328"/>
      <c r="AJ59" s="328"/>
      <c r="AK59" s="328"/>
      <c r="AL59" s="328"/>
      <c r="AP59" s="222"/>
      <c r="AQ59" s="211"/>
      <c r="AR59" s="222"/>
      <c r="AS59" s="222"/>
      <c r="AT59" s="225"/>
      <c r="AU59" s="225"/>
      <c r="AV59" s="225"/>
      <c r="AW59" s="225"/>
      <c r="AX59" s="225"/>
      <c r="AY59" s="300"/>
      <c r="AZ59" s="300"/>
    </row>
    <row r="60" spans="1:52" s="212" customFormat="1" ht="30" customHeight="1" x14ac:dyDescent="0.25">
      <c r="A60" s="322"/>
      <c r="B60" s="322"/>
      <c r="C60" s="323" t="s">
        <v>569</v>
      </c>
      <c r="D60" s="1840">
        <v>6</v>
      </c>
      <c r="E60" s="1840">
        <v>1</v>
      </c>
      <c r="F60" s="1834">
        <v>250</v>
      </c>
      <c r="G60" s="1834">
        <v>0</v>
      </c>
      <c r="H60" s="1834">
        <v>0</v>
      </c>
      <c r="I60" s="1835">
        <v>0</v>
      </c>
      <c r="J60" s="91">
        <f>IF($F60=0,0,1+($F60-$C$21)/$C$22)+$G60/$C$23+$H60/$C$24+$I60/$C$25</f>
        <v>7.4545454545454541</v>
      </c>
      <c r="K60" s="97">
        <f t="shared" si="0"/>
        <v>3.5111917342151263E-8</v>
      </c>
      <c r="L60" s="91">
        <f>($C$7*$C$14*$C$8*$E60/$D60^2*K60*10^6)</f>
        <v>7.8026482982558355E-3</v>
      </c>
      <c r="M60" s="91">
        <f>IF($F60=0,0,1+($F60-$D$21)/$D$22)+$G60/$D$23+$H60/$D$24+$I60/$D$25</f>
        <v>6.6486486486486482</v>
      </c>
      <c r="N60" s="97">
        <f t="shared" si="1"/>
        <v>2.2456979955397711E-7</v>
      </c>
      <c r="O60" s="91">
        <f>($C$7*$D$14*$D$8*$E60/$D60^2*N60*10^6)</f>
        <v>4.99043999008838E-2</v>
      </c>
      <c r="P60" s="91">
        <f>IF($F60=0,0,1+($F60-$E$21)/$E$22)+$G60/$E$23+$H60/$E$24+$I60/$E$25</f>
        <v>5.7674418604651159</v>
      </c>
      <c r="Q60" s="97">
        <f t="shared" si="2"/>
        <v>1.7082763938087111E-6</v>
      </c>
      <c r="R60" s="91">
        <f>($C$7*$E$14*$E$8*$E60/$D60^2*Q60*10^6)</f>
        <v>0.37961697640193576</v>
      </c>
      <c r="S60" s="91">
        <f>IF($F60=0,0,1+($F60-$F$21)/$F$22)+$G60/$F$23+$H60/$F$24+$I60/$F$25</f>
        <v>9.1481481481481488</v>
      </c>
      <c r="T60" s="97">
        <f t="shared" si="3"/>
        <v>7.1097094323124171E-10</v>
      </c>
      <c r="U60" s="91">
        <f>($C$7*$F$14*$F$8*$E60/$D60^2*T60*10^6)</f>
        <v>1.5799354294027593E-4</v>
      </c>
      <c r="V60" s="91">
        <f>IF($F60=0,0,1+($F60-$G$21)/$G$22)+$G60/$G$23+$H60/$G$24+$I60/$G$25</f>
        <v>6.9444444444444446</v>
      </c>
      <c r="W60" s="97">
        <f t="shared" si="4"/>
        <v>1.136463666385722E-7</v>
      </c>
      <c r="X60" s="76">
        <f>($C$7*$G$14*$G$8*$E60/$D60^2*W60*10^6)</f>
        <v>2.5254748141904933E-2</v>
      </c>
      <c r="Y60" s="324">
        <f>SUM(L60,O60,R60,U60,X60)</f>
        <v>0.46273676628592059</v>
      </c>
      <c r="Z60" s="325"/>
      <c r="AA60" s="326"/>
      <c r="AG60" s="328"/>
      <c r="AI60" s="328"/>
      <c r="AJ60" s="328"/>
      <c r="AK60" s="328"/>
      <c r="AL60" s="328"/>
      <c r="AP60" s="222"/>
      <c r="AQ60" s="211"/>
      <c r="AR60" s="222"/>
      <c r="AS60" s="222"/>
      <c r="AT60" s="225"/>
      <c r="AU60" s="225"/>
      <c r="AV60" s="225"/>
      <c r="AW60" s="225"/>
      <c r="AX60" s="225"/>
      <c r="AY60" s="300"/>
      <c r="AZ60" s="300"/>
    </row>
    <row r="61" spans="1:52" s="212" customFormat="1" ht="30" customHeight="1" thickBot="1" x14ac:dyDescent="0.3">
      <c r="A61" s="343" t="str">
        <f>Samenvatting!A97</f>
        <v>B8</v>
      </c>
      <c r="B61" s="338" t="str">
        <f>Samenvatting!B97</f>
        <v>bedieningsruimte Linac 8</v>
      </c>
      <c r="C61" s="331" t="s">
        <v>568</v>
      </c>
      <c r="D61" s="1836">
        <v>5</v>
      </c>
      <c r="E61" s="89"/>
      <c r="F61" s="1834">
        <v>250</v>
      </c>
      <c r="G61" s="1834">
        <v>0</v>
      </c>
      <c r="H61" s="1834">
        <v>0</v>
      </c>
      <c r="I61" s="1835">
        <v>0</v>
      </c>
      <c r="J61" s="91">
        <f>$F61/$C$27+$G61/$C$28+$H61/$C$29+$I61/$C$30</f>
        <v>7.3529411764705879</v>
      </c>
      <c r="K61" s="97">
        <f t="shared" si="0"/>
        <v>4.4366873309786093E-8</v>
      </c>
      <c r="L61" s="91">
        <f>($C$7*$C$15*$C$8*($C$9+$C$10*$C$11)/$D61^2*K61*10^6)</f>
        <v>1.0648049594348663E-3</v>
      </c>
      <c r="M61" s="91">
        <f>$F61/$D$27+$G61/$D$28+$H61/$D$29+$I61/$D$30</f>
        <v>6.5789473684210522</v>
      </c>
      <c r="N61" s="97">
        <f t="shared" si="1"/>
        <v>2.636650898730358E-7</v>
      </c>
      <c r="O61" s="91">
        <f>($C$7*$C$15*$D$8*($D$9+$D$10*$D$11)/$D61^2*N61*10^6)</f>
        <v>6.3279621569528599E-3</v>
      </c>
      <c r="P61" s="91">
        <f>$F61/$E$27+$G61/$E$28+$H61/$E$29+$I61/$E$30</f>
        <v>5.6818181818181817</v>
      </c>
      <c r="Q61" s="97">
        <f t="shared" si="2"/>
        <v>2.0805675382171676E-6</v>
      </c>
      <c r="R61" s="91">
        <f>($C$7*$C$15*$E$8*($E$9+$E$10*$E$11)/$D61^2*Q61*10^6)</f>
        <v>4.9933620917212027E-2</v>
      </c>
      <c r="S61" s="91">
        <f>$F61/$F$27+$G61/$F$28+$H61/$F$29+$I61/$F$30</f>
        <v>8.1967213114754092</v>
      </c>
      <c r="T61" s="97">
        <f t="shared" si="3"/>
        <v>6.3573875711648393E-9</v>
      </c>
      <c r="U61" s="91">
        <f>($C$7*$C$15*$F$8*($F$9+$F$10*$F$11)/$D61^2*T61*10^6)</f>
        <v>1.5257730170795616E-4</v>
      </c>
      <c r="V61" s="91">
        <f>$F61/$G$27+$G61/$G$28+$H61/$G$29+$I61/$G$30</f>
        <v>7.0224719101123592</v>
      </c>
      <c r="W61" s="97">
        <f t="shared" si="4"/>
        <v>9.4957241494880226E-8</v>
      </c>
      <c r="X61" s="76">
        <f>($C$7*$C$15*$G$8*($G$9+$G$10*$G$11)/$D61^2*W61*10^6)</f>
        <v>2.278973795877126E-3</v>
      </c>
      <c r="Y61" s="339">
        <f>SUM(L61,O61,R61,U61,X61)</f>
        <v>5.9757939131184837E-2</v>
      </c>
      <c r="Z61" s="333">
        <f>SUM(Y59:Y62)</f>
        <v>0.52249470541710541</v>
      </c>
      <c r="AA61" s="334">
        <f>Z61*52/10^3</f>
        <v>2.7169724681689482E-2</v>
      </c>
      <c r="AG61" s="328"/>
      <c r="AH61" s="328"/>
      <c r="AI61" s="328"/>
      <c r="AJ61" s="328"/>
      <c r="AK61" s="328"/>
      <c r="AL61" s="328"/>
      <c r="AP61" s="222"/>
      <c r="AQ61" s="211"/>
      <c r="AR61" s="222"/>
      <c r="AS61" s="222"/>
      <c r="AT61" s="225"/>
      <c r="AU61" s="225"/>
      <c r="AV61" s="225"/>
      <c r="AW61" s="225"/>
      <c r="AX61" s="225"/>
      <c r="AY61" s="300"/>
      <c r="AZ61" s="300"/>
    </row>
    <row r="62" spans="1:52" s="212" customFormat="1" ht="30" hidden="1" customHeight="1" thickBot="1" x14ac:dyDescent="0.3">
      <c r="A62" s="317"/>
      <c r="B62" s="317"/>
      <c r="C62" s="318"/>
      <c r="D62" s="1838"/>
      <c r="E62" s="1839"/>
      <c r="F62" s="1839"/>
      <c r="G62" s="1839"/>
      <c r="H62" s="1839"/>
      <c r="I62" s="1839"/>
      <c r="J62" s="91"/>
      <c r="K62" s="97"/>
      <c r="L62" s="91"/>
      <c r="M62" s="91"/>
      <c r="N62" s="97"/>
      <c r="O62" s="91"/>
      <c r="P62" s="91"/>
      <c r="Q62" s="97"/>
      <c r="R62" s="91"/>
      <c r="S62" s="91"/>
      <c r="T62" s="97"/>
      <c r="U62" s="91"/>
      <c r="V62" s="91"/>
      <c r="W62" s="97"/>
      <c r="X62" s="76"/>
      <c r="Y62" s="316"/>
      <c r="Z62" s="344"/>
      <c r="AA62" s="345"/>
      <c r="AG62" s="328"/>
      <c r="AH62" s="328"/>
      <c r="AI62" s="328"/>
      <c r="AJ62" s="328"/>
      <c r="AK62" s="328"/>
      <c r="AL62" s="328"/>
      <c r="AP62" s="222"/>
      <c r="AQ62" s="211"/>
      <c r="AR62" s="222"/>
      <c r="AS62" s="222"/>
      <c r="AT62" s="225"/>
      <c r="AU62" s="225"/>
      <c r="AV62" s="225"/>
      <c r="AW62" s="225"/>
      <c r="AX62" s="225"/>
      <c r="AY62" s="300"/>
      <c r="AZ62" s="300"/>
    </row>
    <row r="63" spans="1:52" s="212" customFormat="1" ht="30" customHeight="1" x14ac:dyDescent="0.25">
      <c r="A63" s="322"/>
      <c r="B63" s="322"/>
      <c r="C63" s="323" t="s">
        <v>569</v>
      </c>
      <c r="D63" s="1840">
        <v>6</v>
      </c>
      <c r="E63" s="1840">
        <v>1</v>
      </c>
      <c r="F63" s="1834">
        <v>250</v>
      </c>
      <c r="G63" s="1834">
        <v>0</v>
      </c>
      <c r="H63" s="1834">
        <v>0</v>
      </c>
      <c r="I63" s="1835">
        <v>0</v>
      </c>
      <c r="J63" s="91">
        <f>IF($F63=0,0,1+($F63-$C$21)/$C$22)+$G63/$C$23+$H63/$C$24+$I63/$C$25</f>
        <v>7.4545454545454541</v>
      </c>
      <c r="K63" s="97">
        <f t="shared" si="0"/>
        <v>3.5111917342151263E-8</v>
      </c>
      <c r="L63" s="91">
        <f>($C$7*$C$14*$C$8*$E63/$D63^2*K63*10^6)</f>
        <v>7.8026482982558355E-3</v>
      </c>
      <c r="M63" s="91">
        <f>IF($F63=0,0,1+($F63-$D$21)/$D$22)+$G63/$D$23+$H63/$D$24+$I63/$D$25</f>
        <v>6.6486486486486482</v>
      </c>
      <c r="N63" s="97">
        <f t="shared" si="1"/>
        <v>2.2456979955397711E-7</v>
      </c>
      <c r="O63" s="91">
        <f>($C$7*$D$14*$D$8*$E63/$D63^2*N63*10^6)</f>
        <v>4.99043999008838E-2</v>
      </c>
      <c r="P63" s="91">
        <f>IF($F63=0,0,1+($F63-$E$21)/$E$22)+$G63/$E$23+$H63/$E$24+$I63/$E$25</f>
        <v>5.7674418604651159</v>
      </c>
      <c r="Q63" s="97">
        <f t="shared" si="2"/>
        <v>1.7082763938087111E-6</v>
      </c>
      <c r="R63" s="91">
        <f>($C$7*$E$14*$E$8*$E63/$D63^2*Q63*10^6)</f>
        <v>0.37961697640193576</v>
      </c>
      <c r="S63" s="91">
        <f>IF($F63=0,0,1+($F63-$F$21)/$F$22)+$G63/$F$23+$H63/$F$24+$I63/$F$25</f>
        <v>9.1481481481481488</v>
      </c>
      <c r="T63" s="97">
        <f t="shared" si="3"/>
        <v>7.1097094323124171E-10</v>
      </c>
      <c r="U63" s="91">
        <f>($C$7*$F$14*$F$8*$E63/$D63^2*T63*10^6)</f>
        <v>1.5799354294027593E-4</v>
      </c>
      <c r="V63" s="91">
        <f>IF($F63=0,0,1+($F63-$G$21)/$G$22)+$G63/$G$23+$H63/$G$24+$I63/$G$25</f>
        <v>6.9444444444444446</v>
      </c>
      <c r="W63" s="97">
        <f t="shared" si="4"/>
        <v>1.136463666385722E-7</v>
      </c>
      <c r="X63" s="76">
        <f>($C$7*$G$14*$G$8*$E63/$D63^2*W63*10^6)</f>
        <v>2.5254748141904933E-2</v>
      </c>
      <c r="Y63" s="324">
        <f>SUM(L63,O63,R63,U63,X63)</f>
        <v>0.46273676628592059</v>
      </c>
      <c r="Z63" s="325"/>
      <c r="AA63" s="326"/>
      <c r="AG63" s="328"/>
      <c r="AI63" s="328"/>
      <c r="AJ63" s="328"/>
      <c r="AK63" s="328"/>
      <c r="AL63" s="328"/>
      <c r="AP63" s="222"/>
      <c r="AQ63" s="211"/>
      <c r="AR63" s="222"/>
      <c r="AS63" s="222"/>
      <c r="AT63" s="225"/>
      <c r="AU63" s="225"/>
      <c r="AV63" s="225"/>
      <c r="AW63" s="225"/>
      <c r="AX63" s="225"/>
      <c r="AY63" s="300"/>
      <c r="AZ63" s="300"/>
    </row>
    <row r="64" spans="1:52" s="212" customFormat="1" ht="30" customHeight="1" thickBot="1" x14ac:dyDescent="0.3">
      <c r="A64" s="343" t="str">
        <f>Samenvatting!A109</f>
        <v>B9</v>
      </c>
      <c r="B64" s="338" t="str">
        <f>Samenvatting!B109</f>
        <v>bedieningsruimte Linac 9</v>
      </c>
      <c r="C64" s="331" t="s">
        <v>568</v>
      </c>
      <c r="D64" s="1843">
        <v>5</v>
      </c>
      <c r="E64" s="347"/>
      <c r="F64" s="1834">
        <v>250</v>
      </c>
      <c r="G64" s="1834">
        <v>0</v>
      </c>
      <c r="H64" s="1834">
        <v>0</v>
      </c>
      <c r="I64" s="1835">
        <v>0</v>
      </c>
      <c r="J64" s="91">
        <f>$F64/$C$27+$G64/$C$28+$H64/$C$29+$I64/$C$30</f>
        <v>7.3529411764705879</v>
      </c>
      <c r="K64" s="97">
        <f t="shared" si="0"/>
        <v>4.4366873309786093E-8</v>
      </c>
      <c r="L64" s="91">
        <f>($C$7*$C$15*$C$8*($C$9+$C$10*$C$11)/$D64^2*K64*10^6)</f>
        <v>1.0648049594348663E-3</v>
      </c>
      <c r="M64" s="91">
        <f>$F64/$D$27+$G64/$D$28+$H64/$D$29+$I64/$D$30</f>
        <v>6.5789473684210522</v>
      </c>
      <c r="N64" s="97">
        <f t="shared" si="1"/>
        <v>2.636650898730358E-7</v>
      </c>
      <c r="O64" s="91">
        <f>($C$7*$C$15*$D$8*($D$9+$D$10*$D$11)/$D64^2*N64*10^6)</f>
        <v>6.3279621569528599E-3</v>
      </c>
      <c r="P64" s="91">
        <f>$F64/$E$27+$G64/$E$28+$H64/$E$29+$I64/$E$30</f>
        <v>5.6818181818181817</v>
      </c>
      <c r="Q64" s="97">
        <f t="shared" si="2"/>
        <v>2.0805675382171676E-6</v>
      </c>
      <c r="R64" s="91">
        <f>($C$7*$C$15*$E$8*($E$9+$E$10*$E$11)/$D64^2*Q64*10^6)</f>
        <v>4.9933620917212027E-2</v>
      </c>
      <c r="S64" s="91">
        <f>$F64/$F$27+$G64/$F$28+$H64/$F$29+$I64/$F$30</f>
        <v>8.1967213114754092</v>
      </c>
      <c r="T64" s="97">
        <f t="shared" si="3"/>
        <v>6.3573875711648393E-9</v>
      </c>
      <c r="U64" s="91">
        <f>($C$7*$C$15*$F$8*($F$9+$F$10*$F$11)/$D64^2*T64*10^6)</f>
        <v>1.5257730170795616E-4</v>
      </c>
      <c r="V64" s="91">
        <f>$F64/$G$27+$G64/$G$28+$H64/$G$29+$I64/$G$30</f>
        <v>7.0224719101123592</v>
      </c>
      <c r="W64" s="97">
        <f t="shared" si="4"/>
        <v>9.4957241494880226E-8</v>
      </c>
      <c r="X64" s="76">
        <f>($C$7*$C$15*$G$8*($G$9+$G$10*$G$11)/$D64^2*W64*10^6)</f>
        <v>2.278973795877126E-3</v>
      </c>
      <c r="Y64" s="339">
        <f>SUM(L64,O64,R64,U64,X64)</f>
        <v>5.9757939131184837E-2</v>
      </c>
      <c r="Z64" s="333">
        <f>SUM(Y62:Y65)</f>
        <v>0.52249470541710541</v>
      </c>
      <c r="AA64" s="334">
        <f>Z64*52/10^3</f>
        <v>2.7169724681689482E-2</v>
      </c>
      <c r="AG64" s="328"/>
      <c r="AH64" s="328"/>
      <c r="AI64" s="328"/>
      <c r="AJ64" s="328"/>
      <c r="AK64" s="328"/>
      <c r="AL64" s="328"/>
      <c r="AP64" s="222"/>
      <c r="AQ64" s="211"/>
      <c r="AR64" s="222"/>
      <c r="AS64" s="222"/>
      <c r="AT64" s="225"/>
      <c r="AU64" s="225"/>
      <c r="AV64" s="225"/>
      <c r="AW64" s="225"/>
      <c r="AX64" s="225"/>
      <c r="AY64" s="300"/>
      <c r="AZ64" s="300"/>
    </row>
    <row r="65" spans="1:52" s="212" customFormat="1" ht="30" hidden="1" customHeight="1" thickBot="1" x14ac:dyDescent="0.3">
      <c r="A65" s="317"/>
      <c r="B65" s="317"/>
      <c r="C65" s="318"/>
      <c r="D65" s="1838"/>
      <c r="E65" s="1839"/>
      <c r="F65" s="1839"/>
      <c r="G65" s="1839"/>
      <c r="H65" s="1839"/>
      <c r="I65" s="1839"/>
      <c r="J65" s="91"/>
      <c r="K65" s="97"/>
      <c r="L65" s="91"/>
      <c r="M65" s="91"/>
      <c r="N65" s="97"/>
      <c r="O65" s="91"/>
      <c r="P65" s="91"/>
      <c r="Q65" s="97"/>
      <c r="R65" s="91"/>
      <c r="S65" s="91"/>
      <c r="T65" s="97"/>
      <c r="U65" s="91"/>
      <c r="V65" s="91"/>
      <c r="W65" s="97"/>
      <c r="X65" s="76"/>
      <c r="Y65" s="316"/>
      <c r="Z65" s="344"/>
      <c r="AA65" s="345"/>
      <c r="AG65" s="328"/>
      <c r="AH65" s="328"/>
      <c r="AI65" s="328"/>
      <c r="AJ65" s="328"/>
      <c r="AK65" s="328"/>
      <c r="AL65" s="328"/>
      <c r="AP65" s="222"/>
      <c r="AQ65" s="211"/>
      <c r="AR65" s="222"/>
      <c r="AS65" s="222"/>
      <c r="AT65" s="225"/>
      <c r="AU65" s="225"/>
      <c r="AV65" s="225"/>
      <c r="AW65" s="225"/>
      <c r="AX65" s="225"/>
      <c r="AY65" s="300"/>
      <c r="AZ65" s="300"/>
    </row>
    <row r="66" spans="1:52" s="212" customFormat="1" ht="30" customHeight="1" x14ac:dyDescent="0.25">
      <c r="A66" s="322"/>
      <c r="B66" s="322"/>
      <c r="C66" s="323" t="s">
        <v>569</v>
      </c>
      <c r="D66" s="1840">
        <v>6</v>
      </c>
      <c r="E66" s="1840">
        <v>1</v>
      </c>
      <c r="F66" s="1834">
        <v>250</v>
      </c>
      <c r="G66" s="1834">
        <v>0</v>
      </c>
      <c r="H66" s="1834">
        <v>0</v>
      </c>
      <c r="I66" s="1835">
        <v>0</v>
      </c>
      <c r="J66" s="91">
        <f>IF($F66=0,0,1+($F66-$C$21)/$C$22)+$G66/$C$23+$H66/$C$24+$I66/$C$25</f>
        <v>7.4545454545454541</v>
      </c>
      <c r="K66" s="97">
        <f t="shared" si="0"/>
        <v>3.5111917342151263E-8</v>
      </c>
      <c r="L66" s="91">
        <f>($C$7*$C$14*$C$8*$E66/$D66^2*K66*10^6)</f>
        <v>7.8026482982558355E-3</v>
      </c>
      <c r="M66" s="91">
        <f>IF($F66=0,0,1+($F66-$D$21)/$D$22)+$G66/$D$23+$H66/$D$24+$I66/$D$25</f>
        <v>6.6486486486486482</v>
      </c>
      <c r="N66" s="97">
        <f t="shared" si="1"/>
        <v>2.2456979955397711E-7</v>
      </c>
      <c r="O66" s="91">
        <f>($C$7*$D$14*$D$8*$E66/$D66^2*N66*10^6)</f>
        <v>4.99043999008838E-2</v>
      </c>
      <c r="P66" s="91">
        <f>IF($F66=0,0,1+($F66-$E$21)/$E$22)+$G66/$E$23+$H66/$E$24+$I66/$E$25</f>
        <v>5.7674418604651159</v>
      </c>
      <c r="Q66" s="97">
        <f t="shared" si="2"/>
        <v>1.7082763938087111E-6</v>
      </c>
      <c r="R66" s="91">
        <f>($C$7*$E$14*$E$8*$E66/$D66^2*Q66*10^6)</f>
        <v>0.37961697640193576</v>
      </c>
      <c r="S66" s="91">
        <f>IF($F66=0,0,1+($F66-$F$21)/$F$22)+$G66/$F$23+$H66/$F$24+$I66/$F$25</f>
        <v>9.1481481481481488</v>
      </c>
      <c r="T66" s="97">
        <f t="shared" si="3"/>
        <v>7.1097094323124171E-10</v>
      </c>
      <c r="U66" s="91">
        <f>($C$7*$F$14*$F$8*$E66/$D66^2*T66*10^6)</f>
        <v>1.5799354294027593E-4</v>
      </c>
      <c r="V66" s="91">
        <f>IF($F66=0,0,1+($F66-$G$21)/$G$22)+$G66/$G$23+$H66/$G$24+$I66/$G$25</f>
        <v>6.9444444444444446</v>
      </c>
      <c r="W66" s="97">
        <f t="shared" si="4"/>
        <v>1.136463666385722E-7</v>
      </c>
      <c r="X66" s="76">
        <f>($C$7*$G$14*$G$8*$E66/$D66^2*W66*10^6)</f>
        <v>2.5254748141904933E-2</v>
      </c>
      <c r="Y66" s="324">
        <f>SUM(L66,O66,R66,U66,X66)</f>
        <v>0.46273676628592059</v>
      </c>
      <c r="Z66" s="325"/>
      <c r="AA66" s="326"/>
      <c r="AG66" s="328"/>
      <c r="AI66" s="328"/>
      <c r="AJ66" s="328"/>
      <c r="AK66" s="328"/>
      <c r="AL66" s="328"/>
      <c r="AP66" s="222"/>
      <c r="AQ66" s="211"/>
      <c r="AR66" s="222"/>
      <c r="AS66" s="222"/>
      <c r="AT66" s="225"/>
      <c r="AU66" s="225"/>
      <c r="AV66" s="225"/>
      <c r="AW66" s="225"/>
      <c r="AX66" s="225"/>
      <c r="AY66" s="300"/>
      <c r="AZ66" s="300"/>
    </row>
    <row r="67" spans="1:52" s="212" customFormat="1" ht="30" customHeight="1" thickBot="1" x14ac:dyDescent="0.3">
      <c r="A67" s="343" t="str">
        <f>Samenvatting!A121</f>
        <v>B10</v>
      </c>
      <c r="B67" s="656" t="str">
        <f>Samenvatting!B121</f>
        <v>bedieningsruimte Linac 10</v>
      </c>
      <c r="C67" s="331" t="s">
        <v>568</v>
      </c>
      <c r="D67" s="1836">
        <v>5</v>
      </c>
      <c r="E67" s="89"/>
      <c r="F67" s="1834">
        <v>250</v>
      </c>
      <c r="G67" s="1834">
        <v>0</v>
      </c>
      <c r="H67" s="1834">
        <v>0</v>
      </c>
      <c r="I67" s="1835">
        <v>0</v>
      </c>
      <c r="J67" s="91">
        <f>$F67/$C$27+$G67/$C$28+$H67/$C$29+$I67/$C$30</f>
        <v>7.3529411764705879</v>
      </c>
      <c r="K67" s="97">
        <f t="shared" si="0"/>
        <v>4.4366873309786093E-8</v>
      </c>
      <c r="L67" s="91">
        <f>($C$7*$C$15*$C$8*($C$9+$C$10*$C$11)/$D67^2*K67*10^6)</f>
        <v>1.0648049594348663E-3</v>
      </c>
      <c r="M67" s="91">
        <f>$F67/$D$27+$G67/$D$28+$H67/$D$29+$I67/$D$30</f>
        <v>6.5789473684210522</v>
      </c>
      <c r="N67" s="97">
        <f t="shared" si="1"/>
        <v>2.636650898730358E-7</v>
      </c>
      <c r="O67" s="91">
        <f>($C$7*$C$15*$D$8*($D$9+$D$10*$D$11)/$D67^2*N67*10^6)</f>
        <v>6.3279621569528599E-3</v>
      </c>
      <c r="P67" s="91">
        <f>$F67/$E$27+$G67/$E$28+$H67/$E$29+$I67/$E$30</f>
        <v>5.6818181818181817</v>
      </c>
      <c r="Q67" s="97">
        <f t="shared" si="2"/>
        <v>2.0805675382171676E-6</v>
      </c>
      <c r="R67" s="91">
        <f>($C$7*$C$15*$E$8*($E$9+$E$10*$E$11)/$D67^2*Q67*10^6)</f>
        <v>4.9933620917212027E-2</v>
      </c>
      <c r="S67" s="91">
        <f>$F67/$F$27+$G67/$F$28+$H67/$F$29+$I67/$F$30</f>
        <v>8.1967213114754092</v>
      </c>
      <c r="T67" s="97">
        <f t="shared" si="3"/>
        <v>6.3573875711648393E-9</v>
      </c>
      <c r="U67" s="91">
        <f>($C$7*$C$15*$F$8*($F$9+$F$10*$F$11)/$D67^2*T67*10^6)</f>
        <v>1.5257730170795616E-4</v>
      </c>
      <c r="V67" s="91">
        <f>$F67/$G$27+$G67/$G$28+$H67/$G$29+$I67/$G$30</f>
        <v>7.0224719101123592</v>
      </c>
      <c r="W67" s="97">
        <f t="shared" si="4"/>
        <v>9.4957241494880226E-8</v>
      </c>
      <c r="X67" s="76">
        <f>($C$7*$C$15*$G$8*($G$9+$G$10*$G$11)/$D67^2*W67*10^6)</f>
        <v>2.278973795877126E-3</v>
      </c>
      <c r="Y67" s="339">
        <f>SUM(L67,O67,R67,U67,X67)</f>
        <v>5.9757939131184837E-2</v>
      </c>
      <c r="Z67" s="333">
        <f>SUM(Y65:Y68)</f>
        <v>0.52249470541710541</v>
      </c>
      <c r="AA67" s="334">
        <f>Z67*52/10^3</f>
        <v>2.7169724681689482E-2</v>
      </c>
      <c r="AG67" s="328"/>
      <c r="AH67" s="328"/>
      <c r="AI67" s="328"/>
      <c r="AJ67" s="328"/>
      <c r="AK67" s="328"/>
      <c r="AL67" s="328"/>
      <c r="AP67" s="222"/>
      <c r="AQ67" s="211"/>
      <c r="AR67" s="222"/>
      <c r="AS67" s="222"/>
      <c r="AT67" s="225"/>
      <c r="AU67" s="225"/>
      <c r="AV67" s="225"/>
      <c r="AW67" s="225"/>
      <c r="AX67" s="225"/>
      <c r="AY67" s="300"/>
      <c r="AZ67" s="300"/>
    </row>
    <row r="68" spans="1:52" s="212" customFormat="1" ht="30" hidden="1" customHeight="1" thickBot="1" x14ac:dyDescent="0.3">
      <c r="A68" s="312"/>
      <c r="B68" s="450"/>
      <c r="C68" s="318"/>
      <c r="D68" s="58"/>
      <c r="E68" s="58"/>
      <c r="F68" s="58"/>
      <c r="G68" s="58"/>
      <c r="H68" s="58"/>
      <c r="I68" s="58"/>
      <c r="J68" s="91"/>
      <c r="K68" s="97"/>
      <c r="L68" s="91"/>
      <c r="M68" s="91"/>
      <c r="N68" s="97"/>
      <c r="O68" s="91"/>
      <c r="P68" s="91"/>
      <c r="Q68" s="97"/>
      <c r="R68" s="91"/>
      <c r="S68" s="91"/>
      <c r="T68" s="97"/>
      <c r="U68" s="91"/>
      <c r="V68" s="91"/>
      <c r="W68" s="97"/>
      <c r="X68" s="76"/>
      <c r="Y68" s="335"/>
      <c r="Z68" s="344"/>
      <c r="AA68" s="345"/>
      <c r="AG68" s="328"/>
      <c r="AH68" s="328"/>
      <c r="AI68" s="328"/>
      <c r="AJ68" s="328"/>
      <c r="AK68" s="328"/>
      <c r="AL68" s="328"/>
      <c r="AP68" s="222"/>
      <c r="AQ68" s="211"/>
      <c r="AR68" s="222"/>
      <c r="AS68" s="222"/>
      <c r="AT68" s="225"/>
      <c r="AU68" s="225"/>
      <c r="AV68" s="225"/>
      <c r="AW68" s="225"/>
      <c r="AX68" s="225"/>
      <c r="AY68" s="300"/>
      <c r="AZ68" s="300"/>
    </row>
    <row r="69" spans="1:52" s="212" customFormat="1" ht="30" customHeight="1" x14ac:dyDescent="0.25">
      <c r="A69" s="322"/>
      <c r="B69" s="322"/>
      <c r="C69" s="323" t="s">
        <v>569</v>
      </c>
      <c r="D69" s="1859">
        <v>6</v>
      </c>
      <c r="E69" s="1859">
        <v>1</v>
      </c>
      <c r="F69" s="1859">
        <v>250</v>
      </c>
      <c r="G69" s="1859">
        <v>0</v>
      </c>
      <c r="H69" s="1859">
        <v>0</v>
      </c>
      <c r="I69" s="1859">
        <v>0</v>
      </c>
      <c r="J69" s="91">
        <f>IF($F69=0,0,1+($F69-$C$21)/$C$22)+$G69/$C$23+$H69/$C$24+$I69/$C$25</f>
        <v>7.4545454545454541</v>
      </c>
      <c r="K69" s="97">
        <f t="shared" si="0"/>
        <v>3.5111917342151263E-8</v>
      </c>
      <c r="L69" s="91">
        <f>($C$7*$C$14*$C$8*$E69/$D69^2*K69*10^6)</f>
        <v>7.8026482982558355E-3</v>
      </c>
      <c r="M69" s="91">
        <f>IF($F69=0,0,1+($F69-$D$21)/$D$22)+$G69/$D$23+$H69/$D$24+$I69/$D$25</f>
        <v>6.6486486486486482</v>
      </c>
      <c r="N69" s="97">
        <f t="shared" si="1"/>
        <v>2.2456979955397711E-7</v>
      </c>
      <c r="O69" s="91">
        <f>($C$7*$D$14*$D$8*$E69/$D69^2*N69*10^6)</f>
        <v>4.99043999008838E-2</v>
      </c>
      <c r="P69" s="91">
        <f>IF($F69=0,0,1+($F69-$E$21)/$E$22)+$G69/$E$23+$H69/$E$24+$I69/$E$25</f>
        <v>5.7674418604651159</v>
      </c>
      <c r="Q69" s="97">
        <f t="shared" si="2"/>
        <v>1.7082763938087111E-6</v>
      </c>
      <c r="R69" s="91">
        <f>($C$7*$D$14*$E$8*$E69/$D69^2*Q69*10^6)</f>
        <v>0.37961697640193576</v>
      </c>
      <c r="S69" s="91">
        <f>IF($F69=0,0,1+($F69-$F$21)/$F$22)+$G69/$F$23+$H69/$F$24+$I69/$F$25</f>
        <v>9.1481481481481488</v>
      </c>
      <c r="T69" s="97">
        <f t="shared" si="3"/>
        <v>7.1097094323124171E-10</v>
      </c>
      <c r="U69" s="91">
        <f>($C$7*$F$14*$F$8*$E69/$D69^2*T69*10^6)</f>
        <v>1.5799354294027593E-4</v>
      </c>
      <c r="V69" s="91">
        <f>IF($F69=0,0,1+($F69-$G$21)/$G$22)+$G69/$G$23+$H69/$G$24+$I69/$G$25</f>
        <v>6.9444444444444446</v>
      </c>
      <c r="W69" s="97">
        <f t="shared" si="4"/>
        <v>1.136463666385722E-7</v>
      </c>
      <c r="X69" s="76">
        <f>($C$7*$G$14*$G$8*$E69/$D69^2*W69*10^6)</f>
        <v>2.5254748141904933E-2</v>
      </c>
      <c r="Y69" s="324">
        <f>SUM(L69,O69,R69,U69,X69)</f>
        <v>0.46273676628592059</v>
      </c>
      <c r="Z69" s="325"/>
      <c r="AA69" s="350"/>
      <c r="AG69" s="328"/>
      <c r="AI69" s="328"/>
      <c r="AJ69" s="328"/>
      <c r="AK69" s="328"/>
      <c r="AL69" s="328"/>
      <c r="AP69" s="222"/>
      <c r="AQ69" s="211"/>
      <c r="AR69" s="222"/>
      <c r="AS69" s="222"/>
      <c r="AT69" s="225"/>
      <c r="AU69" s="225"/>
      <c r="AV69" s="225"/>
      <c r="AW69" s="225"/>
      <c r="AX69" s="225"/>
      <c r="AY69" s="300"/>
      <c r="AZ69" s="300"/>
    </row>
    <row r="70" spans="1:52" s="212" customFormat="1" ht="30" customHeight="1" thickBot="1" x14ac:dyDescent="0.3">
      <c r="A70" s="329" t="str">
        <f>Samenvatting!A123</f>
        <v>L1</v>
      </c>
      <c r="B70" s="656" t="str">
        <f>Samenvatting!B123</f>
        <v>ingang labyrint linac 1</v>
      </c>
      <c r="C70" s="331" t="s">
        <v>568</v>
      </c>
      <c r="D70" s="1859">
        <v>5</v>
      </c>
      <c r="E70" s="58"/>
      <c r="F70" s="1859">
        <v>250</v>
      </c>
      <c r="G70" s="1859">
        <v>0</v>
      </c>
      <c r="H70" s="1859">
        <v>0</v>
      </c>
      <c r="I70" s="1859">
        <v>0</v>
      </c>
      <c r="J70" s="91">
        <f>$F70/$C$27+$G70/$C$28+$H70/$C$29+$I70/$C$30</f>
        <v>7.3529411764705879</v>
      </c>
      <c r="K70" s="97">
        <f t="shared" si="0"/>
        <v>4.4366873309786093E-8</v>
      </c>
      <c r="L70" s="91">
        <f>($C$7*$C$15*$C$8*($C$9+$C$10*$C$11)/$D70^2*K70*10^6)</f>
        <v>1.0648049594348663E-3</v>
      </c>
      <c r="M70" s="91">
        <f>$F70/$D$27+$G70/$D$28+$H70/$D$29+$I70/$D$30</f>
        <v>6.5789473684210522</v>
      </c>
      <c r="N70" s="97">
        <f t="shared" si="1"/>
        <v>2.636650898730358E-7</v>
      </c>
      <c r="O70" s="91">
        <f>($C$7*$C$15*$D$8*($D$9+$D$10*$D$11)/$D70^2*N70*10^6)</f>
        <v>6.3279621569528599E-3</v>
      </c>
      <c r="P70" s="91">
        <f>$F70/$E$27+$G70/$E$28+$H70/$E$29+$I70/$E$30</f>
        <v>5.6818181818181817</v>
      </c>
      <c r="Q70" s="97">
        <f t="shared" si="2"/>
        <v>2.0805675382171676E-6</v>
      </c>
      <c r="R70" s="91">
        <f>($C$7*$C$15*$E$8*($E$9+$E$10*$E$11)/$D70^2*Q70*10^6)</f>
        <v>4.9933620917212027E-2</v>
      </c>
      <c r="S70" s="91">
        <f>$F70/$F$27+$G70/$F$28+$H70/$F$29+$I70/$F$30</f>
        <v>8.1967213114754092</v>
      </c>
      <c r="T70" s="97">
        <f t="shared" si="3"/>
        <v>6.3573875711648393E-9</v>
      </c>
      <c r="U70" s="91">
        <f>($C$7*$C$15*$F$8*($F$9+$F$10*$F$11)/$D70^2*T70*10^6)</f>
        <v>1.5257730170795616E-4</v>
      </c>
      <c r="V70" s="91">
        <f>$F70/$G$27+$G70/$G$28+$H70/$G$29+$I70/$G$30</f>
        <v>7.0224719101123592</v>
      </c>
      <c r="W70" s="97">
        <f t="shared" si="4"/>
        <v>9.4957241494880226E-8</v>
      </c>
      <c r="X70" s="76">
        <f>($C$7*$C$15*$G$8*($G$9+$G$10*$G$11)/$D70^2*W70*10^6)</f>
        <v>2.278973795877126E-3</v>
      </c>
      <c r="Y70" s="339">
        <f>SUM(L70,O70,R70,U70,X70)</f>
        <v>5.9757939131184837E-2</v>
      </c>
      <c r="Z70" s="363">
        <f>SUM(Y68:Y71)</f>
        <v>0.52249470541710541</v>
      </c>
      <c r="AA70" s="334">
        <f>Z70*52/10^3</f>
        <v>2.7169724681689482E-2</v>
      </c>
      <c r="AG70" s="328"/>
      <c r="AH70" s="328"/>
      <c r="AI70" s="328"/>
      <c r="AJ70" s="328"/>
      <c r="AK70" s="328"/>
      <c r="AL70" s="328"/>
      <c r="AP70" s="222"/>
      <c r="AQ70" s="211"/>
      <c r="AR70" s="222"/>
      <c r="AS70" s="222"/>
      <c r="AT70" s="225"/>
      <c r="AU70" s="225"/>
      <c r="AV70" s="225"/>
      <c r="AW70" s="225"/>
      <c r="AX70" s="225"/>
      <c r="AY70" s="300"/>
      <c r="AZ70" s="300"/>
    </row>
    <row r="71" spans="1:52" s="212" customFormat="1" ht="30" hidden="1" customHeight="1" thickBot="1" x14ac:dyDescent="0.3">
      <c r="A71" s="317"/>
      <c r="B71" s="317"/>
      <c r="C71" s="318"/>
      <c r="D71" s="1871"/>
      <c r="E71" s="1871"/>
      <c r="F71" s="1871"/>
      <c r="G71" s="1871"/>
      <c r="H71" s="1871"/>
      <c r="I71" s="1871"/>
      <c r="J71" s="91"/>
      <c r="K71" s="97"/>
      <c r="L71" s="91"/>
      <c r="M71" s="91"/>
      <c r="N71" s="97"/>
      <c r="O71" s="91"/>
      <c r="P71" s="91"/>
      <c r="Q71" s="97"/>
      <c r="R71" s="91"/>
      <c r="S71" s="91"/>
      <c r="T71" s="97"/>
      <c r="U71" s="91"/>
      <c r="V71" s="91"/>
      <c r="W71" s="97"/>
      <c r="X71" s="76"/>
      <c r="Y71" s="577"/>
      <c r="Z71" s="659"/>
      <c r="AA71" s="660"/>
      <c r="AG71" s="328"/>
      <c r="AH71" s="328"/>
      <c r="AI71" s="328"/>
      <c r="AJ71" s="328"/>
      <c r="AK71" s="328"/>
      <c r="AL71" s="328"/>
      <c r="AP71" s="222"/>
      <c r="AQ71" s="211"/>
      <c r="AR71" s="222"/>
      <c r="AS71" s="222"/>
      <c r="AT71" s="225"/>
      <c r="AU71" s="225"/>
      <c r="AV71" s="225"/>
      <c r="AW71" s="225"/>
      <c r="AX71" s="225"/>
      <c r="AY71" s="300"/>
      <c r="AZ71" s="300"/>
    </row>
    <row r="72" spans="1:52" s="212" customFormat="1" ht="30" customHeight="1" x14ac:dyDescent="0.25">
      <c r="A72" s="322"/>
      <c r="B72" s="322"/>
      <c r="C72" s="323" t="s">
        <v>569</v>
      </c>
      <c r="D72" s="1859">
        <v>6</v>
      </c>
      <c r="E72" s="1859">
        <v>1</v>
      </c>
      <c r="F72" s="1859">
        <v>250</v>
      </c>
      <c r="G72" s="1859">
        <v>0</v>
      </c>
      <c r="H72" s="1859">
        <v>0</v>
      </c>
      <c r="I72" s="1859">
        <v>0</v>
      </c>
      <c r="J72" s="91">
        <f>IF($F72=0,0,1+($F72-$C$21)/$C$22)+$G72/$C$23+$H72/$C$24+$I72/$C$25</f>
        <v>7.4545454545454541</v>
      </c>
      <c r="K72" s="97">
        <f t="shared" si="0"/>
        <v>3.5111917342151263E-8</v>
      </c>
      <c r="L72" s="91">
        <f>($C$7*$C$14*$C$8*$E72/$D72^2*K72*10^6)</f>
        <v>7.8026482982558355E-3</v>
      </c>
      <c r="M72" s="91">
        <f>IF($F72=0,0,1+($F72-$D$21)/$D$22)+$G72/$D$23+$H72/$D$24+$I72/$D$25</f>
        <v>6.6486486486486482</v>
      </c>
      <c r="N72" s="97">
        <f t="shared" si="1"/>
        <v>2.2456979955397711E-7</v>
      </c>
      <c r="O72" s="91">
        <f>($C$7*$D$14*$D$8*$E72/$D72^2*N72*10^6)</f>
        <v>4.99043999008838E-2</v>
      </c>
      <c r="P72" s="91">
        <f>IF($F$72=0,0,1+($F72-$E$21)/$E$22)+$G72/$E$23+$H72/$E$24+$I72/$E$25</f>
        <v>5.7674418604651159</v>
      </c>
      <c r="Q72" s="97">
        <f t="shared" si="2"/>
        <v>1.7082763938087111E-6</v>
      </c>
      <c r="R72" s="91">
        <f>($C$7*$D$14*$E$8*$E72/$D72^2*Q72*10^6)</f>
        <v>0.37961697640193576</v>
      </c>
      <c r="S72" s="91">
        <f>IF($F72=0,0,1+($F72-$F$21)/$F$22)+$G72/$F$23+$H72/$F$24+$I72/$F$25</f>
        <v>9.1481481481481488</v>
      </c>
      <c r="T72" s="97">
        <f t="shared" si="3"/>
        <v>7.1097094323124171E-10</v>
      </c>
      <c r="U72" s="91">
        <f>($C$7*$F$14*$F$8*$E72/$D72^2*T72*10^6)</f>
        <v>1.5799354294027593E-4</v>
      </c>
      <c r="V72" s="91">
        <f>IF($F72=0,0,1+($F72-$G$21)/$G$22)+$G72/$G$23+$H72/$G$24+$I72/$G$25</f>
        <v>6.9444444444444446</v>
      </c>
      <c r="W72" s="97">
        <f t="shared" si="4"/>
        <v>1.136463666385722E-7</v>
      </c>
      <c r="X72" s="76">
        <f>($C$7*$G$14*$G$8*$E72/$D72^2*W72*10^6)</f>
        <v>2.5254748141904933E-2</v>
      </c>
      <c r="Y72" s="324">
        <f>SUM(L72,O72,R72,U72,X72)</f>
        <v>0.46273676628592059</v>
      </c>
      <c r="Z72" s="325"/>
      <c r="AA72" s="350"/>
      <c r="AG72" s="328"/>
      <c r="AI72" s="328"/>
      <c r="AJ72" s="328"/>
      <c r="AK72" s="328"/>
      <c r="AL72" s="328"/>
      <c r="AP72" s="222"/>
      <c r="AQ72" s="211"/>
      <c r="AR72" s="222"/>
      <c r="AS72" s="222"/>
      <c r="AT72" s="225"/>
      <c r="AU72" s="225"/>
      <c r="AV72" s="225"/>
      <c r="AW72" s="225"/>
      <c r="AX72" s="225"/>
      <c r="AY72" s="300"/>
      <c r="AZ72" s="300"/>
    </row>
    <row r="73" spans="1:52" s="212" customFormat="1" ht="30" customHeight="1" thickBot="1" x14ac:dyDescent="0.3">
      <c r="A73" s="343" t="str">
        <f>Samenvatting!A135</f>
        <v>L2</v>
      </c>
      <c r="B73" s="338" t="str">
        <f>Samenvatting!B135</f>
        <v>ingang labyrint linac 2</v>
      </c>
      <c r="C73" s="331" t="s">
        <v>568</v>
      </c>
      <c r="D73" s="1859">
        <v>5</v>
      </c>
      <c r="E73" s="58"/>
      <c r="F73" s="1859">
        <v>250</v>
      </c>
      <c r="G73" s="1859">
        <v>0</v>
      </c>
      <c r="H73" s="1859">
        <v>0</v>
      </c>
      <c r="I73" s="1859">
        <v>0</v>
      </c>
      <c r="J73" s="91">
        <f>$F73/$C$27+$G73/$C$28+$H73/$C$29+$I73/$C$30</f>
        <v>7.3529411764705879</v>
      </c>
      <c r="K73" s="97">
        <f t="shared" si="0"/>
        <v>4.4366873309786093E-8</v>
      </c>
      <c r="L73" s="91">
        <f>($C$7*$C$15*$C$8*($C$9+$C$10*$C$11)/$D73^2*K73*10^6)</f>
        <v>1.0648049594348663E-3</v>
      </c>
      <c r="M73" s="91">
        <f>$F73/$D$27+$G73/$D$28+$H73/$D$29+$I73/$D$30</f>
        <v>6.5789473684210522</v>
      </c>
      <c r="N73" s="97">
        <f t="shared" si="1"/>
        <v>2.636650898730358E-7</v>
      </c>
      <c r="O73" s="91">
        <f>($C$7*$C$15*$D$8*($D$9+$D$10*$D$11)/$D73^2*N73*10^6)</f>
        <v>6.3279621569528599E-3</v>
      </c>
      <c r="P73" s="91">
        <f>$F73/$E$27+$G73/$E$28+$H73/$E$29+$I73/$E$30</f>
        <v>5.6818181818181817</v>
      </c>
      <c r="Q73" s="97">
        <f t="shared" si="2"/>
        <v>2.0805675382171676E-6</v>
      </c>
      <c r="R73" s="91">
        <f>($C$7*$C$15*$E$8*($E$9+$E$10*$E$11)/$D73^2*Q73*10^6)</f>
        <v>4.9933620917212027E-2</v>
      </c>
      <c r="S73" s="91">
        <f>$F73/$F$27+$G73/$F$28+$H73/$F$29+$I73/$F$30</f>
        <v>8.1967213114754092</v>
      </c>
      <c r="T73" s="97">
        <f t="shared" si="3"/>
        <v>6.3573875711648393E-9</v>
      </c>
      <c r="U73" s="91">
        <f>($C$7*$C$15*$F$8*($F$9+$F$10*$F$11)/$D73^2*T73*10^6)</f>
        <v>1.5257730170795616E-4</v>
      </c>
      <c r="V73" s="91">
        <f>$F73/$G$27+$G73/$G$28+$H73/$G$29+$I73/$G$30</f>
        <v>7.0224719101123592</v>
      </c>
      <c r="W73" s="97">
        <f t="shared" si="4"/>
        <v>9.4957241494880226E-8</v>
      </c>
      <c r="X73" s="76">
        <f>($C$7*$C$15*$G$8*($G$9+$G$10*$G$11)/$D73^2*W73*10^6)</f>
        <v>2.278973795877126E-3</v>
      </c>
      <c r="Y73" s="339">
        <f>SUM(L73,O73,R73,U73,X73)</f>
        <v>5.9757939131184837E-2</v>
      </c>
      <c r="Z73" s="363">
        <f>SUM(Y71:Y74)</f>
        <v>0.52249470541710541</v>
      </c>
      <c r="AA73" s="334">
        <f>Z73*52/10^3</f>
        <v>2.7169724681689482E-2</v>
      </c>
      <c r="AG73" s="328"/>
      <c r="AH73" s="328"/>
      <c r="AI73" s="328"/>
      <c r="AJ73" s="328"/>
      <c r="AK73" s="328"/>
      <c r="AL73" s="328"/>
      <c r="AP73" s="222"/>
      <c r="AQ73" s="211"/>
      <c r="AR73" s="222"/>
      <c r="AS73" s="222"/>
      <c r="AT73" s="225"/>
      <c r="AU73" s="225"/>
      <c r="AV73" s="225"/>
      <c r="AW73" s="225"/>
      <c r="AX73" s="225"/>
      <c r="AY73" s="300"/>
      <c r="AZ73" s="300"/>
    </row>
    <row r="74" spans="1:52" s="212" customFormat="1" ht="30" hidden="1" customHeight="1" thickBot="1" x14ac:dyDescent="0.3">
      <c r="A74" s="317"/>
      <c r="B74" s="317"/>
      <c r="C74" s="318"/>
      <c r="D74" s="1871"/>
      <c r="E74" s="1871"/>
      <c r="F74" s="1871"/>
      <c r="G74" s="1871"/>
      <c r="H74" s="1871"/>
      <c r="I74" s="1871"/>
      <c r="J74" s="91"/>
      <c r="K74" s="97"/>
      <c r="L74" s="91"/>
      <c r="M74" s="91"/>
      <c r="N74" s="97"/>
      <c r="O74" s="91"/>
      <c r="P74" s="91"/>
      <c r="Q74" s="97"/>
      <c r="R74" s="91"/>
      <c r="S74" s="91"/>
      <c r="T74" s="97"/>
      <c r="U74" s="91"/>
      <c r="V74" s="91"/>
      <c r="W74" s="97"/>
      <c r="X74" s="76"/>
      <c r="Y74" s="577"/>
      <c r="Z74" s="659"/>
      <c r="AA74" s="660"/>
      <c r="AG74" s="328"/>
      <c r="AH74" s="328"/>
      <c r="AI74" s="328"/>
      <c r="AJ74" s="328"/>
      <c r="AK74" s="328"/>
      <c r="AL74" s="328"/>
      <c r="AP74" s="222"/>
      <c r="AQ74" s="211"/>
      <c r="AR74" s="222"/>
      <c r="AS74" s="222"/>
      <c r="AT74" s="225"/>
      <c r="AU74" s="225"/>
      <c r="AV74" s="225"/>
      <c r="AW74" s="225"/>
      <c r="AX74" s="225"/>
      <c r="AY74" s="300"/>
      <c r="AZ74" s="300"/>
    </row>
    <row r="75" spans="1:52" s="212" customFormat="1" ht="30" customHeight="1" x14ac:dyDescent="0.25">
      <c r="A75" s="322"/>
      <c r="B75" s="322"/>
      <c r="C75" s="323" t="s">
        <v>569</v>
      </c>
      <c r="D75" s="1859">
        <v>6</v>
      </c>
      <c r="E75" s="1859">
        <v>1</v>
      </c>
      <c r="F75" s="1859">
        <v>250</v>
      </c>
      <c r="G75" s="1859">
        <v>0</v>
      </c>
      <c r="H75" s="1859">
        <v>0</v>
      </c>
      <c r="I75" s="1859">
        <v>0</v>
      </c>
      <c r="J75" s="91">
        <f>IF($F75=0,0,1+($F75-$C$21)/$C$22)+$G75/$C$23+$H75/$C$24+$I75/$C$25</f>
        <v>7.4545454545454541</v>
      </c>
      <c r="K75" s="97">
        <f t="shared" si="0"/>
        <v>3.5111917342151263E-8</v>
      </c>
      <c r="L75" s="91">
        <f>($C$7*$C$14*$C$8*$E75/$D75^2*K75*10^6)</f>
        <v>7.8026482982558355E-3</v>
      </c>
      <c r="M75" s="91">
        <f>IF($F75=0,0,1+($F75-$D$21)/$D$22)+$G75/$D$23+$H75/$D$24+$I75/$D$25</f>
        <v>6.6486486486486482</v>
      </c>
      <c r="N75" s="97">
        <f t="shared" si="1"/>
        <v>2.2456979955397711E-7</v>
      </c>
      <c r="O75" s="91">
        <f>($C$7*$D$14*$D$8*$E75/$D75^2*N75*10^6)</f>
        <v>4.99043999008838E-2</v>
      </c>
      <c r="P75" s="91">
        <f>IF($F75=0,0,1+($F75-$E$21)/$E$22)+$G75/$E$23+$H75/$E$24+$I75/$E$25</f>
        <v>5.7674418604651159</v>
      </c>
      <c r="Q75" s="97">
        <f t="shared" si="2"/>
        <v>1.7082763938087111E-6</v>
      </c>
      <c r="R75" s="91">
        <f>($C$7*$D$14*$E$8*$E75/$D75^2*Q75*10^6)</f>
        <v>0.37961697640193576</v>
      </c>
      <c r="S75" s="91">
        <f>IF($F75=0,0,1+($F75-$F$21)/$F$22)+$G75/$F$23+$H75/$F$24+$I75/$F$25</f>
        <v>9.1481481481481488</v>
      </c>
      <c r="T75" s="97">
        <f t="shared" si="3"/>
        <v>7.1097094323124171E-10</v>
      </c>
      <c r="U75" s="91">
        <f>($C$7*$F$14*$F$8*$E75/$D75^2*T75*10^6)</f>
        <v>1.5799354294027593E-4</v>
      </c>
      <c r="V75" s="91">
        <f>IF($F75=0,0,1+($F75-$G$21)/$G$22)+$G75/$G$23+$H75/$G$24+$I75/$G$25</f>
        <v>6.9444444444444446</v>
      </c>
      <c r="W75" s="97">
        <f t="shared" si="4"/>
        <v>1.136463666385722E-7</v>
      </c>
      <c r="X75" s="76">
        <f>($C$7*$G$14*$G$8*$E75/$D75^2*W75*10^6)</f>
        <v>2.5254748141904933E-2</v>
      </c>
      <c r="Y75" s="324">
        <f>SUM(L75,O75,R75,U75,X75)</f>
        <v>0.46273676628592059</v>
      </c>
      <c r="Z75" s="325"/>
      <c r="AA75" s="350"/>
      <c r="AG75" s="328"/>
      <c r="AI75" s="328"/>
      <c r="AJ75" s="328"/>
      <c r="AK75" s="328"/>
      <c r="AL75" s="328"/>
      <c r="AP75" s="222"/>
      <c r="AQ75" s="211"/>
      <c r="AR75" s="222"/>
      <c r="AS75" s="222"/>
      <c r="AT75" s="225"/>
      <c r="AU75" s="225"/>
      <c r="AV75" s="225"/>
      <c r="AW75" s="225"/>
      <c r="AX75" s="225"/>
      <c r="AY75" s="300"/>
      <c r="AZ75" s="300"/>
    </row>
    <row r="76" spans="1:52" s="212" customFormat="1" ht="30" customHeight="1" thickBot="1" x14ac:dyDescent="0.3">
      <c r="A76" s="657" t="str">
        <f>Samenvatting!A147</f>
        <v>L3</v>
      </c>
      <c r="B76" s="656" t="str">
        <f>Samenvatting!B147</f>
        <v>ingang labyrint linac 3</v>
      </c>
      <c r="C76" s="331" t="s">
        <v>568</v>
      </c>
      <c r="D76" s="1859">
        <v>5</v>
      </c>
      <c r="E76" s="58"/>
      <c r="F76" s="1859">
        <v>250</v>
      </c>
      <c r="G76" s="1859">
        <v>0</v>
      </c>
      <c r="H76" s="1859">
        <v>0</v>
      </c>
      <c r="I76" s="1859">
        <v>0</v>
      </c>
      <c r="J76" s="91">
        <f>$F76/$C$27+$G76/$C$28+$H76/$C$29+$I76/$C$30</f>
        <v>7.3529411764705879</v>
      </c>
      <c r="K76" s="97">
        <f t="shared" si="0"/>
        <v>4.4366873309786093E-8</v>
      </c>
      <c r="L76" s="91">
        <f>($C$7*$C$15*$C$8*($C$9+$C$10*$C$11)/$D76^2*K76*10^6)</f>
        <v>1.0648049594348663E-3</v>
      </c>
      <c r="M76" s="91">
        <f>$F76/$D$27+$G76/$D$28+$H76/$D$29+$I76/$D$30</f>
        <v>6.5789473684210522</v>
      </c>
      <c r="N76" s="97">
        <f t="shared" si="1"/>
        <v>2.636650898730358E-7</v>
      </c>
      <c r="O76" s="91">
        <f>($C$7*$C$15*$D$8*($D$9+$D$10*$D$11)/$D76^2*N76*10^6)</f>
        <v>6.3279621569528599E-3</v>
      </c>
      <c r="P76" s="91">
        <f>$F76/$E$27+$G76/$E$28+$H76/$E$29+$I76/$E$30</f>
        <v>5.6818181818181817</v>
      </c>
      <c r="Q76" s="97">
        <f t="shared" si="2"/>
        <v>2.0805675382171676E-6</v>
      </c>
      <c r="R76" s="91">
        <f>($C$7*$C$15*$E$8*($E$9+$E$10*$E$11)/$D76^2*Q76*10^6)</f>
        <v>4.9933620917212027E-2</v>
      </c>
      <c r="S76" s="91">
        <f>$F76/$F$27+$G76/$F$28+$H76/$F$29+$I76/$F$30</f>
        <v>8.1967213114754092</v>
      </c>
      <c r="T76" s="97">
        <f t="shared" si="3"/>
        <v>6.3573875711648393E-9</v>
      </c>
      <c r="U76" s="91">
        <f>($C$7*$C$15*$F$8*($F$9+$F$10*$F$11)/$D76^2*T76*10^6)</f>
        <v>1.5257730170795616E-4</v>
      </c>
      <c r="V76" s="91">
        <f>$F76/$G$27+$G76/$G$28+$H76/$G$29+$I76/$G$30</f>
        <v>7.0224719101123592</v>
      </c>
      <c r="W76" s="97">
        <f t="shared" si="4"/>
        <v>9.4957241494880226E-8</v>
      </c>
      <c r="X76" s="76">
        <f>($C$7*$C$15*$G$8*($G$9+$G$10*$G$11)/$D76^2*W76*10^6)</f>
        <v>2.278973795877126E-3</v>
      </c>
      <c r="Y76" s="339">
        <f>SUM(L76,O76,R76,U76,X76)</f>
        <v>5.9757939131184837E-2</v>
      </c>
      <c r="Z76" s="363">
        <f>SUM(Y74:Y77)</f>
        <v>0.52249470541710541</v>
      </c>
      <c r="AA76" s="334">
        <f>Z76*52/10^3</f>
        <v>2.7169724681689482E-2</v>
      </c>
      <c r="AG76" s="328"/>
      <c r="AH76" s="328"/>
      <c r="AI76" s="328"/>
      <c r="AJ76" s="328"/>
      <c r="AK76" s="328"/>
      <c r="AL76" s="328"/>
      <c r="AP76" s="222"/>
      <c r="AQ76" s="211"/>
      <c r="AR76" s="222"/>
      <c r="AS76" s="222"/>
      <c r="AT76" s="225"/>
      <c r="AU76" s="225"/>
      <c r="AV76" s="225"/>
      <c r="AW76" s="225"/>
      <c r="AX76" s="225"/>
      <c r="AY76" s="300"/>
      <c r="AZ76" s="300"/>
    </row>
    <row r="77" spans="1:52" s="212" customFormat="1" ht="30" hidden="1" customHeight="1" thickBot="1" x14ac:dyDescent="0.3">
      <c r="A77" s="715"/>
      <c r="B77" s="716"/>
      <c r="C77" s="318"/>
      <c r="D77" s="1871"/>
      <c r="E77" s="1871"/>
      <c r="F77" s="1871"/>
      <c r="G77" s="1871"/>
      <c r="H77" s="1871"/>
      <c r="I77" s="1871"/>
      <c r="J77" s="91"/>
      <c r="K77" s="97"/>
      <c r="L77" s="91"/>
      <c r="M77" s="91"/>
      <c r="N77" s="97"/>
      <c r="O77" s="91"/>
      <c r="P77" s="91"/>
      <c r="Q77" s="97"/>
      <c r="R77" s="91"/>
      <c r="S77" s="91"/>
      <c r="T77" s="97"/>
      <c r="U77" s="91"/>
      <c r="V77" s="91"/>
      <c r="W77" s="97"/>
      <c r="X77" s="76"/>
      <c r="Y77" s="577"/>
      <c r="Z77" s="659"/>
      <c r="AA77" s="660"/>
      <c r="AG77" s="328"/>
      <c r="AH77" s="328"/>
      <c r="AI77" s="328"/>
      <c r="AJ77" s="328"/>
      <c r="AK77" s="328"/>
      <c r="AL77" s="328"/>
      <c r="AP77" s="222"/>
      <c r="AQ77" s="211"/>
      <c r="AR77" s="222"/>
      <c r="AS77" s="222"/>
      <c r="AT77" s="225"/>
      <c r="AU77" s="225"/>
      <c r="AV77" s="225"/>
      <c r="AW77" s="225"/>
      <c r="AX77" s="225"/>
      <c r="AY77" s="300"/>
      <c r="AZ77" s="300"/>
    </row>
    <row r="78" spans="1:52" s="212" customFormat="1" ht="30" customHeight="1" x14ac:dyDescent="0.25">
      <c r="A78" s="552"/>
      <c r="B78" s="322"/>
      <c r="C78" s="323" t="s">
        <v>569</v>
      </c>
      <c r="D78" s="1859">
        <v>6</v>
      </c>
      <c r="E78" s="1859">
        <v>1</v>
      </c>
      <c r="F78" s="1859">
        <v>250</v>
      </c>
      <c r="G78" s="1859">
        <v>0</v>
      </c>
      <c r="H78" s="1859">
        <v>0</v>
      </c>
      <c r="I78" s="1859">
        <v>0</v>
      </c>
      <c r="J78" s="91">
        <f>IF($F78=0,0,1+($F78-$C$21)/$C$22)+$G78/$C$23+$H78/$C$24+$I78/$C$25</f>
        <v>7.4545454545454541</v>
      </c>
      <c r="K78" s="97">
        <f t="shared" si="0"/>
        <v>3.5111917342151263E-8</v>
      </c>
      <c r="L78" s="91">
        <f>($C$7*$C$14*$C$8*$E78/$D78^2*K78*10^6)</f>
        <v>7.8026482982558355E-3</v>
      </c>
      <c r="M78" s="91">
        <f>IF($F78=0,0,1+($F78-$D$21)/$D$22)+$G78/$D$23+$H78/$D$24+$I78/$D$25</f>
        <v>6.6486486486486482</v>
      </c>
      <c r="N78" s="97">
        <f t="shared" si="1"/>
        <v>2.2456979955397711E-7</v>
      </c>
      <c r="O78" s="91">
        <f>($C$7*$D$14*$D$8*$E78/$D78^2*N78*10^6)</f>
        <v>4.99043999008838E-2</v>
      </c>
      <c r="P78" s="91">
        <f>IF($F78=0,0,1+($F78-$E$21)/$E$22)+$G78/$E$23+$H78/$E$24+$I78/$E$25</f>
        <v>5.7674418604651159</v>
      </c>
      <c r="Q78" s="97">
        <f t="shared" si="2"/>
        <v>1.7082763938087111E-6</v>
      </c>
      <c r="R78" s="91">
        <f>($C$7*$D$14*$E$8*$E78/$D78^2*Q78*10^6)</f>
        <v>0.37961697640193576</v>
      </c>
      <c r="S78" s="91">
        <f>IF($F78=0,0,1+($F78-$F$21)/$F$22)+$G78/$F$23+$H78/$F$24+$I78/$F$25</f>
        <v>9.1481481481481488</v>
      </c>
      <c r="T78" s="97">
        <f t="shared" si="3"/>
        <v>7.1097094323124171E-10</v>
      </c>
      <c r="U78" s="91">
        <f>($C$7*$F$14*$F$8*$E78/$D78^2*T78*10^6)</f>
        <v>1.5799354294027593E-4</v>
      </c>
      <c r="V78" s="91">
        <f>IF($F78=0,0,1+($F78-$G$21)/$G$22)+$G78/$G$23+$H78/$G$24+$I78/$G$25</f>
        <v>6.9444444444444446</v>
      </c>
      <c r="W78" s="97">
        <f t="shared" si="4"/>
        <v>1.136463666385722E-7</v>
      </c>
      <c r="X78" s="76">
        <f>($C$7*$G$14*$G$8*$E78/$D78^2*W78*10^6)</f>
        <v>2.5254748141904933E-2</v>
      </c>
      <c r="Y78" s="324">
        <f>SUM(L78,O78,R78,U78,X78)</f>
        <v>0.46273676628592059</v>
      </c>
      <c r="Z78" s="325"/>
      <c r="AA78" s="350"/>
      <c r="AG78" s="328"/>
      <c r="AI78" s="328"/>
      <c r="AJ78" s="328"/>
      <c r="AK78" s="328"/>
      <c r="AL78" s="328"/>
      <c r="AP78" s="222"/>
      <c r="AQ78" s="211"/>
      <c r="AR78" s="222"/>
      <c r="AS78" s="222"/>
      <c r="AT78" s="225"/>
      <c r="AU78" s="225"/>
      <c r="AV78" s="225"/>
      <c r="AW78" s="225"/>
      <c r="AX78" s="225"/>
      <c r="AY78" s="300"/>
      <c r="AZ78" s="300"/>
    </row>
    <row r="79" spans="1:52" s="212" customFormat="1" ht="30" customHeight="1" thickBot="1" x14ac:dyDescent="0.3">
      <c r="A79" s="657" t="str">
        <f>Samenvatting!A159</f>
        <v>L4</v>
      </c>
      <c r="B79" s="330" t="str">
        <f>Samenvatting!B159</f>
        <v>ingang labyrint linac 4</v>
      </c>
      <c r="C79" s="331" t="s">
        <v>568</v>
      </c>
      <c r="D79" s="1859">
        <v>5</v>
      </c>
      <c r="E79" s="58"/>
      <c r="F79" s="1859">
        <v>250</v>
      </c>
      <c r="G79" s="1859">
        <v>0</v>
      </c>
      <c r="H79" s="1859">
        <v>0</v>
      </c>
      <c r="I79" s="1859">
        <v>0</v>
      </c>
      <c r="J79" s="91">
        <f>$F79/$C$27+$G79/$C$28+$H79/$C$29+$I79/$C$30</f>
        <v>7.3529411764705879</v>
      </c>
      <c r="K79" s="97">
        <f t="shared" si="0"/>
        <v>4.4366873309786093E-8</v>
      </c>
      <c r="L79" s="91">
        <f>($C$7*$C$15*$C$8*($C$9+$C$10*$C$11)/$D79^2*K79*10^6)</f>
        <v>1.0648049594348663E-3</v>
      </c>
      <c r="M79" s="91">
        <f>$F79/$D$27+$G79/$D$28+$H79/$D$29+$I79/$D$30</f>
        <v>6.5789473684210522</v>
      </c>
      <c r="N79" s="97">
        <f t="shared" si="1"/>
        <v>2.636650898730358E-7</v>
      </c>
      <c r="O79" s="91">
        <f>($C$7*$C$15*$D$8*($D$9+$D$10*$D$11)/$D79^2*N79*10^6)</f>
        <v>6.3279621569528599E-3</v>
      </c>
      <c r="P79" s="91">
        <f>$F79/$E$27+$G79/$E$28+$H79/$E$29+$I79/$E$30</f>
        <v>5.6818181818181817</v>
      </c>
      <c r="Q79" s="97">
        <f t="shared" si="2"/>
        <v>2.0805675382171676E-6</v>
      </c>
      <c r="R79" s="91">
        <f>($C$7*$C$15*$E$8*($E$9+$E$10*$E$11)/$D79^2*Q79*10^6)</f>
        <v>4.9933620917212027E-2</v>
      </c>
      <c r="S79" s="91">
        <f>$F79/$F$27+$G79/$F$28+$H79/$F$29+$I79/$F$30</f>
        <v>8.1967213114754092</v>
      </c>
      <c r="T79" s="97">
        <f t="shared" si="3"/>
        <v>6.3573875711648393E-9</v>
      </c>
      <c r="U79" s="91">
        <f>($C$7*$C$15*$F$8*($F$9+$F$10*$F$11)/$D79^2*T79*10^6)</f>
        <v>1.5257730170795616E-4</v>
      </c>
      <c r="V79" s="91">
        <f>$F79/$G$27+$G79/$G$28+$H79/$G$29+$I79/$G$30</f>
        <v>7.0224719101123592</v>
      </c>
      <c r="W79" s="97">
        <f t="shared" si="4"/>
        <v>9.4957241494880226E-8</v>
      </c>
      <c r="X79" s="76">
        <f>($C$7*$C$15*$G$8*($G$9+$G$10*$G$11)/$D79^2*W79*10^6)</f>
        <v>2.278973795877126E-3</v>
      </c>
      <c r="Y79" s="339">
        <f>SUM(L79,O79,R79,U79,X79)</f>
        <v>5.9757939131184837E-2</v>
      </c>
      <c r="Z79" s="363">
        <f>SUM(Y77:Y80)</f>
        <v>0.52249470541710541</v>
      </c>
      <c r="AA79" s="334">
        <f>Z79*52/10^3</f>
        <v>2.7169724681689482E-2</v>
      </c>
      <c r="AG79" s="328"/>
      <c r="AH79" s="328"/>
      <c r="AI79" s="328"/>
      <c r="AJ79" s="328"/>
      <c r="AK79" s="328"/>
      <c r="AL79" s="328"/>
      <c r="AP79" s="222"/>
      <c r="AQ79" s="211"/>
      <c r="AR79" s="222"/>
      <c r="AS79" s="222"/>
      <c r="AT79" s="225"/>
      <c r="AU79" s="225"/>
      <c r="AV79" s="225"/>
      <c r="AW79" s="225"/>
      <c r="AX79" s="225"/>
      <c r="AY79" s="300"/>
      <c r="AZ79" s="300"/>
    </row>
    <row r="80" spans="1:52" s="212" customFormat="1" ht="30" hidden="1" customHeight="1" thickBot="1" x14ac:dyDescent="0.3">
      <c r="A80" s="312"/>
      <c r="B80" s="450"/>
      <c r="C80" s="318"/>
      <c r="D80" s="1871"/>
      <c r="E80" s="1871"/>
      <c r="F80" s="1871"/>
      <c r="G80" s="1871"/>
      <c r="H80" s="1871"/>
      <c r="I80" s="1871"/>
      <c r="J80" s="91"/>
      <c r="K80" s="97"/>
      <c r="L80" s="91"/>
      <c r="M80" s="91"/>
      <c r="N80" s="97"/>
      <c r="O80" s="91"/>
      <c r="P80" s="91"/>
      <c r="Q80" s="97"/>
      <c r="R80" s="91"/>
      <c r="S80" s="91"/>
      <c r="T80" s="97"/>
      <c r="U80" s="91"/>
      <c r="V80" s="91"/>
      <c r="W80" s="97"/>
      <c r="X80" s="76"/>
      <c r="Y80" s="577"/>
      <c r="Z80" s="659"/>
      <c r="AA80" s="660"/>
      <c r="AG80" s="328"/>
      <c r="AH80" s="328"/>
      <c r="AI80" s="328"/>
      <c r="AJ80" s="328"/>
      <c r="AK80" s="328"/>
      <c r="AL80" s="328"/>
      <c r="AP80" s="222"/>
      <c r="AQ80" s="211"/>
      <c r="AR80" s="222"/>
      <c r="AS80" s="222"/>
      <c r="AT80" s="225"/>
      <c r="AU80" s="225"/>
      <c r="AV80" s="225"/>
      <c r="AW80" s="225"/>
      <c r="AX80" s="225"/>
      <c r="AY80" s="300"/>
      <c r="AZ80" s="300"/>
    </row>
    <row r="81" spans="1:52" s="212" customFormat="1" ht="30" customHeight="1" x14ac:dyDescent="0.25">
      <c r="A81" s="322"/>
      <c r="B81" s="322"/>
      <c r="C81" s="323" t="s">
        <v>569</v>
      </c>
      <c r="D81" s="1859">
        <v>6</v>
      </c>
      <c r="E81" s="1859">
        <v>1</v>
      </c>
      <c r="F81" s="1859">
        <v>250</v>
      </c>
      <c r="G81" s="1859">
        <v>0</v>
      </c>
      <c r="H81" s="1859">
        <v>0</v>
      </c>
      <c r="I81" s="1859">
        <v>0</v>
      </c>
      <c r="J81" s="91">
        <f>IF($F81=0,0,1+($F81-$C$21)/$C$22)+$G81/$C$23+$H81/$C$24+$I81/$C$25</f>
        <v>7.4545454545454541</v>
      </c>
      <c r="K81" s="97">
        <f t="shared" si="0"/>
        <v>3.5111917342151263E-8</v>
      </c>
      <c r="L81" s="91">
        <f>($C$7*$C$14*$C$8*$E81/$D81^2*K81*10^6)</f>
        <v>7.8026482982558355E-3</v>
      </c>
      <c r="M81" s="91">
        <f>IF($F81=0,0,1+($F81-$D$21)/$D$22)+$G81/$D$23+$H81/$D$24+$I81/$D$25</f>
        <v>6.6486486486486482</v>
      </c>
      <c r="N81" s="97">
        <f t="shared" si="1"/>
        <v>2.2456979955397711E-7</v>
      </c>
      <c r="O81" s="91">
        <f>($C$7*$D$14*$D$8*$E81/$D81^2*N81*10^6)</f>
        <v>4.99043999008838E-2</v>
      </c>
      <c r="P81" s="91">
        <f>IF($F81=0,0,1+($F81-$E$21)/$E$22)+$G81/$E$23+$H81/$E$24+$I81/$E$25</f>
        <v>5.7674418604651159</v>
      </c>
      <c r="Q81" s="97">
        <f t="shared" si="2"/>
        <v>1.7082763938087111E-6</v>
      </c>
      <c r="R81" s="91">
        <f>($C$7*$D$14*$E$8*$E81/$D81^2*Q81*10^6)</f>
        <v>0.37961697640193576</v>
      </c>
      <c r="S81" s="91">
        <f>IF($F81=0,0,1+($F81-$F$21)/$F$22)+$G81/$F$23+$H81/$F$24+$I81/$F$25</f>
        <v>9.1481481481481488</v>
      </c>
      <c r="T81" s="97">
        <f t="shared" si="3"/>
        <v>7.1097094323124171E-10</v>
      </c>
      <c r="U81" s="91">
        <f>($C$7*$F$14*$F$8*$E81/$D81^2*T81*10^6)</f>
        <v>1.5799354294027593E-4</v>
      </c>
      <c r="V81" s="91">
        <f>IF($F81=0,0,1+($F81-$G$21)/$G$22)+$G81/$G$23+$H81/$G$24+$I81/$G$25</f>
        <v>6.9444444444444446</v>
      </c>
      <c r="W81" s="97">
        <f t="shared" si="4"/>
        <v>1.136463666385722E-7</v>
      </c>
      <c r="X81" s="76">
        <f>($C$7*$G$14*$G$8*$E81/$D81^2*W81*10^6)</f>
        <v>2.5254748141904933E-2</v>
      </c>
      <c r="Y81" s="324">
        <f>SUM(L81,O81,R81,U81,X81)</f>
        <v>0.46273676628592059</v>
      </c>
      <c r="Z81" s="325"/>
      <c r="AA81" s="350"/>
      <c r="AG81" s="328"/>
      <c r="AI81" s="328"/>
      <c r="AJ81" s="328"/>
      <c r="AK81" s="328"/>
      <c r="AL81" s="328"/>
      <c r="AP81" s="222"/>
      <c r="AQ81" s="211"/>
      <c r="AR81" s="222"/>
      <c r="AS81" s="222"/>
      <c r="AT81" s="225"/>
      <c r="AU81" s="225"/>
      <c r="AV81" s="225"/>
      <c r="AW81" s="225"/>
      <c r="AX81" s="225"/>
      <c r="AY81" s="300"/>
      <c r="AZ81" s="300"/>
    </row>
    <row r="82" spans="1:52" s="212" customFormat="1" ht="30" customHeight="1" thickBot="1" x14ac:dyDescent="0.3">
      <c r="A82" s="657" t="str">
        <f>Samenvatting!A171</f>
        <v>L5</v>
      </c>
      <c r="B82" s="330" t="str">
        <f>Samenvatting!B171</f>
        <v>ingang labyrint linac 5</v>
      </c>
      <c r="C82" s="331" t="s">
        <v>568</v>
      </c>
      <c r="D82" s="1859">
        <v>5</v>
      </c>
      <c r="E82" s="58"/>
      <c r="F82" s="1859">
        <v>250</v>
      </c>
      <c r="G82" s="1859">
        <v>0</v>
      </c>
      <c r="H82" s="1859">
        <v>0</v>
      </c>
      <c r="I82" s="1859">
        <v>0</v>
      </c>
      <c r="J82" s="91">
        <f>$F82/$C$27+$G82/$C$28+$H82/$C$29+$I82/$C$30</f>
        <v>7.3529411764705879</v>
      </c>
      <c r="K82" s="97">
        <f t="shared" si="0"/>
        <v>4.4366873309786093E-8</v>
      </c>
      <c r="L82" s="91">
        <f>($C$7*$C$15*$C$8*($C$9+$C$10*$C$11)/$D82^2*K82*10^6)</f>
        <v>1.0648049594348663E-3</v>
      </c>
      <c r="M82" s="91">
        <f>$F82/$D$27+$G82/$D$28+$H82/$D$29+$I82/$D$30</f>
        <v>6.5789473684210522</v>
      </c>
      <c r="N82" s="97">
        <f t="shared" si="1"/>
        <v>2.636650898730358E-7</v>
      </c>
      <c r="O82" s="91">
        <f>($C$7*$C$15*$D$8*($D$9+$D$10*$D$11)/$D82^2*N82*10^6)</f>
        <v>6.3279621569528599E-3</v>
      </c>
      <c r="P82" s="91">
        <f>$F82/$E$27+$G82/$E$28+$H82/$E$29+$I82/$E$30</f>
        <v>5.6818181818181817</v>
      </c>
      <c r="Q82" s="97">
        <f t="shared" si="2"/>
        <v>2.0805675382171676E-6</v>
      </c>
      <c r="R82" s="91">
        <f>($C$7*$C$15*$E$8*($E$9+$E$10*$E$11)/$D82^2*Q82*10^6)</f>
        <v>4.9933620917212027E-2</v>
      </c>
      <c r="S82" s="91">
        <f>$F82/$F$27+$G82/$F$28+$H82/$F$29+$I82/$F$30</f>
        <v>8.1967213114754092</v>
      </c>
      <c r="T82" s="97">
        <f t="shared" si="3"/>
        <v>6.3573875711648393E-9</v>
      </c>
      <c r="U82" s="91">
        <f>($C$7*$C$15*$F$8*($F$9+$F$10*$F$11)/$D82^2*T82*10^6)</f>
        <v>1.5257730170795616E-4</v>
      </c>
      <c r="V82" s="91">
        <f>$F82/$G$27+$G82/$G$28+$H82/$G$29+$I82/$G$30</f>
        <v>7.0224719101123592</v>
      </c>
      <c r="W82" s="97">
        <f t="shared" si="4"/>
        <v>9.4957241494880226E-8</v>
      </c>
      <c r="X82" s="76">
        <f>($C$7*$C$15*$G$8*($G$9+$G$10*$G$11)/$D82^2*W82*10^6)</f>
        <v>2.278973795877126E-3</v>
      </c>
      <c r="Y82" s="339">
        <f>SUM(L82,O82,R82,U82,X82)</f>
        <v>5.9757939131184837E-2</v>
      </c>
      <c r="Z82" s="363">
        <f>SUM(Y80:Y83)</f>
        <v>0.52249470541710541</v>
      </c>
      <c r="AA82" s="334">
        <f>Z82*52/10^3</f>
        <v>2.7169724681689482E-2</v>
      </c>
      <c r="AG82" s="328"/>
      <c r="AH82" s="328"/>
      <c r="AI82" s="328"/>
      <c r="AJ82" s="328"/>
      <c r="AK82" s="328"/>
      <c r="AL82" s="328"/>
      <c r="AP82" s="222"/>
      <c r="AQ82" s="211"/>
      <c r="AR82" s="222"/>
      <c r="AS82" s="222"/>
      <c r="AT82" s="225"/>
      <c r="AU82" s="225"/>
      <c r="AV82" s="225"/>
      <c r="AW82" s="225"/>
      <c r="AX82" s="225"/>
      <c r="AY82" s="300"/>
      <c r="AZ82" s="300"/>
    </row>
    <row r="83" spans="1:52" s="212" customFormat="1" ht="30" hidden="1" customHeight="1" thickBot="1" x14ac:dyDescent="0.3">
      <c r="A83" s="312"/>
      <c r="B83" s="450"/>
      <c r="C83" s="318"/>
      <c r="D83" s="1871"/>
      <c r="E83" s="1871"/>
      <c r="F83" s="1871"/>
      <c r="G83" s="1871"/>
      <c r="H83" s="1871"/>
      <c r="I83" s="1871"/>
      <c r="J83" s="91"/>
      <c r="K83" s="97"/>
      <c r="L83" s="91"/>
      <c r="M83" s="91"/>
      <c r="N83" s="97"/>
      <c r="O83" s="91"/>
      <c r="P83" s="91"/>
      <c r="Q83" s="97"/>
      <c r="R83" s="91"/>
      <c r="S83" s="91"/>
      <c r="T83" s="97"/>
      <c r="U83" s="91"/>
      <c r="V83" s="91"/>
      <c r="W83" s="97"/>
      <c r="X83" s="76"/>
      <c r="Y83" s="577"/>
      <c r="Z83" s="659"/>
      <c r="AA83" s="660"/>
      <c r="AG83" s="328"/>
      <c r="AH83" s="328"/>
      <c r="AI83" s="328"/>
      <c r="AJ83" s="328"/>
      <c r="AK83" s="328"/>
      <c r="AL83" s="328"/>
      <c r="AP83" s="222"/>
      <c r="AQ83" s="211"/>
      <c r="AR83" s="222"/>
      <c r="AS83" s="222"/>
      <c r="AT83" s="225"/>
      <c r="AU83" s="225"/>
      <c r="AV83" s="225"/>
      <c r="AW83" s="225"/>
      <c r="AX83" s="225"/>
      <c r="AY83" s="300"/>
      <c r="AZ83" s="300"/>
    </row>
    <row r="84" spans="1:52" s="212" customFormat="1" ht="30" customHeight="1" x14ac:dyDescent="0.25">
      <c r="A84" s="322"/>
      <c r="B84" s="322"/>
      <c r="C84" s="348" t="s">
        <v>209</v>
      </c>
      <c r="D84" s="1859">
        <v>6</v>
      </c>
      <c r="E84" s="1859">
        <v>1</v>
      </c>
      <c r="F84" s="1859">
        <v>250</v>
      </c>
      <c r="G84" s="1859">
        <v>0</v>
      </c>
      <c r="H84" s="1859">
        <v>0</v>
      </c>
      <c r="I84" s="1859">
        <v>0</v>
      </c>
      <c r="J84" s="91">
        <f>IF($F84=0,0,1+($F84-$C$21)/$C$22)+$G84/$C$23+$H84/$C$24+$I84/$C$25</f>
        <v>7.4545454545454541</v>
      </c>
      <c r="K84" s="97">
        <f>10^(-J84)</f>
        <v>3.5111917342151263E-8</v>
      </c>
      <c r="L84" s="91">
        <f>($C$7*$C$14*$C$8*$E84/$D84^2*K84*10^6)</f>
        <v>7.8026482982558355E-3</v>
      </c>
      <c r="M84" s="91">
        <f>IF($F84=0,0,1+($F84-$D$21)/$D$22)+$G84/$D$23+$H84/$D$24+$I84/$D$25</f>
        <v>6.6486486486486482</v>
      </c>
      <c r="N84" s="97">
        <f>10^(-M84)</f>
        <v>2.2456979955397711E-7</v>
      </c>
      <c r="O84" s="91">
        <f>($C$7*$D$14*$D$8*$E84/$D84^2*N84*10^6)</f>
        <v>4.99043999008838E-2</v>
      </c>
      <c r="P84" s="91">
        <f>IF($F84=0,0,1+($F84-$E$21)/$E$22)+$G84/$E$23+$H84/$E$24+$I84/$E$25</f>
        <v>5.7674418604651159</v>
      </c>
      <c r="Q84" s="97">
        <f>10^(-P84)</f>
        <v>1.7082763938087111E-6</v>
      </c>
      <c r="R84" s="91">
        <f>($C$7*$D$14*$E$8*$E84/$D84^2*Q84*10^6)</f>
        <v>0.37961697640193576</v>
      </c>
      <c r="S84" s="91">
        <f>IF($F84=0,0,1+($F84-$F$21)/$F$22)+$G84/$F$23+$H84/$F$24+$I84/$F$25</f>
        <v>9.1481481481481488</v>
      </c>
      <c r="T84" s="97">
        <f>10^(-S84)</f>
        <v>7.1097094323124171E-10</v>
      </c>
      <c r="U84" s="91">
        <f>($C$7*$F$14*$F$8*$E84/$D84^2*T84*10^6)</f>
        <v>1.5799354294027593E-4</v>
      </c>
      <c r="V84" s="91">
        <f>IF($F84=0,0,1+($F84-$G$21)/$G$22)+$G84/$G$23+$H84/$G$24+$I84/$G$25</f>
        <v>6.9444444444444446</v>
      </c>
      <c r="W84" s="97">
        <f>10^(-V84)</f>
        <v>1.136463666385722E-7</v>
      </c>
      <c r="X84" s="76">
        <f>($C$7*$G$14*$G$8*$E84/$D84^2*W84*10^6)</f>
        <v>2.5254748141904933E-2</v>
      </c>
      <c r="Y84" s="324">
        <f>SUM(L84,O84,R84,U84,X84)</f>
        <v>0.46273676628592059</v>
      </c>
      <c r="Z84" s="717"/>
      <c r="AA84" s="718"/>
      <c r="AG84" s="328"/>
      <c r="AI84" s="328"/>
      <c r="AJ84" s="328"/>
      <c r="AK84" s="328"/>
      <c r="AL84" s="328"/>
      <c r="AP84" s="222"/>
      <c r="AQ84" s="211"/>
      <c r="AR84" s="222"/>
      <c r="AS84" s="222"/>
      <c r="AT84" s="225"/>
      <c r="AU84" s="225"/>
      <c r="AV84" s="225"/>
      <c r="AW84" s="225"/>
      <c r="AX84" s="225"/>
      <c r="AY84" s="300"/>
      <c r="AZ84" s="300"/>
    </row>
    <row r="85" spans="1:52" s="212" customFormat="1" ht="30" customHeight="1" x14ac:dyDescent="0.25">
      <c r="A85" s="351" t="str">
        <f>Samenvatting!A183</f>
        <v>L6</v>
      </c>
      <c r="B85" s="719" t="str">
        <f>Samenvatting!B183</f>
        <v>ingang labyrint linac 6</v>
      </c>
      <c r="C85" s="353" t="s">
        <v>361</v>
      </c>
      <c r="D85" s="1859">
        <v>5</v>
      </c>
      <c r="E85" s="58"/>
      <c r="F85" s="1859">
        <v>250</v>
      </c>
      <c r="G85" s="1859">
        <v>0</v>
      </c>
      <c r="H85" s="1859">
        <v>0</v>
      </c>
      <c r="I85" s="1859">
        <v>0</v>
      </c>
      <c r="J85" s="91">
        <f>$F85/$C$27+$G85/$C$28+$H85/$C$29+$I85/$C$30</f>
        <v>7.3529411764705879</v>
      </c>
      <c r="K85" s="97">
        <f>10^(-J85)</f>
        <v>4.4366873309786093E-8</v>
      </c>
      <c r="L85" s="91">
        <f>($C$7*$C$15*$C$8*($C$9+$C$10*$C$11)/$D85^2*K85*10^6)</f>
        <v>1.0648049594348663E-3</v>
      </c>
      <c r="M85" s="91">
        <f>$F85/$D$27+$G85/$D$28+$H85/$D$29+$I85/$D$30</f>
        <v>6.5789473684210522</v>
      </c>
      <c r="N85" s="97">
        <f>10^(-M85)</f>
        <v>2.636650898730358E-7</v>
      </c>
      <c r="O85" s="91">
        <f>($C$7*$C$15*$D$8*($D$9+$D$10*$D$11)/$D85^2*N85*10^6)</f>
        <v>6.3279621569528599E-3</v>
      </c>
      <c r="P85" s="91">
        <f>$F85/$E$27+$G85/$E$28+$H85/$E$29+$I85/$E$30</f>
        <v>5.6818181818181817</v>
      </c>
      <c r="Q85" s="97">
        <f>10^(-P85)</f>
        <v>2.0805675382171676E-6</v>
      </c>
      <c r="R85" s="91">
        <f>($C$7*$C$15*$E$8*($E$9+$E$10*$E$11)/$D85^2*Q85*10^6)</f>
        <v>4.9933620917212027E-2</v>
      </c>
      <c r="S85" s="91">
        <f>$F85/$F$27+$G85/$F$28+$H85/$F$29+$I85/$F$30</f>
        <v>8.1967213114754092</v>
      </c>
      <c r="T85" s="97">
        <f>10^(-S85)</f>
        <v>6.3573875711648393E-9</v>
      </c>
      <c r="U85" s="91">
        <f>($C$7*$C$15*$F$8*($F$9+$F$10*$F$11)/$D85^2*T85*10^6)</f>
        <v>1.5257730170795616E-4</v>
      </c>
      <c r="V85" s="91">
        <f>$F85/$G$27+$G85/$G$28+$H85/$G$29+$I85/$G$30</f>
        <v>7.0224719101123592</v>
      </c>
      <c r="W85" s="97">
        <f>10^(-V85)</f>
        <v>9.4957241494880226E-8</v>
      </c>
      <c r="X85" s="76">
        <f>($C$7*$C$15*$G$8*($G$9+$G$10*$G$11)/$D85^2*W85*10^6)</f>
        <v>2.278973795877126E-3</v>
      </c>
      <c r="Y85" s="355">
        <f>SUM(L85,O85,R85,U85,X85)</f>
        <v>5.9757939131184837E-2</v>
      </c>
      <c r="Z85" s="662">
        <f>SUM(Y83:Y87)</f>
        <v>298.71327202141981</v>
      </c>
      <c r="AA85" s="663">
        <f>Z85*52/10^3</f>
        <v>15.53309014511383</v>
      </c>
      <c r="AG85" s="328"/>
      <c r="AH85" s="328"/>
      <c r="AI85" s="328"/>
      <c r="AJ85" s="328"/>
      <c r="AK85" s="328"/>
      <c r="AL85" s="328"/>
      <c r="AP85" s="222"/>
      <c r="AQ85" s="211"/>
      <c r="AR85" s="222"/>
      <c r="AS85" s="222"/>
      <c r="AT85" s="225"/>
      <c r="AU85" s="225"/>
      <c r="AV85" s="225"/>
      <c r="AW85" s="225"/>
      <c r="AX85" s="225"/>
      <c r="AY85" s="300"/>
      <c r="AZ85" s="300"/>
    </row>
    <row r="86" spans="1:52" s="212" customFormat="1" ht="30" customHeight="1" thickBot="1" x14ac:dyDescent="0.3">
      <c r="A86" s="657"/>
      <c r="B86" s="700"/>
      <c r="C86" s="360" t="s">
        <v>360</v>
      </c>
      <c r="D86" s="701" t="s">
        <v>362</v>
      </c>
      <c r="E86" s="58"/>
      <c r="F86" s="58"/>
      <c r="G86" s="58"/>
      <c r="H86" s="58"/>
      <c r="I86" s="58"/>
      <c r="J86" s="91"/>
      <c r="K86" s="97"/>
      <c r="L86" s="91"/>
      <c r="M86" s="702"/>
      <c r="N86" s="703"/>
      <c r="O86" s="704"/>
      <c r="P86" s="704"/>
      <c r="Q86" s="703"/>
      <c r="R86" s="704"/>
      <c r="S86" s="704"/>
      <c r="T86" s="703"/>
      <c r="U86" s="704"/>
      <c r="V86" s="704"/>
      <c r="W86" s="703"/>
      <c r="X86" s="705"/>
      <c r="Y86" s="339">
        <f>SUM(AT130:AT135)</f>
        <v>298.19077731600271</v>
      </c>
      <c r="Z86" s="720"/>
      <c r="AA86" s="364"/>
      <c r="AG86" s="328"/>
      <c r="AH86" s="328"/>
      <c r="AI86" s="328"/>
      <c r="AJ86" s="328"/>
      <c r="AK86" s="328"/>
      <c r="AL86" s="328"/>
      <c r="AP86" s="222"/>
      <c r="AQ86" s="211"/>
      <c r="AR86" s="222"/>
      <c r="AS86" s="222"/>
      <c r="AT86" s="225"/>
      <c r="AU86" s="225"/>
      <c r="AV86" s="225"/>
      <c r="AW86" s="225"/>
      <c r="AX86" s="225"/>
      <c r="AY86" s="300"/>
      <c r="AZ86" s="300"/>
    </row>
    <row r="87" spans="1:52" s="212" customFormat="1" ht="30" hidden="1" customHeight="1" thickBot="1" x14ac:dyDescent="0.3">
      <c r="A87" s="211"/>
      <c r="B87" s="671"/>
      <c r="C87" s="318"/>
      <c r="D87" s="1872"/>
      <c r="E87" s="1871"/>
      <c r="F87" s="1871"/>
      <c r="G87" s="1871"/>
      <c r="H87" s="1871"/>
      <c r="I87" s="1871"/>
      <c r="J87" s="91"/>
      <c r="K87" s="97"/>
      <c r="L87" s="91"/>
      <c r="M87" s="702"/>
      <c r="N87" s="703"/>
      <c r="O87" s="704"/>
      <c r="P87" s="704"/>
      <c r="Q87" s="703"/>
      <c r="R87" s="704"/>
      <c r="S87" s="704"/>
      <c r="T87" s="703"/>
      <c r="U87" s="704"/>
      <c r="V87" s="704"/>
      <c r="W87" s="703"/>
      <c r="X87" s="705"/>
      <c r="Y87" s="577"/>
      <c r="Z87" s="707"/>
      <c r="AA87" s="708"/>
      <c r="AG87" s="328"/>
      <c r="AH87" s="328"/>
      <c r="AI87" s="328"/>
      <c r="AJ87" s="328"/>
      <c r="AK87" s="328"/>
      <c r="AL87" s="328"/>
      <c r="AP87" s="222"/>
      <c r="AQ87" s="211"/>
      <c r="AR87" s="222"/>
      <c r="AS87" s="222"/>
      <c r="AT87" s="225"/>
      <c r="AU87" s="225"/>
      <c r="AV87" s="225"/>
      <c r="AW87" s="225"/>
      <c r="AX87" s="225"/>
      <c r="AY87" s="300"/>
      <c r="AZ87" s="300"/>
    </row>
    <row r="88" spans="1:52" s="212" customFormat="1" ht="30" customHeight="1" x14ac:dyDescent="0.25">
      <c r="A88" s="322"/>
      <c r="B88" s="322"/>
      <c r="C88" s="323" t="s">
        <v>569</v>
      </c>
      <c r="D88" s="1859">
        <v>6</v>
      </c>
      <c r="E88" s="1859">
        <v>1</v>
      </c>
      <c r="F88" s="1859">
        <v>250</v>
      </c>
      <c r="G88" s="1859">
        <v>0</v>
      </c>
      <c r="H88" s="1859">
        <v>0</v>
      </c>
      <c r="I88" s="1859">
        <v>0</v>
      </c>
      <c r="J88" s="91">
        <f>IF($F88=0,0,1+($F88-$C$21)/$C$22)+$G88/$C$23+$H88/$C$24+$I88/$C$25</f>
        <v>7.4545454545454541</v>
      </c>
      <c r="K88" s="97">
        <f t="shared" ref="K88:K101" si="6">10^(-J88)</f>
        <v>3.5111917342151263E-8</v>
      </c>
      <c r="L88" s="91">
        <f>($C$7*$C$14*$C$8*$E88/$D88^2*K88*10^6)</f>
        <v>7.8026482982558355E-3</v>
      </c>
      <c r="M88" s="91">
        <f>IF($F88=0,0,1+($F88-$D$21)/$D$22)+$G88/$D$23+$H88/$D$24+$I88/$D$25</f>
        <v>6.6486486486486482</v>
      </c>
      <c r="N88" s="97">
        <f t="shared" ref="N88:N101" si="7">10^(-M88)</f>
        <v>2.2456979955397711E-7</v>
      </c>
      <c r="O88" s="91">
        <f>($C$7*$D$14*$D$8*$E88/$D88^2*N88*10^6)</f>
        <v>4.99043999008838E-2</v>
      </c>
      <c r="P88" s="91">
        <f>IF($F88=0,0,1+($F88-$E$21)/$E$22)+$G88/$E$23+$H88/$E$24+$I88/$E$25</f>
        <v>5.7674418604651159</v>
      </c>
      <c r="Q88" s="97">
        <f t="shared" ref="Q88:Q101" si="8">10^(-P88)</f>
        <v>1.7082763938087111E-6</v>
      </c>
      <c r="R88" s="91">
        <f>($C$7*$D$14*$E$8*$E88/$D88^2*Q88*10^6)</f>
        <v>0.37961697640193576</v>
      </c>
      <c r="S88" s="91">
        <f>IF($F88=0,0,1+($F88-$F$21)/$F$22)+$G88/$F$23+$H88/$F$24+$I88/$F$25</f>
        <v>9.1481481481481488</v>
      </c>
      <c r="T88" s="97">
        <f t="shared" ref="T88:T101" si="9">10^(-S88)</f>
        <v>7.1097094323124171E-10</v>
      </c>
      <c r="U88" s="91">
        <f>($C$7*$F$14*$F$8*$E88/$D88^2*T88*10^6)</f>
        <v>1.5799354294027593E-4</v>
      </c>
      <c r="V88" s="91">
        <f>IF($F88=0,0,1+($F88-$G$21)/$G$22)+$G88/$G$23+$H88/$G$24+$I88/$G$25</f>
        <v>6.9444444444444446</v>
      </c>
      <c r="W88" s="97">
        <f t="shared" ref="W88:W101" si="10">10^(-V88)</f>
        <v>1.136463666385722E-7</v>
      </c>
      <c r="X88" s="76">
        <f>($C$7*$G$14*$G$8*$E88/$D88^2*W88*10^6)</f>
        <v>2.5254748141904933E-2</v>
      </c>
      <c r="Y88" s="324">
        <f>SUM(L88,O88,R88,U88,X88)</f>
        <v>0.46273676628592059</v>
      </c>
      <c r="Z88" s="325"/>
      <c r="AA88" s="350"/>
      <c r="AG88" s="328"/>
      <c r="AI88" s="328"/>
      <c r="AJ88" s="328"/>
      <c r="AK88" s="328"/>
      <c r="AL88" s="328"/>
      <c r="AP88" s="222"/>
      <c r="AQ88" s="211"/>
      <c r="AR88" s="222"/>
      <c r="AS88" s="222"/>
      <c r="AT88" s="225"/>
      <c r="AU88" s="225"/>
      <c r="AV88" s="225"/>
      <c r="AW88" s="225"/>
      <c r="AX88" s="225"/>
      <c r="AY88" s="300"/>
      <c r="AZ88" s="300"/>
    </row>
    <row r="89" spans="1:52" s="212" customFormat="1" ht="30" customHeight="1" thickBot="1" x14ac:dyDescent="0.3">
      <c r="A89" s="343" t="str">
        <f>Samenvatting!A195</f>
        <v>L7</v>
      </c>
      <c r="B89" s="352" t="str">
        <f>Samenvatting!B195</f>
        <v>ingang labyrint linac 7</v>
      </c>
      <c r="C89" s="331" t="s">
        <v>568</v>
      </c>
      <c r="D89" s="1859">
        <v>5</v>
      </c>
      <c r="E89" s="58"/>
      <c r="F89" s="1859">
        <v>250</v>
      </c>
      <c r="G89" s="1859">
        <v>0</v>
      </c>
      <c r="H89" s="1859">
        <v>0</v>
      </c>
      <c r="I89" s="1859">
        <v>0</v>
      </c>
      <c r="J89" s="91">
        <f>$F89/$C$27+$G89/$C$28+$H89/$C$29+$I89/$C$30</f>
        <v>7.3529411764705879</v>
      </c>
      <c r="K89" s="97">
        <f t="shared" si="6"/>
        <v>4.4366873309786093E-8</v>
      </c>
      <c r="L89" s="91">
        <f>($C$7*$C$15*$C$8*($C$9+$C$10*$C$11)/$D89^2*K89*10^6)</f>
        <v>1.0648049594348663E-3</v>
      </c>
      <c r="M89" s="91">
        <f>$F89/$D$27+$G89/$D$28+$H89/$D$29+$I89/$D$30</f>
        <v>6.5789473684210522</v>
      </c>
      <c r="N89" s="97">
        <f t="shared" si="7"/>
        <v>2.636650898730358E-7</v>
      </c>
      <c r="O89" s="91">
        <f>($C$7*$C$15*$D$8*($D$9+$D$10*$D$11)/$D89^2*N89*10^6)</f>
        <v>6.3279621569528599E-3</v>
      </c>
      <c r="P89" s="91">
        <f>$F89/$E$27+$G89/$E$28+$H89/$E$29+$I89/$E$30</f>
        <v>5.6818181818181817</v>
      </c>
      <c r="Q89" s="97">
        <f t="shared" si="8"/>
        <v>2.0805675382171676E-6</v>
      </c>
      <c r="R89" s="91">
        <f>($C$7*$C$15*$E$8*($E$9+$E$10*$E$11)/$D89^2*Q89*10^6)</f>
        <v>4.9933620917212027E-2</v>
      </c>
      <c r="S89" s="91">
        <f>$F89/$F$27+$G89/$F$28+$H89/$F$29+$I89/$F$30</f>
        <v>8.1967213114754092</v>
      </c>
      <c r="T89" s="97">
        <f t="shared" si="9"/>
        <v>6.3573875711648393E-9</v>
      </c>
      <c r="U89" s="91">
        <f>($C$7*$C$15*$F$8*($F$9+$F$10*$F$11)/$D89^2*T89*10^6)</f>
        <v>1.5257730170795616E-4</v>
      </c>
      <c r="V89" s="91">
        <f>$F89/$G$27+$G89/$G$28+$H89/$G$29+$I89/$G$30</f>
        <v>7.0224719101123592</v>
      </c>
      <c r="W89" s="97">
        <f t="shared" si="10"/>
        <v>9.4957241494880226E-8</v>
      </c>
      <c r="X89" s="76">
        <f>($C$7*$C$15*$G$8*($G$9+$G$10*$G$11)/$D89^2*W89*10^6)</f>
        <v>2.278973795877126E-3</v>
      </c>
      <c r="Y89" s="339">
        <f>SUM(L89,O89,R89,U89,X89)</f>
        <v>5.9757939131184837E-2</v>
      </c>
      <c r="Z89" s="363">
        <f>SUM(Y87:Y90)</f>
        <v>0.52249470541710541</v>
      </c>
      <c r="AA89" s="334">
        <f>Z89*52/10^3</f>
        <v>2.7169724681689482E-2</v>
      </c>
      <c r="AG89" s="328"/>
      <c r="AH89" s="328"/>
      <c r="AI89" s="328"/>
      <c r="AJ89" s="328"/>
      <c r="AK89" s="328"/>
      <c r="AL89" s="328"/>
      <c r="AP89" s="222"/>
      <c r="AQ89" s="211"/>
      <c r="AR89" s="222"/>
      <c r="AS89" s="222"/>
      <c r="AT89" s="225"/>
      <c r="AU89" s="225"/>
      <c r="AV89" s="225"/>
      <c r="AW89" s="225"/>
      <c r="AX89" s="225"/>
      <c r="AY89" s="300"/>
      <c r="AZ89" s="300"/>
    </row>
    <row r="90" spans="1:52" s="212" customFormat="1" ht="30" hidden="1" customHeight="1" thickBot="1" x14ac:dyDescent="0.3">
      <c r="A90" s="317"/>
      <c r="B90" s="317"/>
      <c r="C90" s="318"/>
      <c r="D90" s="1871"/>
      <c r="E90" s="1871"/>
      <c r="F90" s="1871"/>
      <c r="G90" s="1871"/>
      <c r="H90" s="1871"/>
      <c r="I90" s="1871"/>
      <c r="J90" s="91"/>
      <c r="K90" s="97"/>
      <c r="L90" s="91"/>
      <c r="M90" s="91"/>
      <c r="N90" s="97"/>
      <c r="O90" s="91"/>
      <c r="P90" s="91"/>
      <c r="Q90" s="97"/>
      <c r="R90" s="91"/>
      <c r="S90" s="91"/>
      <c r="T90" s="97"/>
      <c r="U90" s="91"/>
      <c r="V90" s="91"/>
      <c r="W90" s="97"/>
      <c r="X90" s="76"/>
      <c r="Y90" s="577"/>
      <c r="Z90" s="659"/>
      <c r="AA90" s="660"/>
      <c r="AG90" s="328"/>
      <c r="AH90" s="328"/>
      <c r="AI90" s="328"/>
      <c r="AJ90" s="328"/>
      <c r="AK90" s="328"/>
      <c r="AL90" s="328"/>
      <c r="AP90" s="222"/>
      <c r="AQ90" s="211"/>
      <c r="AR90" s="222"/>
      <c r="AS90" s="222"/>
      <c r="AT90" s="225"/>
      <c r="AU90" s="225"/>
      <c r="AV90" s="225"/>
      <c r="AW90" s="225"/>
      <c r="AX90" s="225"/>
      <c r="AY90" s="300"/>
      <c r="AZ90" s="300"/>
    </row>
    <row r="91" spans="1:52" s="212" customFormat="1" ht="30" customHeight="1" x14ac:dyDescent="0.25">
      <c r="A91" s="322"/>
      <c r="B91" s="322"/>
      <c r="C91" s="323" t="s">
        <v>569</v>
      </c>
      <c r="D91" s="1859">
        <v>6</v>
      </c>
      <c r="E91" s="1859">
        <v>1</v>
      </c>
      <c r="F91" s="1859">
        <v>250</v>
      </c>
      <c r="G91" s="1859">
        <v>0</v>
      </c>
      <c r="H91" s="1859">
        <v>0</v>
      </c>
      <c r="I91" s="1859">
        <v>0</v>
      </c>
      <c r="J91" s="91">
        <f>IF($F91=0,0,1+($F91-$C$21)/$C$22)+$G91/$C$23+$H91/$C$24+$I91/$C$25</f>
        <v>7.4545454545454541</v>
      </c>
      <c r="K91" s="97">
        <f t="shared" si="6"/>
        <v>3.5111917342151263E-8</v>
      </c>
      <c r="L91" s="91">
        <f>($C$7*$C$14*$C$8*$E91/$D91^2*K91*10^6)</f>
        <v>7.8026482982558355E-3</v>
      </c>
      <c r="M91" s="91">
        <f>IF($F91=0,0,1+($F91-$D$21)/$D$22)+$G91/$D$23+$H91/$D$24+$I91/$D$25</f>
        <v>6.6486486486486482</v>
      </c>
      <c r="N91" s="97">
        <f t="shared" si="7"/>
        <v>2.2456979955397711E-7</v>
      </c>
      <c r="O91" s="91">
        <f>($C$7*$D$14*$D$8*$E91/$D91^2*N91*10^6)</f>
        <v>4.99043999008838E-2</v>
      </c>
      <c r="P91" s="91">
        <f>IF($F91=0,0,1+($F91-$E$21)/$E$22)+$G91/$E$23+$H91/$E$24+$I91/$E$25</f>
        <v>5.7674418604651159</v>
      </c>
      <c r="Q91" s="97">
        <f t="shared" si="8"/>
        <v>1.7082763938087111E-6</v>
      </c>
      <c r="R91" s="91">
        <f>($C$7*$D$14*$E$8*$E91/$D91^2*Q91*10^6)</f>
        <v>0.37961697640193576</v>
      </c>
      <c r="S91" s="91">
        <f>IF($F91=0,0,1+($F91-$F$21)/$F$22)+$G91/$F$23+$H91/$F$24+$I91/$F$25</f>
        <v>9.1481481481481488</v>
      </c>
      <c r="T91" s="97">
        <f t="shared" si="9"/>
        <v>7.1097094323124171E-10</v>
      </c>
      <c r="U91" s="91">
        <f>($C$7*$F$14*$F$8*$E91/$D91^2*T91*10^6)</f>
        <v>1.5799354294027593E-4</v>
      </c>
      <c r="V91" s="91">
        <f>IF($F91=0,0,1+($F91-$G$21)/$G$22)+$G91/$G$23+$H91/$G$24+$I91/$G$25</f>
        <v>6.9444444444444446</v>
      </c>
      <c r="W91" s="97">
        <f t="shared" si="10"/>
        <v>1.136463666385722E-7</v>
      </c>
      <c r="X91" s="76">
        <f>($C$7*$G$14*$G$8*$E91/$D91^2*W91*10^6)</f>
        <v>2.5254748141904933E-2</v>
      </c>
      <c r="Y91" s="324">
        <f>SUM(L91,O91,R91,U91,X91)</f>
        <v>0.46273676628592059</v>
      </c>
      <c r="Z91" s="325"/>
      <c r="AA91" s="350"/>
      <c r="AG91" s="328"/>
      <c r="AI91" s="328"/>
      <c r="AJ91" s="328"/>
      <c r="AK91" s="328"/>
      <c r="AL91" s="328"/>
      <c r="AP91" s="222"/>
      <c r="AQ91" s="211"/>
      <c r="AR91" s="222"/>
      <c r="AS91" s="222"/>
      <c r="AT91" s="225"/>
      <c r="AU91" s="225"/>
      <c r="AV91" s="225"/>
      <c r="AW91" s="225"/>
      <c r="AX91" s="225"/>
      <c r="AY91" s="300"/>
      <c r="AZ91" s="300"/>
    </row>
    <row r="92" spans="1:52" s="212" customFormat="1" ht="30" customHeight="1" thickBot="1" x14ac:dyDescent="0.3">
      <c r="A92" s="351" t="str">
        <f>Samenvatting!A207</f>
        <v>L8</v>
      </c>
      <c r="B92" s="346" t="str">
        <f>Samenvatting!B207</f>
        <v>ingang labyrint linac 8</v>
      </c>
      <c r="C92" s="331" t="s">
        <v>568</v>
      </c>
      <c r="D92" s="1859">
        <v>5</v>
      </c>
      <c r="E92" s="58"/>
      <c r="F92" s="1859">
        <v>250</v>
      </c>
      <c r="G92" s="1859">
        <v>0</v>
      </c>
      <c r="H92" s="1859">
        <v>0</v>
      </c>
      <c r="I92" s="1859">
        <v>0</v>
      </c>
      <c r="J92" s="91">
        <f>$F92/$C$27+$G92/$C$28+$H92/$C$29+$I92/$C$30</f>
        <v>7.3529411764705879</v>
      </c>
      <c r="K92" s="97">
        <f t="shared" si="6"/>
        <v>4.4366873309786093E-8</v>
      </c>
      <c r="L92" s="91">
        <f>($C$7*$C$15*$C$8*($C$9+$C$10*$C$11)/$D92^2*K92*10^6)</f>
        <v>1.0648049594348663E-3</v>
      </c>
      <c r="M92" s="91">
        <f>$F92/$D$27+$G92/$D$28+$H92/$D$29+$I92/$D$30</f>
        <v>6.5789473684210522</v>
      </c>
      <c r="N92" s="97">
        <f t="shared" si="7"/>
        <v>2.636650898730358E-7</v>
      </c>
      <c r="O92" s="91">
        <f>($C$7*$C$15*$D$8*($D$9+$D$10*$D$11)/$D92^2*N92*10^6)</f>
        <v>6.3279621569528599E-3</v>
      </c>
      <c r="P92" s="91">
        <f>$F92/$E$27+$G92/$E$28+$H92/$E$29+$I92/$E$30</f>
        <v>5.6818181818181817</v>
      </c>
      <c r="Q92" s="97">
        <f t="shared" si="8"/>
        <v>2.0805675382171676E-6</v>
      </c>
      <c r="R92" s="91">
        <f>($C$7*$C$15*$E$8*($E$9+$E$10*$E$11)/$D92^2*Q92*10^6)</f>
        <v>4.9933620917212027E-2</v>
      </c>
      <c r="S92" s="91">
        <f>$F92/$F$27+$G92/$F$28+$H92/$F$29+$I92/$F$30</f>
        <v>8.1967213114754092</v>
      </c>
      <c r="T92" s="97">
        <f t="shared" si="9"/>
        <v>6.3573875711648393E-9</v>
      </c>
      <c r="U92" s="91">
        <f>($C$7*$C$15*$F$8*($F$9+$F$10*$F$11)/$D92^2*T92*10^6)</f>
        <v>1.5257730170795616E-4</v>
      </c>
      <c r="V92" s="91">
        <f>$F92/$G$27+$G92/$G$28+$H92/$G$29+$I92/$G$30</f>
        <v>7.0224719101123592</v>
      </c>
      <c r="W92" s="97">
        <f t="shared" si="10"/>
        <v>9.4957241494880226E-8</v>
      </c>
      <c r="X92" s="76">
        <f>($C$7*$C$15*$G$8*($G$9+$G$10*$G$11)/$D92^2*W92*10^6)</f>
        <v>2.278973795877126E-3</v>
      </c>
      <c r="Y92" s="339">
        <f>SUM(L92,O92,R92,U92,X92)</f>
        <v>5.9757939131184837E-2</v>
      </c>
      <c r="Z92" s="363">
        <f>SUM(Y90:Y93)</f>
        <v>0.52249470541710541</v>
      </c>
      <c r="AA92" s="334">
        <f>Z92*52/10^3</f>
        <v>2.7169724681689482E-2</v>
      </c>
      <c r="AG92" s="328"/>
      <c r="AH92" s="328"/>
      <c r="AI92" s="328"/>
      <c r="AJ92" s="328"/>
      <c r="AK92" s="328"/>
      <c r="AL92" s="328"/>
      <c r="AP92" s="222"/>
      <c r="AQ92" s="211"/>
      <c r="AR92" s="222"/>
      <c r="AS92" s="222"/>
      <c r="AT92" s="225"/>
      <c r="AU92" s="225"/>
      <c r="AV92" s="225"/>
      <c r="AW92" s="225"/>
      <c r="AX92" s="225"/>
      <c r="AY92" s="300"/>
      <c r="AZ92" s="300"/>
    </row>
    <row r="93" spans="1:52" s="212" customFormat="1" ht="30" hidden="1" customHeight="1" thickBot="1" x14ac:dyDescent="0.3">
      <c r="A93" s="317"/>
      <c r="B93" s="317"/>
      <c r="C93" s="318"/>
      <c r="D93" s="1871"/>
      <c r="E93" s="1871"/>
      <c r="F93" s="1871"/>
      <c r="G93" s="1871"/>
      <c r="H93" s="1871"/>
      <c r="I93" s="1871"/>
      <c r="J93" s="91"/>
      <c r="K93" s="97"/>
      <c r="L93" s="91"/>
      <c r="M93" s="91"/>
      <c r="N93" s="97"/>
      <c r="O93" s="91"/>
      <c r="P93" s="91"/>
      <c r="Q93" s="97"/>
      <c r="R93" s="91"/>
      <c r="S93" s="91"/>
      <c r="T93" s="97"/>
      <c r="U93" s="91"/>
      <c r="V93" s="91"/>
      <c r="W93" s="97"/>
      <c r="X93" s="76"/>
      <c r="Y93" s="577"/>
      <c r="Z93" s="659"/>
      <c r="AA93" s="660"/>
      <c r="AG93" s="328"/>
      <c r="AH93" s="328"/>
      <c r="AI93" s="328"/>
      <c r="AJ93" s="328"/>
      <c r="AK93" s="328"/>
      <c r="AL93" s="328"/>
      <c r="AP93" s="222"/>
      <c r="AQ93" s="211"/>
      <c r="AR93" s="222"/>
      <c r="AS93" s="222"/>
      <c r="AT93" s="225"/>
      <c r="AU93" s="225"/>
      <c r="AV93" s="225"/>
      <c r="AW93" s="225"/>
      <c r="AX93" s="225"/>
      <c r="AY93" s="300"/>
      <c r="AZ93" s="300"/>
    </row>
    <row r="94" spans="1:52" s="212" customFormat="1" ht="30" customHeight="1" x14ac:dyDescent="0.25">
      <c r="A94" s="322"/>
      <c r="B94" s="322"/>
      <c r="C94" s="323" t="s">
        <v>569</v>
      </c>
      <c r="D94" s="1859">
        <v>6</v>
      </c>
      <c r="E94" s="1859">
        <v>1</v>
      </c>
      <c r="F94" s="1859">
        <v>250</v>
      </c>
      <c r="G94" s="1859">
        <v>0</v>
      </c>
      <c r="H94" s="1859">
        <v>0</v>
      </c>
      <c r="I94" s="1859">
        <v>0</v>
      </c>
      <c r="J94" s="91">
        <f>IF($F94=0,0,1+($F94-$C$21)/$C$22)+$G94/$C$23+$H94/$C$24+$I94/$C$25</f>
        <v>7.4545454545454541</v>
      </c>
      <c r="K94" s="97">
        <f t="shared" si="6"/>
        <v>3.5111917342151263E-8</v>
      </c>
      <c r="L94" s="91">
        <f>($C$7*$C$14*$C$8*$E94/$D94^2*K94*10^6)</f>
        <v>7.8026482982558355E-3</v>
      </c>
      <c r="M94" s="91">
        <f>IF($F94=0,0,1+($F94-$D$21)/$D$22)+$G94/$D$23+$H94/$D$24+$I94/$D$25</f>
        <v>6.6486486486486482</v>
      </c>
      <c r="N94" s="97">
        <f t="shared" si="7"/>
        <v>2.2456979955397711E-7</v>
      </c>
      <c r="O94" s="91">
        <f>($C$7*$D$14*$D$8*$E94/$D94^2*N94*10^6)</f>
        <v>4.99043999008838E-2</v>
      </c>
      <c r="P94" s="91">
        <f>IF($F94=0,0,1+($F94-$E$21)/$E$22)+$G94/$E$23+$H94/$E$24+$I94/$E$25</f>
        <v>5.7674418604651159</v>
      </c>
      <c r="Q94" s="97">
        <f t="shared" si="8"/>
        <v>1.7082763938087111E-6</v>
      </c>
      <c r="R94" s="91">
        <f>($C$7*$D$14*$E$8*$E94/$D94^2*Q94*10^6)</f>
        <v>0.37961697640193576</v>
      </c>
      <c r="S94" s="91">
        <f>IF($F94=0,0,1+($F94-$F$21)/$F$22)+$G94/$F$23+$H94/$F$24+$I94/$F$25</f>
        <v>9.1481481481481488</v>
      </c>
      <c r="T94" s="97">
        <f t="shared" si="9"/>
        <v>7.1097094323124171E-10</v>
      </c>
      <c r="U94" s="91">
        <f>($C$7*$F$14*$F$8*$E94/$D94^2*T94*10^6)</f>
        <v>1.5799354294027593E-4</v>
      </c>
      <c r="V94" s="91">
        <f>IF($F94=0,0,1+($F94-$G$21)/$G$22)+$G94/$G$23+$H94/$G$24+$I94/$G$25</f>
        <v>6.9444444444444446</v>
      </c>
      <c r="W94" s="97">
        <f t="shared" si="10"/>
        <v>1.136463666385722E-7</v>
      </c>
      <c r="X94" s="76">
        <f>($C$7*$G$14*$G$8*$E94/$D94^2*W94*10^6)</f>
        <v>2.5254748141904933E-2</v>
      </c>
      <c r="Y94" s="324">
        <f>SUM(L94,O94,R94,U94,X94)</f>
        <v>0.46273676628592059</v>
      </c>
      <c r="Z94" s="325"/>
      <c r="AA94" s="350"/>
      <c r="AG94" s="328"/>
      <c r="AI94" s="328"/>
      <c r="AJ94" s="328"/>
      <c r="AK94" s="328"/>
      <c r="AL94" s="328"/>
      <c r="AP94" s="222"/>
      <c r="AQ94" s="211"/>
      <c r="AR94" s="222"/>
      <c r="AS94" s="222"/>
      <c r="AT94" s="225"/>
      <c r="AU94" s="225"/>
      <c r="AV94" s="225"/>
      <c r="AW94" s="225"/>
      <c r="AX94" s="225"/>
      <c r="AY94" s="300"/>
      <c r="AZ94" s="300"/>
    </row>
    <row r="95" spans="1:52" s="212" customFormat="1" ht="30" customHeight="1" thickBot="1" x14ac:dyDescent="0.3">
      <c r="A95" s="351" t="str">
        <f>Samenvatting!A219</f>
        <v>L9</v>
      </c>
      <c r="B95" s="352" t="str">
        <f>Samenvatting!B219</f>
        <v>ingang labyrint linac 9</v>
      </c>
      <c r="C95" s="331" t="s">
        <v>568</v>
      </c>
      <c r="D95" s="1859">
        <v>5</v>
      </c>
      <c r="E95" s="58"/>
      <c r="F95" s="1859">
        <v>250</v>
      </c>
      <c r="G95" s="1859">
        <v>0</v>
      </c>
      <c r="H95" s="1859">
        <v>0</v>
      </c>
      <c r="I95" s="1859">
        <v>0</v>
      </c>
      <c r="J95" s="91">
        <f>$F95/$C$27+$G95/$C$28+$H95/$C$29+$I95/$C$30</f>
        <v>7.3529411764705879</v>
      </c>
      <c r="K95" s="97">
        <f t="shared" si="6"/>
        <v>4.4366873309786093E-8</v>
      </c>
      <c r="L95" s="91">
        <f>($C$7*$C$15*$C$8*($C$9+$C$10*$C$11)/$D95^2*K95*10^6)</f>
        <v>1.0648049594348663E-3</v>
      </c>
      <c r="M95" s="91">
        <f>$F95/$D$27+$G95/$D$28+$H95/$D$29+$I95/$D$30</f>
        <v>6.5789473684210522</v>
      </c>
      <c r="N95" s="97">
        <f t="shared" si="7"/>
        <v>2.636650898730358E-7</v>
      </c>
      <c r="O95" s="91">
        <f>($C$7*$C$15*$D$8*($D$9+$D$10*$D$11)/$D95^2*N95*10^6)</f>
        <v>6.3279621569528599E-3</v>
      </c>
      <c r="P95" s="91">
        <f>$F95/$E$27+$G95/$E$28+$H95/$E$29+$I95/$E$30</f>
        <v>5.6818181818181817</v>
      </c>
      <c r="Q95" s="97">
        <f t="shared" si="8"/>
        <v>2.0805675382171676E-6</v>
      </c>
      <c r="R95" s="91">
        <f>($C$7*$C$15*$E$8*($E$9+$E$10*$E$11)/$D95^2*Q95*10^6)</f>
        <v>4.9933620917212027E-2</v>
      </c>
      <c r="S95" s="91">
        <f>$F95/$F$27+$G95/$F$28+$H95/$F$29+$I95/$F$30</f>
        <v>8.1967213114754092</v>
      </c>
      <c r="T95" s="97">
        <f t="shared" si="9"/>
        <v>6.3573875711648393E-9</v>
      </c>
      <c r="U95" s="91">
        <f>($C$7*$C$15*$F$8*($F$9+$F$10*$F$11)/$D95^2*T95*10^6)</f>
        <v>1.5257730170795616E-4</v>
      </c>
      <c r="V95" s="91">
        <f>$F95/$G$27+$G95/$G$28+$H95/$G$29+$I95/$G$30</f>
        <v>7.0224719101123592</v>
      </c>
      <c r="W95" s="97">
        <f t="shared" si="10"/>
        <v>9.4957241494880226E-8</v>
      </c>
      <c r="X95" s="76">
        <f>($C$7*$C$15*$G$8*($G$9+$G$10*$G$11)/$D95^2*W95*10^6)</f>
        <v>2.278973795877126E-3</v>
      </c>
      <c r="Y95" s="339">
        <f>SUM(L95,O95,R95,U95,X95)</f>
        <v>5.9757939131184837E-2</v>
      </c>
      <c r="Z95" s="363">
        <f>SUM(Y93:Y96)</f>
        <v>0.52249470541710541</v>
      </c>
      <c r="AA95" s="334">
        <f>Z95*52/10^3</f>
        <v>2.7169724681689482E-2</v>
      </c>
      <c r="AG95" s="328"/>
      <c r="AH95" s="328"/>
      <c r="AI95" s="328"/>
      <c r="AJ95" s="328"/>
      <c r="AK95" s="328"/>
      <c r="AL95" s="328"/>
      <c r="AP95" s="222"/>
      <c r="AQ95" s="211"/>
      <c r="AR95" s="222"/>
      <c r="AS95" s="222"/>
      <c r="AT95" s="225"/>
      <c r="AU95" s="225"/>
      <c r="AV95" s="225"/>
      <c r="AW95" s="225"/>
      <c r="AX95" s="225"/>
      <c r="AY95" s="300"/>
      <c r="AZ95" s="300"/>
    </row>
    <row r="96" spans="1:52" s="212" customFormat="1" ht="30" hidden="1" customHeight="1" thickBot="1" x14ac:dyDescent="0.3">
      <c r="A96" s="317"/>
      <c r="B96" s="317"/>
      <c r="C96" s="318"/>
      <c r="D96" s="1871"/>
      <c r="E96" s="1871"/>
      <c r="F96" s="1871"/>
      <c r="G96" s="1871"/>
      <c r="H96" s="1871"/>
      <c r="I96" s="1871"/>
      <c r="J96" s="91"/>
      <c r="K96" s="97"/>
      <c r="L96" s="91"/>
      <c r="M96" s="91"/>
      <c r="N96" s="97"/>
      <c r="O96" s="91"/>
      <c r="P96" s="91"/>
      <c r="Q96" s="97"/>
      <c r="R96" s="91"/>
      <c r="S96" s="91"/>
      <c r="T96" s="97"/>
      <c r="U96" s="91"/>
      <c r="V96" s="91"/>
      <c r="W96" s="97"/>
      <c r="X96" s="76"/>
      <c r="Y96" s="577"/>
      <c r="Z96" s="659"/>
      <c r="AA96" s="660"/>
      <c r="AG96" s="328"/>
      <c r="AH96" s="328"/>
      <c r="AI96" s="328"/>
      <c r="AJ96" s="328"/>
      <c r="AK96" s="328"/>
      <c r="AL96" s="328"/>
      <c r="AP96" s="222"/>
      <c r="AQ96" s="211"/>
      <c r="AR96" s="222"/>
      <c r="AS96" s="222"/>
      <c r="AT96" s="225"/>
      <c r="AU96" s="225"/>
      <c r="AV96" s="225"/>
      <c r="AW96" s="225"/>
      <c r="AX96" s="225"/>
      <c r="AY96" s="300"/>
      <c r="AZ96" s="300"/>
    </row>
    <row r="97" spans="1:54" s="212" customFormat="1" ht="30" customHeight="1" x14ac:dyDescent="0.25">
      <c r="A97" s="322"/>
      <c r="B97" s="322"/>
      <c r="C97" s="323" t="s">
        <v>569</v>
      </c>
      <c r="D97" s="1859">
        <v>6</v>
      </c>
      <c r="E97" s="1859">
        <v>1</v>
      </c>
      <c r="F97" s="1859">
        <v>250</v>
      </c>
      <c r="G97" s="1859">
        <v>0</v>
      </c>
      <c r="H97" s="1859">
        <v>0</v>
      </c>
      <c r="I97" s="1859">
        <v>0</v>
      </c>
      <c r="J97" s="91">
        <f>IF($F97=0,0,1+($F97-$C$21)/$C$22)+$G97/$C$23+$H97/$C$24+$I97/$C$25</f>
        <v>7.4545454545454541</v>
      </c>
      <c r="K97" s="97">
        <f t="shared" si="6"/>
        <v>3.5111917342151263E-8</v>
      </c>
      <c r="L97" s="91">
        <f>($C$7*$C$14*$C$8*$E97/$D97^2*K97*10^6)</f>
        <v>7.8026482982558355E-3</v>
      </c>
      <c r="M97" s="91">
        <f>IF($F97=0,0,1+($F97-$D$21)/$D$22)+$G97/$D$23+$H97/$D$24+$I97/$D$25</f>
        <v>6.6486486486486482</v>
      </c>
      <c r="N97" s="97">
        <f t="shared" si="7"/>
        <v>2.2456979955397711E-7</v>
      </c>
      <c r="O97" s="91">
        <f>($C$7*$D$14*$D$8*$E97/$D97^2*N97*10^6)</f>
        <v>4.99043999008838E-2</v>
      </c>
      <c r="P97" s="91">
        <f>IF($F97=0,0,1+($F97-$E$21)/$E$22)+$G97/$E$23+$H97/$E$24+$I97/$E$25</f>
        <v>5.7674418604651159</v>
      </c>
      <c r="Q97" s="97">
        <f t="shared" si="8"/>
        <v>1.7082763938087111E-6</v>
      </c>
      <c r="R97" s="91">
        <f>($C$7*$D$14*$E$8*$E97/$D97^2*Q97*10^6)</f>
        <v>0.37961697640193576</v>
      </c>
      <c r="S97" s="91">
        <f>IF($F97=0,0,1+($F97-$F$21)/$F$22)+$G97/$F$23+$H97/$F$24+$I97/$F$25</f>
        <v>9.1481481481481488</v>
      </c>
      <c r="T97" s="97">
        <f t="shared" si="9"/>
        <v>7.1097094323124171E-10</v>
      </c>
      <c r="U97" s="91">
        <f>($C$7*$F$14*$F$8*$E97/$D97^2*T97*10^6)</f>
        <v>1.5799354294027593E-4</v>
      </c>
      <c r="V97" s="91">
        <f>IF($F97=0,0,1+($F97-$G$21)/$G$22)+$G97/$G$23+$H97/$G$24+$I97/$G$25</f>
        <v>6.9444444444444446</v>
      </c>
      <c r="W97" s="97">
        <f t="shared" si="10"/>
        <v>1.136463666385722E-7</v>
      </c>
      <c r="X97" s="76">
        <f>($C$7*$G$14*$G$8*$E97/$D97^2*W97*10^6)</f>
        <v>2.5254748141904933E-2</v>
      </c>
      <c r="Y97" s="324">
        <f>SUM(L97,O97,R97,U97,X97)</f>
        <v>0.46273676628592059</v>
      </c>
      <c r="Z97" s="325"/>
      <c r="AA97" s="350"/>
      <c r="AG97" s="328"/>
      <c r="AI97" s="328"/>
      <c r="AJ97" s="328"/>
      <c r="AK97" s="328"/>
      <c r="AL97" s="328"/>
      <c r="AP97" s="222"/>
      <c r="AQ97" s="211"/>
      <c r="AR97" s="222"/>
      <c r="AS97" s="222"/>
      <c r="AT97" s="225"/>
      <c r="AU97" s="225"/>
      <c r="AV97" s="225"/>
      <c r="AW97" s="225"/>
      <c r="AX97" s="225"/>
      <c r="AY97" s="300"/>
      <c r="AZ97" s="300"/>
    </row>
    <row r="98" spans="1:54" s="212" customFormat="1" ht="30" customHeight="1" thickBot="1" x14ac:dyDescent="0.3">
      <c r="A98" s="351" t="str">
        <f>Samenvatting!A231</f>
        <v>L10</v>
      </c>
      <c r="B98" s="656" t="str">
        <f>Samenvatting!B231</f>
        <v>ingang labyrint linac 10</v>
      </c>
      <c r="C98" s="331" t="s">
        <v>568</v>
      </c>
      <c r="D98" s="1859">
        <v>5</v>
      </c>
      <c r="E98" s="58"/>
      <c r="F98" s="1859">
        <v>250</v>
      </c>
      <c r="G98" s="1859">
        <v>0</v>
      </c>
      <c r="H98" s="1859">
        <v>0</v>
      </c>
      <c r="I98" s="1859">
        <v>0</v>
      </c>
      <c r="J98" s="91">
        <f>$F98/$C$27+$G98/$C$28+$H98/$C$29+$I98/$C$30</f>
        <v>7.3529411764705879</v>
      </c>
      <c r="K98" s="97">
        <f t="shared" si="6"/>
        <v>4.4366873309786093E-8</v>
      </c>
      <c r="L98" s="91">
        <f>($C$7*$C$15*$C$8*($C$9+$C$10*$C$11)/$D98^2*K98*10^6)</f>
        <v>1.0648049594348663E-3</v>
      </c>
      <c r="M98" s="91">
        <f>$F98/$D$27+$G98/$D$28+$H98/$D$29+$I98/$D$30</f>
        <v>6.5789473684210522</v>
      </c>
      <c r="N98" s="97">
        <f t="shared" si="7"/>
        <v>2.636650898730358E-7</v>
      </c>
      <c r="O98" s="91">
        <f>($C$7*$C$15*$D$8*($D$9+$D$10*$D$11)/$D98^2*N98*10^6)</f>
        <v>6.3279621569528599E-3</v>
      </c>
      <c r="P98" s="91">
        <f>$F98/$E$27+$G98/$E$28+$H98/$E$29+$I98/$E$30</f>
        <v>5.6818181818181817</v>
      </c>
      <c r="Q98" s="97">
        <f t="shared" si="8"/>
        <v>2.0805675382171676E-6</v>
      </c>
      <c r="R98" s="91">
        <f>($C$7*$C$15*$E$8*($E$9+$E$10*$E$11)/$D98^2*Q98*10^6)</f>
        <v>4.9933620917212027E-2</v>
      </c>
      <c r="S98" s="91">
        <f>$F98/$F$27+$G98/$F$28+$H98/$F$29+$I98/$F$30</f>
        <v>8.1967213114754092</v>
      </c>
      <c r="T98" s="97">
        <f t="shared" si="9"/>
        <v>6.3573875711648393E-9</v>
      </c>
      <c r="U98" s="91">
        <f>($C$7*$C$15*$F$8*($F$9+$F$10*$F$11)/$D98^2*T98*10^6)</f>
        <v>1.5257730170795616E-4</v>
      </c>
      <c r="V98" s="91">
        <f>$F98/$G$27+$G98/$G$28+$H98/$G$29+$I98/$G$30</f>
        <v>7.0224719101123592</v>
      </c>
      <c r="W98" s="97">
        <f t="shared" si="10"/>
        <v>9.4957241494880226E-8</v>
      </c>
      <c r="X98" s="76">
        <f>($C$7*$C$15*$G$8*($G$9+$G$10*$G$11)/$D98^2*W98*10^6)</f>
        <v>2.278973795877126E-3</v>
      </c>
      <c r="Y98" s="339">
        <f>SUM(L98,O98,R98,U98,X98)</f>
        <v>5.9757939131184837E-2</v>
      </c>
      <c r="Z98" s="363">
        <f>SUM(Y96:Y99)</f>
        <v>0.52249470541710541</v>
      </c>
      <c r="AA98" s="334">
        <f>Z98*52/10^3</f>
        <v>2.7169724681689482E-2</v>
      </c>
      <c r="AG98" s="328"/>
      <c r="AH98" s="328"/>
      <c r="AI98" s="328"/>
      <c r="AJ98" s="328"/>
      <c r="AK98" s="328"/>
      <c r="AL98" s="328"/>
      <c r="AP98" s="222"/>
      <c r="AQ98" s="211"/>
      <c r="AR98" s="222"/>
      <c r="AS98" s="222"/>
      <c r="AT98" s="225"/>
      <c r="AU98" s="225"/>
      <c r="AV98" s="225"/>
      <c r="AW98" s="225"/>
      <c r="AX98" s="225"/>
      <c r="AY98" s="300"/>
      <c r="AZ98" s="300"/>
    </row>
    <row r="99" spans="1:54" s="212" customFormat="1" ht="30" hidden="1" customHeight="1" thickBot="1" x14ac:dyDescent="0.3">
      <c r="A99" s="317"/>
      <c r="B99" s="312"/>
      <c r="C99" s="318"/>
      <c r="D99" s="1871"/>
      <c r="E99" s="1871"/>
      <c r="F99" s="1871"/>
      <c r="G99" s="1871"/>
      <c r="H99" s="1871"/>
      <c r="I99" s="1871"/>
      <c r="J99" s="91"/>
      <c r="K99" s="97"/>
      <c r="L99" s="91"/>
      <c r="M99" s="91"/>
      <c r="N99" s="97"/>
      <c r="O99" s="91"/>
      <c r="P99" s="91"/>
      <c r="Q99" s="97"/>
      <c r="R99" s="91"/>
      <c r="S99" s="91"/>
      <c r="T99" s="97"/>
      <c r="U99" s="91"/>
      <c r="V99" s="91"/>
      <c r="W99" s="97"/>
      <c r="X99" s="76"/>
      <c r="Y99" s="577"/>
      <c r="Z99" s="659"/>
      <c r="AA99" s="660"/>
      <c r="AG99" s="328"/>
      <c r="AH99" s="328"/>
      <c r="AI99" s="328"/>
      <c r="AJ99" s="328"/>
      <c r="AK99" s="328"/>
      <c r="AL99" s="328"/>
      <c r="AP99" s="222"/>
      <c r="AQ99" s="211"/>
      <c r="AR99" s="222"/>
      <c r="AS99" s="222"/>
      <c r="AT99" s="225"/>
      <c r="AU99" s="225"/>
      <c r="AV99" s="225"/>
      <c r="AW99" s="225"/>
      <c r="AX99" s="225"/>
      <c r="AY99" s="300"/>
      <c r="AZ99" s="300"/>
    </row>
    <row r="100" spans="1:54" s="212" customFormat="1" ht="30" customHeight="1" x14ac:dyDescent="0.25">
      <c r="A100" s="322"/>
      <c r="B100" s="322"/>
      <c r="C100" s="323" t="s">
        <v>569</v>
      </c>
      <c r="D100" s="1859">
        <v>6</v>
      </c>
      <c r="E100" s="1859">
        <v>1</v>
      </c>
      <c r="F100" s="1859">
        <v>250</v>
      </c>
      <c r="G100" s="1859">
        <v>0</v>
      </c>
      <c r="H100" s="1859">
        <v>0</v>
      </c>
      <c r="I100" s="1859">
        <v>0</v>
      </c>
      <c r="J100" s="91">
        <f>IF($F100=0,0,1+($F100-$C$21)/$C$22)+$G100/$C$23+$H100/$C$24+$I100/$C$25</f>
        <v>7.4545454545454541</v>
      </c>
      <c r="K100" s="97">
        <f t="shared" si="6"/>
        <v>3.5111917342151263E-8</v>
      </c>
      <c r="L100" s="91">
        <f>($C$7*$C$14*$C$8*$E100/$D100^2*K100*10^6)</f>
        <v>7.8026482982558355E-3</v>
      </c>
      <c r="M100" s="91">
        <f>IF($F100=0,0,1+($F100-$D$21)/$D$22)+$G100/$D$23+$H100/$D$24+$I100/$D$25</f>
        <v>6.6486486486486482</v>
      </c>
      <c r="N100" s="97">
        <f t="shared" si="7"/>
        <v>2.2456979955397711E-7</v>
      </c>
      <c r="O100" s="91">
        <f>($C$7*$D$14*$D$8*$E100/$D100^2*N100*10^6)</f>
        <v>4.99043999008838E-2</v>
      </c>
      <c r="P100" s="91">
        <f>IF($F100=0,0,1+($F100-$E$21)/$E$22)+$G100/$E$23+$H100/$E$24+$I100/$E$25</f>
        <v>5.7674418604651159</v>
      </c>
      <c r="Q100" s="97">
        <f t="shared" si="8"/>
        <v>1.7082763938087111E-6</v>
      </c>
      <c r="R100" s="91">
        <f>($C$7*$D$14*$E$8*$E100/$D100^2*Q100*10^6)</f>
        <v>0.37961697640193576</v>
      </c>
      <c r="S100" s="91">
        <f>IF($F100=0,0,1+($F100-$F$21)/$F$22)+$G100/$F$23+$H100/$F$24+$I100/$F$25</f>
        <v>9.1481481481481488</v>
      </c>
      <c r="T100" s="97">
        <f t="shared" si="9"/>
        <v>7.1097094323124171E-10</v>
      </c>
      <c r="U100" s="91">
        <f>($C$7*$F$14*$F$8*$E100/$D100^2*T100*10^6)</f>
        <v>1.5799354294027593E-4</v>
      </c>
      <c r="V100" s="91">
        <f>IF($F100=0,0,1+($F100-$G$21)/$G$22)+$G100/$G$23+$H100/$G$24+$I100/$G$25</f>
        <v>6.9444444444444446</v>
      </c>
      <c r="W100" s="97">
        <f t="shared" si="10"/>
        <v>1.136463666385722E-7</v>
      </c>
      <c r="X100" s="76">
        <f>($C$7*$G$14*$G$8*$E100/$D100^2*W100*10^6)</f>
        <v>2.5254748141904933E-2</v>
      </c>
      <c r="Y100" s="324">
        <f>SUM(L100,O100,R100,U100,X100)</f>
        <v>0.46273676628592059</v>
      </c>
      <c r="Z100" s="325"/>
      <c r="AA100" s="350"/>
      <c r="AG100" s="328"/>
      <c r="AI100" s="328"/>
      <c r="AJ100" s="328"/>
      <c r="AK100" s="328"/>
      <c r="AL100" s="328"/>
      <c r="AP100" s="222"/>
      <c r="AQ100" s="211"/>
      <c r="AR100" s="222"/>
      <c r="AS100" s="222"/>
      <c r="AT100" s="225"/>
      <c r="AU100" s="225"/>
      <c r="AV100" s="225"/>
      <c r="AW100" s="225"/>
      <c r="AX100" s="225"/>
      <c r="AY100" s="300"/>
      <c r="AZ100" s="300"/>
    </row>
    <row r="101" spans="1:54" s="212" customFormat="1" ht="30" customHeight="1" thickBot="1" x14ac:dyDescent="0.3">
      <c r="A101" s="343" t="str">
        <f>Samenvatting!A233</f>
        <v>vrij</v>
      </c>
      <c r="B101" s="338" t="str">
        <f>Samenvatting!B233</f>
        <v>vrij te kiezen</v>
      </c>
      <c r="C101" s="331" t="s">
        <v>568</v>
      </c>
      <c r="D101" s="1859">
        <v>5</v>
      </c>
      <c r="E101" s="58"/>
      <c r="F101" s="1859">
        <v>250</v>
      </c>
      <c r="G101" s="1859">
        <v>0</v>
      </c>
      <c r="H101" s="1859">
        <v>0</v>
      </c>
      <c r="I101" s="1859">
        <v>0</v>
      </c>
      <c r="J101" s="91">
        <f>$F101/$C$27+$G101/$C$28+$H101/$C$29+$I101/$C$30</f>
        <v>7.3529411764705879</v>
      </c>
      <c r="K101" s="97">
        <f t="shared" si="6"/>
        <v>4.4366873309786093E-8</v>
      </c>
      <c r="L101" s="91">
        <f>($C$7*$C$15*$C$8*($C$9+$C$10*$C$11)/$D101^2*K101*10^6)</f>
        <v>1.0648049594348663E-3</v>
      </c>
      <c r="M101" s="91">
        <f>$F101/$D$27+$G101/$D$28+$H101/$D$29+$I101/$D$30</f>
        <v>6.5789473684210522</v>
      </c>
      <c r="N101" s="97">
        <f t="shared" si="7"/>
        <v>2.636650898730358E-7</v>
      </c>
      <c r="O101" s="91">
        <f>($C$7*$C$15*$D$8*($D$9+$D$10*$D$11)/$D101^2*N101*10^6)</f>
        <v>6.3279621569528599E-3</v>
      </c>
      <c r="P101" s="91">
        <f>$F101/$E$27+$G101/$E$28+$H101/$E$29+$I101/$E$30</f>
        <v>5.6818181818181817</v>
      </c>
      <c r="Q101" s="97">
        <f t="shared" si="8"/>
        <v>2.0805675382171676E-6</v>
      </c>
      <c r="R101" s="91">
        <f>($C$7*$C$15*$E$8*($E$9+$E$10*$E$11)/$D101^2*Q101*10^6)</f>
        <v>4.9933620917212027E-2</v>
      </c>
      <c r="S101" s="91">
        <f>$F101/$F$27+$G101/$F$28+$H101/$F$29+$I101/$F$30</f>
        <v>8.1967213114754092</v>
      </c>
      <c r="T101" s="97">
        <f t="shared" si="9"/>
        <v>6.3573875711648393E-9</v>
      </c>
      <c r="U101" s="91">
        <f>($C$7*$C$15*$F$8*($F$9+$F$10*$F$11)/$D101^2*T101*10^6)</f>
        <v>1.5257730170795616E-4</v>
      </c>
      <c r="V101" s="91">
        <f>$F101/$G$27+$G101/$G$28+$H101/$G$29+$I101/$G$30</f>
        <v>7.0224719101123592</v>
      </c>
      <c r="W101" s="97">
        <f t="shared" si="10"/>
        <v>9.4957241494880226E-8</v>
      </c>
      <c r="X101" s="76">
        <f>($C$7*$C$15*$G$8*($G$9+$G$10*$G$11)/$D101^2*W101*10^6)</f>
        <v>2.278973795877126E-3</v>
      </c>
      <c r="Y101" s="339">
        <f>SUM(L101,O101,R101,U101,X101)</f>
        <v>5.9757939131184837E-2</v>
      </c>
      <c r="Z101" s="363">
        <f>SUM(Y99:Y102)</f>
        <v>0.52249470541710541</v>
      </c>
      <c r="AA101" s="334">
        <f>Z101*52/10^3</f>
        <v>2.7169724681689482E-2</v>
      </c>
      <c r="AG101" s="328"/>
      <c r="AH101" s="328"/>
      <c r="AI101" s="328"/>
      <c r="AJ101" s="328"/>
      <c r="AK101" s="328"/>
      <c r="AL101" s="328"/>
      <c r="AP101" s="222"/>
      <c r="AQ101" s="211"/>
      <c r="AR101" s="222"/>
      <c r="AS101" s="222"/>
      <c r="AT101" s="225"/>
      <c r="AU101" s="225"/>
      <c r="AV101" s="225"/>
      <c r="AW101" s="225"/>
      <c r="AX101" s="225"/>
      <c r="AY101" s="300"/>
      <c r="AZ101" s="300"/>
    </row>
    <row r="102" spans="1:54" s="225" customFormat="1" ht="30" hidden="1" customHeight="1" x14ac:dyDescent="0.25">
      <c r="A102" s="211"/>
      <c r="B102" s="220"/>
      <c r="C102" s="310"/>
      <c r="D102" s="57"/>
      <c r="E102" s="57"/>
      <c r="F102" s="57"/>
      <c r="G102" s="57"/>
      <c r="H102" s="57"/>
      <c r="I102" s="57"/>
      <c r="J102" s="369"/>
      <c r="K102" s="328"/>
      <c r="L102" s="369"/>
      <c r="M102" s="369"/>
      <c r="N102" s="328"/>
      <c r="O102" s="369"/>
      <c r="P102" s="369"/>
      <c r="Q102" s="328"/>
      <c r="R102" s="369"/>
      <c r="S102" s="369"/>
      <c r="T102" s="328"/>
      <c r="U102" s="369"/>
      <c r="V102" s="369"/>
      <c r="W102" s="328"/>
      <c r="X102" s="369"/>
      <c r="Y102" s="369"/>
      <c r="Z102" s="233"/>
      <c r="AA102" s="233"/>
      <c r="AG102" s="328"/>
      <c r="AH102" s="328"/>
      <c r="AI102" s="328"/>
      <c r="AJ102" s="328"/>
      <c r="AK102" s="328"/>
      <c r="AL102" s="328"/>
      <c r="AP102" s="222"/>
      <c r="AQ102" s="211"/>
      <c r="AR102" s="222"/>
      <c r="AS102" s="222"/>
      <c r="AY102" s="300"/>
      <c r="AZ102" s="300"/>
    </row>
    <row r="103" spans="1:54" s="225" customFormat="1" ht="19.5" customHeight="1" thickBot="1" x14ac:dyDescent="0.3">
      <c r="A103" s="222"/>
      <c r="B103" s="222"/>
      <c r="C103" s="368"/>
      <c r="D103" s="57"/>
      <c r="E103" s="57"/>
      <c r="F103" s="57"/>
      <c r="G103" s="57"/>
      <c r="H103" s="57"/>
      <c r="I103" s="57"/>
      <c r="J103" s="369"/>
      <c r="K103" s="328"/>
      <c r="L103" s="369"/>
      <c r="M103" s="369"/>
      <c r="N103" s="328"/>
      <c r="O103" s="369"/>
      <c r="P103" s="369"/>
      <c r="Q103" s="328"/>
      <c r="R103" s="369"/>
      <c r="S103" s="369"/>
      <c r="T103" s="328"/>
      <c r="U103" s="369"/>
      <c r="V103" s="369"/>
      <c r="W103" s="328"/>
      <c r="X103" s="369"/>
      <c r="Y103" s="369"/>
      <c r="Z103" s="233"/>
      <c r="AA103" s="233"/>
      <c r="AG103" s="328"/>
      <c r="AH103" s="328"/>
      <c r="AI103" s="328"/>
      <c r="AJ103" s="328"/>
      <c r="AK103" s="328"/>
      <c r="AL103" s="328"/>
      <c r="AP103" s="222"/>
      <c r="AQ103" s="211"/>
      <c r="AR103" s="222"/>
      <c r="AS103" s="222"/>
      <c r="AY103" s="300"/>
      <c r="AZ103" s="300"/>
    </row>
    <row r="104" spans="1:54" ht="19.5" customHeight="1" x14ac:dyDescent="0.25">
      <c r="A104" s="373" t="s">
        <v>363</v>
      </c>
      <c r="B104" s="374"/>
      <c r="C104" s="375"/>
      <c r="D104" s="376"/>
      <c r="E104" s="377"/>
      <c r="F104" s="378"/>
      <c r="G104" s="379"/>
      <c r="H104" s="379"/>
      <c r="I104" s="379"/>
      <c r="J104" s="379"/>
      <c r="K104" s="379"/>
      <c r="L104" s="380"/>
      <c r="M104" s="380"/>
      <c r="N104" s="379"/>
      <c r="O104" s="379"/>
      <c r="P104" s="379"/>
      <c r="Q104" s="379"/>
      <c r="R104" s="379"/>
      <c r="S104" s="381"/>
      <c r="T104" s="379"/>
      <c r="U104" s="379"/>
      <c r="V104" s="379"/>
      <c r="W104" s="379"/>
      <c r="X104" s="379"/>
      <c r="Y104" s="379"/>
      <c r="Z104" s="379"/>
      <c r="AA104" s="216"/>
      <c r="AB104" s="297"/>
      <c r="AC104" s="216"/>
      <c r="AD104" s="216"/>
      <c r="AE104" s="216"/>
      <c r="AF104" s="216"/>
      <c r="AG104" s="382"/>
      <c r="AH104" s="382"/>
      <c r="AI104" s="382"/>
      <c r="AJ104" s="383"/>
      <c r="AK104" s="383"/>
      <c r="AL104" s="383"/>
      <c r="AM104" s="383"/>
      <c r="AN104" s="383"/>
      <c r="AO104" s="383"/>
      <c r="AP104" s="383"/>
      <c r="AQ104" s="383"/>
      <c r="AR104" s="382"/>
      <c r="AS104" s="382"/>
      <c r="AT104" s="382"/>
      <c r="AU104" s="382"/>
      <c r="AV104" s="186"/>
    </row>
    <row r="105" spans="1:54" ht="19.5" customHeight="1" thickBot="1" x14ac:dyDescent="0.3">
      <c r="A105" s="384"/>
      <c r="B105" s="385"/>
      <c r="C105" s="386"/>
      <c r="D105" s="387"/>
      <c r="E105" s="388"/>
      <c r="F105" s="388"/>
      <c r="G105" s="388"/>
      <c r="H105" s="288"/>
      <c r="I105" s="288"/>
      <c r="J105" s="288"/>
      <c r="K105" s="288"/>
      <c r="L105" s="299"/>
      <c r="M105" s="299"/>
      <c r="N105" s="288"/>
      <c r="O105" s="288"/>
      <c r="P105" s="288"/>
      <c r="Q105" s="288"/>
      <c r="R105" s="288"/>
      <c r="S105" s="289"/>
      <c r="T105" s="288"/>
      <c r="U105" s="288"/>
      <c r="V105" s="288"/>
      <c r="W105" s="288"/>
      <c r="X105" s="288"/>
      <c r="Y105" s="288"/>
      <c r="Z105" s="288"/>
      <c r="AA105" s="222"/>
      <c r="AB105" s="211"/>
      <c r="AC105" s="222"/>
      <c r="AD105" s="222"/>
      <c r="AE105" s="222"/>
      <c r="AF105" s="222"/>
      <c r="AG105" s="187"/>
      <c r="AH105" s="187"/>
      <c r="AI105" s="187"/>
      <c r="AJ105" s="282"/>
      <c r="AK105" s="282"/>
      <c r="AL105" s="282"/>
      <c r="AM105" s="282"/>
      <c r="AN105" s="282"/>
      <c r="AO105" s="282"/>
      <c r="AP105" s="282"/>
      <c r="AQ105" s="282"/>
      <c r="AR105" s="187"/>
      <c r="AS105" s="187"/>
      <c r="AT105" s="187"/>
      <c r="AU105" s="187"/>
      <c r="AV105" s="186"/>
    </row>
    <row r="106" spans="1:54" ht="19.5" customHeight="1" x14ac:dyDescent="0.25">
      <c r="A106" s="215" t="s">
        <v>247</v>
      </c>
      <c r="B106" s="389"/>
      <c r="C106" s="389"/>
      <c r="D106" s="389"/>
      <c r="E106" s="389"/>
      <c r="F106" s="389"/>
      <c r="G106" s="1845" t="s">
        <v>387</v>
      </c>
      <c r="H106" s="288"/>
      <c r="I106" s="288"/>
      <c r="J106" s="288"/>
      <c r="K106" s="288"/>
      <c r="L106" s="299"/>
      <c r="M106" s="299"/>
      <c r="N106" s="288"/>
      <c r="O106" s="288"/>
      <c r="P106" s="288"/>
      <c r="Q106" s="288"/>
      <c r="R106" s="288"/>
      <c r="S106" s="289"/>
      <c r="T106" s="288"/>
      <c r="U106" s="288"/>
      <c r="V106" s="288"/>
      <c r="W106" s="288"/>
      <c r="X106" s="288"/>
      <c r="Y106" s="288"/>
      <c r="Z106" s="288"/>
      <c r="AA106" s="222"/>
      <c r="AB106" s="211"/>
      <c r="AC106" s="222"/>
      <c r="AD106" s="222"/>
      <c r="AE106" s="222"/>
      <c r="AF106" s="222"/>
      <c r="AG106" s="187"/>
      <c r="AH106" s="187"/>
      <c r="AI106" s="187"/>
      <c r="AJ106" s="282"/>
      <c r="AK106" s="282"/>
      <c r="AL106" s="282"/>
      <c r="AM106" s="282"/>
      <c r="AN106" s="282"/>
      <c r="AO106" s="282"/>
      <c r="AP106" s="282"/>
      <c r="AQ106" s="282"/>
      <c r="AR106" s="187"/>
      <c r="AS106" s="187"/>
      <c r="AT106" s="187"/>
      <c r="AU106" s="187"/>
      <c r="AV106" s="186"/>
    </row>
    <row r="107" spans="1:54" ht="19.5" customHeight="1" thickBot="1" x14ac:dyDescent="0.3">
      <c r="A107" s="226" t="s">
        <v>246</v>
      </c>
      <c r="B107" s="390"/>
      <c r="C107" s="390"/>
      <c r="D107" s="390"/>
      <c r="E107" s="390"/>
      <c r="F107" s="390"/>
      <c r="G107" s="1846">
        <v>1</v>
      </c>
      <c r="H107" s="288"/>
      <c r="I107" s="288"/>
      <c r="J107" s="288"/>
      <c r="K107" s="288"/>
      <c r="L107" s="299"/>
      <c r="M107" s="299"/>
      <c r="N107" s="288"/>
      <c r="O107" s="288"/>
      <c r="P107" s="288"/>
      <c r="Q107" s="288"/>
      <c r="R107" s="288"/>
      <c r="S107" s="289"/>
      <c r="T107" s="288"/>
      <c r="U107" s="288"/>
      <c r="V107" s="288"/>
      <c r="W107" s="288"/>
      <c r="X107" s="288"/>
      <c r="Y107" s="288"/>
      <c r="Z107" s="288"/>
      <c r="AA107" s="222"/>
      <c r="AB107" s="211"/>
      <c r="AC107" s="222"/>
      <c r="AD107" s="222"/>
      <c r="AE107" s="222"/>
      <c r="AF107" s="222"/>
      <c r="AG107" s="187"/>
      <c r="AH107" s="187"/>
      <c r="AI107" s="187"/>
      <c r="AJ107" s="282"/>
      <c r="AK107" s="282"/>
      <c r="AL107" s="282"/>
      <c r="AM107" s="282"/>
      <c r="AN107" s="282"/>
      <c r="AO107" s="282"/>
      <c r="AP107" s="282"/>
      <c r="AQ107" s="282"/>
      <c r="AR107" s="187"/>
      <c r="AS107" s="187"/>
      <c r="AT107" s="187"/>
      <c r="AU107" s="187"/>
      <c r="AV107" s="186"/>
    </row>
    <row r="108" spans="1:54" ht="19.5" customHeight="1" thickBot="1" x14ac:dyDescent="0.3">
      <c r="A108" s="221"/>
      <c r="B108" s="225"/>
      <c r="C108" s="225"/>
      <c r="D108" s="225"/>
      <c r="E108" s="225"/>
      <c r="F108" s="225"/>
      <c r="G108" s="57"/>
      <c r="H108" s="288"/>
      <c r="I108" s="288"/>
      <c r="J108" s="288"/>
      <c r="K108" s="288"/>
      <c r="L108" s="225"/>
      <c r="M108" s="187"/>
      <c r="N108" s="187"/>
      <c r="O108" s="187"/>
      <c r="P108" s="187"/>
      <c r="Q108" s="187"/>
      <c r="R108" s="288"/>
      <c r="Y108" s="288"/>
      <c r="Z108" s="288"/>
      <c r="AA108" s="222"/>
      <c r="AB108" s="211"/>
      <c r="AC108" s="222"/>
      <c r="AD108" s="222"/>
      <c r="AE108" s="222"/>
      <c r="AF108" s="222"/>
      <c r="AG108" s="187"/>
      <c r="AH108" s="187"/>
      <c r="AI108" s="187"/>
      <c r="AJ108" s="282"/>
      <c r="AK108" s="282"/>
      <c r="AL108" s="282"/>
      <c r="AM108" s="282"/>
      <c r="AN108" s="282"/>
      <c r="AO108" s="282"/>
      <c r="AP108" s="282"/>
      <c r="AQ108" s="282"/>
      <c r="AR108" s="187"/>
      <c r="AS108" s="187"/>
      <c r="AT108" s="187"/>
      <c r="AU108" s="187"/>
      <c r="AV108" s="186"/>
    </row>
    <row r="109" spans="1:54" s="212" customFormat="1" ht="19.5" customHeight="1" thickBot="1" x14ac:dyDescent="0.3">
      <c r="A109" s="391" t="s">
        <v>243</v>
      </c>
      <c r="B109" s="392"/>
      <c r="C109" s="216"/>
      <c r="D109" s="216"/>
      <c r="E109" s="393"/>
      <c r="F109" s="216"/>
      <c r="G109" s="389"/>
      <c r="H109" s="216"/>
      <c r="I109" s="297"/>
      <c r="J109" s="394"/>
      <c r="K109" s="395"/>
      <c r="L109" s="396" t="s">
        <v>163</v>
      </c>
      <c r="M109" s="379"/>
      <c r="N109" s="379"/>
      <c r="O109" s="397"/>
      <c r="Q109" s="396" t="s">
        <v>581</v>
      </c>
      <c r="R109" s="398"/>
      <c r="S109" s="389"/>
      <c r="T109" s="389"/>
      <c r="U109" s="399"/>
      <c r="Y109" s="400"/>
      <c r="Z109" s="400"/>
      <c r="AA109" s="400"/>
      <c r="AB109" s="400"/>
      <c r="AC109" s="400"/>
      <c r="AD109" s="400"/>
      <c r="AE109" s="225"/>
      <c r="AF109" s="299"/>
      <c r="AG109" s="299"/>
      <c r="AH109" s="225"/>
      <c r="AI109" s="299"/>
      <c r="AJ109" s="299"/>
      <c r="AK109" s="225"/>
      <c r="AL109" s="299"/>
      <c r="AM109" s="299"/>
      <c r="AN109" s="225"/>
      <c r="AO109" s="299"/>
      <c r="AP109" s="299"/>
      <c r="AQ109" s="225"/>
      <c r="AR109" s="299"/>
      <c r="AS109" s="299"/>
      <c r="AT109" s="220"/>
      <c r="AU109" s="211"/>
      <c r="AV109" s="221"/>
      <c r="AW109" s="222"/>
      <c r="AX109" s="225"/>
      <c r="AY109" s="225"/>
      <c r="AZ109" s="225"/>
      <c r="BA109" s="225"/>
      <c r="BB109" s="225"/>
    </row>
    <row r="110" spans="1:54" s="212" customFormat="1" ht="19.5" customHeight="1" thickBot="1" x14ac:dyDescent="0.3">
      <c r="A110" s="401"/>
      <c r="B110" s="222"/>
      <c r="C110" s="225"/>
      <c r="D110" s="240"/>
      <c r="E110" s="402"/>
      <c r="F110" s="403" t="s">
        <v>55</v>
      </c>
      <c r="G110" s="211"/>
      <c r="H110" s="222"/>
      <c r="I110" s="211"/>
      <c r="J110" s="404"/>
      <c r="K110" s="395"/>
      <c r="L110" s="405" t="s">
        <v>577</v>
      </c>
      <c r="M110" s="406"/>
      <c r="N110" s="406"/>
      <c r="O110" s="407"/>
      <c r="Q110" s="408" t="s">
        <v>579</v>
      </c>
      <c r="R110" s="398"/>
      <c r="S110" s="389"/>
      <c r="T110" s="389"/>
      <c r="U110" s="399"/>
      <c r="Y110" s="400"/>
      <c r="Z110" s="400"/>
      <c r="AA110" s="400"/>
      <c r="AB110" s="400"/>
      <c r="AC110" s="400"/>
      <c r="AD110" s="400"/>
      <c r="AE110" s="225"/>
      <c r="AF110" s="299"/>
      <c r="AG110" s="299"/>
      <c r="AH110" s="225"/>
      <c r="AI110" s="299"/>
      <c r="AJ110" s="299"/>
      <c r="AK110" s="225"/>
      <c r="AL110" s="299"/>
      <c r="AM110" s="299"/>
      <c r="AN110" s="225"/>
      <c r="AO110" s="299"/>
      <c r="AP110" s="299"/>
      <c r="AQ110" s="225"/>
      <c r="AR110" s="299"/>
      <c r="AS110" s="299"/>
      <c r="AT110" s="220"/>
      <c r="AU110" s="211"/>
      <c r="AV110" s="221"/>
      <c r="AW110" s="222"/>
      <c r="AX110" s="225"/>
      <c r="AY110" s="225"/>
      <c r="AZ110" s="225"/>
      <c r="BA110" s="225"/>
      <c r="BB110" s="225"/>
    </row>
    <row r="111" spans="1:54" s="212" customFormat="1" ht="19.5" customHeight="1" thickBot="1" x14ac:dyDescent="0.3">
      <c r="A111" s="221"/>
      <c r="B111" s="308" t="s">
        <v>68</v>
      </c>
      <c r="C111" s="409" t="s">
        <v>81</v>
      </c>
      <c r="D111" s="410"/>
      <c r="E111" s="58">
        <v>0.5</v>
      </c>
      <c r="F111" s="411">
        <f>$C$4</f>
        <v>6</v>
      </c>
      <c r="G111" s="411">
        <f>$D$4</f>
        <v>10</v>
      </c>
      <c r="H111" s="411">
        <f>$E$4</f>
        <v>18</v>
      </c>
      <c r="I111" s="411" t="str">
        <f>$F$4</f>
        <v>6 FFF</v>
      </c>
      <c r="J111" s="412" t="str">
        <f>$G$4</f>
        <v>10 FFF</v>
      </c>
      <c r="K111" s="395"/>
      <c r="L111" s="413"/>
      <c r="M111" s="414" t="s">
        <v>38</v>
      </c>
      <c r="N111" s="415" t="s">
        <v>38</v>
      </c>
      <c r="O111" s="416" t="s">
        <v>156</v>
      </c>
      <c r="Q111" s="1847">
        <v>5.6999999999999999E-16</v>
      </c>
      <c r="R111" s="390"/>
      <c r="S111" s="390"/>
      <c r="T111" s="390"/>
      <c r="U111" s="417"/>
      <c r="Y111" s="400"/>
      <c r="Z111" s="400"/>
      <c r="AA111" s="400"/>
      <c r="AB111" s="400"/>
      <c r="AC111" s="400"/>
      <c r="AD111" s="400"/>
      <c r="AE111" s="225"/>
      <c r="AF111" s="299"/>
      <c r="AG111" s="299"/>
      <c r="AH111" s="225"/>
      <c r="AI111" s="299"/>
      <c r="AJ111" s="299"/>
      <c r="AK111" s="225"/>
      <c r="AL111" s="299"/>
      <c r="AM111" s="299"/>
      <c r="AN111" s="225"/>
      <c r="AO111" s="299"/>
      <c r="AP111" s="299"/>
      <c r="AQ111" s="225"/>
      <c r="AR111" s="299"/>
      <c r="AS111" s="299"/>
      <c r="AT111" s="220"/>
      <c r="AU111" s="211"/>
      <c r="AV111" s="221"/>
      <c r="AW111" s="222"/>
      <c r="AX111" s="225"/>
      <c r="AY111" s="225"/>
      <c r="AZ111" s="225"/>
      <c r="BA111" s="225"/>
      <c r="BB111" s="225"/>
    </row>
    <row r="112" spans="1:54" s="212" customFormat="1" ht="19.5" customHeight="1" thickBot="1" x14ac:dyDescent="0.3">
      <c r="A112" s="418" t="s">
        <v>293</v>
      </c>
      <c r="B112" s="419" t="s">
        <v>282</v>
      </c>
      <c r="C112" s="420">
        <f>IF($G$106="parallel",75,30)</f>
        <v>75</v>
      </c>
      <c r="D112" s="421"/>
      <c r="E112" s="422"/>
      <c r="F112" s="423">
        <f>IF($G$106="parallel",VLOOKUP($F$111,reflectiecoefficienten!$A$11:$F$20,2),VLOOKUP($F$111,reflectiecoefficienten!$A$28:$F$37,2))</f>
        <v>2.7000000000000001E-3</v>
      </c>
      <c r="G112" s="423">
        <f>IF($G$106="parallel",VLOOKUP($G$111,reflectiecoefficienten!$A$11:$F$20,2),VLOOKUP($G$111,reflectiecoefficienten!$A$28:$F$37,2))</f>
        <v>2.0999999999999999E-3</v>
      </c>
      <c r="H112" s="423">
        <f>IF($G$106="parallel",VLOOKUP($H$111,reflectiecoefficienten!$A$11:$F$20,2),VLOOKUP($H$111,reflectiecoefficienten!$A$28:$F$37,2))</f>
        <v>1.6000000000000001E-3</v>
      </c>
      <c r="I112" s="424">
        <f>IF($G$106="parallel",VLOOKUP($I$111,reflectiecoefficienten!$A$11:$F$20,2),VLOOKUP($I$111,reflectiecoefficienten!$A$28:$F$37,2))</f>
        <v>3.5000000000000001E-3</v>
      </c>
      <c r="J112" s="425">
        <f>IF($G$106="parallel",VLOOKUP($J$111,reflectiecoefficienten!$A$11:$F$20,2),VLOOKUP($J$111,reflectiecoefficienten!$A$28:$F$37,2))</f>
        <v>3.3E-3</v>
      </c>
      <c r="K112" s="395"/>
      <c r="L112" s="257"/>
      <c r="M112" s="312" t="s">
        <v>578</v>
      </c>
      <c r="N112" s="308" t="s">
        <v>33</v>
      </c>
      <c r="O112" s="309" t="s">
        <v>245</v>
      </c>
      <c r="Q112" s="426" t="s">
        <v>580</v>
      </c>
      <c r="R112" s="400"/>
      <c r="S112" s="225"/>
      <c r="T112" s="225"/>
      <c r="U112" s="427"/>
      <c r="Y112" s="400"/>
      <c r="Z112" s="400"/>
      <c r="AA112" s="400"/>
      <c r="AB112" s="400"/>
      <c r="AC112" s="400"/>
      <c r="AD112" s="400"/>
      <c r="AE112" s="225"/>
      <c r="AF112" s="299"/>
      <c r="AG112" s="299"/>
      <c r="AH112" s="225"/>
      <c r="AI112" s="299"/>
      <c r="AJ112" s="299"/>
      <c r="AK112" s="225"/>
      <c r="AL112" s="299"/>
      <c r="AM112" s="299"/>
      <c r="AN112" s="225"/>
      <c r="AO112" s="299"/>
      <c r="AP112" s="299"/>
      <c r="AQ112" s="225"/>
      <c r="AR112" s="299"/>
      <c r="AS112" s="299"/>
      <c r="AT112" s="220"/>
      <c r="AU112" s="211"/>
      <c r="AV112" s="221"/>
      <c r="AW112" s="222"/>
      <c r="AX112" s="225"/>
      <c r="AY112" s="225"/>
      <c r="AZ112" s="225"/>
      <c r="BA112" s="225"/>
      <c r="BB112" s="225"/>
    </row>
    <row r="113" spans="1:54" s="212" customFormat="1" ht="19.5" customHeight="1" thickBot="1" x14ac:dyDescent="0.3">
      <c r="A113" s="428" t="s">
        <v>294</v>
      </c>
      <c r="B113" s="179" t="s">
        <v>282</v>
      </c>
      <c r="C113" s="308">
        <v>75</v>
      </c>
      <c r="D113" s="421"/>
      <c r="E113" s="429"/>
      <c r="F113" s="423">
        <f>IF($G$106="parallel",VLOOKUP($F$111,reflectiecoefficienten!$A$11:$F$20,3),VLOOKUP($F$111,reflectiecoefficienten!$A$28:$F$37,3))</f>
        <v>2.7000000000000001E-3</v>
      </c>
      <c r="G113" s="423">
        <f>IF($G$106="parallel",VLOOKUP($G$111,reflectiecoefficienten!$A$11:$F$20,3),VLOOKUP($G$111,reflectiecoefficienten!$A$28:$F$37,3))</f>
        <v>2.0999999999999999E-3</v>
      </c>
      <c r="H113" s="423">
        <f>IF($G$106="parallel",VLOOKUP($H$111,reflectiecoefficienten!$A$11:$F$20,3),VLOOKUP($H$111,reflectiecoefficienten!$A$28:$F$37,3))</f>
        <v>1.6000000000000001E-3</v>
      </c>
      <c r="I113" s="424">
        <f>IF($G$106="parallel",VLOOKUP($I$111,reflectiecoefficienten!$A$11:$F$20,3),VLOOKUP($I$111,reflectiecoefficienten!$A$28:$F$37,3))</f>
        <v>3.5000000000000001E-3</v>
      </c>
      <c r="J113" s="425">
        <f>IF($G$106="parallel",VLOOKUP($J$111,reflectiecoefficienten!$A$11:$F$20,3),VLOOKUP($J$111,reflectiecoefficienten!$A$28:$F$37,3))</f>
        <v>3.3E-3</v>
      </c>
      <c r="K113" s="395"/>
      <c r="L113" s="307" t="s">
        <v>55</v>
      </c>
      <c r="M113" s="430">
        <v>0.5</v>
      </c>
      <c r="N113" s="415">
        <v>0.1</v>
      </c>
      <c r="O113" s="416">
        <v>3.6</v>
      </c>
      <c r="Q113" s="1848">
        <v>6.2</v>
      </c>
      <c r="R113" s="431"/>
      <c r="S113" s="390"/>
      <c r="T113" s="390"/>
      <c r="U113" s="417"/>
      <c r="Y113" s="400"/>
      <c r="Z113" s="400"/>
      <c r="AA113" s="400"/>
      <c r="AB113" s="400"/>
      <c r="AC113" s="400"/>
      <c r="AD113" s="400"/>
      <c r="AE113" s="225"/>
      <c r="AF113" s="299"/>
      <c r="AG113" s="299"/>
      <c r="AH113" s="225"/>
      <c r="AI113" s="299"/>
      <c r="AJ113" s="299"/>
      <c r="AK113" s="225"/>
      <c r="AL113" s="299"/>
      <c r="AM113" s="299"/>
      <c r="AN113" s="225"/>
      <c r="AO113" s="299"/>
      <c r="AP113" s="299"/>
      <c r="AQ113" s="225"/>
      <c r="AR113" s="299"/>
      <c r="AS113" s="299"/>
      <c r="AT113" s="220"/>
      <c r="AU113" s="211"/>
      <c r="AV113" s="221"/>
      <c r="AW113" s="222"/>
      <c r="AX113" s="225"/>
      <c r="AY113" s="225"/>
      <c r="AZ113" s="225"/>
      <c r="BA113" s="225"/>
      <c r="BB113" s="225"/>
    </row>
    <row r="114" spans="1:54" s="212" customFormat="1" ht="19.5" customHeight="1" x14ac:dyDescent="0.25">
      <c r="A114" s="428" t="s">
        <v>295</v>
      </c>
      <c r="B114" s="308" t="str">
        <f>IF($G$106="parallel","loodrecht",45)</f>
        <v>loodrecht</v>
      </c>
      <c r="C114" s="308">
        <f>IF($G$106="parallel",75,0)</f>
        <v>75</v>
      </c>
      <c r="D114" s="421"/>
      <c r="E114" s="432">
        <f>IF($G$106="parallel",VLOOKUP($E$111,reflectiecoefficienten!$A$11:$F$20,4),VLOOKUP($E$111,reflectiecoefficienten!$A$28:$F$37,4))</f>
        <v>8.0000000000000002E-3</v>
      </c>
      <c r="F114" s="433"/>
      <c r="G114" s="423"/>
      <c r="H114" s="423"/>
      <c r="I114" s="424"/>
      <c r="J114" s="425"/>
      <c r="K114" s="395"/>
      <c r="L114" s="434" t="s">
        <v>3</v>
      </c>
      <c r="M114" s="263">
        <f>VLOOKUP($M$113,'TVT''s afscherming'!$A$10:$J$23,5)</f>
        <v>5.5</v>
      </c>
      <c r="N114" s="435">
        <f>VLOOKUP($N$113,'TVT''s afscherming'!$A$45:$J$45,3)</f>
        <v>37</v>
      </c>
      <c r="O114" s="436">
        <f>VLOOKUP($O$113,'TVT''s afscherming'!$A$47:$J$47,3)</f>
        <v>13.5</v>
      </c>
      <c r="R114" s="400"/>
      <c r="Y114" s="400"/>
      <c r="Z114" s="400"/>
      <c r="AA114" s="400"/>
      <c r="AB114" s="400"/>
      <c r="AC114" s="400"/>
      <c r="AD114" s="400"/>
      <c r="AE114" s="225"/>
      <c r="AF114" s="299"/>
      <c r="AG114" s="299"/>
      <c r="AH114" s="225"/>
      <c r="AI114" s="299"/>
      <c r="AJ114" s="299"/>
      <c r="AK114" s="225"/>
      <c r="AL114" s="299"/>
      <c r="AM114" s="299"/>
      <c r="AN114" s="225"/>
      <c r="AO114" s="299"/>
      <c r="AP114" s="299"/>
      <c r="AQ114" s="225"/>
      <c r="AR114" s="299"/>
      <c r="AS114" s="299"/>
      <c r="AT114" s="220"/>
      <c r="AU114" s="211"/>
      <c r="AV114" s="221"/>
      <c r="AW114" s="222"/>
      <c r="AX114" s="225"/>
      <c r="AY114" s="225"/>
      <c r="AZ114" s="225"/>
      <c r="BA114" s="225"/>
      <c r="BB114" s="225"/>
    </row>
    <row r="115" spans="1:54" s="212" customFormat="1" ht="19.5" customHeight="1" x14ac:dyDescent="0.25">
      <c r="A115" s="428" t="s">
        <v>296</v>
      </c>
      <c r="B115" s="308">
        <v>45</v>
      </c>
      <c r="C115" s="308">
        <v>0</v>
      </c>
      <c r="D115" s="421"/>
      <c r="E115" s="432">
        <f>IF($G$106="parallel",VLOOKUP($E$111,reflectiecoefficienten!$A$11:$F$20,5),VLOOKUP($E$111,reflectiecoefficienten!$A$28:$F$37,5))</f>
        <v>2.1999999999999999E-2</v>
      </c>
      <c r="F115" s="423">
        <f>IF($G$106="parallel",VLOOKUP($F$111,reflectiecoefficienten!$A$11:$F$20,5),VLOOKUP($F$111,reflectiecoefficienten!$A$28:$F$37,5))</f>
        <v>6.4000000000000003E-3</v>
      </c>
      <c r="G115" s="423">
        <f>IF($G$106="parallel",VLOOKUP($G$111,reflectiecoefficienten!$A$11:$F$20,5),VLOOKUP($G$111,reflectiecoefficienten!$A$28:$F$37,5))</f>
        <v>5.1000000000000004E-3</v>
      </c>
      <c r="H115" s="423">
        <f>IF($G$106="parallel",VLOOKUP($H$111,reflectiecoefficienten!$A$11:$F$20,5),VLOOKUP($H$111,reflectiecoefficienten!$A$28:$F$37,5))</f>
        <v>4.4999999999999997E-3</v>
      </c>
      <c r="I115" s="424">
        <f>IF($G$106="parallel",VLOOKUP($I$111,reflectiecoefficienten!$A$11:$F$20,5),VLOOKUP($I$111,reflectiecoefficienten!$A$28:$F$37,5))</f>
        <v>8.3000000000000001E-3</v>
      </c>
      <c r="J115" s="425">
        <f>IF($G$106="parallel",VLOOKUP($J$111,reflectiecoefficienten!$A$11:$F$20,5),VLOOKUP($J$111,reflectiecoefficienten!$A$28:$F$37,5))</f>
        <v>7.3000000000000001E-3</v>
      </c>
      <c r="K115" s="395"/>
      <c r="L115" s="307" t="s">
        <v>22</v>
      </c>
      <c r="M115" s="263">
        <f>VLOOKUP($M$113,'TVT''s afscherming'!$A$10:$J$23,6)</f>
        <v>1.6</v>
      </c>
      <c r="N115" s="258">
        <f>VLOOKUP($N$113,'TVT''s afscherming'!$A$45:$J$45,4)</f>
        <v>37</v>
      </c>
      <c r="O115" s="721">
        <f>IF(M134&gt;5,'TVT''s afscherming'!$D$48,'TVT''s afscherming'!$D$47)</f>
        <v>0.6</v>
      </c>
      <c r="R115" s="400"/>
      <c r="Y115" s="400"/>
      <c r="Z115" s="400"/>
      <c r="AA115" s="400"/>
      <c r="AB115" s="400"/>
      <c r="AC115" s="400"/>
      <c r="AD115" s="400"/>
      <c r="AE115" s="225"/>
      <c r="AF115" s="299"/>
      <c r="AG115" s="299"/>
      <c r="AH115" s="225"/>
      <c r="AI115" s="299"/>
      <c r="AJ115" s="299"/>
      <c r="AK115" s="225"/>
      <c r="AL115" s="299"/>
      <c r="AM115" s="299"/>
      <c r="AN115" s="225"/>
      <c r="AO115" s="299"/>
      <c r="AP115" s="299"/>
      <c r="AQ115" s="225"/>
      <c r="AR115" s="299"/>
      <c r="AS115" s="299"/>
      <c r="AT115" s="220"/>
      <c r="AU115" s="211"/>
      <c r="AV115" s="221"/>
      <c r="AW115" s="222"/>
      <c r="AX115" s="225"/>
      <c r="AY115" s="225"/>
      <c r="AZ115" s="225"/>
      <c r="BA115" s="225"/>
      <c r="BB115" s="225"/>
    </row>
    <row r="116" spans="1:54" s="212" customFormat="1" ht="19.5" customHeight="1" thickBot="1" x14ac:dyDescent="0.3">
      <c r="A116" s="428" t="s">
        <v>297</v>
      </c>
      <c r="B116" s="179" t="s">
        <v>282</v>
      </c>
      <c r="C116" s="308">
        <v>75</v>
      </c>
      <c r="D116" s="222"/>
      <c r="E116" s="424">
        <f>IF(G107=1,1,(IF($G$106="parallel",VLOOKUP($E$111,reflectiecoefficienten!$A$11:$F$20,6),VLOOKUP($E$111,reflectiecoefficienten!$A$28:$F$37,6))))</f>
        <v>1</v>
      </c>
      <c r="F116" s="429"/>
      <c r="G116" s="423"/>
      <c r="H116" s="424"/>
      <c r="I116" s="424"/>
      <c r="J116" s="425"/>
      <c r="K116" s="395"/>
      <c r="L116" s="438" t="s">
        <v>39</v>
      </c>
      <c r="M116" s="439"/>
      <c r="N116" s="276">
        <f>VLOOKUP($N$113,'TVT''s afscherming'!$A$45:$J$45,5)</f>
        <v>4.5</v>
      </c>
      <c r="O116" s="440"/>
      <c r="R116" s="400"/>
      <c r="Y116" s="400"/>
      <c r="Z116" s="400"/>
      <c r="AA116" s="400"/>
      <c r="AB116" s="400"/>
      <c r="AC116" s="400"/>
      <c r="AD116" s="400"/>
      <c r="AE116" s="225"/>
      <c r="AF116" s="299"/>
      <c r="AG116" s="299"/>
      <c r="AH116" s="225"/>
      <c r="AI116" s="299"/>
      <c r="AJ116" s="299"/>
      <c r="AK116" s="225"/>
      <c r="AL116" s="299"/>
      <c r="AM116" s="299"/>
      <c r="AN116" s="225"/>
      <c r="AO116" s="299"/>
      <c r="AP116" s="299"/>
      <c r="AQ116" s="225"/>
      <c r="AR116" s="299"/>
      <c r="AS116" s="299"/>
      <c r="AT116" s="220"/>
      <c r="AU116" s="211"/>
      <c r="AV116" s="221"/>
      <c r="AW116" s="222"/>
      <c r="AX116" s="225"/>
      <c r="AY116" s="225"/>
      <c r="AZ116" s="225"/>
      <c r="BA116" s="225"/>
      <c r="BB116" s="225"/>
    </row>
    <row r="117" spans="1:54" s="212" customFormat="1" ht="19.5" customHeight="1" thickBot="1" x14ac:dyDescent="0.3">
      <c r="A117" s="441"/>
      <c r="B117" s="442"/>
      <c r="C117" s="443"/>
      <c r="D117" s="444"/>
      <c r="E117" s="445"/>
      <c r="F117" s="446"/>
      <c r="G117" s="445"/>
      <c r="H117" s="445"/>
      <c r="I117" s="445"/>
      <c r="J117" s="445"/>
      <c r="K117" s="395"/>
      <c r="R117" s="400"/>
      <c r="Y117" s="400"/>
      <c r="Z117" s="400"/>
      <c r="AA117" s="400"/>
      <c r="AB117" s="400"/>
      <c r="AC117" s="400"/>
      <c r="AD117" s="400"/>
      <c r="AE117" s="225"/>
      <c r="AF117" s="299"/>
      <c r="AG117" s="299"/>
      <c r="AH117" s="225"/>
      <c r="AI117" s="299"/>
      <c r="AJ117" s="299"/>
      <c r="AK117" s="225"/>
      <c r="AL117" s="299"/>
      <c r="AM117" s="299"/>
      <c r="AN117" s="225"/>
      <c r="AO117" s="299"/>
      <c r="AP117" s="299"/>
      <c r="AQ117" s="225"/>
      <c r="AR117" s="299"/>
      <c r="AS117" s="299"/>
      <c r="AT117" s="220"/>
      <c r="AU117" s="211"/>
      <c r="AV117" s="221"/>
      <c r="AW117" s="222"/>
      <c r="AX117" s="225"/>
      <c r="AY117" s="225"/>
      <c r="AZ117" s="225"/>
      <c r="BA117" s="225"/>
      <c r="BB117" s="225"/>
    </row>
    <row r="118" spans="1:54" s="212" customFormat="1" ht="19.5" customHeight="1" x14ac:dyDescent="0.25">
      <c r="A118" s="447" t="s">
        <v>280</v>
      </c>
      <c r="B118" s="272"/>
      <c r="C118" s="222"/>
      <c r="D118" s="222"/>
      <c r="E118" s="310"/>
      <c r="F118" s="448" t="s">
        <v>55</v>
      </c>
      <c r="J118" s="449"/>
      <c r="K118" s="395"/>
      <c r="R118" s="400"/>
      <c r="S118" s="400"/>
      <c r="T118" s="400"/>
      <c r="U118" s="400"/>
      <c r="V118" s="400"/>
      <c r="W118" s="400"/>
      <c r="X118" s="400"/>
      <c r="Y118" s="400"/>
      <c r="Z118" s="400"/>
      <c r="AA118" s="400"/>
      <c r="AB118" s="400"/>
      <c r="AC118" s="400"/>
      <c r="AD118" s="400"/>
      <c r="AE118" s="225"/>
      <c r="AF118" s="299"/>
      <c r="AG118" s="299"/>
      <c r="AH118" s="225"/>
      <c r="AI118" s="299"/>
      <c r="AJ118" s="299"/>
      <c r="AK118" s="225"/>
      <c r="AL118" s="299"/>
      <c r="AM118" s="299"/>
      <c r="AN118" s="225"/>
      <c r="AO118" s="299"/>
      <c r="AP118" s="299"/>
      <c r="AQ118" s="225"/>
      <c r="AR118" s="299"/>
      <c r="AS118" s="299"/>
      <c r="AT118" s="220"/>
      <c r="AU118" s="211"/>
      <c r="AV118" s="221"/>
      <c r="AW118" s="222"/>
      <c r="AX118" s="225"/>
      <c r="AY118" s="225"/>
      <c r="AZ118" s="225"/>
      <c r="BA118" s="225"/>
      <c r="BB118" s="225"/>
    </row>
    <row r="119" spans="1:54" s="212" customFormat="1" ht="19.5" customHeight="1" x14ac:dyDescent="0.25">
      <c r="A119" s="221" t="s">
        <v>291</v>
      </c>
      <c r="B119" s="220"/>
      <c r="C119" s="450" t="s">
        <v>289</v>
      </c>
      <c r="D119" s="266"/>
      <c r="E119" s="451"/>
      <c r="F119" s="411">
        <f>$C$4</f>
        <v>6</v>
      </c>
      <c r="G119" s="269">
        <f>$D$4</f>
        <v>10</v>
      </c>
      <c r="H119" s="269">
        <f>$E$4</f>
        <v>18</v>
      </c>
      <c r="I119" s="411" t="str">
        <f>$F$4</f>
        <v>6 FFF</v>
      </c>
      <c r="J119" s="412" t="str">
        <f>$G$4</f>
        <v>10 FFF</v>
      </c>
      <c r="K119" s="395"/>
      <c r="L119" s="211"/>
      <c r="M119" s="452"/>
      <c r="N119" s="453"/>
      <c r="O119" s="453"/>
      <c r="P119" s="453"/>
      <c r="Q119" s="453"/>
      <c r="R119" s="400"/>
      <c r="S119" s="400"/>
      <c r="T119" s="400"/>
      <c r="U119" s="400"/>
      <c r="V119" s="400"/>
      <c r="W119" s="400"/>
      <c r="X119" s="400"/>
      <c r="Y119" s="400"/>
      <c r="Z119" s="400"/>
      <c r="AA119" s="400"/>
      <c r="AB119" s="400"/>
      <c r="AC119" s="400"/>
      <c r="AD119" s="400"/>
      <c r="AE119" s="225"/>
      <c r="AF119" s="299"/>
      <c r="AG119" s="299"/>
      <c r="AH119" s="225"/>
      <c r="AI119" s="299"/>
      <c r="AJ119" s="299"/>
      <c r="AK119" s="225"/>
      <c r="AL119" s="299"/>
      <c r="AM119" s="299"/>
      <c r="AN119" s="225"/>
      <c r="AO119" s="299"/>
      <c r="AP119" s="299"/>
      <c r="AQ119" s="225"/>
      <c r="AR119" s="299"/>
      <c r="AS119" s="299"/>
      <c r="AT119" s="220"/>
      <c r="AU119" s="211"/>
      <c r="AV119" s="221"/>
      <c r="AW119" s="222"/>
      <c r="AX119" s="225"/>
      <c r="AY119" s="225"/>
      <c r="AZ119" s="225"/>
      <c r="BA119" s="225"/>
      <c r="BB119" s="225"/>
    </row>
    <row r="120" spans="1:54" s="212" customFormat="1" ht="19.5" customHeight="1" x14ac:dyDescent="0.25">
      <c r="A120" s="454" t="s">
        <v>281</v>
      </c>
      <c r="B120" s="455"/>
      <c r="C120" s="456" t="s">
        <v>287</v>
      </c>
      <c r="D120" s="457"/>
      <c r="E120" s="458"/>
      <c r="F120" s="423">
        <f>VLOOKUP($F$119,patientscatterfactoren!$A$18:$I$29,5)</f>
        <v>1.39E-3</v>
      </c>
      <c r="G120" s="423">
        <f>VLOOKUP($G$119,patientscatterfactoren!$A$18:$I$29,5)</f>
        <v>1.3500000000000001E-3</v>
      </c>
      <c r="H120" s="423">
        <f>VLOOKUP($H$119,patientscatterfactoren!$A$18:$I$29,5)</f>
        <v>8.6399999999999997E-4</v>
      </c>
      <c r="I120" s="423">
        <f>VLOOKUP($I$119,patientscatterfactoren!$A$18:$I$29,5)</f>
        <v>1.2999999999999999E-3</v>
      </c>
      <c r="J120" s="425">
        <f>VLOOKUP($J$119,patientscatterfactoren!$A$18:$I$29,5)</f>
        <v>1.1999999999999999E-3</v>
      </c>
      <c r="K120" s="395"/>
      <c r="L120" s="211"/>
      <c r="M120" s="453"/>
      <c r="N120" s="453"/>
      <c r="O120" s="453"/>
      <c r="P120" s="453"/>
      <c r="Q120" s="453"/>
      <c r="R120" s="400"/>
      <c r="S120" s="400"/>
      <c r="T120" s="400"/>
      <c r="U120" s="400"/>
      <c r="V120" s="400"/>
      <c r="W120" s="400"/>
      <c r="X120" s="400"/>
      <c r="Y120" s="400"/>
      <c r="Z120" s="400"/>
      <c r="AA120" s="400"/>
      <c r="AB120" s="400"/>
      <c r="AC120" s="400"/>
      <c r="AD120" s="400"/>
      <c r="AE120" s="225"/>
      <c r="AF120" s="299"/>
      <c r="AG120" s="299"/>
      <c r="AH120" s="225"/>
      <c r="AI120" s="299"/>
      <c r="AJ120" s="299"/>
      <c r="AK120" s="225"/>
      <c r="AL120" s="299"/>
      <c r="AM120" s="299"/>
      <c r="AN120" s="225"/>
      <c r="AO120" s="299"/>
      <c r="AP120" s="299"/>
      <c r="AQ120" s="225"/>
      <c r="AR120" s="299"/>
      <c r="AS120" s="299"/>
      <c r="AT120" s="220"/>
      <c r="AU120" s="211"/>
      <c r="AV120" s="221"/>
      <c r="AW120" s="222"/>
      <c r="AX120" s="225"/>
      <c r="AY120" s="225"/>
      <c r="AZ120" s="225"/>
      <c r="BA120" s="225"/>
      <c r="BB120" s="225"/>
    </row>
    <row r="121" spans="1:54" s="212" customFormat="1" ht="19.5" customHeight="1" x14ac:dyDescent="0.25">
      <c r="A121" s="459" t="s">
        <v>284</v>
      </c>
      <c r="B121" s="272"/>
      <c r="C121" s="460" t="s">
        <v>285</v>
      </c>
      <c r="D121" s="222"/>
      <c r="E121" s="461"/>
      <c r="F121" s="423">
        <f>VLOOKUP($F$119,patientscatterfactoren!$A$18:$I$29,7)</f>
        <v>4.26E-4</v>
      </c>
      <c r="G121" s="423">
        <f>VLOOKUP($G$119,patientscatterfactoren!$A$18:$I$29,7)</f>
        <v>3.8099999999999999E-4</v>
      </c>
      <c r="H121" s="423">
        <f>VLOOKUP($H$119,patientscatterfactoren!$A$18:$I$29,7)</f>
        <v>1.8900000000000001E-4</v>
      </c>
      <c r="I121" s="423">
        <f>VLOOKUP($I$119,patientscatterfactoren!$A$18:$I$29,7)</f>
        <v>4.46E-4</v>
      </c>
      <c r="J121" s="425">
        <f>VLOOKUP($J$119,patientscatterfactoren!$A$18:$I$29,7)</f>
        <v>4.0299999999999998E-4</v>
      </c>
      <c r="K121" s="395"/>
      <c r="L121" s="211"/>
      <c r="M121" s="453"/>
      <c r="N121" s="453"/>
      <c r="O121" s="453"/>
      <c r="P121" s="453"/>
      <c r="Q121" s="453"/>
      <c r="R121" s="400"/>
      <c r="S121" s="400"/>
      <c r="T121" s="400"/>
      <c r="U121" s="400"/>
      <c r="V121" s="400"/>
      <c r="W121" s="400"/>
      <c r="X121" s="400"/>
      <c r="Y121" s="400"/>
      <c r="Z121" s="400"/>
      <c r="AA121" s="400"/>
      <c r="AB121" s="400"/>
      <c r="AC121" s="400"/>
      <c r="AD121" s="400"/>
      <c r="AE121" s="225"/>
      <c r="AF121" s="299"/>
      <c r="AG121" s="299"/>
      <c r="AH121" s="225"/>
      <c r="AI121" s="299"/>
      <c r="AJ121" s="299"/>
      <c r="AK121" s="225"/>
      <c r="AL121" s="299"/>
      <c r="AM121" s="299"/>
      <c r="AN121" s="225"/>
      <c r="AO121" s="299"/>
      <c r="AP121" s="299"/>
      <c r="AQ121" s="225"/>
      <c r="AR121" s="299"/>
      <c r="AS121" s="299"/>
      <c r="AT121" s="220"/>
      <c r="AU121" s="211"/>
      <c r="AV121" s="221"/>
      <c r="AW121" s="222"/>
      <c r="AX121" s="225"/>
      <c r="AY121" s="225"/>
      <c r="AZ121" s="225"/>
      <c r="BA121" s="225"/>
      <c r="BB121" s="225"/>
    </row>
    <row r="122" spans="1:54" s="212" customFormat="1" ht="19.5" customHeight="1" thickBot="1" x14ac:dyDescent="0.3">
      <c r="A122" s="459" t="s">
        <v>286</v>
      </c>
      <c r="B122" s="272"/>
      <c r="C122" s="460" t="s">
        <v>288</v>
      </c>
      <c r="D122" s="222"/>
      <c r="E122" s="462"/>
      <c r="F122" s="423">
        <f>VLOOKUP($F$119,patientscatterfactoren!$A$18:$I$29,8)</f>
        <v>2.9999999999999997E-4</v>
      </c>
      <c r="G122" s="423">
        <f>VLOOKUP($G$119,patientscatterfactoren!$A$18:$I$29,8)</f>
        <v>3.0200000000000002E-4</v>
      </c>
      <c r="H122" s="463">
        <f>VLOOKUP($H$119,patientscatterfactoren!$A$18:$I$29,8)</f>
        <v>1.2400000000000001E-4</v>
      </c>
      <c r="I122" s="463">
        <f>VLOOKUP($I$119,patientscatterfactoren!$A$18:$I$29,8)</f>
        <v>3.4200000000000002E-4</v>
      </c>
      <c r="J122" s="464">
        <f>VLOOKUP($J$119,patientscatterfactoren!$A$18:$I$29,8)</f>
        <v>3.8200000000000002E-4</v>
      </c>
      <c r="K122" s="395"/>
      <c r="L122" s="211"/>
      <c r="M122" s="453"/>
      <c r="N122" s="453"/>
      <c r="O122" s="453"/>
      <c r="P122" s="453"/>
      <c r="Q122" s="453"/>
      <c r="R122" s="400"/>
      <c r="S122" s="400"/>
      <c r="T122" s="400"/>
      <c r="U122" s="400"/>
      <c r="V122" s="400"/>
      <c r="W122" s="400"/>
      <c r="X122" s="400"/>
      <c r="Y122" s="400"/>
      <c r="Z122" s="400"/>
      <c r="AA122" s="400"/>
      <c r="AB122" s="400"/>
      <c r="AC122" s="400"/>
      <c r="AD122" s="400"/>
      <c r="AE122" s="225"/>
      <c r="AF122" s="299"/>
      <c r="AG122" s="299"/>
      <c r="AH122" s="225"/>
      <c r="AI122" s="299"/>
      <c r="AJ122" s="299"/>
      <c r="AK122" s="225"/>
      <c r="AL122" s="299"/>
      <c r="AM122" s="299"/>
      <c r="AN122" s="225"/>
      <c r="AO122" s="299"/>
      <c r="AP122" s="299"/>
      <c r="AQ122" s="225"/>
      <c r="AR122" s="299"/>
      <c r="AS122" s="299"/>
      <c r="AT122" s="220"/>
      <c r="AU122" s="211"/>
      <c r="AV122" s="221"/>
      <c r="AW122" s="222"/>
      <c r="AX122" s="225"/>
      <c r="AY122" s="225"/>
      <c r="AZ122" s="225"/>
      <c r="BA122" s="225"/>
      <c r="BB122" s="225"/>
    </row>
    <row r="123" spans="1:54" s="212" customFormat="1" ht="19.5" customHeight="1" thickBot="1" x14ac:dyDescent="0.3">
      <c r="A123" s="465"/>
      <c r="B123" s="466"/>
      <c r="C123" s="466"/>
      <c r="D123" s="444"/>
      <c r="E123" s="445"/>
      <c r="F123" s="445"/>
      <c r="G123" s="445"/>
      <c r="H123" s="467"/>
      <c r="I123" s="467"/>
      <c r="J123" s="467"/>
      <c r="K123" s="395"/>
      <c r="L123" s="395"/>
      <c r="M123" s="400"/>
      <c r="N123" s="400"/>
      <c r="O123" s="400"/>
      <c r="P123" s="400"/>
      <c r="Q123" s="400"/>
      <c r="R123" s="400"/>
      <c r="S123" s="400"/>
      <c r="T123" s="400"/>
      <c r="U123" s="400"/>
      <c r="V123" s="400"/>
      <c r="W123" s="400"/>
      <c r="X123" s="400"/>
      <c r="Y123" s="400"/>
      <c r="Z123" s="400"/>
      <c r="AA123" s="400"/>
      <c r="AB123" s="400"/>
      <c r="AC123" s="400"/>
      <c r="AD123" s="400"/>
      <c r="AE123" s="225"/>
      <c r="AF123" s="299"/>
      <c r="AG123" s="299"/>
      <c r="AH123" s="225"/>
      <c r="AI123" s="299"/>
      <c r="AJ123" s="299"/>
      <c r="AK123" s="225"/>
      <c r="AL123" s="299"/>
      <c r="AM123" s="299"/>
      <c r="AN123" s="225"/>
      <c r="AO123" s="299"/>
      <c r="AP123" s="299"/>
      <c r="AQ123" s="225"/>
      <c r="AR123" s="299"/>
      <c r="AS123" s="299"/>
      <c r="AT123" s="220"/>
      <c r="AU123" s="211"/>
      <c r="AV123" s="221"/>
      <c r="AW123" s="222"/>
      <c r="AX123" s="225"/>
      <c r="AY123" s="225"/>
      <c r="AZ123" s="225"/>
      <c r="BA123" s="225"/>
      <c r="BB123" s="225"/>
    </row>
    <row r="124" spans="1:54" s="212" customFormat="1" ht="19.5" customHeight="1" x14ac:dyDescent="0.25">
      <c r="A124" s="428" t="s">
        <v>244</v>
      </c>
      <c r="B124" s="225"/>
      <c r="C124" s="225"/>
      <c r="D124" s="211"/>
      <c r="E124" s="211"/>
      <c r="F124" s="225"/>
      <c r="G124" s="427"/>
      <c r="H124" s="225"/>
      <c r="I124" s="225"/>
      <c r="J124" s="222"/>
      <c r="K124" s="395"/>
      <c r="L124" s="395"/>
      <c r="M124" s="400"/>
      <c r="N124" s="400"/>
      <c r="O124" s="400"/>
      <c r="P124" s="400"/>
      <c r="Q124" s="400"/>
      <c r="R124" s="400"/>
      <c r="S124" s="400"/>
      <c r="T124" s="400"/>
      <c r="U124" s="400"/>
      <c r="V124" s="400"/>
      <c r="W124" s="400"/>
      <c r="X124" s="400"/>
      <c r="Y124" s="400"/>
      <c r="Z124" s="400"/>
      <c r="AA124" s="400"/>
      <c r="AB124" s="400"/>
      <c r="AC124" s="400"/>
      <c r="AD124" s="400"/>
      <c r="AE124" s="225"/>
      <c r="AF124" s="299"/>
      <c r="AG124" s="299"/>
      <c r="AH124" s="225"/>
      <c r="AI124" s="299"/>
      <c r="AJ124" s="299"/>
      <c r="AK124" s="225"/>
      <c r="AL124" s="299"/>
      <c r="AM124" s="299"/>
      <c r="AN124" s="225"/>
      <c r="AO124" s="299"/>
      <c r="AP124" s="299"/>
      <c r="AQ124" s="225"/>
      <c r="AR124" s="299"/>
      <c r="AS124" s="299"/>
      <c r="AT124" s="220"/>
      <c r="AU124" s="211"/>
      <c r="AV124" s="221"/>
      <c r="AW124" s="222"/>
      <c r="AX124" s="225"/>
      <c r="AY124" s="225"/>
      <c r="AZ124" s="225"/>
      <c r="BA124" s="225"/>
      <c r="BB124" s="225"/>
    </row>
    <row r="125" spans="1:54" s="212" customFormat="1" ht="19.5" customHeight="1" x14ac:dyDescent="0.25">
      <c r="A125" s="401" t="s">
        <v>241</v>
      </c>
      <c r="B125" s="267"/>
      <c r="C125" s="222"/>
      <c r="D125" s="222"/>
      <c r="E125" s="222"/>
      <c r="F125" s="222"/>
      <c r="G125" s="1849">
        <v>0.5</v>
      </c>
      <c r="H125" s="225"/>
      <c r="I125" s="225"/>
      <c r="J125" s="222"/>
      <c r="K125" s="395"/>
      <c r="L125" s="395"/>
      <c r="M125" s="400"/>
      <c r="N125" s="400"/>
      <c r="O125" s="400"/>
      <c r="P125" s="400"/>
      <c r="Q125" s="400"/>
      <c r="R125" s="400"/>
      <c r="S125" s="400"/>
      <c r="T125" s="400"/>
      <c r="U125" s="400"/>
      <c r="V125" s="400"/>
      <c r="W125" s="400"/>
      <c r="X125" s="400"/>
      <c r="Y125" s="400"/>
      <c r="Z125" s="400"/>
      <c r="AA125" s="400"/>
      <c r="AB125" s="400"/>
      <c r="AC125" s="400"/>
      <c r="AD125" s="400"/>
      <c r="AE125" s="225"/>
      <c r="AF125" s="299"/>
      <c r="AG125" s="299"/>
      <c r="AH125" s="225"/>
      <c r="AI125" s="299"/>
      <c r="AJ125" s="299"/>
      <c r="AK125" s="225"/>
      <c r="AL125" s="299"/>
      <c r="AM125" s="299"/>
      <c r="AN125" s="225"/>
      <c r="AO125" s="299"/>
      <c r="AP125" s="299"/>
      <c r="AQ125" s="225"/>
      <c r="AR125" s="299"/>
      <c r="AS125" s="299"/>
      <c r="AT125" s="220"/>
      <c r="AU125" s="211"/>
      <c r="AV125" s="221"/>
      <c r="AW125" s="222"/>
      <c r="AX125" s="225"/>
      <c r="AY125" s="225"/>
      <c r="AZ125" s="225"/>
      <c r="BA125" s="225"/>
      <c r="BB125" s="225"/>
    </row>
    <row r="126" spans="1:54" s="212" customFormat="1" ht="19.5" customHeight="1" thickBot="1" x14ac:dyDescent="0.3">
      <c r="A126" s="468" t="s">
        <v>242</v>
      </c>
      <c r="B126" s="388"/>
      <c r="C126" s="388"/>
      <c r="D126" s="388"/>
      <c r="E126" s="388"/>
      <c r="F126" s="388"/>
      <c r="G126" s="1850">
        <v>0.32</v>
      </c>
      <c r="H126" s="225"/>
      <c r="I126" s="225"/>
      <c r="J126" s="222"/>
      <c r="K126" s="395"/>
      <c r="L126" s="395"/>
      <c r="M126" s="400"/>
      <c r="N126" s="400"/>
      <c r="O126" s="400"/>
      <c r="P126" s="400"/>
      <c r="Q126" s="400"/>
      <c r="R126" s="400"/>
      <c r="S126" s="400"/>
      <c r="T126" s="400"/>
      <c r="U126" s="400"/>
      <c r="V126" s="400"/>
      <c r="W126" s="400"/>
      <c r="X126" s="400"/>
      <c r="Y126" s="400"/>
      <c r="Z126" s="400"/>
      <c r="AA126" s="400"/>
      <c r="AB126" s="400"/>
      <c r="AC126" s="400"/>
      <c r="AD126" s="225"/>
      <c r="AE126" s="299"/>
      <c r="AF126" s="299"/>
      <c r="AG126" s="225"/>
      <c r="AH126" s="299"/>
      <c r="AI126" s="299"/>
      <c r="AJ126" s="225"/>
      <c r="AK126" s="299"/>
      <c r="AL126" s="299"/>
      <c r="AM126" s="225"/>
      <c r="AN126" s="299"/>
      <c r="AO126" s="299"/>
      <c r="AP126" s="225"/>
      <c r="AQ126" s="299"/>
      <c r="AR126" s="299"/>
      <c r="AS126" s="220"/>
      <c r="AT126" s="211"/>
      <c r="AU126" s="211"/>
      <c r="AV126" s="221"/>
      <c r="AW126" s="225"/>
      <c r="AX126" s="225"/>
      <c r="AY126" s="225"/>
      <c r="AZ126" s="225"/>
      <c r="BA126" s="225"/>
    </row>
    <row r="127" spans="1:54" s="212" customFormat="1" ht="19.5" customHeight="1" x14ac:dyDescent="0.25">
      <c r="A127" s="469"/>
      <c r="B127" s="400"/>
      <c r="C127" s="400"/>
      <c r="D127" s="400"/>
      <c r="E127" s="400"/>
      <c r="F127" s="400"/>
      <c r="G127" s="395"/>
      <c r="H127" s="395"/>
      <c r="I127" s="395"/>
      <c r="J127" s="395"/>
      <c r="K127" s="395"/>
      <c r="L127" s="395"/>
      <c r="M127" s="400"/>
      <c r="N127" s="400"/>
      <c r="O127" s="400"/>
      <c r="P127" s="400"/>
      <c r="Q127" s="400"/>
      <c r="R127" s="400"/>
      <c r="S127" s="400"/>
      <c r="T127" s="400"/>
      <c r="U127" s="400"/>
      <c r="V127" s="400"/>
      <c r="W127" s="400"/>
      <c r="X127" s="400"/>
      <c r="Y127" s="400"/>
      <c r="Z127" s="400"/>
      <c r="AA127" s="400"/>
      <c r="AB127" s="400"/>
      <c r="AC127" s="400"/>
      <c r="AD127" s="400"/>
      <c r="AE127" s="472"/>
      <c r="AF127" s="473">
        <f>$C$4</f>
        <v>6</v>
      </c>
      <c r="AG127" s="474"/>
      <c r="AH127" s="475"/>
      <c r="AI127" s="473">
        <f>$D$4</f>
        <v>10</v>
      </c>
      <c r="AJ127" s="474"/>
      <c r="AK127" s="476"/>
      <c r="AL127" s="473">
        <f>$E$4</f>
        <v>18</v>
      </c>
      <c r="AM127" s="474"/>
      <c r="AN127" s="476"/>
      <c r="AO127" s="473" t="str">
        <f>$F$4</f>
        <v>6 FFF</v>
      </c>
      <c r="AP127" s="474"/>
      <c r="AQ127" s="476"/>
      <c r="AR127" s="473" t="str">
        <f>$G$4</f>
        <v>10 FFF</v>
      </c>
      <c r="AS127" s="473"/>
      <c r="AT127" s="477" t="s">
        <v>16</v>
      </c>
      <c r="AU127" s="478"/>
      <c r="AV127" s="222"/>
      <c r="AW127" s="222"/>
      <c r="AX127" s="225"/>
      <c r="AY127" s="225"/>
      <c r="AZ127" s="225"/>
      <c r="BA127" s="225"/>
      <c r="BB127" s="225"/>
    </row>
    <row r="128" spans="1:54" s="212" customFormat="1" ht="19.5" customHeight="1" x14ac:dyDescent="0.2">
      <c r="A128" s="479" t="s">
        <v>50</v>
      </c>
      <c r="B128" s="480" t="s">
        <v>15</v>
      </c>
      <c r="C128" s="481" t="s">
        <v>25</v>
      </c>
      <c r="D128" s="482" t="s">
        <v>158</v>
      </c>
      <c r="E128" s="483"/>
      <c r="F128" s="484" t="s">
        <v>386</v>
      </c>
      <c r="G128" s="485"/>
      <c r="H128" s="482"/>
      <c r="I128" s="482"/>
      <c r="J128" s="482"/>
      <c r="K128" s="482"/>
      <c r="L128" s="482"/>
      <c r="M128" s="486"/>
      <c r="N128" s="487" t="s">
        <v>381</v>
      </c>
      <c r="O128" s="484"/>
      <c r="P128" s="484" t="s">
        <v>386</v>
      </c>
      <c r="Q128" s="488"/>
      <c r="R128" s="488"/>
      <c r="S128" s="482"/>
      <c r="T128" s="482"/>
      <c r="U128" s="486"/>
      <c r="V128" s="489" t="s">
        <v>525</v>
      </c>
      <c r="W128" s="301" t="s">
        <v>524</v>
      </c>
      <c r="X128" s="1990" t="s">
        <v>77</v>
      </c>
      <c r="Y128" s="1991"/>
      <c r="Z128" s="1992"/>
      <c r="AA128" s="490"/>
      <c r="AB128" s="491"/>
      <c r="AC128" s="492" t="s">
        <v>334</v>
      </c>
      <c r="AD128" s="485"/>
      <c r="AE128" s="493"/>
      <c r="AF128" s="420" t="s">
        <v>206</v>
      </c>
      <c r="AG128" s="420" t="s">
        <v>16</v>
      </c>
      <c r="AH128" s="420" t="s">
        <v>86</v>
      </c>
      <c r="AI128" s="420" t="s">
        <v>206</v>
      </c>
      <c r="AJ128" s="420" t="s">
        <v>16</v>
      </c>
      <c r="AK128" s="420" t="s">
        <v>86</v>
      </c>
      <c r="AL128" s="420" t="s">
        <v>206</v>
      </c>
      <c r="AM128" s="420" t="s">
        <v>16</v>
      </c>
      <c r="AN128" s="420" t="s">
        <v>86</v>
      </c>
      <c r="AO128" s="420" t="s">
        <v>206</v>
      </c>
      <c r="AP128" s="420" t="s">
        <v>16</v>
      </c>
      <c r="AQ128" s="420" t="s">
        <v>86</v>
      </c>
      <c r="AR128" s="420" t="s">
        <v>206</v>
      </c>
      <c r="AS128" s="420" t="s">
        <v>16</v>
      </c>
      <c r="AT128" s="494"/>
      <c r="AU128" s="495" t="s">
        <v>11</v>
      </c>
      <c r="AV128" s="222"/>
      <c r="AW128" s="222"/>
      <c r="AX128" s="225"/>
      <c r="AY128" s="225"/>
      <c r="AZ128" s="225"/>
      <c r="BA128" s="225"/>
      <c r="BB128" s="225"/>
    </row>
    <row r="129" spans="1:90" s="212" customFormat="1" ht="19.5" customHeight="1" thickBot="1" x14ac:dyDescent="0.25">
      <c r="A129" s="496"/>
      <c r="B129" s="497"/>
      <c r="C129" s="498"/>
      <c r="D129" s="499" t="s">
        <v>367</v>
      </c>
      <c r="E129" s="498" t="s">
        <v>364</v>
      </c>
      <c r="F129" s="498" t="s">
        <v>370</v>
      </c>
      <c r="G129" s="499" t="s">
        <v>368</v>
      </c>
      <c r="H129" s="498" t="s">
        <v>365</v>
      </c>
      <c r="I129" s="499" t="s">
        <v>369</v>
      </c>
      <c r="J129" s="498" t="s">
        <v>371</v>
      </c>
      <c r="K129" s="498" t="s">
        <v>366</v>
      </c>
      <c r="L129" s="498" t="s">
        <v>373</v>
      </c>
      <c r="M129" s="498" t="s">
        <v>372</v>
      </c>
      <c r="N129" s="498" t="s">
        <v>374</v>
      </c>
      <c r="O129" s="498" t="s">
        <v>375</v>
      </c>
      <c r="P129" s="498" t="s">
        <v>376</v>
      </c>
      <c r="Q129" s="498" t="s">
        <v>377</v>
      </c>
      <c r="R129" s="498" t="s">
        <v>378</v>
      </c>
      <c r="S129" s="498" t="s">
        <v>382</v>
      </c>
      <c r="T129" s="498" t="s">
        <v>379</v>
      </c>
      <c r="U129" s="498" t="s">
        <v>380</v>
      </c>
      <c r="V129" s="498" t="s">
        <v>526</v>
      </c>
      <c r="W129" s="308" t="s">
        <v>528</v>
      </c>
      <c r="X129" s="500" t="s">
        <v>1</v>
      </c>
      <c r="Y129" s="501" t="s">
        <v>61</v>
      </c>
      <c r="Z129" s="502" t="s">
        <v>3</v>
      </c>
      <c r="AA129" s="502" t="s">
        <v>22</v>
      </c>
      <c r="AB129" s="502" t="s">
        <v>3</v>
      </c>
      <c r="AC129" s="503" t="s">
        <v>22</v>
      </c>
      <c r="AD129" s="504" t="s">
        <v>39</v>
      </c>
      <c r="AE129" s="505" t="s">
        <v>208</v>
      </c>
      <c r="AF129" s="505" t="s">
        <v>207</v>
      </c>
      <c r="AG129" s="506" t="s">
        <v>174</v>
      </c>
      <c r="AH129" s="505" t="s">
        <v>208</v>
      </c>
      <c r="AI129" s="505" t="s">
        <v>207</v>
      </c>
      <c r="AJ129" s="506" t="s">
        <v>174</v>
      </c>
      <c r="AK129" s="507" t="s">
        <v>208</v>
      </c>
      <c r="AL129" s="507" t="s">
        <v>207</v>
      </c>
      <c r="AM129" s="179" t="s">
        <v>174</v>
      </c>
      <c r="AN129" s="507" t="s">
        <v>208</v>
      </c>
      <c r="AO129" s="507" t="s">
        <v>207</v>
      </c>
      <c r="AP129" s="179" t="s">
        <v>174</v>
      </c>
      <c r="AQ129" s="507" t="s">
        <v>208</v>
      </c>
      <c r="AR129" s="507" t="s">
        <v>207</v>
      </c>
      <c r="AS129" s="179" t="s">
        <v>174</v>
      </c>
      <c r="AT129" s="508" t="s">
        <v>174</v>
      </c>
      <c r="AU129" s="509" t="s">
        <v>166</v>
      </c>
      <c r="AV129" s="211"/>
      <c r="AW129" s="222"/>
      <c r="AX129" s="225"/>
      <c r="AY129" s="225"/>
      <c r="AZ129" s="225"/>
      <c r="BA129" s="225"/>
      <c r="BB129" s="225"/>
    </row>
    <row r="130" spans="1:90" s="212" customFormat="1" ht="30" customHeight="1" thickBot="1" x14ac:dyDescent="0.3">
      <c r="A130" s="510" t="str">
        <f>A85</f>
        <v>L6</v>
      </c>
      <c r="B130" s="712" t="str">
        <f>B85</f>
        <v>ingang labyrint linac 6</v>
      </c>
      <c r="C130" s="512" t="s">
        <v>200</v>
      </c>
      <c r="D130" s="1851">
        <v>5</v>
      </c>
      <c r="E130" s="111"/>
      <c r="F130" s="116"/>
      <c r="G130" s="1851">
        <v>10</v>
      </c>
      <c r="H130" s="120"/>
      <c r="I130" s="1853">
        <v>10</v>
      </c>
      <c r="J130" s="123"/>
      <c r="K130" s="1982">
        <v>1</v>
      </c>
      <c r="L130" s="114"/>
      <c r="M130" s="113"/>
      <c r="N130" s="1851">
        <v>4</v>
      </c>
      <c r="O130" s="120"/>
      <c r="P130" s="1851">
        <v>5</v>
      </c>
      <c r="Q130" s="134"/>
      <c r="R130" s="1828">
        <v>2</v>
      </c>
      <c r="S130" s="137"/>
      <c r="T130" s="114"/>
      <c r="U130" s="138"/>
      <c r="V130" s="141"/>
      <c r="W130" s="1828">
        <v>0.25</v>
      </c>
      <c r="X130" s="149"/>
      <c r="Y130" s="150"/>
      <c r="Z130" s="151"/>
      <c r="AA130" s="152"/>
      <c r="AB130" s="1984">
        <v>0</v>
      </c>
      <c r="AC130" s="1987">
        <v>0</v>
      </c>
      <c r="AD130" s="168"/>
      <c r="AE130" s="171">
        <f>$AB130/$M$114+$AC130/$M$115</f>
        <v>0</v>
      </c>
      <c r="AF130" s="97">
        <f t="shared" ref="AF130:AF135" si="11">10^(-AE130)</f>
        <v>1</v>
      </c>
      <c r="AG130" s="91">
        <f>$C$7*$C$14*$C$8*$W$130/$D$130^2*$N$130*$F$112/$G$130^2*$P$130*$E$114/$I$130^2*$R$130*$E$116/$K$130^2*AF130*10^6</f>
        <v>6.9119999999999997E-3</v>
      </c>
      <c r="AH130" s="91">
        <f>$AB130/$M$114+$AC130/$M$115</f>
        <v>0</v>
      </c>
      <c r="AI130" s="97">
        <f t="shared" ref="AI130:AI135" si="12">10^(-AH130)</f>
        <v>1</v>
      </c>
      <c r="AJ130" s="91">
        <f>$C$7*$D$14*$D$8*$W$130/$D$130^2*$N$130*$G$112/$G$130^2*$P$130*$E$114/$I$130^2*$R$130*$E$116/$K$130^2*AI130*10^6</f>
        <v>5.3760000000000006E-3</v>
      </c>
      <c r="AK130" s="91">
        <f>$AB130/$M$114+$AC130/$M$115</f>
        <v>0</v>
      </c>
      <c r="AL130" s="97">
        <f t="shared" ref="AL130:AL135" si="13">10^(-AK130)</f>
        <v>1</v>
      </c>
      <c r="AM130" s="91">
        <f>$C$7*$E$14*$E$8*$W$130/$D$130^2*$N$130*$H$112/$G$130^2*$P$130*$E$114/$I$130^2*$R$130*$E$116/$K$130^2*AL130*10^6</f>
        <v>4.0960000000000015E-3</v>
      </c>
      <c r="AN130" s="91">
        <f>$AB130/$M$114+$AC130/$M$115</f>
        <v>0</v>
      </c>
      <c r="AO130" s="97">
        <f t="shared" ref="AO130:AO135" si="14">10^(-AN130)</f>
        <v>1</v>
      </c>
      <c r="AP130" s="91">
        <f>$C$7*$F$14*$F$8*$W$130/$D$130^2*$N$130*$I$112/$G$130^2*$P$130*$E$114/$I$130^2*$R$130*$E$116/$K$130^2*AO130*10^6</f>
        <v>8.9600000000000009E-3</v>
      </c>
      <c r="AQ130" s="91">
        <f>$AB130/$M$114+$AC130/$M$115</f>
        <v>0</v>
      </c>
      <c r="AR130" s="97">
        <f t="shared" ref="AR130:AR135" si="15">10^(-AQ130)</f>
        <v>1</v>
      </c>
      <c r="AS130" s="76">
        <f>$C$7*$G$14*$G$8*$W$130/$D$130^2*$N$130*$J$112/$G$130^2*$P$130*$E$114/$I$130^2*$R$130*$E$116/$K$130^2*AR130*10^6</f>
        <v>8.4480000000000006E-3</v>
      </c>
      <c r="AT130" s="513">
        <f t="shared" ref="AT130:AT135" si="16">SUM(AG130,AJ130,AM130,AP130,AS130)</f>
        <v>3.3792000000000003E-2</v>
      </c>
      <c r="AU130" s="514">
        <f>SUM(AT130:AT136)*52/10^3</f>
        <v>15.505920420432142</v>
      </c>
      <c r="AV130" s="222"/>
      <c r="AW130" s="222"/>
      <c r="AX130" s="225"/>
      <c r="AY130" s="225"/>
      <c r="AZ130" s="225"/>
      <c r="BA130" s="225"/>
      <c r="BB130" s="225"/>
    </row>
    <row r="131" spans="1:90" s="212" customFormat="1" ht="30" customHeight="1" thickBot="1" x14ac:dyDescent="0.3">
      <c r="A131" s="447"/>
      <c r="B131" s="460"/>
      <c r="C131" s="515" t="s">
        <v>536</v>
      </c>
      <c r="D131" s="107"/>
      <c r="E131" s="1852">
        <v>1</v>
      </c>
      <c r="F131" s="117"/>
      <c r="G131" s="118"/>
      <c r="H131" s="1828">
        <v>5</v>
      </c>
      <c r="I131" s="122"/>
      <c r="J131" s="124"/>
      <c r="K131" s="2030"/>
      <c r="L131" s="127"/>
      <c r="M131" s="128"/>
      <c r="N131" s="129"/>
      <c r="O131" s="1828">
        <v>5</v>
      </c>
      <c r="P131" s="133"/>
      <c r="Q131" s="133"/>
      <c r="R131" s="1828">
        <v>2</v>
      </c>
      <c r="S131" s="139"/>
      <c r="T131" s="132"/>
      <c r="U131" s="140"/>
      <c r="V131" s="142"/>
      <c r="W131" s="1828">
        <v>0.25</v>
      </c>
      <c r="X131" s="1856">
        <v>200</v>
      </c>
      <c r="Y131" s="1856">
        <v>0</v>
      </c>
      <c r="Z131" s="1857">
        <v>0</v>
      </c>
      <c r="AA131" s="1857">
        <v>0</v>
      </c>
      <c r="AB131" s="1985"/>
      <c r="AC131" s="1988"/>
      <c r="AD131" s="169"/>
      <c r="AE131" s="171">
        <f>IF($X131=0,0,1+($X131-$C$21)/$C$22)+$Y131/$C$23+$Z131/$C$24+$AA131/$C$25+$AB130/$M$114+$AC130/$M$115</f>
        <v>5.9393939393939394</v>
      </c>
      <c r="AF131" s="97">
        <f t="shared" si="11"/>
        <v>1.1497569953977332E-6</v>
      </c>
      <c r="AG131" s="91">
        <f>$C$7*$C$14*$C$8*$W$131/$E$131^2*$O$131*$F$113/$H$131^2*$R$131*$E$116/$K$130^2*AF131*10^6</f>
        <v>2.4834751100591044E-3</v>
      </c>
      <c r="AH131" s="91">
        <f>IF($X131=0,0,1+($X131-$D$21)/$D$22)+$Y131/$D$23+$Z131/$D$24+$AB130/$M$114+$AC130/$M$115</f>
        <v>5.2972972972972974</v>
      </c>
      <c r="AI131" s="97">
        <f t="shared" si="12"/>
        <v>5.0431594871713543E-6</v>
      </c>
      <c r="AJ131" s="91">
        <f>$C$7*$D$14*$D$8*$W$131/$E$131^2*$O$131*$G$113/$H$131^2*$R$131*$E$116/$K$130^2*AI131*10^6</f>
        <v>8.4725079384478739E-3</v>
      </c>
      <c r="AK131" s="91">
        <f>IF($X131=0,0,1+($X131-$E$21)/$E$22)+$Y131/$E$23+$Z131/$E$24+$AB130/$M$114+$AC130/$M$115</f>
        <v>4.6046511627906979</v>
      </c>
      <c r="AL131" s="97">
        <f t="shared" si="13"/>
        <v>2.485128426980553E-5</v>
      </c>
      <c r="AM131" s="91">
        <f>$C$7*$E$14*$E$8*$W$131/$E$131^2*$O$131*$H$113/$H$131^2*$R$131*$E$116/$K$130^2*AL131*10^6</f>
        <v>3.1809643865351081E-2</v>
      </c>
      <c r="AN131" s="91">
        <f>IF($X131=0,0,1+($X131-$F$21)/$F$22)+$Y131/$F$23+$Z131/$E$24+$AB130/$M$114+$AC130/$M$115</f>
        <v>7.2962962962962967</v>
      </c>
      <c r="AO131" s="97">
        <f t="shared" si="14"/>
        <v>5.0547968211912231E-8</v>
      </c>
      <c r="AP131" s="91">
        <f>$C$7*$F$14*$F$8*$W$131/$E$131^2*$O$131*$I$113/$H$131^2*$R$131*$E$116/$K$130^2*AO131*10^6</f>
        <v>1.4153431099335427E-4</v>
      </c>
      <c r="AQ131" s="91">
        <f>IF($X131=0,0,1+($X131-$G$21)/$G$22)+$Y131/$G$23+$Z131/$G$24+$AB130/$M$114+$AC130/$M$115</f>
        <v>5.5555555555555554</v>
      </c>
      <c r="AR131" s="97">
        <f t="shared" si="15"/>
        <v>2.782559402207123E-6</v>
      </c>
      <c r="AS131" s="76">
        <f>$C$7*$G$14*$G$8*$W$131/$E$131^2*$O$131*$J$113/$H$131^2*$R$131*$E$116/$K$130^2*AR131*10^6</f>
        <v>7.3459568218268044E-3</v>
      </c>
      <c r="AT131" s="513">
        <f t="shared" si="16"/>
        <v>5.0253118046678216E-2</v>
      </c>
      <c r="AU131" s="516"/>
      <c r="AV131" s="222"/>
      <c r="AW131" s="222"/>
      <c r="AX131" s="225"/>
      <c r="AY131" s="225"/>
      <c r="AZ131" s="225"/>
      <c r="BA131" s="225"/>
      <c r="BB131" s="225"/>
    </row>
    <row r="132" spans="1:90" s="212" customFormat="1" ht="30" customHeight="1" thickBot="1" x14ac:dyDescent="0.3">
      <c r="A132" s="221"/>
      <c r="B132" s="517"/>
      <c r="C132" s="518" t="s">
        <v>537</v>
      </c>
      <c r="D132" s="108"/>
      <c r="E132" s="112"/>
      <c r="F132" s="1987">
        <v>5</v>
      </c>
      <c r="G132" s="119"/>
      <c r="H132" s="121"/>
      <c r="I132" s="113"/>
      <c r="J132" s="1980">
        <v>10</v>
      </c>
      <c r="K132" s="2030"/>
      <c r="L132" s="114"/>
      <c r="M132" s="113"/>
      <c r="N132" s="119"/>
      <c r="O132" s="121"/>
      <c r="P132" s="113"/>
      <c r="Q132" s="1980">
        <v>5</v>
      </c>
      <c r="R132" s="1982">
        <v>2</v>
      </c>
      <c r="S132" s="137"/>
      <c r="T132" s="114"/>
      <c r="U132" s="138"/>
      <c r="V132" s="143"/>
      <c r="W132" s="144">
        <v>1</v>
      </c>
      <c r="X132" s="153"/>
      <c r="Y132" s="154"/>
      <c r="Z132" s="155"/>
      <c r="AA132" s="156"/>
      <c r="AB132" s="1985"/>
      <c r="AC132" s="1988"/>
      <c r="AD132" s="168"/>
      <c r="AE132" s="91">
        <f>$AB130/$M$114+$AC130/$M$115</f>
        <v>0</v>
      </c>
      <c r="AF132" s="97">
        <f t="shared" si="11"/>
        <v>1</v>
      </c>
      <c r="AG132" s="91">
        <f>$C$7*$C$15*$C$8*($C$9+$C$10*$C$11)*$W$132/$F$132^2*$Q$132*$F$115/$J$132^2*$R$132*$E$116/$K$130^2*AF132*10^6</f>
        <v>15.360000000000005</v>
      </c>
      <c r="AH132" s="91">
        <f>$AB130/$M$114+$AC130/$M$115</f>
        <v>0</v>
      </c>
      <c r="AI132" s="97">
        <f t="shared" si="12"/>
        <v>1</v>
      </c>
      <c r="AJ132" s="91">
        <f>$C$7*$C$15*$D$8*($D$9+$D$10*$D$11)*$W$132/$F$132^2*$Q$132*$G$115/$J$132^2*$R$132*$E$116/$K$130^2*AI132*10^6</f>
        <v>12.240000000000004</v>
      </c>
      <c r="AK132" s="91">
        <f>$AB130/$M$114+$AC130/$M$115</f>
        <v>0</v>
      </c>
      <c r="AL132" s="97">
        <f t="shared" si="13"/>
        <v>1</v>
      </c>
      <c r="AM132" s="91">
        <f>$C$7*$C$15*$E$8*($E$9+$E$10*$E$11)*$W$132/$F$132^2*$Q$132*$H$115/$J$132^2*$R$132*$E$116/$K$130^2*AL132*10^6</f>
        <v>10.800000000000002</v>
      </c>
      <c r="AN132" s="91">
        <f>$AB130/$M$114+$AC130/$M$115</f>
        <v>0</v>
      </c>
      <c r="AO132" s="97">
        <f t="shared" si="14"/>
        <v>1</v>
      </c>
      <c r="AP132" s="91">
        <f>$C$7*$C$15*$F$8*($F$9+$F$10*$F$11)*$W$132/$F$132^2*$Q$132*$I$115/$J$132^2*$R$132*$E$116/$K$130^2*AO132*10^6</f>
        <v>19.920000000000002</v>
      </c>
      <c r="AQ132" s="91">
        <f>$AB130/$M$114+$AC130/$M$115</f>
        <v>0</v>
      </c>
      <c r="AR132" s="97">
        <f t="shared" si="15"/>
        <v>1</v>
      </c>
      <c r="AS132" s="76">
        <f>$C$7*$C$15*$G$8*($G$9+$G$10*$G$11)*$W$132/$F$132^2*$Q$132*$J$115/$J$132^2*$R$132*$E$116/$K$130^2*AR132*10^6</f>
        <v>17.520000000000003</v>
      </c>
      <c r="AT132" s="519">
        <f t="shared" si="16"/>
        <v>75.840000000000018</v>
      </c>
      <c r="AU132" s="516"/>
      <c r="AV132" s="222"/>
      <c r="AW132" s="520"/>
      <c r="AX132" s="222"/>
      <c r="AY132" s="211"/>
      <c r="AZ132" s="222"/>
      <c r="BA132" s="222"/>
      <c r="BB132" s="225"/>
    </row>
    <row r="133" spans="1:90" s="212" customFormat="1" ht="30" customHeight="1" thickBot="1" x14ac:dyDescent="0.3">
      <c r="A133" s="221"/>
      <c r="B133" s="517"/>
      <c r="C133" s="521" t="s">
        <v>523</v>
      </c>
      <c r="D133" s="108"/>
      <c r="E133" s="113"/>
      <c r="F133" s="2029"/>
      <c r="G133" s="119"/>
      <c r="H133" s="114"/>
      <c r="I133" s="113"/>
      <c r="J133" s="1981"/>
      <c r="K133" s="1983"/>
      <c r="L133" s="114"/>
      <c r="M133" s="113"/>
      <c r="N133" s="119"/>
      <c r="O133" s="114"/>
      <c r="P133" s="113"/>
      <c r="Q133" s="1981"/>
      <c r="R133" s="1983"/>
      <c r="S133" s="137"/>
      <c r="T133" s="114"/>
      <c r="U133" s="113"/>
      <c r="V133" s="1855">
        <f>20*20</f>
        <v>400</v>
      </c>
      <c r="W133" s="1828">
        <v>0.25</v>
      </c>
      <c r="X133" s="157"/>
      <c r="Y133" s="158"/>
      <c r="Z133" s="159"/>
      <c r="AA133" s="160"/>
      <c r="AB133" s="1985"/>
      <c r="AC133" s="1988"/>
      <c r="AD133" s="168"/>
      <c r="AE133" s="98">
        <f>$AB130/$M$114+$AC130/$M$115</f>
        <v>0</v>
      </c>
      <c r="AF133" s="97">
        <f t="shared" si="11"/>
        <v>1</v>
      </c>
      <c r="AG133" s="91">
        <f>$C$7*$C$8*$W$133*$F$120*$V$133/400*$E$115*$E$116*$Q$132*$R$132/1/1/$F$132^2/$J$132^2/$K$130^2*AF133*10^6</f>
        <v>6.1159999999999988</v>
      </c>
      <c r="AH133" s="98">
        <f>$AB130/$M$114+$AC130/$M$115</f>
        <v>0</v>
      </c>
      <c r="AI133" s="97">
        <f t="shared" si="12"/>
        <v>1</v>
      </c>
      <c r="AJ133" s="91">
        <f>$C$7*$D$8*$W$133*$G$120*$V$133/400*$E$115*$E$116*$Q$132*$R$132/1/1/$F$132^2/$J$132^2/$K$130^2*AI133*10^6</f>
        <v>5.9399999999999995</v>
      </c>
      <c r="AK133" s="98">
        <f>$AB130/$M$114+$AC130/$M$115</f>
        <v>0</v>
      </c>
      <c r="AL133" s="97">
        <f t="shared" si="13"/>
        <v>1</v>
      </c>
      <c r="AM133" s="91">
        <f>$C$7*$E$8*$W$133*$H$120*$V$133/400*$E$115*$E$116*$Q$132*$R$132/1/1/$F$132^2/$J$132^2/$K$130^2*AL133*10^6</f>
        <v>3.8015999999999992</v>
      </c>
      <c r="AN133" s="98">
        <f>$AB130/$M$114+$AC130/$M$115</f>
        <v>0</v>
      </c>
      <c r="AO133" s="97">
        <f t="shared" si="14"/>
        <v>1</v>
      </c>
      <c r="AP133" s="91">
        <f>$C$7*$F$8*$W$133*$I$120*$V$133/400*$E$115*$E$116*$R$132*$Q$132/1/1/$F$132^2/$J$132^2/$K$130^2*AO133*10^6</f>
        <v>5.7200000000000006</v>
      </c>
      <c r="AQ133" s="98">
        <f>$AB130/$M$114+$AC130/$M$115</f>
        <v>0</v>
      </c>
      <c r="AR133" s="97">
        <f t="shared" si="15"/>
        <v>1</v>
      </c>
      <c r="AS133" s="76">
        <f>$C$7*$G$8*$W$133*$J$120*$V$133/400*$E$115*$E$116*$Q$132*$R$132/1/1/$F$132^2/$J$132^2/$K$130^2*AR133*10^6</f>
        <v>5.2799999999999994</v>
      </c>
      <c r="AT133" s="513">
        <f t="shared" si="16"/>
        <v>26.857599999999998</v>
      </c>
      <c r="AU133" s="516"/>
      <c r="AV133" s="222"/>
      <c r="AW133" s="520"/>
      <c r="AX133" s="222"/>
      <c r="AY133" s="211"/>
      <c r="AZ133" s="222"/>
      <c r="BA133" s="222"/>
      <c r="BB133" s="225"/>
      <c r="BC133" s="225"/>
      <c r="BD133" s="225"/>
      <c r="BE133" s="225"/>
      <c r="BF133" s="225"/>
      <c r="BG133" s="300"/>
      <c r="BH133" s="300"/>
      <c r="BI133" s="300"/>
      <c r="BJ133" s="522"/>
      <c r="BK133" s="522"/>
      <c r="BL133" s="522"/>
    </row>
    <row r="134" spans="1:90" s="212" customFormat="1" ht="30" customHeight="1" x14ac:dyDescent="0.25">
      <c r="A134" s="221"/>
      <c r="B134" s="517"/>
      <c r="C134" s="523" t="s">
        <v>33</v>
      </c>
      <c r="D134" s="109"/>
      <c r="E134" s="114"/>
      <c r="F134" s="114"/>
      <c r="G134" s="114"/>
      <c r="H134" s="114"/>
      <c r="I134" s="114"/>
      <c r="J134" s="114"/>
      <c r="K134" s="125"/>
      <c r="L134" s="2028">
        <v>5</v>
      </c>
      <c r="M134" s="2028">
        <v>10</v>
      </c>
      <c r="N134" s="130"/>
      <c r="O134" s="132"/>
      <c r="P134" s="132"/>
      <c r="Q134" s="132"/>
      <c r="R134" s="135"/>
      <c r="S134" s="1851">
        <v>225</v>
      </c>
      <c r="T134" s="1854">
        <v>1</v>
      </c>
      <c r="U134" s="1851">
        <v>1</v>
      </c>
      <c r="V134" s="145"/>
      <c r="W134" s="146"/>
      <c r="X134" s="161"/>
      <c r="Y134" s="162"/>
      <c r="Z134" s="122"/>
      <c r="AA134" s="163"/>
      <c r="AB134" s="1985"/>
      <c r="AC134" s="1988"/>
      <c r="AD134" s="1858">
        <v>0</v>
      </c>
      <c r="AE134" s="91">
        <f>$AB130/$N$114+$AC130/$N$115+$AD134/$N$116</f>
        <v>0</v>
      </c>
      <c r="AF134" s="97">
        <f t="shared" si="11"/>
        <v>1</v>
      </c>
      <c r="AG134" s="91">
        <f>$C$7*$C$8*($C$9+$C$10*$C$11)*0.0000000000000024*($C$16*$C$17*10^12/(4*PI()*$L$134^2)+5.4*$C$16*$C$17*10^12/(2*PI()*$S$134)+1.3*$C$17*10^12/(2*PI()*$S$134))*(SQRT($T$134/$U$134)*((1.64*10^(-$M$134/1.9)+10^(-$M$134/(2.06*SQRT($U$134))))*(1-$G$125)*$AF$134*10^6))</f>
        <v>0.11345901793121269</v>
      </c>
      <c r="AH134" s="91">
        <f>$AB130/$N$114+$AC130/$N$115+$AD134/$N$116</f>
        <v>0</v>
      </c>
      <c r="AI134" s="97">
        <f t="shared" si="12"/>
        <v>1</v>
      </c>
      <c r="AJ134" s="91">
        <f>$C$7*$D$8*($D$9+$D$10*$D$11)*0.0000000000000024*($C$16*$D$17*10^12/(4*PI()*$L$134^2)+5.4*$C$16*$D$17*10^12/(2*PI()*$S$134)+1.3*$D$17*10^12/(2*PI()*$S$134))*(SQRT($T$134/$U$134)*((1.64*10^(-$M$134/1.9)+10^(-$M$134/(2.06*SQRT($U$134))))*(1-$G$125)*$AI$134*10^6))</f>
        <v>0.11345901793121269</v>
      </c>
      <c r="AK134" s="91">
        <f>$AB130/$N$114+$AC130/$N$115+$AD134/$N$116</f>
        <v>0</v>
      </c>
      <c r="AL134" s="97">
        <f t="shared" si="13"/>
        <v>1</v>
      </c>
      <c r="AM134" s="91">
        <f>$C$7*$E$8*($E$9+$E$10*$E$11)*0.0000000000000024*($C$16*$E$17*10^12/(4*PI()*$L$134^2)+5.4*$C$16*$E$17*10^12/(2*PI()*$S$134)+1.3*$E$17*10^12/(2*PI()*$S$134))*(SQRT($T$134/$U$134)*((1.64*10^(-$M$134/1.9)+10^(-$M$134/(2.06*SQRT($U$134))))*(1-$G$125)*$AL$134*10^6))</f>
        <v>0.11345901793121269</v>
      </c>
      <c r="AN134" s="91">
        <f>$AB130/$N$114+$AC130/$N$115+$AD134/$N$116</f>
        <v>0</v>
      </c>
      <c r="AO134" s="97">
        <f t="shared" si="14"/>
        <v>1</v>
      </c>
      <c r="AP134" s="91">
        <f>$C$7*$F$8*($F$9+$F$10*$F$11)*0.0000000000000024*($C$16*$F$17*10^12/(4*PI()*$L$134^2)+5.4*$C$16*$F$17*10^12/(2*PI()*$S$134)+1.3*$F$17*10^12/(2*PI()*$S$134))*(SQRT($T$134/$U$134)*((1.64*10^(-$M$134/1.9)+10^(-$M$134/(2.06*SQRT($U$134))))*(1-$G$125)*$AO$134*10^6))</f>
        <v>0.11345901793121269</v>
      </c>
      <c r="AQ134" s="91">
        <f>$AB130/$N$114+$AC130/$N$115+$AD134/$N$116</f>
        <v>0</v>
      </c>
      <c r="AR134" s="97">
        <f t="shared" si="15"/>
        <v>1</v>
      </c>
      <c r="AS134" s="76">
        <f>$C$7*$G$8*($G$9+$G$10*$G$11)*0.0000000000000024*($C$16*$G$17*10^12/(4*PI()*$L$134^2)+5.4*$C$16*$G$17*10^12/(2*PI()*$S$134)+1.3*$G$17*10^12/(2*PI()*$S$134))*(SQRT($T$134/$U$134)*((1.64*10^(-$M$134/1.9)+10^(-$M$134/(2.06*SQRT($U$134))))*(1-$G$125)*$AR$134*10^6))</f>
        <v>0.11345901793121269</v>
      </c>
      <c r="AT134" s="513">
        <f t="shared" si="16"/>
        <v>0.56729508965606346</v>
      </c>
      <c r="AU134" s="516"/>
      <c r="AV134" s="222"/>
      <c r="AW134" s="189"/>
      <c r="AX134" s="222"/>
      <c r="AY134" s="211"/>
      <c r="AZ134" s="222"/>
      <c r="BA134" s="222"/>
      <c r="BB134" s="225"/>
      <c r="BC134" s="225"/>
      <c r="BD134" s="225"/>
      <c r="BE134" s="225"/>
      <c r="BF134" s="225"/>
      <c r="BG134" s="300"/>
      <c r="BH134" s="300"/>
      <c r="BI134" s="300"/>
      <c r="BJ134" s="522"/>
      <c r="BK134" s="522"/>
      <c r="BL134" s="522"/>
    </row>
    <row r="135" spans="1:90" s="212" customFormat="1" ht="30" customHeight="1" thickBot="1" x14ac:dyDescent="0.3">
      <c r="A135" s="226"/>
      <c r="B135" s="524"/>
      <c r="C135" s="525" t="s">
        <v>157</v>
      </c>
      <c r="D135" s="110"/>
      <c r="E135" s="115"/>
      <c r="F135" s="115"/>
      <c r="G135" s="115"/>
      <c r="H135" s="115"/>
      <c r="I135" s="115"/>
      <c r="J135" s="115"/>
      <c r="K135" s="126"/>
      <c r="L135" s="1989"/>
      <c r="M135" s="1989"/>
      <c r="N135" s="131"/>
      <c r="O135" s="115"/>
      <c r="P135" s="115"/>
      <c r="Q135" s="136"/>
      <c r="R135" s="136"/>
      <c r="S135" s="115"/>
      <c r="T135" s="115"/>
      <c r="U135" s="126"/>
      <c r="V135" s="147"/>
      <c r="W135" s="148"/>
      <c r="X135" s="164"/>
      <c r="Y135" s="165"/>
      <c r="Z135" s="166"/>
      <c r="AA135" s="167"/>
      <c r="AB135" s="1986"/>
      <c r="AC135" s="1989"/>
      <c r="AD135" s="170"/>
      <c r="AE135" s="172">
        <f>$AB130/$O$114+$AC130/$O$115</f>
        <v>0</v>
      </c>
      <c r="AF135" s="173">
        <f t="shared" si="11"/>
        <v>1</v>
      </c>
      <c r="AG135" s="174">
        <f>$C$7*$C$8*($C$9+$C$10*$C$11)*$Q$111*($C$16*$C$17*10^12/(4*PI()*$L$134^2)+5.4*$C$16*$C$17*10^12/(2*PI()*$S$134)+1.3*$C$17*10^12/(2*PI()*$S$134))*10^-($M$134/$Q$113)*(1-$G$126)*AF135*10^6</f>
        <v>38.968367421659991</v>
      </c>
      <c r="AH135" s="172">
        <f>$AB130/$O$114+$AC130/$O$115</f>
        <v>0</v>
      </c>
      <c r="AI135" s="173">
        <f t="shared" si="12"/>
        <v>1</v>
      </c>
      <c r="AJ135" s="175">
        <f>$C$7*$D$8*($D$9+$D$10*$D$11)*$Q$111*($C$16*$D$17*10^12/(4*PI()*$L$134^2)+5.4*$C$16*$D$17*10^12/(2*PI()*$S$134)+1.3*$D$17*10^12/(2*PI()*$S$134))*10^-($M$134/$Q$113)*(1-$G$126)*AI135*10^6</f>
        <v>38.968367421659991</v>
      </c>
      <c r="AK135" s="176">
        <f>$AB130/$O$114+$AC130/$O$115</f>
        <v>0</v>
      </c>
      <c r="AL135" s="173">
        <f t="shared" si="13"/>
        <v>1</v>
      </c>
      <c r="AM135" s="175">
        <f>$C$7*$E$8*($E$9+$E$10*$E$11)*$Q$111*($C$16*$E$17*10^12/(4*PI()*$L$134^2)+5.4*$C$16*$E$17*10^12/(2*PI()*$S$134)+1.3*$E$17*10^12/(2*PI()*$S$134))*10^-($M$134/$Q$113)*(1-$G$126)*AL135*10^6</f>
        <v>38.968367421659991</v>
      </c>
      <c r="AN135" s="172">
        <f>$AB130/$O$114+$AC130/$O$115</f>
        <v>0</v>
      </c>
      <c r="AO135" s="173">
        <f t="shared" si="14"/>
        <v>1</v>
      </c>
      <c r="AP135" s="175">
        <f>$C$7*$F$8*($F$9+$F$10*$F$11)*$Q$111*($C$16*$F$17*10^12/(4*PI()*$L$134^2)+5.4*$C$16*$F$17*10^12/(2*PI()*$S$134)+1.3*$F$17*10^12/(2*PI()*$S$134))*10^-($M$134/$Q$113)*(1-$G$126)*AO135*10^6</f>
        <v>38.968367421659991</v>
      </c>
      <c r="AQ135" s="172">
        <f>$AB130/$O$114+$AC130/$O$115</f>
        <v>0</v>
      </c>
      <c r="AR135" s="173">
        <f t="shared" si="15"/>
        <v>1</v>
      </c>
      <c r="AS135" s="177">
        <f>$C$7*$G$8*($G$9+$G$10*$G$11)*$Q$111*($C$16*$G$17*10^12/(4*PI()*$L$134^2)+5.4*$C$16*$G$17*10^12/(2*PI()*$S$134)+1.3*$G$17*10^12/(2*PI()*$S$134))*10^-($M$134/$Q$113)*(1-$G$126)*AR135*10^6</f>
        <v>38.968367421659991</v>
      </c>
      <c r="AT135" s="526">
        <f t="shared" si="16"/>
        <v>194.84183710829996</v>
      </c>
      <c r="AU135" s="527"/>
      <c r="AV135" s="222"/>
      <c r="AW135" s="189"/>
      <c r="AX135" s="222"/>
      <c r="AY135" s="211"/>
      <c r="AZ135" s="222"/>
      <c r="BA135" s="222"/>
      <c r="BB135" s="225"/>
      <c r="BC135" s="225"/>
      <c r="BD135" s="225"/>
      <c r="BE135" s="225"/>
      <c r="BF135" s="225"/>
      <c r="BG135" s="300"/>
      <c r="BH135" s="300"/>
      <c r="BI135" s="300"/>
      <c r="BJ135" s="522"/>
      <c r="BK135" s="522"/>
      <c r="BL135" s="522"/>
    </row>
    <row r="136" spans="1:90" s="212" customFormat="1" ht="30" hidden="1" customHeight="1" x14ac:dyDescent="0.25">
      <c r="A136" s="222"/>
      <c r="B136" s="222"/>
      <c r="C136" s="282"/>
      <c r="D136" s="282"/>
      <c r="E136" s="211"/>
      <c r="F136" s="211"/>
      <c r="G136" s="211"/>
      <c r="H136" s="211"/>
      <c r="I136" s="211"/>
      <c r="J136" s="211"/>
      <c r="K136" s="211"/>
      <c r="L136" s="211"/>
      <c r="M136" s="211"/>
      <c r="N136" s="211"/>
      <c r="O136" s="211"/>
      <c r="P136" s="211"/>
      <c r="Q136" s="211"/>
      <c r="R136" s="211"/>
      <c r="S136" s="211"/>
      <c r="T136" s="211"/>
      <c r="U136" s="211"/>
      <c r="V136" s="211"/>
      <c r="W136" s="211"/>
      <c r="X136" s="453"/>
      <c r="Y136" s="528"/>
      <c r="Z136" s="57"/>
      <c r="AA136" s="57"/>
      <c r="AB136" s="57"/>
      <c r="AC136" s="57"/>
      <c r="AD136" s="529"/>
      <c r="AE136" s="369"/>
      <c r="AF136" s="328"/>
      <c r="AG136" s="530"/>
      <c r="AH136" s="369"/>
      <c r="AI136" s="328"/>
      <c r="AJ136" s="530"/>
      <c r="AK136" s="369"/>
      <c r="AL136" s="328"/>
      <c r="AM136" s="530"/>
      <c r="AN136" s="369"/>
      <c r="AO136" s="328"/>
      <c r="AP136" s="530"/>
      <c r="AQ136" s="369"/>
      <c r="AR136" s="328"/>
      <c r="AS136" s="530"/>
      <c r="AT136" s="369"/>
      <c r="AU136" s="233"/>
      <c r="AV136" s="222"/>
      <c r="AW136" s="189"/>
      <c r="AX136" s="222"/>
      <c r="AY136" s="211"/>
      <c r="AZ136" s="222"/>
      <c r="BA136" s="222"/>
      <c r="BB136" s="225"/>
      <c r="BC136" s="225"/>
      <c r="BD136" s="225"/>
      <c r="BE136" s="225"/>
      <c r="BF136" s="225"/>
      <c r="BG136" s="300"/>
      <c r="BH136" s="300"/>
      <c r="BI136" s="300"/>
      <c r="BJ136" s="522"/>
      <c r="BK136" s="522"/>
      <c r="BL136" s="522"/>
    </row>
    <row r="137" spans="1:90" s="212" customFormat="1" ht="19.5" customHeight="1" x14ac:dyDescent="0.25">
      <c r="A137" s="222"/>
      <c r="B137" s="222"/>
      <c r="C137" s="282"/>
      <c r="D137" s="282"/>
      <c r="E137" s="211"/>
      <c r="F137" s="211"/>
      <c r="G137" s="211"/>
      <c r="H137" s="211"/>
      <c r="I137" s="211"/>
      <c r="J137" s="211"/>
      <c r="K137" s="211"/>
      <c r="L137" s="211"/>
      <c r="M137" s="211"/>
      <c r="N137" s="211"/>
      <c r="O137" s="211"/>
      <c r="P137" s="211"/>
      <c r="Q137" s="211"/>
      <c r="R137" s="211"/>
      <c r="S137" s="211"/>
      <c r="T137" s="211"/>
      <c r="U137" s="211"/>
      <c r="V137" s="211"/>
      <c r="W137" s="211"/>
      <c r="X137" s="57"/>
      <c r="Y137" s="453"/>
      <c r="Z137" s="528"/>
      <c r="AA137" s="57"/>
      <c r="AB137" s="57"/>
      <c r="AC137" s="57"/>
      <c r="AD137" s="57"/>
      <c r="AE137" s="529"/>
      <c r="AF137" s="369"/>
      <c r="AG137" s="328"/>
      <c r="AH137" s="530"/>
      <c r="AI137" s="369"/>
      <c r="AJ137" s="328"/>
      <c r="AK137" s="530"/>
      <c r="AL137" s="369"/>
      <c r="AM137" s="328"/>
      <c r="AN137" s="530"/>
      <c r="AO137" s="369"/>
      <c r="AP137" s="328"/>
      <c r="AQ137" s="530"/>
      <c r="AR137" s="369"/>
      <c r="AS137" s="328"/>
      <c r="AT137" s="530"/>
      <c r="AU137" s="369"/>
      <c r="AV137" s="233"/>
      <c r="AW137" s="222"/>
      <c r="AX137" s="189"/>
      <c r="AY137" s="222"/>
      <c r="AZ137" s="211"/>
      <c r="BA137" s="222"/>
      <c r="BB137" s="222"/>
      <c r="BC137" s="225"/>
      <c r="BD137" s="225"/>
      <c r="BE137" s="225"/>
      <c r="BF137" s="225"/>
      <c r="BG137" s="225"/>
      <c r="BH137" s="300"/>
      <c r="BI137" s="300"/>
      <c r="BJ137" s="300"/>
      <c r="BK137" s="522"/>
      <c r="BL137" s="522"/>
      <c r="BM137" s="522"/>
    </row>
    <row r="138" spans="1:90" s="212" customFormat="1" ht="19.5" customHeight="1" x14ac:dyDescent="0.25">
      <c r="A138" s="222"/>
      <c r="B138" s="222"/>
      <c r="C138" s="282"/>
      <c r="D138" s="282"/>
      <c r="E138" s="211"/>
      <c r="F138" s="211"/>
      <c r="G138" s="211"/>
      <c r="H138" s="211"/>
      <c r="I138" s="211"/>
      <c r="J138" s="211"/>
      <c r="K138" s="211"/>
      <c r="L138" s="211"/>
      <c r="M138" s="211"/>
      <c r="N138" s="211"/>
      <c r="O138" s="211"/>
      <c r="P138" s="211"/>
      <c r="Q138" s="211"/>
      <c r="R138" s="211"/>
      <c r="S138" s="211"/>
      <c r="T138" s="211"/>
      <c r="U138" s="211"/>
      <c r="V138" s="211"/>
      <c r="W138" s="211"/>
      <c r="X138" s="57"/>
      <c r="Y138" s="453"/>
      <c r="Z138" s="528"/>
      <c r="AA138" s="57"/>
      <c r="AB138" s="57"/>
      <c r="AC138" s="57"/>
      <c r="AD138" s="529"/>
      <c r="AE138" s="369"/>
      <c r="AF138" s="328"/>
      <c r="AG138" s="530"/>
      <c r="AH138" s="369"/>
      <c r="AI138" s="328"/>
      <c r="AJ138" s="530"/>
      <c r="AK138" s="369"/>
      <c r="AL138" s="328"/>
      <c r="AM138" s="530"/>
      <c r="AN138" s="369"/>
      <c r="AO138" s="328"/>
      <c r="AP138" s="530"/>
      <c r="AQ138" s="369"/>
      <c r="AR138" s="328"/>
      <c r="AS138" s="530"/>
      <c r="AT138" s="369"/>
      <c r="AU138" s="233"/>
      <c r="AV138" s="222"/>
      <c r="AW138" s="189"/>
      <c r="AX138" s="222"/>
      <c r="AY138" s="211"/>
      <c r="AZ138" s="222"/>
      <c r="BA138" s="222"/>
      <c r="BB138" s="225"/>
      <c r="BC138" s="225"/>
      <c r="BD138" s="225"/>
      <c r="BE138" s="225"/>
      <c r="BF138" s="225"/>
      <c r="BG138" s="300"/>
      <c r="BH138" s="300"/>
      <c r="BI138" s="300"/>
      <c r="BJ138" s="522"/>
      <c r="BK138" s="522"/>
      <c r="BL138" s="522"/>
    </row>
    <row r="139" spans="1:90" s="212" customFormat="1" ht="19.5" customHeight="1" thickBot="1" x14ac:dyDescent="0.3">
      <c r="A139" s="532" t="s">
        <v>645</v>
      </c>
      <c r="B139" s="533"/>
      <c r="C139" s="310"/>
      <c r="D139" s="57"/>
      <c r="E139" s="57"/>
      <c r="F139" s="57"/>
      <c r="G139" s="57"/>
      <c r="H139" s="57"/>
      <c r="I139" s="57"/>
      <c r="J139" s="57"/>
      <c r="K139" s="57"/>
      <c r="L139" s="529"/>
      <c r="M139" s="529"/>
      <c r="N139" s="529"/>
      <c r="O139" s="530"/>
      <c r="P139" s="328"/>
      <c r="Q139" s="369"/>
      <c r="R139" s="369"/>
      <c r="S139" s="328"/>
      <c r="T139" s="369"/>
      <c r="U139" s="369"/>
      <c r="V139" s="328"/>
      <c r="W139" s="369"/>
      <c r="X139" s="369"/>
      <c r="Y139" s="328"/>
      <c r="Z139" s="369"/>
      <c r="AA139" s="369"/>
      <c r="AB139" s="328"/>
      <c r="AC139" s="369"/>
      <c r="AD139" s="369"/>
      <c r="AE139" s="328"/>
      <c r="AF139" s="233"/>
      <c r="AG139" s="222"/>
      <c r="AH139" s="189"/>
      <c r="AI139" s="222"/>
      <c r="AJ139" s="211"/>
      <c r="AK139" s="222"/>
      <c r="AL139" s="222"/>
      <c r="AM139" s="225"/>
      <c r="AN139" s="225"/>
      <c r="AO139" s="225"/>
      <c r="AP139" s="225"/>
      <c r="AQ139" s="225"/>
      <c r="AR139" s="300"/>
      <c r="AS139" s="300"/>
      <c r="AT139" s="300"/>
      <c r="AU139" s="300"/>
      <c r="AV139" s="300"/>
      <c r="AW139" s="300"/>
      <c r="AX139" s="225"/>
      <c r="AY139" s="225"/>
      <c r="AZ139" s="225"/>
      <c r="BA139" s="225"/>
      <c r="BB139" s="225"/>
      <c r="BC139" s="225"/>
      <c r="BD139" s="225"/>
      <c r="BE139" s="225"/>
      <c r="BF139" s="225"/>
      <c r="BG139" s="225"/>
      <c r="BH139" s="225"/>
      <c r="BI139" s="225"/>
      <c r="BJ139" s="225"/>
      <c r="BK139" s="225"/>
      <c r="BL139" s="225"/>
    </row>
    <row r="140" spans="1:90" ht="19.5" customHeight="1" x14ac:dyDescent="0.25">
      <c r="C140" s="534"/>
      <c r="D140" s="535"/>
      <c r="E140" s="535"/>
      <c r="F140" s="535"/>
      <c r="G140" s="535"/>
      <c r="H140" s="536"/>
      <c r="I140" s="536"/>
      <c r="J140" s="536"/>
      <c r="K140" s="536"/>
      <c r="L140" s="536"/>
      <c r="M140" s="537"/>
      <c r="N140" s="473">
        <f>$C$4</f>
        <v>6</v>
      </c>
      <c r="O140" s="293"/>
      <c r="P140" s="2005">
        <f>$D$4</f>
        <v>10</v>
      </c>
      <c r="Q140" s="2006"/>
      <c r="R140" s="2007"/>
      <c r="S140" s="2005">
        <f>$E$4</f>
        <v>18</v>
      </c>
      <c r="T140" s="2006"/>
      <c r="U140" s="2007"/>
      <c r="V140" s="2005" t="str">
        <f>$F$4</f>
        <v>6 FFF</v>
      </c>
      <c r="W140" s="2006"/>
      <c r="X140" s="2007"/>
      <c r="Y140" s="2005" t="str">
        <f>$G$4</f>
        <v>10 FFF</v>
      </c>
      <c r="Z140" s="2006"/>
      <c r="AA140" s="2033"/>
      <c r="AB140" s="1995" t="s">
        <v>16</v>
      </c>
      <c r="AC140" s="1996"/>
      <c r="AD140" s="1997"/>
      <c r="AE140" s="538"/>
      <c r="AF140" s="538"/>
      <c r="AG140" s="538"/>
      <c r="AH140" s="538"/>
    </row>
    <row r="141" spans="1:90" s="212" customFormat="1" ht="19.5" customHeight="1" x14ac:dyDescent="0.25">
      <c r="A141" s="415" t="s">
        <v>50</v>
      </c>
      <c r="B141" s="415" t="s">
        <v>15</v>
      </c>
      <c r="C141" s="539" t="s">
        <v>25</v>
      </c>
      <c r="D141" s="402" t="s">
        <v>158</v>
      </c>
      <c r="E141" s="310"/>
      <c r="F141" s="540"/>
      <c r="G141" s="541" t="s">
        <v>529</v>
      </c>
      <c r="H141" s="301" t="s">
        <v>524</v>
      </c>
      <c r="I141" s="542"/>
      <c r="J141" s="541" t="s">
        <v>77</v>
      </c>
      <c r="K141" s="541"/>
      <c r="L141" s="543"/>
      <c r="M141" s="1998" t="s">
        <v>216</v>
      </c>
      <c r="N141" s="301" t="s">
        <v>206</v>
      </c>
      <c r="O141" s="301" t="s">
        <v>16</v>
      </c>
      <c r="P141" s="1998" t="s">
        <v>216</v>
      </c>
      <c r="Q141" s="301" t="s">
        <v>206</v>
      </c>
      <c r="R141" s="301" t="s">
        <v>16</v>
      </c>
      <c r="S141" s="1998" t="s">
        <v>216</v>
      </c>
      <c r="T141" s="301" t="s">
        <v>206</v>
      </c>
      <c r="U141" s="301" t="s">
        <v>16</v>
      </c>
      <c r="V141" s="1998" t="s">
        <v>216</v>
      </c>
      <c r="W141" s="301" t="s">
        <v>206</v>
      </c>
      <c r="X141" s="301" t="s">
        <v>16</v>
      </c>
      <c r="Y141" s="1998" t="s">
        <v>216</v>
      </c>
      <c r="Z141" s="301" t="s">
        <v>206</v>
      </c>
      <c r="AA141" s="304" t="s">
        <v>16</v>
      </c>
      <c r="AB141" s="544" t="s">
        <v>23</v>
      </c>
      <c r="AC141" s="1993" t="s">
        <v>178</v>
      </c>
      <c r="AD141" s="1994"/>
      <c r="AE141" s="538"/>
      <c r="AF141" s="538"/>
      <c r="AG141" s="538"/>
      <c r="AH141" s="538"/>
      <c r="AI141" s="538"/>
      <c r="AJ141" s="538"/>
      <c r="AK141" s="538"/>
      <c r="AL141" s="538"/>
      <c r="AM141" s="538"/>
      <c r="AN141" s="538"/>
      <c r="AO141" s="538"/>
      <c r="AP141" s="538"/>
      <c r="AQ141" s="538"/>
      <c r="AR141" s="538"/>
      <c r="AS141" s="545"/>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69"/>
      <c r="BO141" s="233"/>
      <c r="BP141" s="233"/>
      <c r="BQ141" s="222"/>
      <c r="BR141" s="233"/>
      <c r="BS141" s="222"/>
      <c r="BT141" s="211"/>
      <c r="BU141" s="222"/>
      <c r="BV141" s="222"/>
      <c r="BW141" s="225"/>
      <c r="BX141" s="225"/>
      <c r="BY141" s="225"/>
      <c r="BZ141" s="225"/>
      <c r="CA141" s="225"/>
      <c r="CB141" s="300"/>
      <c r="CC141" s="300"/>
      <c r="CD141" s="300"/>
      <c r="CE141" s="522"/>
      <c r="CF141" s="522"/>
      <c r="CG141" s="522"/>
    </row>
    <row r="142" spans="1:90" s="212" customFormat="1" ht="19.5" customHeight="1" thickBot="1" x14ac:dyDescent="0.3">
      <c r="A142" s="308"/>
      <c r="B142" s="308"/>
      <c r="C142" s="546"/>
      <c r="D142" s="313" t="s">
        <v>383</v>
      </c>
      <c r="E142" s="313" t="s">
        <v>384</v>
      </c>
      <c r="F142" s="313" t="s">
        <v>385</v>
      </c>
      <c r="G142" s="541" t="s">
        <v>28</v>
      </c>
      <c r="H142" s="312" t="s">
        <v>528</v>
      </c>
      <c r="I142" s="542" t="s">
        <v>2</v>
      </c>
      <c r="J142" s="547" t="s">
        <v>61</v>
      </c>
      <c r="K142" s="541" t="s">
        <v>3</v>
      </c>
      <c r="L142" s="547" t="s">
        <v>22</v>
      </c>
      <c r="M142" s="1999"/>
      <c r="N142" s="314" t="s">
        <v>207</v>
      </c>
      <c r="O142" s="315" t="s">
        <v>174</v>
      </c>
      <c r="P142" s="1999"/>
      <c r="Q142" s="314" t="s">
        <v>207</v>
      </c>
      <c r="R142" s="315" t="s">
        <v>174</v>
      </c>
      <c r="S142" s="1999"/>
      <c r="T142" s="314" t="s">
        <v>207</v>
      </c>
      <c r="U142" s="315" t="s">
        <v>174</v>
      </c>
      <c r="V142" s="1999"/>
      <c r="W142" s="314" t="s">
        <v>207</v>
      </c>
      <c r="X142" s="315" t="s">
        <v>174</v>
      </c>
      <c r="Y142" s="1999"/>
      <c r="Z142" s="314" t="s">
        <v>207</v>
      </c>
      <c r="AA142" s="178" t="s">
        <v>174</v>
      </c>
      <c r="AB142" s="548" t="s">
        <v>173</v>
      </c>
      <c r="AC142" s="679" t="s">
        <v>173</v>
      </c>
      <c r="AD142" s="550" t="s">
        <v>166</v>
      </c>
      <c r="AE142" s="538"/>
      <c r="AF142" s="538"/>
      <c r="AG142" s="538"/>
      <c r="AH142" s="538"/>
      <c r="AI142" s="551"/>
      <c r="AJ142" s="538"/>
      <c r="AK142" s="538"/>
      <c r="AL142" s="538"/>
      <c r="AM142" s="538"/>
      <c r="AN142" s="538"/>
      <c r="AO142" s="538"/>
      <c r="AP142" s="538"/>
      <c r="AQ142" s="538"/>
      <c r="AR142" s="538"/>
      <c r="AS142" s="538"/>
      <c r="AT142" s="538"/>
      <c r="AU142" s="538"/>
      <c r="AV142" s="538"/>
      <c r="AW142" s="538"/>
      <c r="AX142" s="545"/>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69"/>
      <c r="BT142" s="233"/>
      <c r="BU142" s="233"/>
      <c r="BV142" s="222"/>
      <c r="BW142" s="233"/>
      <c r="BX142" s="222"/>
      <c r="BY142" s="211"/>
      <c r="BZ142" s="222"/>
      <c r="CA142" s="222"/>
      <c r="CB142" s="225"/>
      <c r="CC142" s="225"/>
      <c r="CD142" s="225"/>
      <c r="CE142" s="225"/>
      <c r="CF142" s="225"/>
      <c r="CG142" s="300"/>
      <c r="CH142" s="300"/>
      <c r="CI142" s="300"/>
      <c r="CJ142" s="522"/>
      <c r="CK142" s="522"/>
      <c r="CL142" s="522"/>
    </row>
    <row r="143" spans="1:90" s="212" customFormat="1" ht="19.5" hidden="1" customHeight="1" thickBot="1" x14ac:dyDescent="0.3">
      <c r="A143" s="694"/>
      <c r="B143" s="694"/>
      <c r="C143" s="695"/>
      <c r="D143" s="695"/>
      <c r="E143" s="695"/>
      <c r="F143" s="695"/>
      <c r="G143" s="713"/>
      <c r="H143" s="694"/>
      <c r="I143" s="714"/>
      <c r="J143" s="694"/>
      <c r="K143" s="713"/>
      <c r="L143" s="694"/>
      <c r="M143" s="695"/>
      <c r="N143" s="97"/>
      <c r="O143" s="58"/>
      <c r="P143" s="695"/>
      <c r="Q143" s="97"/>
      <c r="R143" s="58"/>
      <c r="S143" s="695"/>
      <c r="T143" s="97"/>
      <c r="U143" s="58"/>
      <c r="V143" s="695"/>
      <c r="W143" s="97"/>
      <c r="X143" s="58"/>
      <c r="Y143" s="695"/>
      <c r="Z143" s="97"/>
      <c r="AA143" s="90"/>
      <c r="AB143" s="319"/>
      <c r="AC143" s="320"/>
      <c r="AD143" s="321"/>
      <c r="AI143" s="300"/>
      <c r="AX143" s="225"/>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69"/>
      <c r="BT143" s="233"/>
      <c r="BU143" s="233"/>
      <c r="BV143" s="222"/>
      <c r="BW143" s="233"/>
      <c r="BX143" s="222"/>
      <c r="BY143" s="211"/>
      <c r="BZ143" s="222"/>
      <c r="CA143" s="222"/>
      <c r="CB143" s="225"/>
      <c r="CC143" s="225"/>
      <c r="CD143" s="225"/>
      <c r="CE143" s="225"/>
      <c r="CF143" s="225"/>
      <c r="CG143" s="300"/>
      <c r="CH143" s="300"/>
      <c r="CI143" s="300"/>
      <c r="CJ143" s="522"/>
      <c r="CK143" s="522"/>
      <c r="CL143" s="522"/>
    </row>
    <row r="144" spans="1:90" s="212" customFormat="1" ht="30" customHeight="1" x14ac:dyDescent="0.25">
      <c r="A144" s="552"/>
      <c r="B144" s="322"/>
      <c r="C144" s="323" t="s">
        <v>569</v>
      </c>
      <c r="D144" s="1836">
        <v>1</v>
      </c>
      <c r="E144" s="89"/>
      <c r="F144" s="89"/>
      <c r="G144" s="89"/>
      <c r="H144" s="1836">
        <v>0.25</v>
      </c>
      <c r="I144" s="1836">
        <v>250</v>
      </c>
      <c r="J144" s="1836">
        <v>0</v>
      </c>
      <c r="K144" s="1836">
        <v>0</v>
      </c>
      <c r="L144" s="1836">
        <v>0</v>
      </c>
      <c r="M144" s="91">
        <f>IF($I144=0,0,1+($I144-$C$21)/$C$22)+$J144/$C$23+$K144/$C$24+$L144/$C$25</f>
        <v>7.4545454545454541</v>
      </c>
      <c r="N144" s="92">
        <f t="shared" ref="N144:N162" si="17">10^(-M144)</f>
        <v>3.5111917342151263E-8</v>
      </c>
      <c r="O144" s="93">
        <f>$C$7*$C$14*$C$8*$H144/$D144^2*N144*10^6</f>
        <v>7.022383468430253E-2</v>
      </c>
      <c r="P144" s="91">
        <f>IF($I144=0,0,1+($I144-$D$21)/$D$22)+$J144/$D$23+$K144/$D$24+$L144/$D$25</f>
        <v>6.6486486486486482</v>
      </c>
      <c r="Q144" s="92">
        <f t="shared" ref="Q144:Q162" si="18">10^(-P144)</f>
        <v>2.2456979955397711E-7</v>
      </c>
      <c r="R144" s="93">
        <f>$C$7*$D$14*$D$8*$H144/$D144^2*$Q144*10^6</f>
        <v>0.4491395991079542</v>
      </c>
      <c r="S144" s="93">
        <f>IF($I144=0,0,1+(I144-$E$21)/$E$22)+$J144/$E$23+K144/$E$24+$L144/$E$25</f>
        <v>5.7674418604651159</v>
      </c>
      <c r="T144" s="92">
        <f t="shared" ref="T144:T162" si="19">10^(-S144)</f>
        <v>1.7082763938087111E-6</v>
      </c>
      <c r="U144" s="93">
        <f>$C$7*$E$14*$E$8*$H144/$D144^2*$T144*10^6</f>
        <v>3.4165527876174222</v>
      </c>
      <c r="V144" s="93">
        <f>IF($I144=0,0,1+(I144-$F$21)/$F$22)+$J144/$F$23+K144/$F$24+$L144/$F$25</f>
        <v>9.1481481481481488</v>
      </c>
      <c r="W144" s="92">
        <f t="shared" ref="W144:W162" si="20">10^(-V144)</f>
        <v>7.1097094323124171E-10</v>
      </c>
      <c r="X144" s="93">
        <f>$C$7*$F$14*$F$8*$H144/$D144^2*$W144*10^6</f>
        <v>1.4219418864624834E-3</v>
      </c>
      <c r="Y144" s="93">
        <f>IF($I144=0,0,1+(I144-$G$21)/$G$22)+$J144/$G$23+K144/$G$24+$L144/$G$25</f>
        <v>6.9444444444444446</v>
      </c>
      <c r="Z144" s="92">
        <f t="shared" ref="Z144:Z162" si="21">10^(-Y144)</f>
        <v>1.136463666385722E-7</v>
      </c>
      <c r="AA144" s="94">
        <f>$C$7*$G$14*$G$8*$H144/$D144^2*$Z144*10^6</f>
        <v>0.22729273327714439</v>
      </c>
      <c r="AB144" s="553">
        <f>SUM(O144,R144,U144,X144,AA144)</f>
        <v>4.1646308965732857</v>
      </c>
      <c r="AC144" s="554"/>
      <c r="AD144" s="555"/>
      <c r="AE144" s="538"/>
      <c r="AF144" s="538"/>
      <c r="AG144" s="538"/>
      <c r="AH144" s="556"/>
      <c r="AI144" s="551"/>
      <c r="AJ144" s="551"/>
      <c r="AK144" s="551"/>
      <c r="AL144" s="538"/>
      <c r="AM144" s="538"/>
      <c r="AN144" s="538"/>
      <c r="AO144" s="538"/>
      <c r="AP144" s="538"/>
      <c r="AQ144" s="538"/>
      <c r="AR144" s="538"/>
      <c r="AS144" s="538"/>
      <c r="AT144" s="538"/>
      <c r="AU144" s="538"/>
      <c r="AV144" s="538"/>
      <c r="AW144" s="538"/>
      <c r="AX144" s="545"/>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69"/>
      <c r="BT144" s="233"/>
      <c r="BU144" s="233"/>
      <c r="BV144" s="222"/>
      <c r="BW144" s="222"/>
      <c r="BX144" s="222"/>
      <c r="BY144" s="211"/>
      <c r="BZ144" s="222"/>
      <c r="CA144" s="222"/>
      <c r="CB144" s="225"/>
      <c r="CC144" s="225"/>
      <c r="CD144" s="225"/>
      <c r="CE144" s="225"/>
      <c r="CF144" s="225"/>
      <c r="CG144" s="300"/>
      <c r="CH144" s="300"/>
      <c r="CI144" s="300"/>
      <c r="CJ144" s="522"/>
      <c r="CK144" s="522"/>
      <c r="CL144" s="522"/>
    </row>
    <row r="145" spans="1:90" s="212" customFormat="1" ht="30" customHeight="1" x14ac:dyDescent="0.25">
      <c r="A145" s="557" t="str">
        <f>Samenvatting!A332</f>
        <v>T1</v>
      </c>
      <c r="B145" s="558" t="str">
        <f>Samenvatting!B332</f>
        <v>terreingrens 1</v>
      </c>
      <c r="C145" s="331" t="s">
        <v>568</v>
      </c>
      <c r="D145" s="1836">
        <v>25</v>
      </c>
      <c r="E145" s="89"/>
      <c r="F145" s="89"/>
      <c r="G145" s="89"/>
      <c r="H145" s="559"/>
      <c r="I145" s="1836">
        <v>250</v>
      </c>
      <c r="J145" s="1836">
        <v>0</v>
      </c>
      <c r="K145" s="1836">
        <v>0</v>
      </c>
      <c r="L145" s="1836">
        <v>0</v>
      </c>
      <c r="M145" s="93">
        <f>$I145/$C$27+$J145/$C$28+K145/$C$29+$L145/$C$30</f>
        <v>7.3529411764705879</v>
      </c>
      <c r="N145" s="92">
        <f t="shared" si="17"/>
        <v>4.4366873309786093E-8</v>
      </c>
      <c r="O145" s="93">
        <f>$C$7*$C$15*$C$8*($C$9+$C$10*$C$11)/$D145^2*$N145*10^6</f>
        <v>4.2592198377394652E-5</v>
      </c>
      <c r="P145" s="93">
        <f>$I145/$D$27+$J145/$D$28+K145/$D$29+$L145/$D$30</f>
        <v>6.5789473684210522</v>
      </c>
      <c r="Q145" s="92">
        <f t="shared" si="18"/>
        <v>2.636650898730358E-7</v>
      </c>
      <c r="R145" s="93">
        <f>$C$7*$C$15*$D$8*($D$9+$D$10*$D$11)/$D145^2*$Q145*10^6</f>
        <v>2.5311848627811444E-4</v>
      </c>
      <c r="S145" s="93">
        <f>$I145/$E$27+$J145/$E$28+K145/$E$29+$L145/$E$30</f>
        <v>5.6818181818181817</v>
      </c>
      <c r="T145" s="92">
        <f t="shared" si="19"/>
        <v>2.0805675382171676E-6</v>
      </c>
      <c r="U145" s="93">
        <f>$C$7*$C$15*$E$8*($E$9+$E$10*$E$11)/$D145^2*$T145*10^6</f>
        <v>1.9973448366884814E-3</v>
      </c>
      <c r="V145" s="93">
        <f>$I145/$F$27+$J145/$F$28+K145/$F$29+$L145/$F$30</f>
        <v>8.1967213114754092</v>
      </c>
      <c r="W145" s="92">
        <f t="shared" si="20"/>
        <v>6.3573875711648393E-9</v>
      </c>
      <c r="X145" s="93">
        <f>$C$7*$C$15*$F$8*($F$9+$F$10*$F$11)/$D145^2*$W145*10^6</f>
        <v>6.1030920683182469E-6</v>
      </c>
      <c r="Y145" s="93">
        <f>$I145/$G$27+$J145/$G$28+K145/$G$29+$L145/$G$30</f>
        <v>7.0224719101123592</v>
      </c>
      <c r="Z145" s="92">
        <f t="shared" si="21"/>
        <v>9.4957241494880226E-8</v>
      </c>
      <c r="AA145" s="94">
        <f>$C$7*$C$15*$G$8*($G$9+$G$10*$G$11)/$D145^2*$Z145*10^6</f>
        <v>9.1158951835085031E-5</v>
      </c>
      <c r="AB145" s="560">
        <f>SUM(O145,R145,U145,X145,AA145)</f>
        <v>2.3903175652473939E-3</v>
      </c>
      <c r="AC145" s="561">
        <f>SUM(AB143:AB148)</f>
        <v>4.1670929152189826</v>
      </c>
      <c r="AD145" s="562">
        <f>AC145*52/10^3</f>
        <v>0.2166888315913871</v>
      </c>
      <c r="AE145" s="538"/>
      <c r="AF145" s="538"/>
      <c r="AG145" s="538"/>
      <c r="AH145" s="556"/>
      <c r="AI145" s="563"/>
      <c r="AJ145" s="551"/>
      <c r="AK145" s="551"/>
      <c r="AL145" s="538"/>
      <c r="AM145" s="538"/>
      <c r="AN145" s="538"/>
      <c r="AO145" s="538"/>
      <c r="AP145" s="538"/>
      <c r="AQ145" s="538"/>
      <c r="AR145" s="538"/>
      <c r="AS145" s="538"/>
      <c r="AT145" s="538"/>
      <c r="AU145" s="538"/>
      <c r="AV145" s="538"/>
      <c r="AW145" s="538"/>
      <c r="AX145" s="545"/>
      <c r="AY145" s="545"/>
      <c r="AZ145" s="545"/>
      <c r="BA145" s="545"/>
      <c r="BB145" s="328"/>
      <c r="BC145" s="328"/>
      <c r="BD145" s="328"/>
      <c r="BE145" s="328"/>
      <c r="BF145" s="328"/>
      <c r="BG145" s="328"/>
      <c r="BH145" s="328"/>
      <c r="BI145" s="328"/>
      <c r="BJ145" s="328"/>
      <c r="BK145" s="328"/>
      <c r="BL145" s="328"/>
      <c r="BM145" s="328"/>
      <c r="BN145" s="328"/>
      <c r="BO145" s="328"/>
      <c r="BP145" s="328"/>
      <c r="BQ145" s="328"/>
      <c r="BR145" s="328"/>
      <c r="BS145" s="369"/>
      <c r="BT145" s="233"/>
      <c r="BU145" s="233"/>
      <c r="BV145" s="222"/>
      <c r="BW145" s="222"/>
      <c r="BX145" s="222"/>
      <c r="BY145" s="211"/>
      <c r="BZ145" s="222"/>
      <c r="CA145" s="222"/>
      <c r="CB145" s="225"/>
      <c r="CC145" s="225"/>
      <c r="CD145" s="225"/>
      <c r="CE145" s="225"/>
      <c r="CF145" s="225"/>
      <c r="CG145" s="300"/>
      <c r="CH145" s="300"/>
      <c r="CI145" s="300"/>
      <c r="CJ145" s="522"/>
      <c r="CK145" s="522"/>
      <c r="CL145" s="522"/>
    </row>
    <row r="146" spans="1:90" s="212" customFormat="1" ht="30" customHeight="1" x14ac:dyDescent="0.25">
      <c r="A146" s="557"/>
      <c r="B146" s="558"/>
      <c r="C146" s="331" t="s">
        <v>26</v>
      </c>
      <c r="D146" s="564"/>
      <c r="E146" s="1836">
        <v>11</v>
      </c>
      <c r="F146" s="89">
        <f>D145</f>
        <v>25</v>
      </c>
      <c r="G146" s="1836">
        <v>15</v>
      </c>
      <c r="H146" s="1836">
        <v>0.25</v>
      </c>
      <c r="I146" s="1836">
        <v>210</v>
      </c>
      <c r="J146" s="1836">
        <v>0</v>
      </c>
      <c r="K146" s="1836">
        <v>0</v>
      </c>
      <c r="L146" s="1836">
        <v>0</v>
      </c>
      <c r="M146" s="93">
        <f>IF($I146=0,0,1+(I146-$C$21)/$C$22)+$J146/$C$23+K146/$C$24+$L146/$C$25</f>
        <v>6.2424242424242422</v>
      </c>
      <c r="N146" s="92">
        <f t="shared" si="17"/>
        <v>5.722367659350211E-7</v>
      </c>
      <c r="O146" s="95">
        <f>2.5*0.01*$C$7*$C$14*$C$8*$H146*(2*PI()*(1-COS($G146/180*PI())))^1.3/$E146^2/$F146^2*N146*10^6</f>
        <v>5.101138747051231E-8</v>
      </c>
      <c r="P146" s="91">
        <f>IF($I146=0,0,1+($I146-$D$21)/$D$22)+$J146/$D$23+$K146/$D$24+$L146/$D$25</f>
        <v>5.5675675675675675</v>
      </c>
      <c r="Q146" s="92">
        <f t="shared" si="18"/>
        <v>2.7066520700332395E-6</v>
      </c>
      <c r="R146" s="95">
        <f>2.5*0.01*$C$7*$D$14*$D$8*$H146*(2*PI()*(1-COS($G146/180*PI())))^1.3/$E146^2/$F146^2*Q146*10^6</f>
        <v>2.4128138160910826E-7</v>
      </c>
      <c r="S146" s="93">
        <f>IF($I146=0,0,1+(I146-$E$21)/$E$22)+$J146/$E$23+K146/$E$24+$L146/$E$25</f>
        <v>4.8372093023255811</v>
      </c>
      <c r="T146" s="92">
        <f t="shared" si="19"/>
        <v>1.4547578108480478E-5</v>
      </c>
      <c r="U146" s="95">
        <f>2.5*0.01*$C$7*$E$14*$E$8*$H146*(2*PI()*(1-COS($G146/180*PI())))^1.3/$E146^2/$F146^2*T146*10^6</f>
        <v>1.2968270964496306E-6</v>
      </c>
      <c r="V146" s="93">
        <f>IF($I146=0,0,1+(I146-$F$21)/$F$22)+$J146/$F$23+K146/$F$24+$L146/$F$25</f>
        <v>7.666666666666667</v>
      </c>
      <c r="W146" s="92">
        <f t="shared" si="20"/>
        <v>2.1544346900318783E-8</v>
      </c>
      <c r="X146" s="95">
        <f>2.5*0.01*$C$7*$F$14*$F$8*$H146*(2*PI()*(1-COS($G146/180*PI())))^1.3/$E146^2/$F146^2*W146*10^6</f>
        <v>1.920545992418962E-9</v>
      </c>
      <c r="Y146" s="93">
        <f>IF($I146=0,0,1+(I146-$G$21)/$G$22)+$J146/$G$23+K146/$G$24+$L146/$G$25</f>
        <v>5.833333333333333</v>
      </c>
      <c r="Z146" s="92">
        <f t="shared" si="21"/>
        <v>1.4677992676220696E-6</v>
      </c>
      <c r="AA146" s="96">
        <f>2.5*0.01*$C$7*$G$14*$G$8*$H146*(2*PI()*(1-COS($G146/180*PI())))^1.3/$E146^2/$F146^2*Z146*10^6</f>
        <v>1.3084527528960935E-7</v>
      </c>
      <c r="AB146" s="560">
        <f>SUM(O146,R146,U146,X146,AA146)</f>
        <v>1.7218856868112794E-6</v>
      </c>
      <c r="AC146" s="565"/>
      <c r="AD146" s="566"/>
      <c r="AE146" s="538"/>
      <c r="AF146" s="538"/>
      <c r="AG146" s="567"/>
      <c r="AH146" s="538"/>
      <c r="AI146" s="563"/>
      <c r="AJ146" s="545"/>
      <c r="AK146" s="545"/>
      <c r="AL146" s="538"/>
      <c r="AM146" s="538"/>
      <c r="AN146" s="538"/>
      <c r="AO146" s="538"/>
      <c r="AP146" s="538"/>
      <c r="AQ146" s="538"/>
      <c r="AR146" s="538"/>
      <c r="AS146" s="538"/>
      <c r="AT146" s="538"/>
      <c r="AU146" s="538"/>
      <c r="AV146" s="538"/>
      <c r="AW146" s="538"/>
      <c r="AX146" s="545"/>
      <c r="AY146" s="545"/>
      <c r="AZ146" s="545"/>
      <c r="BA146" s="545"/>
      <c r="BB146" s="328"/>
      <c r="BC146" s="328"/>
      <c r="BD146" s="328"/>
      <c r="BE146" s="328"/>
      <c r="BF146" s="328"/>
      <c r="BG146" s="328"/>
      <c r="BH146" s="328"/>
      <c r="BI146" s="328"/>
      <c r="BJ146" s="328"/>
      <c r="BK146" s="328"/>
      <c r="BL146" s="328"/>
      <c r="BM146" s="328"/>
      <c r="BN146" s="328"/>
      <c r="BO146" s="328"/>
      <c r="BP146" s="328"/>
      <c r="BQ146" s="328"/>
      <c r="BR146" s="328"/>
      <c r="BS146" s="369"/>
      <c r="BT146" s="233"/>
      <c r="BU146" s="233"/>
      <c r="BV146" s="222"/>
      <c r="BW146" s="222"/>
      <c r="BX146" s="222"/>
      <c r="BY146" s="211"/>
      <c r="BZ146" s="222"/>
      <c r="CA146" s="222"/>
      <c r="CB146" s="225"/>
      <c r="CC146" s="225"/>
      <c r="CD146" s="225"/>
      <c r="CE146" s="225"/>
      <c r="CF146" s="225"/>
      <c r="CG146" s="300"/>
      <c r="CH146" s="300"/>
      <c r="CI146" s="300"/>
      <c r="CJ146" s="522"/>
      <c r="CK146" s="522"/>
      <c r="CL146" s="522"/>
    </row>
    <row r="147" spans="1:90" s="538" customFormat="1" ht="30" customHeight="1" thickBot="1" x14ac:dyDescent="0.3">
      <c r="A147" s="557"/>
      <c r="B147" s="558"/>
      <c r="C147" s="331" t="s">
        <v>27</v>
      </c>
      <c r="D147" s="89"/>
      <c r="E147" s="1836">
        <v>10</v>
      </c>
      <c r="F147" s="89"/>
      <c r="G147" s="1836">
        <v>60</v>
      </c>
      <c r="H147" s="568"/>
      <c r="I147" s="1836">
        <v>190</v>
      </c>
      <c r="J147" s="1836">
        <v>0</v>
      </c>
      <c r="K147" s="1836">
        <v>0</v>
      </c>
      <c r="L147" s="1836">
        <v>0</v>
      </c>
      <c r="M147" s="93">
        <f>$I147/$C$27+$J147/$C$28+K147/$C$29+$L147/$C$30</f>
        <v>5.5882352941176467</v>
      </c>
      <c r="N147" s="92">
        <f t="shared" si="17"/>
        <v>2.580861540418073E-6</v>
      </c>
      <c r="O147" s="95">
        <f>2.5*0.01*$C$7*$C$15*$C$8*($C$9+$C$10*$C$11)*(2*PI()*(1-COS($G147/180*PI())))^1.3/E$147^2/$F146^2*N147*10^6</f>
        <v>2.7432840731901286E-6</v>
      </c>
      <c r="P147" s="93">
        <f>$I147/$D$27+$J147/$D$28+K147/$D$29+$L147/$D$30</f>
        <v>5</v>
      </c>
      <c r="Q147" s="92">
        <f t="shared" si="18"/>
        <v>1.0000000000000001E-5</v>
      </c>
      <c r="R147" s="95">
        <f>2.5*0.01*$C$7*$C$15*$D$8*($D$9+$D$10*$D$11)*(2*PI()*(1-COS($G147/180*PI())))^1.3/$E147^2/$F146^2*Q147*10^6</f>
        <v>1.0629334546733355E-5</v>
      </c>
      <c r="S147" s="93">
        <f>$I147/$E$27+$J147/$E$28+K147/$E$29+$L147/$E$30</f>
        <v>4.3181818181818183</v>
      </c>
      <c r="T147" s="92">
        <f t="shared" si="19"/>
        <v>4.8063808630643867E-5</v>
      </c>
      <c r="U147" s="95">
        <f>2.5*0.01*$C$7*$C$15*$E$8*($E$9+$E$10*$E$11)*(2*PI()*(1-COS($G147/180*PI())))^1.3/$E147^2/$F146^2*T147*10^6</f>
        <v>5.1088630152528366E-5</v>
      </c>
      <c r="V147" s="93">
        <f>$I147/$F$27+$J147/$F$28+K147/$F$29+$L147/$F$30</f>
        <v>6.2295081967213113</v>
      </c>
      <c r="W147" s="92">
        <f t="shared" si="20"/>
        <v>5.8951085074002664E-7</v>
      </c>
      <c r="X147" s="95">
        <f>2.5*0.01*$C$7*$C$15*$F$8*($F$9+$F$10*$F$11)*(2*PI()*(1-COS($G147/180*PI())))^1.3/$E147^2/$F146^2*W147*10^6</f>
        <v>6.2661080514451354E-7</v>
      </c>
      <c r="Y147" s="93">
        <f>$I147/$G$27+$J147/$G$28+K147/$G$29+$L147/$G$30</f>
        <v>5.3370786516853927</v>
      </c>
      <c r="Z147" s="92">
        <f t="shared" si="21"/>
        <v>4.6017322765137984E-6</v>
      </c>
      <c r="AA147" s="96">
        <f>2.5*0.01*$C$7*$C$15*$G$8*($G$9+$G$10*$G$11)*(2*PI()*(1-COS($G147/180*PI())))^1.3/$E147^2/$F146^2*Z147*10^6</f>
        <v>4.891335186156605E-6</v>
      </c>
      <c r="AB147" s="569">
        <f>SUM(O147,R147,U147,X147,AA147)</f>
        <v>6.9979194763752965E-5</v>
      </c>
      <c r="AC147" s="570"/>
      <c r="AD147" s="571"/>
      <c r="AH147" s="572"/>
      <c r="AI147" s="573"/>
      <c r="AJ147" s="563"/>
      <c r="AK147" s="551"/>
      <c r="AX147" s="545"/>
      <c r="AY147" s="545"/>
      <c r="AZ147" s="545"/>
      <c r="BA147" s="545"/>
      <c r="BB147" s="545"/>
      <c r="BC147" s="545"/>
      <c r="BD147" s="545"/>
      <c r="BE147" s="545"/>
      <c r="BF147" s="545"/>
      <c r="BG147" s="545"/>
      <c r="BH147" s="545"/>
      <c r="BI147" s="545"/>
      <c r="BJ147" s="545"/>
      <c r="BK147" s="545"/>
      <c r="BL147" s="545"/>
      <c r="BM147" s="545"/>
      <c r="BN147" s="545"/>
      <c r="BO147" s="545"/>
      <c r="BP147" s="545"/>
      <c r="BQ147" s="545"/>
      <c r="BR147" s="545"/>
      <c r="BS147" s="545"/>
      <c r="BT147" s="545"/>
      <c r="BU147" s="545"/>
      <c r="BV147" s="545"/>
      <c r="BW147" s="545"/>
      <c r="BX147" s="545"/>
      <c r="BY147" s="545"/>
      <c r="BZ147" s="545"/>
    </row>
    <row r="148" spans="1:90" s="212" customFormat="1" ht="30" hidden="1" customHeight="1" thickBot="1" x14ac:dyDescent="0.3">
      <c r="A148" s="574"/>
      <c r="B148" s="575"/>
      <c r="C148" s="576"/>
      <c r="D148" s="89"/>
      <c r="E148" s="89"/>
      <c r="F148" s="89"/>
      <c r="G148" s="89"/>
      <c r="H148" s="1837"/>
      <c r="I148" s="1837"/>
      <c r="J148" s="1837"/>
      <c r="K148" s="1837"/>
      <c r="L148" s="1837"/>
      <c r="M148" s="91"/>
      <c r="N148" s="97"/>
      <c r="O148" s="98"/>
      <c r="P148" s="91"/>
      <c r="Q148" s="97"/>
      <c r="R148" s="98"/>
      <c r="S148" s="91"/>
      <c r="T148" s="97"/>
      <c r="U148" s="98"/>
      <c r="V148" s="91"/>
      <c r="W148" s="97"/>
      <c r="X148" s="98"/>
      <c r="Y148" s="91"/>
      <c r="Z148" s="97"/>
      <c r="AA148" s="99"/>
      <c r="AB148" s="577"/>
      <c r="AC148" s="578"/>
      <c r="AD148" s="579"/>
      <c r="AH148" s="580"/>
      <c r="AI148" s="581"/>
      <c r="AJ148" s="282"/>
      <c r="AK148" s="300"/>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row>
    <row r="149" spans="1:90" s="212" customFormat="1" ht="30" customHeight="1" x14ac:dyDescent="0.25">
      <c r="A149" s="552"/>
      <c r="B149" s="322"/>
      <c r="C149" s="323" t="s">
        <v>569</v>
      </c>
      <c r="D149" s="1836">
        <v>1</v>
      </c>
      <c r="E149" s="89"/>
      <c r="F149" s="89"/>
      <c r="G149" s="89"/>
      <c r="H149" s="1836">
        <v>0.25</v>
      </c>
      <c r="I149" s="1836">
        <v>250</v>
      </c>
      <c r="J149" s="1836">
        <v>0</v>
      </c>
      <c r="K149" s="1836">
        <v>0</v>
      </c>
      <c r="L149" s="1836">
        <v>0</v>
      </c>
      <c r="M149" s="91">
        <f>IF($I149=0,0,1+($I149-$C$21)/$C$22)+$J149/$C$23+$K149/$C$24+$L149/$C$25</f>
        <v>7.4545454545454541</v>
      </c>
      <c r="N149" s="92">
        <f t="shared" si="17"/>
        <v>3.5111917342151263E-8</v>
      </c>
      <c r="O149" s="93">
        <f>$C$7*$C$14*$C$8*$H149/$D149^2*N149*10^6</f>
        <v>7.022383468430253E-2</v>
      </c>
      <c r="P149" s="91">
        <f>IF($I149=0,0,1+($I149-$D$21)/$D$22)+$J149/$D$23+$K149/$D$24+$L149/$D$25</f>
        <v>6.6486486486486482</v>
      </c>
      <c r="Q149" s="92">
        <f t="shared" si="18"/>
        <v>2.2456979955397711E-7</v>
      </c>
      <c r="R149" s="93">
        <f>$C$7*$D$14*$D$8*$H149/$D149^2*$Q149*10^6</f>
        <v>0.4491395991079542</v>
      </c>
      <c r="S149" s="93">
        <f>IF($I149=0,0,1+(I149-$E$21)/$E$22)+$J149/$E$23+K149/$E$24+$L149/$E$25</f>
        <v>5.7674418604651159</v>
      </c>
      <c r="T149" s="92">
        <f t="shared" si="19"/>
        <v>1.7082763938087111E-6</v>
      </c>
      <c r="U149" s="93">
        <f>$C$7*$E$14*$E$8*$H149/$D149^2*$T149*10^6</f>
        <v>3.4165527876174222</v>
      </c>
      <c r="V149" s="93">
        <f>IF($I149=0,0,1+(I149-$F$21)/$F$22)+$J149/$F$23+K149/$F$24+$L149/$F$25</f>
        <v>9.1481481481481488</v>
      </c>
      <c r="W149" s="92">
        <f t="shared" si="20"/>
        <v>7.1097094323124171E-10</v>
      </c>
      <c r="X149" s="93">
        <f>$C$7*$F$14*$F$8*$H149/$D149^2*$W149*10^6</f>
        <v>1.4219418864624834E-3</v>
      </c>
      <c r="Y149" s="93">
        <f>IF($I149=0,0,1+(I149-$G$21)/$G$22)+$J149/$G$23+K149/$G$24+$L149/$G$25</f>
        <v>6.9444444444444446</v>
      </c>
      <c r="Z149" s="92">
        <f t="shared" si="21"/>
        <v>1.136463666385722E-7</v>
      </c>
      <c r="AA149" s="94">
        <f>$C$7*$G$14*$G$8*$H149/$D149^2*$Z149*10^6</f>
        <v>0.22729273327714439</v>
      </c>
      <c r="AB149" s="553">
        <f>SUM(O149,R149,U149,X149,AA149)</f>
        <v>4.1646308965732857</v>
      </c>
      <c r="AC149" s="554"/>
      <c r="AD149" s="555"/>
      <c r="AE149" s="538"/>
      <c r="AF149" s="538"/>
      <c r="AG149" s="538"/>
      <c r="AH149" s="556"/>
      <c r="AI149" s="551"/>
      <c r="AJ149" s="551"/>
      <c r="AK149" s="551"/>
      <c r="AL149" s="538"/>
      <c r="AM149" s="538"/>
      <c r="AN149" s="538"/>
      <c r="AO149" s="538"/>
      <c r="AP149" s="538"/>
      <c r="AQ149" s="538"/>
      <c r="AR149" s="538"/>
      <c r="AS149" s="538"/>
      <c r="AT149" s="538"/>
      <c r="AU149" s="538"/>
      <c r="AV149" s="538"/>
      <c r="AW149" s="538"/>
      <c r="AX149" s="545"/>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69"/>
      <c r="BT149" s="233"/>
      <c r="BU149" s="233"/>
      <c r="BV149" s="222"/>
      <c r="BW149" s="222"/>
      <c r="BX149" s="222"/>
      <c r="BY149" s="211"/>
      <c r="BZ149" s="222"/>
      <c r="CA149" s="222"/>
      <c r="CB149" s="225"/>
      <c r="CC149" s="225"/>
      <c r="CD149" s="225"/>
      <c r="CE149" s="225"/>
      <c r="CF149" s="225"/>
      <c r="CG149" s="300"/>
      <c r="CH149" s="300"/>
      <c r="CI149" s="300"/>
      <c r="CJ149" s="522"/>
      <c r="CK149" s="522"/>
      <c r="CL149" s="522"/>
    </row>
    <row r="150" spans="1:90" s="212" customFormat="1" ht="30" customHeight="1" x14ac:dyDescent="0.25">
      <c r="A150" s="557" t="str">
        <f>Samenvatting!A343</f>
        <v>T2</v>
      </c>
      <c r="B150" s="558" t="str">
        <f>Samenvatting!B343</f>
        <v>terreingrens 2</v>
      </c>
      <c r="C150" s="331" t="s">
        <v>568</v>
      </c>
      <c r="D150" s="1836">
        <v>25</v>
      </c>
      <c r="E150" s="89"/>
      <c r="F150" s="89"/>
      <c r="G150" s="89"/>
      <c r="H150" s="559"/>
      <c r="I150" s="1836">
        <v>250</v>
      </c>
      <c r="J150" s="1836">
        <v>0</v>
      </c>
      <c r="K150" s="1836">
        <v>0</v>
      </c>
      <c r="L150" s="1836">
        <v>0</v>
      </c>
      <c r="M150" s="93">
        <f>$I150/$C$27+$J150/$C$28+K150/$C$29+$L150/$C$30</f>
        <v>7.3529411764705879</v>
      </c>
      <c r="N150" s="92">
        <f t="shared" si="17"/>
        <v>4.4366873309786093E-8</v>
      </c>
      <c r="O150" s="93">
        <f>$C$7*$C$15*$C$8*($C$9+$C$10*$C$11)/$D150^2*$N150*10^6</f>
        <v>4.2592198377394652E-5</v>
      </c>
      <c r="P150" s="93">
        <f>$I150/$D$27+$J150/$D$28+K150/$D$29+$L150/$D$30</f>
        <v>6.5789473684210522</v>
      </c>
      <c r="Q150" s="92">
        <f t="shared" si="18"/>
        <v>2.636650898730358E-7</v>
      </c>
      <c r="R150" s="93">
        <f>$C$7*$C$15*$D$8*($D$9+$D$10*$D$11)/$D150^2*$Q150*10^6</f>
        <v>2.5311848627811444E-4</v>
      </c>
      <c r="S150" s="93">
        <f>$I150/$E$27+$J150/$E$28+K150/$E$29+$L150/$E$30</f>
        <v>5.6818181818181817</v>
      </c>
      <c r="T150" s="92">
        <f t="shared" si="19"/>
        <v>2.0805675382171676E-6</v>
      </c>
      <c r="U150" s="93">
        <f>$C$7*$C$15*$E$8*($E$9+$E$10*$E$11)/$D150^2*$T150*10^6</f>
        <v>1.9973448366884814E-3</v>
      </c>
      <c r="V150" s="93">
        <f>$I150/$F$27+$J150/$F$28+K150/$F$29+$L150/$F$30</f>
        <v>8.1967213114754092</v>
      </c>
      <c r="W150" s="92">
        <f t="shared" si="20"/>
        <v>6.3573875711648393E-9</v>
      </c>
      <c r="X150" s="93">
        <f>$C$7*$C$15*$F$8*($F$9+$F$10*$F$11)/$D150^2*$W150*10^6</f>
        <v>6.1030920683182469E-6</v>
      </c>
      <c r="Y150" s="93">
        <f>$I150/$G$27+$J150/$G$28+K150/$G$29+$L150/$G$30</f>
        <v>7.0224719101123592</v>
      </c>
      <c r="Z150" s="92">
        <f t="shared" si="21"/>
        <v>9.4957241494880226E-8</v>
      </c>
      <c r="AA150" s="94">
        <f>$C$7*$C$15*$G$8*($G$9+$G$10*$G$11)/$D150^2*$Z150*10^6</f>
        <v>9.1158951835085031E-5</v>
      </c>
      <c r="AB150" s="560">
        <f>SUM(O150,R150,U150,X150,AA150)</f>
        <v>2.3903175652473939E-3</v>
      </c>
      <c r="AC150" s="561">
        <f>SUM(AB148:AB153)</f>
        <v>4.1670929152189826</v>
      </c>
      <c r="AD150" s="562">
        <f>AC150*52/10^3</f>
        <v>0.2166888315913871</v>
      </c>
      <c r="AE150" s="538"/>
      <c r="AF150" s="538"/>
      <c r="AG150" s="538"/>
      <c r="AH150" s="556"/>
      <c r="AI150" s="563"/>
      <c r="AJ150" s="551"/>
      <c r="AK150" s="551"/>
      <c r="AL150" s="538"/>
      <c r="AM150" s="538"/>
      <c r="AN150" s="538"/>
      <c r="AO150" s="538"/>
      <c r="AP150" s="538"/>
      <c r="AQ150" s="538"/>
      <c r="AR150" s="538"/>
      <c r="AS150" s="538"/>
      <c r="AT150" s="538"/>
      <c r="AU150" s="538"/>
      <c r="AV150" s="538"/>
      <c r="AW150" s="538"/>
      <c r="AX150" s="545"/>
      <c r="AY150" s="545"/>
      <c r="AZ150" s="545"/>
      <c r="BA150" s="545"/>
      <c r="BB150" s="328"/>
      <c r="BC150" s="328"/>
      <c r="BD150" s="328"/>
      <c r="BE150" s="328"/>
      <c r="BF150" s="328"/>
      <c r="BG150" s="328"/>
      <c r="BH150" s="328"/>
      <c r="BI150" s="328"/>
      <c r="BJ150" s="328"/>
      <c r="BK150" s="328"/>
      <c r="BL150" s="328"/>
      <c r="BM150" s="328"/>
      <c r="BN150" s="328"/>
      <c r="BO150" s="328"/>
      <c r="BP150" s="328"/>
      <c r="BQ150" s="328"/>
      <c r="BR150" s="328"/>
      <c r="BS150" s="369"/>
      <c r="BT150" s="233"/>
      <c r="BU150" s="233"/>
      <c r="BV150" s="222"/>
      <c r="BW150" s="222"/>
      <c r="BX150" s="222"/>
      <c r="BY150" s="211"/>
      <c r="BZ150" s="222"/>
      <c r="CA150" s="222"/>
      <c r="CB150" s="225"/>
      <c r="CC150" s="225"/>
      <c r="CD150" s="225"/>
      <c r="CE150" s="225"/>
      <c r="CF150" s="225"/>
      <c r="CG150" s="300"/>
      <c r="CH150" s="300"/>
      <c r="CI150" s="300"/>
      <c r="CJ150" s="522"/>
      <c r="CK150" s="522"/>
      <c r="CL150" s="522"/>
    </row>
    <row r="151" spans="1:90" s="212" customFormat="1" ht="30" customHeight="1" x14ac:dyDescent="0.25">
      <c r="A151" s="557"/>
      <c r="B151" s="558"/>
      <c r="C151" s="331" t="s">
        <v>26</v>
      </c>
      <c r="D151" s="564"/>
      <c r="E151" s="89">
        <f>E146</f>
        <v>11</v>
      </c>
      <c r="F151" s="89">
        <f>D150</f>
        <v>25</v>
      </c>
      <c r="G151" s="1836">
        <v>15</v>
      </c>
      <c r="H151" s="1836">
        <v>0.25</v>
      </c>
      <c r="I151" s="1836">
        <v>210</v>
      </c>
      <c r="J151" s="1836">
        <v>0</v>
      </c>
      <c r="K151" s="1836">
        <v>0</v>
      </c>
      <c r="L151" s="1836">
        <v>0</v>
      </c>
      <c r="M151" s="93">
        <f>IF($I151=0,0,1+(I151-$C$21)/$C$22)+$J151/$C$23+K151/$C$24+$L151/$C$25</f>
        <v>6.2424242424242422</v>
      </c>
      <c r="N151" s="92">
        <f t="shared" si="17"/>
        <v>5.722367659350211E-7</v>
      </c>
      <c r="O151" s="95">
        <f>2.5*0.01*$C$7*$C$14*$C$8*$H151*(2*PI()*(1-COS($G151/180*PI())))^1.3/$E151^2/$F151^2*N151*10^6</f>
        <v>5.101138747051231E-8</v>
      </c>
      <c r="P151" s="91">
        <f>IF($I151=0,0,1+($I151-$D$21)/$D$22)+$J151/$D$23+$K151/$D$24+$L151/$D$25</f>
        <v>5.5675675675675675</v>
      </c>
      <c r="Q151" s="92">
        <f t="shared" si="18"/>
        <v>2.7066520700332395E-6</v>
      </c>
      <c r="R151" s="95">
        <f>2.5*0.01*$C$7*$D$14*$D$8*$H151*(2*PI()*(1-COS($G151/180*PI())))^1.3/$E151^2/$F151^2*Q151*10^6</f>
        <v>2.4128138160910826E-7</v>
      </c>
      <c r="S151" s="93">
        <f>IF($I151=0,0,1+(I151-$E$21)/$E$22)+$J151/$E$23+K151/$E$24+$L151/$E$25</f>
        <v>4.8372093023255811</v>
      </c>
      <c r="T151" s="92">
        <f t="shared" si="19"/>
        <v>1.4547578108480478E-5</v>
      </c>
      <c r="U151" s="95">
        <f>2.5*0.01*$C$7*$E$14*$E$8*$H151*(2*PI()*(1-COS($G151/180*PI())))^1.3/$E151^2/$F151^2*T151*10^6</f>
        <v>1.2968270964496306E-6</v>
      </c>
      <c r="V151" s="93">
        <f>IF($I151=0,0,1+(I151-$F$21)/$F$22)+$J151/$F$23+K151/$F$24+$L151/$F$25</f>
        <v>7.666666666666667</v>
      </c>
      <c r="W151" s="92">
        <f t="shared" si="20"/>
        <v>2.1544346900318783E-8</v>
      </c>
      <c r="X151" s="95">
        <f>2.5*0.01*$C$7*$F$14*$F$8*$H151*(2*PI()*(1-COS($G151/180*PI())))^1.3/$E151^2/$F151^2*W151*10^6</f>
        <v>1.920545992418962E-9</v>
      </c>
      <c r="Y151" s="93">
        <f>IF($I151=0,0,1+(I151-$G$21)/$G$22)+$J151/$G$23+K151/$G$24+$L151/$G$25</f>
        <v>5.833333333333333</v>
      </c>
      <c r="Z151" s="92">
        <f t="shared" si="21"/>
        <v>1.4677992676220696E-6</v>
      </c>
      <c r="AA151" s="96">
        <f>2.5*0.01*$C$7*$G$14*$G$8*$H151*(2*PI()*(1-COS($G151/180*PI())))^1.3/$E151^2/$F151^2*Z151*10^6</f>
        <v>1.3084527528960935E-7</v>
      </c>
      <c r="AB151" s="560">
        <f>SUM(O151,R151,U151,X151,AA151)</f>
        <v>1.7218856868112794E-6</v>
      </c>
      <c r="AC151" s="565"/>
      <c r="AD151" s="566"/>
      <c r="AE151" s="538"/>
      <c r="AF151" s="538"/>
      <c r="AG151" s="567"/>
      <c r="AH151" s="538"/>
      <c r="AI151" s="563"/>
      <c r="AJ151" s="545"/>
      <c r="AK151" s="545"/>
      <c r="AL151" s="538"/>
      <c r="AM151" s="538"/>
      <c r="AN151" s="538"/>
      <c r="AO151" s="538"/>
      <c r="AP151" s="538"/>
      <c r="AQ151" s="538"/>
      <c r="AR151" s="538"/>
      <c r="AS151" s="538"/>
      <c r="AT151" s="538"/>
      <c r="AU151" s="538"/>
      <c r="AV151" s="538"/>
      <c r="AW151" s="538"/>
      <c r="AX151" s="545"/>
      <c r="AY151" s="545"/>
      <c r="AZ151" s="545"/>
      <c r="BA151" s="545"/>
      <c r="BB151" s="328"/>
      <c r="BC151" s="328"/>
      <c r="BD151" s="328"/>
      <c r="BE151" s="328"/>
      <c r="BF151" s="328"/>
      <c r="BG151" s="328"/>
      <c r="BH151" s="328"/>
      <c r="BI151" s="328"/>
      <c r="BJ151" s="328"/>
      <c r="BK151" s="328"/>
      <c r="BL151" s="328"/>
      <c r="BM151" s="328"/>
      <c r="BN151" s="328"/>
      <c r="BO151" s="328"/>
      <c r="BP151" s="328"/>
      <c r="BQ151" s="328"/>
      <c r="BR151" s="328"/>
      <c r="BS151" s="369"/>
      <c r="BT151" s="233"/>
      <c r="BU151" s="233"/>
      <c r="BV151" s="222"/>
      <c r="BW151" s="222"/>
      <c r="BX151" s="222"/>
      <c r="BY151" s="211"/>
      <c r="BZ151" s="222"/>
      <c r="CA151" s="222"/>
      <c r="CB151" s="225"/>
      <c r="CC151" s="225"/>
      <c r="CD151" s="225"/>
      <c r="CE151" s="225"/>
      <c r="CF151" s="225"/>
      <c r="CG151" s="300"/>
      <c r="CH151" s="300"/>
      <c r="CI151" s="300"/>
      <c r="CJ151" s="522"/>
      <c r="CK151" s="522"/>
      <c r="CL151" s="522"/>
    </row>
    <row r="152" spans="1:90" s="538" customFormat="1" ht="30" customHeight="1" thickBot="1" x14ac:dyDescent="0.3">
      <c r="A152" s="557"/>
      <c r="B152" s="558"/>
      <c r="C152" s="331" t="s">
        <v>27</v>
      </c>
      <c r="D152" s="89"/>
      <c r="E152" s="89">
        <f>E147</f>
        <v>10</v>
      </c>
      <c r="F152" s="89"/>
      <c r="G152" s="1836">
        <v>60</v>
      </c>
      <c r="H152" s="568"/>
      <c r="I152" s="1836">
        <v>190</v>
      </c>
      <c r="J152" s="1836">
        <v>0</v>
      </c>
      <c r="K152" s="1836">
        <v>0</v>
      </c>
      <c r="L152" s="1836">
        <v>0</v>
      </c>
      <c r="M152" s="93">
        <f>$I152/$C$27+$J152/$C$28+K152/$C$29+$L152/$C$30</f>
        <v>5.5882352941176467</v>
      </c>
      <c r="N152" s="92">
        <f t="shared" si="17"/>
        <v>2.580861540418073E-6</v>
      </c>
      <c r="O152" s="95">
        <f>2.5*0.01*$C$7*$C$15*$C$8*($C$9+$C$10*$C$11)*(2*PI()*(1-COS($G152/180*PI())))^1.3/E$147^2/$F151^2*N152*10^6</f>
        <v>2.7432840731901286E-6</v>
      </c>
      <c r="P152" s="93">
        <f>$I152/$D$27+$J152/$D$28+K152/$D$29+$L152/$D$30</f>
        <v>5</v>
      </c>
      <c r="Q152" s="92">
        <f t="shared" si="18"/>
        <v>1.0000000000000001E-5</v>
      </c>
      <c r="R152" s="95">
        <f>2.5*0.01*$C$7*$C$15*$D$8*($D$9+$D$10*$D$11)*(2*PI()*(1-COS($G152/180*PI())))^1.3/$E152^2/$F151^2*Q152*10^6</f>
        <v>1.0629334546733355E-5</v>
      </c>
      <c r="S152" s="93">
        <f>$I152/$E$27+$J152/$E$28+K152/$E$29+$L152/$E$30</f>
        <v>4.3181818181818183</v>
      </c>
      <c r="T152" s="92">
        <f t="shared" si="19"/>
        <v>4.8063808630643867E-5</v>
      </c>
      <c r="U152" s="95">
        <f>2.5*0.01*$C$7*$C$15*$E$8*($E$9+$E$10*$E$11)*(2*PI()*(1-COS($G152/180*PI())))^1.3/$E152^2/$F151^2*T152*10^6</f>
        <v>5.1088630152528366E-5</v>
      </c>
      <c r="V152" s="93">
        <f>$I152/$F$27+$J152/$F$28+K152/$F$29+$L152/$F$30</f>
        <v>6.2295081967213113</v>
      </c>
      <c r="W152" s="92">
        <f t="shared" si="20"/>
        <v>5.8951085074002664E-7</v>
      </c>
      <c r="X152" s="95">
        <f>2.5*0.01*$C$7*$C$15*$F$8*($F$9+$F$10*$F$11)*(2*PI()*(1-COS($G152/180*PI())))^1.3/$E152^2/$F151^2*W152*10^6</f>
        <v>6.2661080514451354E-7</v>
      </c>
      <c r="Y152" s="93">
        <f>$I152/$G$27+$J152/$G$28+K152/$G$29+$L152/$G$30</f>
        <v>5.3370786516853927</v>
      </c>
      <c r="Z152" s="92">
        <f t="shared" si="21"/>
        <v>4.6017322765137984E-6</v>
      </c>
      <c r="AA152" s="96">
        <f>2.5*0.01*$C$7*$C$15*$G$8*($G$9+$G$10*$G$11)*(2*PI()*(1-COS($G152/180*PI())))^1.3/$E152^2/$F151^2*Z152*10^6</f>
        <v>4.891335186156605E-6</v>
      </c>
      <c r="AB152" s="569">
        <f>SUM(O152,R152,U152,X152,AA152)</f>
        <v>6.9979194763752965E-5</v>
      </c>
      <c r="AC152" s="570"/>
      <c r="AD152" s="571"/>
      <c r="AH152" s="572"/>
      <c r="AI152" s="573"/>
      <c r="AJ152" s="563"/>
      <c r="AK152" s="551"/>
      <c r="AX152" s="545"/>
      <c r="AY152" s="545"/>
      <c r="AZ152" s="545"/>
      <c r="BA152" s="545"/>
      <c r="BB152" s="545"/>
      <c r="BC152" s="545"/>
      <c r="BD152" s="545"/>
      <c r="BE152" s="545"/>
      <c r="BF152" s="545"/>
      <c r="BG152" s="545"/>
      <c r="BH152" s="545"/>
      <c r="BI152" s="545"/>
      <c r="BJ152" s="545"/>
      <c r="BK152" s="545"/>
      <c r="BL152" s="545"/>
      <c r="BM152" s="545"/>
      <c r="BN152" s="545"/>
      <c r="BO152" s="545"/>
      <c r="BP152" s="545"/>
      <c r="BQ152" s="545"/>
      <c r="BR152" s="545"/>
      <c r="BS152" s="545"/>
      <c r="BT152" s="545"/>
      <c r="BU152" s="545"/>
      <c r="BV152" s="545"/>
      <c r="BW152" s="545"/>
      <c r="BX152" s="545"/>
      <c r="BY152" s="545"/>
      <c r="BZ152" s="545"/>
    </row>
    <row r="153" spans="1:90" s="212" customFormat="1" ht="30" hidden="1" customHeight="1" thickBot="1" x14ac:dyDescent="0.3">
      <c r="A153" s="574"/>
      <c r="B153" s="575"/>
      <c r="C153" s="576"/>
      <c r="D153" s="89"/>
      <c r="E153" s="89"/>
      <c r="F153" s="89"/>
      <c r="G153" s="89"/>
      <c r="H153" s="1837"/>
      <c r="I153" s="1837"/>
      <c r="J153" s="1837"/>
      <c r="K153" s="1837"/>
      <c r="L153" s="1837"/>
      <c r="M153" s="91"/>
      <c r="N153" s="97"/>
      <c r="O153" s="98"/>
      <c r="P153" s="91"/>
      <c r="Q153" s="97"/>
      <c r="R153" s="98"/>
      <c r="S153" s="91"/>
      <c r="T153" s="97"/>
      <c r="U153" s="98"/>
      <c r="V153" s="91"/>
      <c r="W153" s="97"/>
      <c r="X153" s="98"/>
      <c r="Y153" s="91"/>
      <c r="Z153" s="97"/>
      <c r="AA153" s="99"/>
      <c r="AB153" s="577"/>
      <c r="AC153" s="578"/>
      <c r="AD153" s="579"/>
      <c r="AH153" s="580"/>
      <c r="AI153" s="581"/>
      <c r="AJ153" s="282"/>
      <c r="AK153" s="300"/>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row>
    <row r="154" spans="1:90" s="212" customFormat="1" ht="30" customHeight="1" x14ac:dyDescent="0.25">
      <c r="A154" s="552"/>
      <c r="B154" s="322"/>
      <c r="C154" s="323" t="s">
        <v>569</v>
      </c>
      <c r="D154" s="1836">
        <v>1</v>
      </c>
      <c r="E154" s="89"/>
      <c r="F154" s="89"/>
      <c r="G154" s="89"/>
      <c r="H154" s="1836">
        <v>0.25</v>
      </c>
      <c r="I154" s="1836">
        <v>250</v>
      </c>
      <c r="J154" s="1836">
        <v>0</v>
      </c>
      <c r="K154" s="1836">
        <v>0</v>
      </c>
      <c r="L154" s="1836">
        <v>0</v>
      </c>
      <c r="M154" s="91">
        <f>IF($I154=0,0,1+($I154-$C$21)/$C$22)+$J154/$C$23+$K154/$C$24+$L154/$C$25</f>
        <v>7.4545454545454541</v>
      </c>
      <c r="N154" s="92">
        <f t="shared" si="17"/>
        <v>3.5111917342151263E-8</v>
      </c>
      <c r="O154" s="93">
        <f>$C$7*$C$14*$C$8*$H154/$D154^2*N154*10^6</f>
        <v>7.022383468430253E-2</v>
      </c>
      <c r="P154" s="91">
        <f>IF($I154=0,0,1+($I154-$D$21)/$D$22)+$J154/$D$23+$K154/$D$24+$L154/$D$25</f>
        <v>6.6486486486486482</v>
      </c>
      <c r="Q154" s="92">
        <f t="shared" si="18"/>
        <v>2.2456979955397711E-7</v>
      </c>
      <c r="R154" s="93">
        <f>$C$7*$D$14*$D$8*$H154/$D154^2*$Q154*10^6</f>
        <v>0.4491395991079542</v>
      </c>
      <c r="S154" s="93">
        <f>IF($I154=0,0,1+(I154-$E$21)/$E$22)+$J154/$E$23+K154/$E$24+$L154/$E$25</f>
        <v>5.7674418604651159</v>
      </c>
      <c r="T154" s="92">
        <f t="shared" si="19"/>
        <v>1.7082763938087111E-6</v>
      </c>
      <c r="U154" s="93">
        <f>$C$7*$E$14*$E$8*$H154/$D154^2*$T154*10^6</f>
        <v>3.4165527876174222</v>
      </c>
      <c r="V154" s="93">
        <f>IF($I154=0,0,1+(I154-$F$21)/$F$22)+$J154/$F$23+K154/$F$24+$L154/$F$25</f>
        <v>9.1481481481481488</v>
      </c>
      <c r="W154" s="92">
        <f t="shared" si="20"/>
        <v>7.1097094323124171E-10</v>
      </c>
      <c r="X154" s="93">
        <f>$C$7*$F$14*$F$8*$H154/$D154^2*$W154*10^6</f>
        <v>1.4219418864624834E-3</v>
      </c>
      <c r="Y154" s="93">
        <f>IF($I154=0,0,1+(I154-$G$21)/$G$22)+$J154/$G$23+K154/$G$24+$L154/$G$25</f>
        <v>6.9444444444444446</v>
      </c>
      <c r="Z154" s="92">
        <f t="shared" si="21"/>
        <v>1.136463666385722E-7</v>
      </c>
      <c r="AA154" s="94">
        <f>$C$7*$G$14*$G$8*$H154/$D154^2*$Z154*10^6</f>
        <v>0.22729273327714439</v>
      </c>
      <c r="AB154" s="553">
        <f>SUM(O154,R154,U154,X154,AA154)</f>
        <v>4.1646308965732857</v>
      </c>
      <c r="AC154" s="554"/>
      <c r="AD154" s="555"/>
      <c r="AE154" s="538"/>
      <c r="AF154" s="538"/>
      <c r="AG154" s="538"/>
      <c r="AH154" s="556"/>
      <c r="AI154" s="551"/>
      <c r="AJ154" s="551"/>
      <c r="AK154" s="551"/>
      <c r="AL154" s="538"/>
      <c r="AM154" s="538"/>
      <c r="AN154" s="538"/>
      <c r="AO154" s="538"/>
      <c r="AP154" s="538"/>
      <c r="AQ154" s="538"/>
      <c r="AR154" s="538"/>
      <c r="AS154" s="538"/>
      <c r="AT154" s="538"/>
      <c r="AU154" s="538"/>
      <c r="AV154" s="538"/>
      <c r="AW154" s="538"/>
      <c r="AX154" s="545"/>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69"/>
      <c r="BT154" s="233"/>
      <c r="BU154" s="233"/>
      <c r="BV154" s="222"/>
      <c r="BW154" s="222"/>
      <c r="BX154" s="222"/>
      <c r="BY154" s="211"/>
      <c r="BZ154" s="222"/>
      <c r="CA154" s="222"/>
      <c r="CB154" s="225"/>
      <c r="CC154" s="225"/>
      <c r="CD154" s="225"/>
      <c r="CE154" s="225"/>
      <c r="CF154" s="225"/>
      <c r="CG154" s="300"/>
      <c r="CH154" s="300"/>
      <c r="CI154" s="300"/>
      <c r="CJ154" s="522"/>
      <c r="CK154" s="522"/>
      <c r="CL154" s="522"/>
    </row>
    <row r="155" spans="1:90" s="212" customFormat="1" ht="30" customHeight="1" x14ac:dyDescent="0.25">
      <c r="A155" s="557" t="str">
        <f>Samenvatting!A354</f>
        <v>T3</v>
      </c>
      <c r="B155" s="558" t="str">
        <f>Samenvatting!B354</f>
        <v>terreingrens 3</v>
      </c>
      <c r="C155" s="331" t="s">
        <v>568</v>
      </c>
      <c r="D155" s="1836">
        <v>25</v>
      </c>
      <c r="E155" s="89"/>
      <c r="F155" s="89"/>
      <c r="G155" s="89"/>
      <c r="H155" s="559"/>
      <c r="I155" s="1836">
        <v>250</v>
      </c>
      <c r="J155" s="1836">
        <v>0</v>
      </c>
      <c r="K155" s="1836">
        <v>0</v>
      </c>
      <c r="L155" s="1836">
        <v>0</v>
      </c>
      <c r="M155" s="93">
        <f>$I155/$C$27+$J155/$C$28+K155/$C$29+$L155/$C$30</f>
        <v>7.3529411764705879</v>
      </c>
      <c r="N155" s="92">
        <f t="shared" si="17"/>
        <v>4.4366873309786093E-8</v>
      </c>
      <c r="O155" s="93">
        <f>$C$7*$C$15*$C$8*($C$9+$C$10*$C$11)/$D155^2*$N155*10^6</f>
        <v>4.2592198377394652E-5</v>
      </c>
      <c r="P155" s="93">
        <f>$I155/$D$27+$J155/$D$28+K155/$D$29+$L155/$D$30</f>
        <v>6.5789473684210522</v>
      </c>
      <c r="Q155" s="92">
        <f t="shared" si="18"/>
        <v>2.636650898730358E-7</v>
      </c>
      <c r="R155" s="93">
        <f>$C$7*$C$15*$D$8*($D$9+$D$10*$D$11)/$D155^2*$Q155*10^6</f>
        <v>2.5311848627811444E-4</v>
      </c>
      <c r="S155" s="93">
        <f>$I155/$E$27+$J155/$E$28+K155/$E$29+$L155/$E$30</f>
        <v>5.6818181818181817</v>
      </c>
      <c r="T155" s="92">
        <f t="shared" si="19"/>
        <v>2.0805675382171676E-6</v>
      </c>
      <c r="U155" s="93">
        <f>$C$7*$C$15*$E$8*($E$9+$E$10*$E$11)/$D155^2*$T155*10^6</f>
        <v>1.9973448366884814E-3</v>
      </c>
      <c r="V155" s="93">
        <f>$I155/$F$27+$J155/$F$28+K155/$F$29+$L155/$F$30</f>
        <v>8.1967213114754092</v>
      </c>
      <c r="W155" s="92">
        <f t="shared" si="20"/>
        <v>6.3573875711648393E-9</v>
      </c>
      <c r="X155" s="93">
        <f>$C$7*$C$15*$F$8*($F$9+$F$10*$F$11)/$D155^2*$W155*10^6</f>
        <v>6.1030920683182469E-6</v>
      </c>
      <c r="Y155" s="93">
        <f>$I155/$G$27+$J155/$G$28+K155/$G$29+$L155/$G$30</f>
        <v>7.0224719101123592</v>
      </c>
      <c r="Z155" s="92">
        <f t="shared" si="21"/>
        <v>9.4957241494880226E-8</v>
      </c>
      <c r="AA155" s="94">
        <f>$C$7*$C$15*$G$8*($G$9+$G$10*$G$11)/$D155^2*$Z155*10^6</f>
        <v>9.1158951835085031E-5</v>
      </c>
      <c r="AB155" s="560">
        <f>SUM(O155,R155,U155,X155,AA155)</f>
        <v>2.3903175652473939E-3</v>
      </c>
      <c r="AC155" s="561">
        <f>SUM(AB153:AB158)</f>
        <v>4.1670929152189826</v>
      </c>
      <c r="AD155" s="562">
        <f>AC155*52/10^3</f>
        <v>0.2166888315913871</v>
      </c>
      <c r="AE155" s="538"/>
      <c r="AF155" s="538"/>
      <c r="AG155" s="538"/>
      <c r="AH155" s="556"/>
      <c r="AI155" s="563"/>
      <c r="AJ155" s="551"/>
      <c r="AK155" s="551"/>
      <c r="AL155" s="538"/>
      <c r="AM155" s="538"/>
      <c r="AN155" s="538"/>
      <c r="AO155" s="538"/>
      <c r="AP155" s="538"/>
      <c r="AQ155" s="538"/>
      <c r="AR155" s="538"/>
      <c r="AS155" s="538"/>
      <c r="AT155" s="538"/>
      <c r="AU155" s="538"/>
      <c r="AV155" s="538"/>
      <c r="AW155" s="538"/>
      <c r="AX155" s="545"/>
      <c r="AY155" s="545"/>
      <c r="AZ155" s="545"/>
      <c r="BA155" s="545"/>
      <c r="BB155" s="328"/>
      <c r="BC155" s="328"/>
      <c r="BD155" s="328"/>
      <c r="BE155" s="328"/>
      <c r="BF155" s="328"/>
      <c r="BG155" s="328"/>
      <c r="BH155" s="328"/>
      <c r="BI155" s="328"/>
      <c r="BJ155" s="328"/>
      <c r="BK155" s="328"/>
      <c r="BL155" s="328"/>
      <c r="BM155" s="328"/>
      <c r="BN155" s="328"/>
      <c r="BO155" s="328"/>
      <c r="BP155" s="328"/>
      <c r="BQ155" s="328"/>
      <c r="BR155" s="328"/>
      <c r="BS155" s="369"/>
      <c r="BT155" s="233"/>
      <c r="BU155" s="233"/>
      <c r="BV155" s="222"/>
      <c r="BW155" s="222"/>
      <c r="BX155" s="222"/>
      <c r="BY155" s="211"/>
      <c r="BZ155" s="222"/>
      <c r="CA155" s="222"/>
      <c r="CB155" s="225"/>
      <c r="CC155" s="225"/>
      <c r="CD155" s="225"/>
      <c r="CE155" s="225"/>
      <c r="CF155" s="225"/>
      <c r="CG155" s="300"/>
      <c r="CH155" s="300"/>
      <c r="CI155" s="300"/>
      <c r="CJ155" s="522"/>
      <c r="CK155" s="522"/>
      <c r="CL155" s="522"/>
    </row>
    <row r="156" spans="1:90" s="212" customFormat="1" ht="30" customHeight="1" x14ac:dyDescent="0.25">
      <c r="A156" s="557"/>
      <c r="B156" s="558"/>
      <c r="C156" s="331" t="s">
        <v>26</v>
      </c>
      <c r="D156" s="564"/>
      <c r="E156" s="89">
        <f>E146</f>
        <v>11</v>
      </c>
      <c r="F156" s="89">
        <f>D155</f>
        <v>25</v>
      </c>
      <c r="G156" s="1836">
        <v>15</v>
      </c>
      <c r="H156" s="1836">
        <v>0.25</v>
      </c>
      <c r="I156" s="1836">
        <v>210</v>
      </c>
      <c r="J156" s="1836">
        <v>0</v>
      </c>
      <c r="K156" s="1836">
        <v>0</v>
      </c>
      <c r="L156" s="1836">
        <v>0</v>
      </c>
      <c r="M156" s="93">
        <f>IF($I156=0,0,1+(I156-$C$21)/$C$22)+$J156/$C$23+K156/$C$24+$L156/$C$25</f>
        <v>6.2424242424242422</v>
      </c>
      <c r="N156" s="92">
        <f t="shared" si="17"/>
        <v>5.722367659350211E-7</v>
      </c>
      <c r="O156" s="95">
        <f>2.5*0.01*$C$7*$C$14*$C$8*$H156*(2*PI()*(1-COS($G156/180*PI())))^1.3/$E156^2/$F156^2*N156*10^6</f>
        <v>5.101138747051231E-8</v>
      </c>
      <c r="P156" s="91">
        <f>IF($I156=0,0,1+($I156-$D$21)/$D$22)+$J156/$D$23+$K156/$D$24+$L156/$D$25</f>
        <v>5.5675675675675675</v>
      </c>
      <c r="Q156" s="92">
        <f t="shared" si="18"/>
        <v>2.7066520700332395E-6</v>
      </c>
      <c r="R156" s="95">
        <f>2.5*0.01*$C$7*$D$14*$D$8*$H156*(2*PI()*(1-COS($G156/180*PI())))^1.3/$E156^2/$F156^2*Q156*10^6</f>
        <v>2.4128138160910826E-7</v>
      </c>
      <c r="S156" s="93">
        <f>IF($I156=0,0,1+(I156-$E$21)/$E$22)+$J156/$E$23+K156/$E$24+$L156/$E$25</f>
        <v>4.8372093023255811</v>
      </c>
      <c r="T156" s="92">
        <f t="shared" si="19"/>
        <v>1.4547578108480478E-5</v>
      </c>
      <c r="U156" s="95">
        <f>2.5*0.01*$C$7*$E$14*$E$8*$H156*(2*PI()*(1-COS($G156/180*PI())))^1.3/$E156^2/$F156^2*T156*10^6</f>
        <v>1.2968270964496306E-6</v>
      </c>
      <c r="V156" s="93">
        <f>IF($I156=0,0,1+(I156-$F$21)/$F$22)+$J156/$F$23+K156/$F$24+$L156/$F$25</f>
        <v>7.666666666666667</v>
      </c>
      <c r="W156" s="92">
        <f t="shared" si="20"/>
        <v>2.1544346900318783E-8</v>
      </c>
      <c r="X156" s="95">
        <f>2.5*0.01*$C$7*$F$14*$F$8*$H156*(2*PI()*(1-COS($G156/180*PI())))^1.3/$E156^2/$F156^2*W156*10^6</f>
        <v>1.920545992418962E-9</v>
      </c>
      <c r="Y156" s="93">
        <f>IF($I156=0,0,1+(I156-$G$21)/$G$22)+$J156/$G$23+K156/$G$24+$L156/$G$25</f>
        <v>5.833333333333333</v>
      </c>
      <c r="Z156" s="92">
        <f t="shared" si="21"/>
        <v>1.4677992676220696E-6</v>
      </c>
      <c r="AA156" s="96">
        <f>2.5*0.01*$C$7*$G$14*$G$8*$H156*(2*PI()*(1-COS($G156/180*PI())))^1.3/$E156^2/$F156^2*Z156*10^6</f>
        <v>1.3084527528960935E-7</v>
      </c>
      <c r="AB156" s="560">
        <f>SUM(O156,R156,U156,X156,AA156)</f>
        <v>1.7218856868112794E-6</v>
      </c>
      <c r="AC156" s="565"/>
      <c r="AD156" s="566"/>
      <c r="AE156" s="538"/>
      <c r="AF156" s="538"/>
      <c r="AG156" s="567"/>
      <c r="AH156" s="538"/>
      <c r="AI156" s="563"/>
      <c r="AJ156" s="545"/>
      <c r="AK156" s="545"/>
      <c r="AL156" s="538"/>
      <c r="AM156" s="538"/>
      <c r="AN156" s="538"/>
      <c r="AO156" s="538"/>
      <c r="AP156" s="538"/>
      <c r="AQ156" s="538"/>
      <c r="AR156" s="538"/>
      <c r="AS156" s="538"/>
      <c r="AT156" s="538"/>
      <c r="AU156" s="538"/>
      <c r="AV156" s="538"/>
      <c r="AW156" s="538"/>
      <c r="AX156" s="545"/>
      <c r="AY156" s="545"/>
      <c r="AZ156" s="545"/>
      <c r="BA156" s="545"/>
      <c r="BB156" s="328"/>
      <c r="BC156" s="328"/>
      <c r="BD156" s="328"/>
      <c r="BE156" s="328"/>
      <c r="BF156" s="328"/>
      <c r="BG156" s="328"/>
      <c r="BH156" s="328"/>
      <c r="BI156" s="328"/>
      <c r="BJ156" s="328"/>
      <c r="BK156" s="328"/>
      <c r="BL156" s="328"/>
      <c r="BM156" s="328"/>
      <c r="BN156" s="328"/>
      <c r="BO156" s="328"/>
      <c r="BP156" s="328"/>
      <c r="BQ156" s="328"/>
      <c r="BR156" s="328"/>
      <c r="BS156" s="369"/>
      <c r="BT156" s="233"/>
      <c r="BU156" s="233"/>
      <c r="BV156" s="222"/>
      <c r="BW156" s="222"/>
      <c r="BX156" s="222"/>
      <c r="BY156" s="211"/>
      <c r="BZ156" s="222"/>
      <c r="CA156" s="222"/>
      <c r="CB156" s="225"/>
      <c r="CC156" s="225"/>
      <c r="CD156" s="225"/>
      <c r="CE156" s="225"/>
      <c r="CF156" s="225"/>
      <c r="CG156" s="300"/>
      <c r="CH156" s="300"/>
      <c r="CI156" s="300"/>
      <c r="CJ156" s="522"/>
      <c r="CK156" s="522"/>
      <c r="CL156" s="522"/>
    </row>
    <row r="157" spans="1:90" s="538" customFormat="1" ht="30" customHeight="1" thickBot="1" x14ac:dyDescent="0.3">
      <c r="A157" s="557"/>
      <c r="B157" s="558"/>
      <c r="C157" s="331" t="s">
        <v>27</v>
      </c>
      <c r="D157" s="89"/>
      <c r="E157" s="89">
        <f>E147</f>
        <v>10</v>
      </c>
      <c r="F157" s="89"/>
      <c r="G157" s="1836">
        <v>60</v>
      </c>
      <c r="H157" s="568"/>
      <c r="I157" s="1836">
        <v>190</v>
      </c>
      <c r="J157" s="1836">
        <v>0</v>
      </c>
      <c r="K157" s="1836">
        <v>0</v>
      </c>
      <c r="L157" s="1836">
        <v>0</v>
      </c>
      <c r="M157" s="93">
        <f>$I157/$C$27+$J157/$C$28+K157/$C$29+$L157/$C$30</f>
        <v>5.5882352941176467</v>
      </c>
      <c r="N157" s="92">
        <f t="shared" si="17"/>
        <v>2.580861540418073E-6</v>
      </c>
      <c r="O157" s="95">
        <f>2.5*0.01*$C$7*$C$15*$C$8*($C$9+$C$10*$C$11)*(2*PI()*(1-COS($G157/180*PI())))^1.3/E$147^2/$F156^2*N157*10^6</f>
        <v>2.7432840731901286E-6</v>
      </c>
      <c r="P157" s="93">
        <f>$I157/$D$27+$J157/$D$28+K157/$D$29+$L157/$D$30</f>
        <v>5</v>
      </c>
      <c r="Q157" s="92">
        <f t="shared" si="18"/>
        <v>1.0000000000000001E-5</v>
      </c>
      <c r="R157" s="95">
        <f>2.5*0.01*$C$7*$C$15*$D$8*($D$9+$D$10*$D$11)*(2*PI()*(1-COS($G157/180*PI())))^1.3/$E157^2/$F156^2*Q157*10^6</f>
        <v>1.0629334546733355E-5</v>
      </c>
      <c r="S157" s="93">
        <f>$I157/$E$27+$J157/$E$28+K157/$E$29+$L157/$E$30</f>
        <v>4.3181818181818183</v>
      </c>
      <c r="T157" s="92">
        <f t="shared" si="19"/>
        <v>4.8063808630643867E-5</v>
      </c>
      <c r="U157" s="95">
        <f>2.5*0.01*$C$7*$C$15*$E$8*($E$9+$E$10*$E$11)*(2*PI()*(1-COS($G157/180*PI())))^1.3/$E157^2/$F156^2*T157*10^6</f>
        <v>5.1088630152528366E-5</v>
      </c>
      <c r="V157" s="93">
        <f>$I157/$F$27+$J157/$F$28+K157/$F$29+$L157/$F$30</f>
        <v>6.2295081967213113</v>
      </c>
      <c r="W157" s="92">
        <f t="shared" si="20"/>
        <v>5.8951085074002664E-7</v>
      </c>
      <c r="X157" s="95">
        <f>2.5*0.01*$C$7*$C$15*$F$8*($F$9+$F$10*$F$11)*(2*PI()*(1-COS($G157/180*PI())))^1.3/$E157^2/$F156^2*W157*10^6</f>
        <v>6.2661080514451354E-7</v>
      </c>
      <c r="Y157" s="93">
        <f>$I157/$G$27+$J157/$G$28+K157/$G$29+$L157/$G$30</f>
        <v>5.3370786516853927</v>
      </c>
      <c r="Z157" s="92">
        <f t="shared" si="21"/>
        <v>4.6017322765137984E-6</v>
      </c>
      <c r="AA157" s="96">
        <f>2.5*0.01*$C$7*$C$15*$G$8*($G$9+$G$10*$G$11)*(2*PI()*(1-COS($G157/180*PI())))^1.3/$E157^2/$F156^2*Z157*10^6</f>
        <v>4.891335186156605E-6</v>
      </c>
      <c r="AB157" s="569">
        <f>SUM(O157,R157,U157,X157,AA157)</f>
        <v>6.9979194763752965E-5</v>
      </c>
      <c r="AC157" s="570"/>
      <c r="AD157" s="571"/>
      <c r="AH157" s="572"/>
      <c r="AI157" s="573"/>
      <c r="AJ157" s="563"/>
      <c r="AK157" s="551"/>
      <c r="AX157" s="545"/>
      <c r="AY157" s="545"/>
      <c r="AZ157" s="545"/>
      <c r="BA157" s="545"/>
      <c r="BB157" s="545"/>
      <c r="BC157" s="545"/>
      <c r="BD157" s="545"/>
      <c r="BE157" s="545"/>
      <c r="BF157" s="545"/>
      <c r="BG157" s="545"/>
      <c r="BH157" s="545"/>
      <c r="BI157" s="545"/>
      <c r="BJ157" s="545"/>
      <c r="BK157" s="545"/>
      <c r="BL157" s="545"/>
      <c r="BM157" s="545"/>
      <c r="BN157" s="545"/>
      <c r="BO157" s="545"/>
      <c r="BP157" s="545"/>
      <c r="BQ157" s="545"/>
      <c r="BR157" s="545"/>
      <c r="BS157" s="545"/>
      <c r="BT157" s="545"/>
      <c r="BU157" s="545"/>
      <c r="BV157" s="545"/>
      <c r="BW157" s="545"/>
      <c r="BX157" s="545"/>
      <c r="BY157" s="545"/>
      <c r="BZ157" s="545"/>
    </row>
    <row r="158" spans="1:90" s="212" customFormat="1" ht="30" hidden="1" customHeight="1" thickBot="1" x14ac:dyDescent="0.3">
      <c r="A158" s="574"/>
      <c r="B158" s="575"/>
      <c r="C158" s="576"/>
      <c r="D158" s="89"/>
      <c r="E158" s="89"/>
      <c r="F158" s="89"/>
      <c r="G158" s="89"/>
      <c r="H158" s="1837"/>
      <c r="I158" s="1837"/>
      <c r="J158" s="1837"/>
      <c r="K158" s="1837"/>
      <c r="L158" s="1837"/>
      <c r="M158" s="91"/>
      <c r="N158" s="97"/>
      <c r="O158" s="98"/>
      <c r="P158" s="91"/>
      <c r="Q158" s="97"/>
      <c r="R158" s="98"/>
      <c r="S158" s="91"/>
      <c r="T158" s="97"/>
      <c r="U158" s="98"/>
      <c r="V158" s="91"/>
      <c r="W158" s="97"/>
      <c r="X158" s="98"/>
      <c r="Y158" s="91"/>
      <c r="Z158" s="97"/>
      <c r="AA158" s="99"/>
      <c r="AB158" s="577"/>
      <c r="AC158" s="578"/>
      <c r="AD158" s="579"/>
      <c r="AH158" s="580"/>
      <c r="AI158" s="581"/>
      <c r="AJ158" s="282"/>
      <c r="AK158" s="300"/>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row>
    <row r="159" spans="1:90" s="212" customFormat="1" ht="30" customHeight="1" x14ac:dyDescent="0.25">
      <c r="A159" s="552"/>
      <c r="B159" s="322"/>
      <c r="C159" s="323" t="s">
        <v>569</v>
      </c>
      <c r="D159" s="1836">
        <v>1</v>
      </c>
      <c r="E159" s="89"/>
      <c r="F159" s="89"/>
      <c r="G159" s="89"/>
      <c r="H159" s="1836">
        <v>0.25</v>
      </c>
      <c r="I159" s="1836">
        <v>250</v>
      </c>
      <c r="J159" s="1836">
        <v>0</v>
      </c>
      <c r="K159" s="1836">
        <v>0</v>
      </c>
      <c r="L159" s="1836">
        <v>0</v>
      </c>
      <c r="M159" s="91">
        <f>IF($I159=0,0,1+($I159-$C$21)/$C$22)+$J159/$C$23+$K159/$C$24+$L159/$C$25</f>
        <v>7.4545454545454541</v>
      </c>
      <c r="N159" s="92">
        <f t="shared" si="17"/>
        <v>3.5111917342151263E-8</v>
      </c>
      <c r="O159" s="93">
        <f>$C$7*$C$14*$C$8*$H159/$D159^2*N159*10^6</f>
        <v>7.022383468430253E-2</v>
      </c>
      <c r="P159" s="91">
        <f>IF($I159=0,0,1+($I159-$D$21)/$D$22)+$J159/$D$23+$K159/$D$24+$L159/$D$25</f>
        <v>6.6486486486486482</v>
      </c>
      <c r="Q159" s="92">
        <f t="shared" si="18"/>
        <v>2.2456979955397711E-7</v>
      </c>
      <c r="R159" s="93">
        <f>$C$7*$D$14*$D$8*$H159/$D159^2*$Q159*10^6</f>
        <v>0.4491395991079542</v>
      </c>
      <c r="S159" s="93">
        <f>IF($I159=0,0,1+(I159-$E$21)/$E$22)+$J159/$E$23+K159/$E$24+$L159/$E$25</f>
        <v>5.7674418604651159</v>
      </c>
      <c r="T159" s="92">
        <f t="shared" si="19"/>
        <v>1.7082763938087111E-6</v>
      </c>
      <c r="U159" s="93">
        <f>$C$7*$E$14*$E$8*$H159/$D159^2*$T159*10^6</f>
        <v>3.4165527876174222</v>
      </c>
      <c r="V159" s="93">
        <f>IF($I159=0,0,1+(I159-$F$21)/$F$22)+$J159/$F$23+K159/$F$24+$L159/$F$25</f>
        <v>9.1481481481481488</v>
      </c>
      <c r="W159" s="92">
        <f t="shared" si="20"/>
        <v>7.1097094323124171E-10</v>
      </c>
      <c r="X159" s="93">
        <f>$C$7*$F$14*$F$8*$H159/$D159^2*$W159*10^6</f>
        <v>1.4219418864624834E-3</v>
      </c>
      <c r="Y159" s="93">
        <f>IF($I159=0,0,1+(I159-$G$21)/$G$22)+$J159/$G$23+K159/$G$24+$L159/$G$25</f>
        <v>6.9444444444444446</v>
      </c>
      <c r="Z159" s="92">
        <f t="shared" si="21"/>
        <v>1.136463666385722E-7</v>
      </c>
      <c r="AA159" s="94">
        <f>$C$7*$G$14*$G$8*$H159/$D159^2*$Z159*10^6</f>
        <v>0.22729273327714439</v>
      </c>
      <c r="AB159" s="553">
        <f>SUM(O159,R159,U159,X159,AA159)</f>
        <v>4.1646308965732857</v>
      </c>
      <c r="AC159" s="554"/>
      <c r="AD159" s="555"/>
      <c r="AE159" s="538"/>
      <c r="AF159" s="538"/>
      <c r="AG159" s="538"/>
      <c r="AH159" s="556"/>
      <c r="AI159" s="551"/>
      <c r="AJ159" s="551"/>
      <c r="AK159" s="551"/>
      <c r="AL159" s="538"/>
      <c r="AM159" s="538"/>
      <c r="AN159" s="538"/>
      <c r="AO159" s="538"/>
      <c r="AP159" s="538"/>
      <c r="AQ159" s="538"/>
      <c r="AR159" s="538"/>
      <c r="AS159" s="538"/>
      <c r="AT159" s="538"/>
      <c r="AU159" s="538"/>
      <c r="AV159" s="538"/>
      <c r="AW159" s="538"/>
      <c r="AX159" s="545"/>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69"/>
      <c r="BT159" s="233"/>
      <c r="BU159" s="233"/>
      <c r="BV159" s="222"/>
      <c r="BW159" s="222"/>
      <c r="BX159" s="222"/>
      <c r="BY159" s="211"/>
      <c r="BZ159" s="222"/>
      <c r="CA159" s="222"/>
      <c r="CB159" s="225"/>
      <c r="CC159" s="225"/>
      <c r="CD159" s="225"/>
      <c r="CE159" s="225"/>
      <c r="CF159" s="225"/>
      <c r="CG159" s="300"/>
      <c r="CH159" s="300"/>
      <c r="CI159" s="300"/>
      <c r="CJ159" s="522"/>
      <c r="CK159" s="522"/>
      <c r="CL159" s="522"/>
    </row>
    <row r="160" spans="1:90" s="212" customFormat="1" ht="30" customHeight="1" x14ac:dyDescent="0.25">
      <c r="A160" s="557" t="str">
        <f>Samenvatting!A365</f>
        <v>T4</v>
      </c>
      <c r="B160" s="558" t="str">
        <f>Samenvatting!B365</f>
        <v>terreingrens 4</v>
      </c>
      <c r="C160" s="331" t="s">
        <v>568</v>
      </c>
      <c r="D160" s="1836">
        <v>25</v>
      </c>
      <c r="E160" s="89"/>
      <c r="F160" s="89"/>
      <c r="G160" s="89"/>
      <c r="H160" s="559"/>
      <c r="I160" s="1836">
        <v>250</v>
      </c>
      <c r="J160" s="1836">
        <v>0</v>
      </c>
      <c r="K160" s="1836">
        <v>0</v>
      </c>
      <c r="L160" s="1836">
        <v>0</v>
      </c>
      <c r="M160" s="93">
        <f>$I160/$C$27+$J160/$C$28+K160/$C$29+$L160/$C$30</f>
        <v>7.3529411764705879</v>
      </c>
      <c r="N160" s="92">
        <f t="shared" si="17"/>
        <v>4.4366873309786093E-8</v>
      </c>
      <c r="O160" s="93">
        <f>$C$7*$C$15*$C$8*($C$9+$C$10*$C$11)/$D160^2*$N160*10^6</f>
        <v>4.2592198377394652E-5</v>
      </c>
      <c r="P160" s="93">
        <f>$I160/$D$27+$J160/$D$28+$K160/$D$29+$L160/$D$30</f>
        <v>6.5789473684210522</v>
      </c>
      <c r="Q160" s="92">
        <f t="shared" si="18"/>
        <v>2.636650898730358E-7</v>
      </c>
      <c r="R160" s="93">
        <f>$C$7*$C$15*$D$8*($D$9+$D$10*$D$11)/$D160^2*$Q160*10^6</f>
        <v>2.5311848627811444E-4</v>
      </c>
      <c r="S160" s="93">
        <f>$I160/$E$27+$J160/$E$28+K160/$E$29+$L160/$E$30</f>
        <v>5.6818181818181817</v>
      </c>
      <c r="T160" s="92">
        <f t="shared" si="19"/>
        <v>2.0805675382171676E-6</v>
      </c>
      <c r="U160" s="93">
        <f>$C$7*$C$15*$E$8*($E$9+$E$10*$E$11)/$D160^2*$T160*10^6</f>
        <v>1.9973448366884814E-3</v>
      </c>
      <c r="V160" s="93">
        <f>$I160/$F$27+$J160/$F$28+K160/$F$29+$L160/$F$30</f>
        <v>8.1967213114754092</v>
      </c>
      <c r="W160" s="92">
        <f t="shared" si="20"/>
        <v>6.3573875711648393E-9</v>
      </c>
      <c r="X160" s="93">
        <f>$C$7*$C$15*$F$8*($F$9+$F$10*$F$11)/$D160^2*$W160*10^6</f>
        <v>6.1030920683182469E-6</v>
      </c>
      <c r="Y160" s="93">
        <f>$I160/$G$27+$J160/$G$28+K160/$G$29+$L160/$G$30</f>
        <v>7.0224719101123592</v>
      </c>
      <c r="Z160" s="92">
        <f t="shared" si="21"/>
        <v>9.4957241494880226E-8</v>
      </c>
      <c r="AA160" s="94">
        <f>$C$7*$C$15*$G$8*($G$9+$G$10*$G$11)/$D160^2*$Z160*10^6</f>
        <v>9.1158951835085031E-5</v>
      </c>
      <c r="AB160" s="560">
        <f>SUM(O160,R160,U160,X160,AA160)</f>
        <v>2.3903175652473939E-3</v>
      </c>
      <c r="AC160" s="561">
        <f>SUM(AB158:AB163)</f>
        <v>4.1670929152189826</v>
      </c>
      <c r="AD160" s="562">
        <f>AC160*52/10^3</f>
        <v>0.2166888315913871</v>
      </c>
      <c r="AE160" s="538"/>
      <c r="AF160" s="538"/>
      <c r="AG160" s="538"/>
      <c r="AH160" s="556"/>
      <c r="AI160" s="563"/>
      <c r="AJ160" s="551"/>
      <c r="AK160" s="551"/>
      <c r="AL160" s="538"/>
      <c r="AM160" s="538"/>
      <c r="AN160" s="538"/>
      <c r="AO160" s="538"/>
      <c r="AP160" s="538"/>
      <c r="AQ160" s="538"/>
      <c r="AR160" s="538"/>
      <c r="AS160" s="538"/>
      <c r="AT160" s="538"/>
      <c r="AU160" s="538"/>
      <c r="AV160" s="538"/>
      <c r="AW160" s="538"/>
      <c r="AX160" s="545"/>
      <c r="AY160" s="545"/>
      <c r="AZ160" s="545"/>
      <c r="BA160" s="545"/>
      <c r="BB160" s="328"/>
      <c r="BC160" s="328"/>
      <c r="BD160" s="328"/>
      <c r="BE160" s="328"/>
      <c r="BF160" s="328"/>
      <c r="BG160" s="328"/>
      <c r="BH160" s="328"/>
      <c r="BI160" s="328"/>
      <c r="BJ160" s="328"/>
      <c r="BK160" s="328"/>
      <c r="BL160" s="328"/>
      <c r="BM160" s="328"/>
      <c r="BN160" s="328"/>
      <c r="BO160" s="328"/>
      <c r="BP160" s="328"/>
      <c r="BQ160" s="328"/>
      <c r="BR160" s="328"/>
      <c r="BS160" s="369"/>
      <c r="BT160" s="233"/>
      <c r="BU160" s="233"/>
      <c r="BV160" s="222"/>
      <c r="BW160" s="222"/>
      <c r="BX160" s="222"/>
      <c r="BY160" s="211"/>
      <c r="BZ160" s="222"/>
      <c r="CA160" s="222"/>
      <c r="CB160" s="225"/>
      <c r="CC160" s="225"/>
      <c r="CD160" s="225"/>
      <c r="CE160" s="225"/>
      <c r="CF160" s="225"/>
      <c r="CG160" s="300"/>
      <c r="CH160" s="300"/>
      <c r="CI160" s="300"/>
      <c r="CJ160" s="522"/>
      <c r="CK160" s="522"/>
      <c r="CL160" s="522"/>
    </row>
    <row r="161" spans="1:90" s="212" customFormat="1" ht="30" customHeight="1" x14ac:dyDescent="0.25">
      <c r="A161" s="557"/>
      <c r="B161" s="558"/>
      <c r="C161" s="331" t="s">
        <v>26</v>
      </c>
      <c r="D161" s="564"/>
      <c r="E161" s="89">
        <f>E146</f>
        <v>11</v>
      </c>
      <c r="F161" s="89">
        <f>D160</f>
        <v>25</v>
      </c>
      <c r="G161" s="1836">
        <v>15</v>
      </c>
      <c r="H161" s="1836">
        <v>0.25</v>
      </c>
      <c r="I161" s="1836">
        <v>210</v>
      </c>
      <c r="J161" s="1836">
        <v>0</v>
      </c>
      <c r="K161" s="1836">
        <v>0</v>
      </c>
      <c r="L161" s="1836">
        <v>0</v>
      </c>
      <c r="M161" s="93">
        <f>IF($I161=0,0,1+(I161-$C$21)/$C$22)+$J161/$C$23+K161/$C$24+$L161/$C$25</f>
        <v>6.2424242424242422</v>
      </c>
      <c r="N161" s="92">
        <f t="shared" si="17"/>
        <v>5.722367659350211E-7</v>
      </c>
      <c r="O161" s="95">
        <f>2.5*0.01*$C$7*$C$14*$C$8*$H161*(2*PI()*(1-COS($G161/180*PI())))^1.3/$E161^2/$F161^2*N161*10^6</f>
        <v>5.101138747051231E-8</v>
      </c>
      <c r="P161" s="91">
        <f>IF($I161=0,0,1+($I161-$D$21)/$D$22)+$J161/$D$23+$K161/$D$24+$L161/$D$25</f>
        <v>5.5675675675675675</v>
      </c>
      <c r="Q161" s="92">
        <f t="shared" si="18"/>
        <v>2.7066520700332395E-6</v>
      </c>
      <c r="R161" s="95">
        <f>2.5*0.01*$C$7*$D$14*$D$8*$H161*(2*PI()*(1-COS($G161/180*PI())))^1.3/$E161^2/$F161^2*Q161*10^6</f>
        <v>2.4128138160910826E-7</v>
      </c>
      <c r="S161" s="93">
        <f>IF($I161=0,0,1+(I161-$E$21)/$E$22)+$J161/$E$23+K161/$E$24+$L161/$E$25</f>
        <v>4.8372093023255811</v>
      </c>
      <c r="T161" s="92">
        <f t="shared" si="19"/>
        <v>1.4547578108480478E-5</v>
      </c>
      <c r="U161" s="95">
        <f>2.5*0.01*$C$7*$E$14*$E$8*$H161*(2*PI()*(1-COS($G161/180*PI())))^1.3/$E161^2/$F161^2*T161*10^6</f>
        <v>1.2968270964496306E-6</v>
      </c>
      <c r="V161" s="93">
        <f>IF($I161=0,0,1+(I161-$F$21)/$F$22)+$J161/$F$23+K161/$F$24+$L161/$F$25</f>
        <v>7.666666666666667</v>
      </c>
      <c r="W161" s="92">
        <f t="shared" si="20"/>
        <v>2.1544346900318783E-8</v>
      </c>
      <c r="X161" s="95">
        <f>2.5*0.01*$C$7*$F$14*$F$8*$H161*(2*PI()*(1-COS($G161/180*PI())))^1.3/$E161^2/$F161^2*W161*10^6</f>
        <v>1.920545992418962E-9</v>
      </c>
      <c r="Y161" s="93">
        <f>IF($I161=0,0,1+(I161-$G$21)/$G$22)+$J161/$G$23+K161/$G$24+$L161/$G$25</f>
        <v>5.833333333333333</v>
      </c>
      <c r="Z161" s="92">
        <f t="shared" si="21"/>
        <v>1.4677992676220696E-6</v>
      </c>
      <c r="AA161" s="96">
        <f>2.5*0.01*$C$7*$G$14*$G$8*$H161*(2*PI()*(1-COS($G161/180*PI())))^1.3/$E161^2/$F161^2*Z161*10^6</f>
        <v>1.3084527528960935E-7</v>
      </c>
      <c r="AB161" s="560">
        <f>SUM(O161,R161,U161,X161,AA161)</f>
        <v>1.7218856868112794E-6</v>
      </c>
      <c r="AC161" s="565"/>
      <c r="AD161" s="566"/>
      <c r="AE161" s="538"/>
      <c r="AF161" s="538"/>
      <c r="AG161" s="567"/>
      <c r="AH161" s="538"/>
      <c r="AI161" s="563"/>
      <c r="AJ161" s="545"/>
      <c r="AK161" s="545"/>
      <c r="AL161" s="538"/>
      <c r="AM161" s="538"/>
      <c r="AN161" s="538"/>
      <c r="AO161" s="538"/>
      <c r="AP161" s="538"/>
      <c r="AQ161" s="538"/>
      <c r="AR161" s="538"/>
      <c r="AS161" s="538"/>
      <c r="AT161" s="538"/>
      <c r="AU161" s="538"/>
      <c r="AV161" s="538"/>
      <c r="AW161" s="538"/>
      <c r="AX161" s="545"/>
      <c r="AY161" s="545"/>
      <c r="AZ161" s="545"/>
      <c r="BA161" s="545"/>
      <c r="BB161" s="328"/>
      <c r="BC161" s="328"/>
      <c r="BD161" s="328"/>
      <c r="BE161" s="328"/>
      <c r="BF161" s="328"/>
      <c r="BG161" s="328"/>
      <c r="BH161" s="328"/>
      <c r="BI161" s="328"/>
      <c r="BJ161" s="328"/>
      <c r="BK161" s="328"/>
      <c r="BL161" s="328"/>
      <c r="BM161" s="328"/>
      <c r="BN161" s="328"/>
      <c r="BO161" s="328"/>
      <c r="BP161" s="328"/>
      <c r="BQ161" s="328"/>
      <c r="BR161" s="328"/>
      <c r="BS161" s="369"/>
      <c r="BT161" s="233"/>
      <c r="BU161" s="233"/>
      <c r="BV161" s="222"/>
      <c r="BW161" s="222"/>
      <c r="BX161" s="222"/>
      <c r="BY161" s="211"/>
      <c r="BZ161" s="222"/>
      <c r="CA161" s="222"/>
      <c r="CB161" s="225"/>
      <c r="CC161" s="225"/>
      <c r="CD161" s="225"/>
      <c r="CE161" s="225"/>
      <c r="CF161" s="225"/>
      <c r="CG161" s="300"/>
      <c r="CH161" s="300"/>
      <c r="CI161" s="300"/>
      <c r="CJ161" s="522"/>
      <c r="CK161" s="522"/>
      <c r="CL161" s="522"/>
    </row>
    <row r="162" spans="1:90" s="538" customFormat="1" ht="30" customHeight="1" thickBot="1" x14ac:dyDescent="0.3">
      <c r="A162" s="582"/>
      <c r="B162" s="583"/>
      <c r="C162" s="584" t="s">
        <v>27</v>
      </c>
      <c r="D162" s="58"/>
      <c r="E162" s="58">
        <f>E147</f>
        <v>10</v>
      </c>
      <c r="F162" s="58"/>
      <c r="G162" s="1859">
        <v>60</v>
      </c>
      <c r="H162" s="56"/>
      <c r="I162" s="1859">
        <v>190</v>
      </c>
      <c r="J162" s="1859">
        <v>0</v>
      </c>
      <c r="K162" s="1859">
        <v>0</v>
      </c>
      <c r="L162" s="1859">
        <v>0</v>
      </c>
      <c r="M162" s="100">
        <f>$I162/$C$27+$J162/$C$28+K162/$C$29+$L162/$C$30</f>
        <v>5.5882352941176467</v>
      </c>
      <c r="N162" s="101">
        <f t="shared" si="17"/>
        <v>2.580861540418073E-6</v>
      </c>
      <c r="O162" s="102">
        <f>2.5*0.01*$C$7*$C$15*$C$8*($C$9+$C$10*$C$11)*(2*PI()*(1-COS($G162/180*PI())))^1.3/E$147^2/$F161^2*N162*10^6</f>
        <v>2.7432840731901286E-6</v>
      </c>
      <c r="P162" s="100">
        <f>$I162/$D$27+$J162/$D$28+$K162/$D$29+$L162/$D$30</f>
        <v>5</v>
      </c>
      <c r="Q162" s="101">
        <f t="shared" si="18"/>
        <v>1.0000000000000001E-5</v>
      </c>
      <c r="R162" s="102">
        <f>2.5*0.01*$C$7*$C$15*$D$8*($D$9+$D$10*$D$11)*(2*PI()*(1-COS($G162/180*PI())))^1.3/$E162^2/$F161^2*Q162*10^6</f>
        <v>1.0629334546733355E-5</v>
      </c>
      <c r="S162" s="100">
        <f>$I162/$E$27+$J162/$E$28+K162/$E$29+$L162/$E$30</f>
        <v>4.3181818181818183</v>
      </c>
      <c r="T162" s="101">
        <f t="shared" si="19"/>
        <v>4.8063808630643867E-5</v>
      </c>
      <c r="U162" s="102">
        <f>2.5*0.01*$C$7*$C$15*$E$8*($E$9+$E$10*$E$11)*(2*PI()*(1-COS($G162/180*PI())))^1.3/$E162^2/$F161^2*T162*10^6</f>
        <v>5.1088630152528366E-5</v>
      </c>
      <c r="V162" s="100">
        <f>$I162/$F$27+$J162/$F$28+K162/$F$29+$L162/$F$30</f>
        <v>6.2295081967213113</v>
      </c>
      <c r="W162" s="101">
        <f t="shared" si="20"/>
        <v>5.8951085074002664E-7</v>
      </c>
      <c r="X162" s="102">
        <f>2.5*0.01*$C$7*$C$15*$F$8*($F$9+$F$10*$F$11)*(2*PI()*(1-COS($G162/180*PI())))^1.3/$E162^2/$F161^2*W162*10^6</f>
        <v>6.2661080514451354E-7</v>
      </c>
      <c r="Y162" s="100">
        <f>$I162/$G$27+$J162/$G$28+K162/$G$29+$L162/$G$30</f>
        <v>5.3370786516853927</v>
      </c>
      <c r="Z162" s="101">
        <f t="shared" si="21"/>
        <v>4.6017322765137984E-6</v>
      </c>
      <c r="AA162" s="103">
        <f>2.5*0.01*$C$7*$C$15*$G$8*($G$9+$G$10*$G$11)*(2*PI()*(1-COS($G162/180*PI())))^1.3/$E162^2/$F161^2*Z162*10^6</f>
        <v>4.891335186156605E-6</v>
      </c>
      <c r="AB162" s="569">
        <f>SUM(O162,R162,U162,X162,AA162)</f>
        <v>6.9979194763752965E-5</v>
      </c>
      <c r="AC162" s="570"/>
      <c r="AD162" s="571"/>
      <c r="AH162" s="572"/>
      <c r="AI162" s="573"/>
      <c r="AJ162" s="563"/>
      <c r="AK162" s="551"/>
      <c r="AX162" s="545"/>
      <c r="AY162" s="545"/>
      <c r="AZ162" s="545"/>
      <c r="BA162" s="545"/>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row>
    <row r="163" spans="1:90" s="212" customFormat="1" ht="30" hidden="1" customHeight="1" x14ac:dyDescent="0.25">
      <c r="A163" s="57"/>
      <c r="B163" s="220"/>
      <c r="C163" s="310"/>
      <c r="D163" s="57"/>
      <c r="E163" s="57"/>
      <c r="F163" s="57"/>
      <c r="G163" s="57"/>
      <c r="H163" s="57"/>
      <c r="I163" s="57"/>
      <c r="J163" s="57"/>
      <c r="K163" s="57"/>
      <c r="L163" s="57"/>
      <c r="M163" s="369"/>
      <c r="N163" s="328"/>
      <c r="O163" s="586"/>
      <c r="P163" s="369"/>
      <c r="Q163" s="328"/>
      <c r="R163" s="586"/>
      <c r="S163" s="369"/>
      <c r="T163" s="328"/>
      <c r="U163" s="586"/>
      <c r="V163" s="369"/>
      <c r="W163" s="328"/>
      <c r="X163" s="586"/>
      <c r="Y163" s="369"/>
      <c r="Z163" s="328"/>
      <c r="AA163" s="586"/>
      <c r="AB163" s="328"/>
      <c r="AC163" s="587"/>
      <c r="AD163" s="225"/>
      <c r="AH163" s="580"/>
      <c r="AI163" s="581"/>
      <c r="AJ163" s="282"/>
      <c r="AK163" s="300"/>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row>
    <row r="164" spans="1:90" s="538" customFormat="1" ht="19.5" customHeight="1" x14ac:dyDescent="0.25">
      <c r="A164" s="517"/>
      <c r="B164" s="222"/>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189"/>
      <c r="Y164" s="189"/>
      <c r="Z164" s="189"/>
      <c r="AA164" s="189"/>
      <c r="AB164" s="189"/>
      <c r="AC164" s="189"/>
      <c r="AD164" s="202"/>
      <c r="AE164" s="202"/>
      <c r="AF164" s="202"/>
      <c r="AG164" s="202"/>
    </row>
    <row r="165" spans="1:90" s="212" customFormat="1" ht="19.5" customHeight="1" x14ac:dyDescent="0.25">
      <c r="A165" s="222"/>
      <c r="B165" s="222"/>
      <c r="C165" s="222"/>
      <c r="D165" s="222"/>
      <c r="E165" s="222"/>
      <c r="F165" s="222"/>
      <c r="G165" s="222"/>
      <c r="H165" s="222"/>
      <c r="I165" s="272"/>
      <c r="J165" s="588"/>
      <c r="K165" s="589"/>
      <c r="L165" s="288"/>
      <c r="M165" s="590"/>
      <c r="N165" s="591"/>
      <c r="O165" s="590"/>
      <c r="P165" s="592"/>
      <c r="Q165" s="201"/>
      <c r="R165" s="201"/>
      <c r="S165" s="201"/>
      <c r="T165" s="201"/>
      <c r="U165" s="201"/>
      <c r="V165" s="189"/>
      <c r="W165" s="593"/>
      <c r="X165" s="593"/>
      <c r="Y165" s="594"/>
      <c r="Z165" s="189"/>
      <c r="AA165" s="189"/>
      <c r="AB165" s="551"/>
      <c r="AC165" s="551"/>
      <c r="AD165" s="538"/>
      <c r="AE165" s="538"/>
      <c r="AF165" s="189"/>
      <c r="AG165" s="222"/>
      <c r="AH165" s="211"/>
      <c r="AI165" s="222"/>
      <c r="AJ165" s="222"/>
      <c r="AK165" s="225"/>
      <c r="AL165" s="225"/>
      <c r="AM165" s="225"/>
      <c r="AN165" s="225"/>
      <c r="AO165" s="225"/>
      <c r="AP165" s="300"/>
      <c r="AQ165" s="300"/>
      <c r="AR165" s="300"/>
      <c r="AS165" s="300"/>
      <c r="AT165" s="300"/>
      <c r="AU165" s="300"/>
      <c r="AV165" s="225"/>
      <c r="AW165" s="225"/>
      <c r="AX165" s="225"/>
      <c r="AY165" s="225"/>
      <c r="AZ165" s="225"/>
      <c r="BA165" s="225"/>
      <c r="BB165" s="225"/>
      <c r="BC165" s="225"/>
      <c r="BD165" s="225"/>
      <c r="BE165" s="225"/>
      <c r="BF165" s="225"/>
      <c r="BG165" s="225"/>
      <c r="BH165" s="225"/>
      <c r="BI165" s="225"/>
      <c r="BJ165" s="225"/>
    </row>
    <row r="166" spans="1:90" s="212" customFormat="1" ht="19.5" customHeight="1" x14ac:dyDescent="0.25">
      <c r="A166" s="595" t="s">
        <v>418</v>
      </c>
      <c r="B166" s="595"/>
      <c r="C166" s="596"/>
      <c r="D166" s="288"/>
      <c r="E166" s="288"/>
      <c r="F166" s="288"/>
      <c r="G166" s="288"/>
      <c r="H166" s="288"/>
      <c r="I166" s="288"/>
      <c r="J166" s="288"/>
      <c r="K166" s="288"/>
      <c r="L166" s="288"/>
      <c r="M166" s="288"/>
      <c r="N166" s="288"/>
      <c r="O166" s="288"/>
      <c r="P166" s="288"/>
      <c r="Q166" s="288"/>
      <c r="R166" s="288"/>
      <c r="S166" s="288"/>
      <c r="T166" s="288"/>
      <c r="U166" s="288"/>
      <c r="V166" s="222"/>
      <c r="W166" s="222"/>
      <c r="X166" s="222"/>
      <c r="Y166" s="222"/>
      <c r="Z166" s="222"/>
      <c r="AA166" s="222"/>
      <c r="AB166" s="187"/>
      <c r="AC166" s="187"/>
      <c r="AD166" s="187"/>
      <c r="AE166" s="187"/>
      <c r="AF166" s="222"/>
      <c r="AG166" s="587"/>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row>
    <row r="167" spans="1:90" s="604" customFormat="1" ht="19.5" customHeight="1" x14ac:dyDescent="0.25">
      <c r="A167" s="597"/>
      <c r="B167" s="598"/>
      <c r="C167" s="599"/>
      <c r="D167" s="599"/>
      <c r="E167" s="599"/>
      <c r="F167" s="600"/>
      <c r="G167" s="600"/>
      <c r="H167" s="600"/>
      <c r="I167" s="601"/>
      <c r="J167" s="600"/>
      <c r="K167" s="602"/>
      <c r="L167" s="603"/>
      <c r="M167" s="603"/>
    </row>
    <row r="168" spans="1:90" s="212" customFormat="1" ht="19.5" customHeight="1" x14ac:dyDescent="0.25">
      <c r="A168" s="605" t="s">
        <v>322</v>
      </c>
      <c r="C168" s="288"/>
      <c r="D168" s="288"/>
      <c r="E168" s="288"/>
      <c r="F168" s="288"/>
      <c r="G168" s="288"/>
      <c r="H168" s="288"/>
      <c r="I168" s="288"/>
      <c r="J168" s="288"/>
      <c r="K168" s="288"/>
      <c r="L168" s="288"/>
      <c r="M168" s="288"/>
      <c r="N168" s="288"/>
      <c r="O168" s="288"/>
      <c r="P168" s="288"/>
      <c r="Q168" s="288"/>
      <c r="R168" s="288"/>
      <c r="S168" s="288"/>
      <c r="T168" s="288"/>
      <c r="U168" s="288"/>
      <c r="V168" s="222"/>
      <c r="W168" s="222"/>
      <c r="X168" s="222"/>
      <c r="Y168" s="222"/>
      <c r="Z168" s="222"/>
      <c r="AA168" s="222"/>
      <c r="AB168" s="222"/>
      <c r="AC168" s="222"/>
      <c r="AD168" s="222"/>
      <c r="AE168" s="222"/>
      <c r="AF168" s="538"/>
      <c r="AG168" s="538"/>
      <c r="AH168" s="538"/>
      <c r="AI168" s="538"/>
      <c r="AJ168" s="538"/>
      <c r="AK168" s="538"/>
      <c r="AL168" s="538"/>
      <c r="AM168" s="538"/>
      <c r="AN168" s="538"/>
      <c r="AO168" s="538"/>
      <c r="AP168" s="545"/>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69"/>
      <c r="BL168" s="233"/>
      <c r="BM168" s="233"/>
      <c r="BN168" s="222"/>
      <c r="BO168" s="233"/>
      <c r="BP168" s="222"/>
      <c r="BQ168" s="211"/>
      <c r="BR168" s="222"/>
      <c r="BS168" s="222"/>
      <c r="BT168" s="225"/>
      <c r="BU168" s="225"/>
      <c r="BV168" s="225"/>
      <c r="BW168" s="225"/>
      <c r="BX168" s="225"/>
      <c r="BY168" s="300"/>
      <c r="BZ168" s="300"/>
      <c r="CA168" s="300"/>
      <c r="CB168" s="522"/>
      <c r="CC168" s="522"/>
      <c r="CD168" s="522"/>
    </row>
    <row r="169" spans="1:90" s="222" customFormat="1" ht="19.5" customHeight="1" x14ac:dyDescent="0.25">
      <c r="A169" s="301"/>
      <c r="B169" s="305"/>
      <c r="C169" s="302"/>
      <c r="D169" s="606" t="s">
        <v>261</v>
      </c>
      <c r="E169" s="607" t="s">
        <v>323</v>
      </c>
      <c r="F169" s="608"/>
      <c r="G169" s="609" t="s">
        <v>224</v>
      </c>
      <c r="H169" s="608" t="s">
        <v>329</v>
      </c>
      <c r="I169" s="2014" t="s">
        <v>260</v>
      </c>
      <c r="J169" s="2015"/>
      <c r="K169" s="607" t="s">
        <v>260</v>
      </c>
      <c r="L169" s="288"/>
      <c r="M169" s="288"/>
      <c r="N169" s="288"/>
      <c r="O169" s="288"/>
      <c r="P169" s="610"/>
      <c r="Q169" s="288"/>
      <c r="R169" s="288"/>
      <c r="S169" s="610"/>
      <c r="T169" s="288"/>
      <c r="U169" s="288"/>
      <c r="V169" s="610"/>
      <c r="W169" s="288"/>
      <c r="X169" s="288"/>
      <c r="Y169" s="288"/>
      <c r="Z169" s="288"/>
      <c r="AB169" s="288"/>
      <c r="AC169" s="288"/>
    </row>
    <row r="170" spans="1:90" s="222" customFormat="1" ht="19.5" customHeight="1" x14ac:dyDescent="0.25">
      <c r="A170" s="308" t="s">
        <v>50</v>
      </c>
      <c r="B170" s="611" t="s">
        <v>15</v>
      </c>
      <c r="C170" s="498" t="s">
        <v>25</v>
      </c>
      <c r="D170" s="612" t="s">
        <v>356</v>
      </c>
      <c r="E170" s="613" t="s">
        <v>324</v>
      </c>
      <c r="F170" s="613" t="s">
        <v>4</v>
      </c>
      <c r="G170" s="299" t="s">
        <v>259</v>
      </c>
      <c r="H170" s="613" t="s">
        <v>87</v>
      </c>
      <c r="I170" s="614"/>
      <c r="J170" s="614" t="s">
        <v>11</v>
      </c>
      <c r="K170" s="614" t="s">
        <v>11</v>
      </c>
      <c r="L170" s="288"/>
      <c r="M170" s="288"/>
      <c r="N170" s="288"/>
      <c r="O170" s="288"/>
      <c r="P170" s="610"/>
      <c r="Q170" s="288"/>
      <c r="R170" s="288"/>
      <c r="S170" s="610"/>
      <c r="T170" s="288"/>
      <c r="U170" s="288"/>
      <c r="V170" s="610"/>
      <c r="W170" s="288"/>
      <c r="X170" s="288"/>
      <c r="Y170" s="288"/>
      <c r="Z170" s="288"/>
      <c r="AB170" s="288"/>
      <c r="AC170" s="288"/>
    </row>
    <row r="171" spans="1:90" s="222" customFormat="1" ht="19.5" customHeight="1" x14ac:dyDescent="0.25">
      <c r="A171" s="615"/>
      <c r="B171" s="616"/>
      <c r="C171" s="499"/>
      <c r="D171" s="612" t="s">
        <v>357</v>
      </c>
      <c r="E171" s="617" t="s">
        <v>325</v>
      </c>
      <c r="F171" s="617" t="s">
        <v>78</v>
      </c>
      <c r="G171" s="299" t="s">
        <v>258</v>
      </c>
      <c r="H171" s="617"/>
      <c r="I171" s="614" t="s">
        <v>337</v>
      </c>
      <c r="J171" s="614" t="s">
        <v>337</v>
      </c>
      <c r="K171" s="614" t="s">
        <v>166</v>
      </c>
      <c r="L171" s="288"/>
      <c r="M171" s="288"/>
      <c r="N171" s="288"/>
      <c r="O171" s="288"/>
      <c r="P171" s="610"/>
      <c r="Q171" s="288"/>
      <c r="R171" s="288"/>
      <c r="S171" s="610"/>
      <c r="T171" s="288"/>
      <c r="U171" s="288"/>
      <c r="V171" s="610"/>
      <c r="W171" s="288"/>
      <c r="X171" s="288"/>
      <c r="Y171" s="288"/>
      <c r="Z171" s="288"/>
      <c r="AB171" s="288"/>
      <c r="AC171" s="288"/>
    </row>
    <row r="172" spans="1:90" s="222" customFormat="1" ht="30" customHeight="1" thickBot="1" x14ac:dyDescent="0.3">
      <c r="A172" s="684"/>
      <c r="B172" s="2031" t="str">
        <f>Samenvatting!A265</f>
        <v>achterblijven in bestralingsruimte tijdens bestraling</v>
      </c>
      <c r="C172" s="619" t="s">
        <v>0</v>
      </c>
      <c r="D172" s="1860">
        <v>550</v>
      </c>
      <c r="E172" s="620"/>
      <c r="F172" s="1861">
        <v>2</v>
      </c>
      <c r="G172" s="1862">
        <v>30</v>
      </c>
      <c r="H172" s="1860">
        <v>1</v>
      </c>
      <c r="I172" s="621">
        <f>D172*$C$15/F172^2*G172/60*10</f>
        <v>0.6875</v>
      </c>
      <c r="J172" s="622">
        <f>SUM(I172:I173)</f>
        <v>2.0625</v>
      </c>
      <c r="K172" s="622">
        <f>J172*H172</f>
        <v>2.0625</v>
      </c>
      <c r="N172" s="288"/>
      <c r="O172" s="288"/>
      <c r="P172" s="288"/>
      <c r="Q172" s="288"/>
      <c r="R172" s="288"/>
      <c r="S172" s="288"/>
      <c r="T172" s="288"/>
      <c r="U172" s="288"/>
      <c r="V172" s="288"/>
      <c r="W172" s="288"/>
      <c r="X172" s="288"/>
      <c r="Y172" s="288"/>
      <c r="Z172" s="288"/>
      <c r="AA172" s="288"/>
      <c r="AB172" s="288"/>
    </row>
    <row r="173" spans="1:90" s="222" customFormat="1" ht="30" customHeight="1" thickBot="1" x14ac:dyDescent="0.3">
      <c r="A173" s="623"/>
      <c r="B173" s="2032"/>
      <c r="C173" s="619" t="s">
        <v>33</v>
      </c>
      <c r="D173" s="624"/>
      <c r="E173" s="1852">
        <f>0.01*20</f>
        <v>0.2</v>
      </c>
      <c r="F173" s="625">
        <f>F172</f>
        <v>2</v>
      </c>
      <c r="G173" s="626">
        <f>G172</f>
        <v>30</v>
      </c>
      <c r="H173" s="629"/>
      <c r="I173" s="621">
        <f>D172*E173/100/F173^2*G173/60*10</f>
        <v>1.375</v>
      </c>
      <c r="J173" s="627"/>
      <c r="K173" s="627"/>
      <c r="N173" s="288"/>
      <c r="O173" s="288"/>
      <c r="P173" s="288"/>
      <c r="Q173" s="288"/>
      <c r="R173" s="288"/>
      <c r="S173" s="288"/>
      <c r="T173" s="288"/>
      <c r="U173" s="288"/>
      <c r="V173" s="288"/>
      <c r="W173" s="288"/>
      <c r="X173" s="288"/>
      <c r="Y173" s="288"/>
      <c r="Z173" s="288"/>
      <c r="AA173" s="288"/>
      <c r="AB173" s="288"/>
    </row>
    <row r="174" spans="1:90" s="222" customFormat="1" ht="19.5" customHeight="1" x14ac:dyDescent="0.25">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189"/>
      <c r="W174" s="189"/>
      <c r="X174" s="189"/>
      <c r="Y174" s="189"/>
      <c r="Z174" s="189"/>
      <c r="AA174" s="189"/>
      <c r="AB174" s="202"/>
      <c r="AC174" s="202"/>
      <c r="AD174" s="202"/>
      <c r="AE174" s="202"/>
      <c r="AK174" s="299"/>
      <c r="AL174" s="299"/>
      <c r="AM174" s="299"/>
      <c r="AN174" s="299"/>
      <c r="AO174" s="299"/>
      <c r="AP174" s="299"/>
      <c r="AU174" s="211"/>
      <c r="AV174" s="266"/>
      <c r="BC174" s="211"/>
      <c r="BD174" s="211"/>
    </row>
    <row r="175" spans="1:90" x14ac:dyDescent="0.25">
      <c r="A175" s="605" t="s">
        <v>339</v>
      </c>
      <c r="B175" s="202"/>
      <c r="C175" s="288"/>
      <c r="D175" s="288"/>
      <c r="E175" s="288"/>
      <c r="F175" s="288"/>
      <c r="G175" s="288"/>
      <c r="H175" s="288"/>
      <c r="I175" s="288"/>
      <c r="J175" s="288"/>
      <c r="K175" s="288"/>
      <c r="L175" s="288"/>
      <c r="M175" s="288"/>
      <c r="N175" s="288"/>
      <c r="O175" s="288"/>
      <c r="P175" s="288"/>
      <c r="Q175" s="288"/>
      <c r="R175" s="288"/>
      <c r="S175" s="288"/>
      <c r="T175" s="288"/>
      <c r="U175" s="288"/>
      <c r="V175" s="222"/>
      <c r="W175" s="222"/>
      <c r="X175" s="222"/>
      <c r="Y175" s="222"/>
      <c r="Z175" s="222"/>
      <c r="AA175" s="222"/>
      <c r="AB175" s="222"/>
      <c r="AC175" s="222"/>
      <c r="AD175" s="222"/>
      <c r="AE175" s="222"/>
    </row>
    <row r="176" spans="1:90" s="187" customFormat="1" ht="19.5" customHeight="1" x14ac:dyDescent="0.25">
      <c r="A176" s="2020" t="s">
        <v>50</v>
      </c>
      <c r="B176" s="2023" t="s">
        <v>15</v>
      </c>
      <c r="C176" s="606" t="s">
        <v>261</v>
      </c>
      <c r="D176" s="607" t="s">
        <v>224</v>
      </c>
      <c r="E176" s="608" t="s">
        <v>329</v>
      </c>
      <c r="F176" s="607" t="s">
        <v>260</v>
      </c>
      <c r="G176" s="607" t="s">
        <v>260</v>
      </c>
      <c r="H176" s="628"/>
      <c r="I176" s="222"/>
      <c r="J176" s="288"/>
      <c r="K176" s="288"/>
      <c r="L176" s="288"/>
      <c r="M176" s="288"/>
      <c r="N176" s="288"/>
      <c r="O176" s="610"/>
      <c r="P176" s="288"/>
      <c r="Q176" s="288"/>
      <c r="R176" s="610"/>
      <c r="S176" s="288"/>
      <c r="T176" s="288"/>
      <c r="U176" s="610"/>
      <c r="V176" s="288"/>
      <c r="W176" s="288"/>
      <c r="X176" s="288"/>
      <c r="Y176" s="288"/>
      <c r="Z176" s="222"/>
      <c r="AA176" s="288"/>
      <c r="AB176" s="288"/>
      <c r="AC176" s="222"/>
      <c r="AD176" s="222"/>
      <c r="AE176" s="222"/>
    </row>
    <row r="177" spans="1:52" s="222" customFormat="1" ht="19.5" customHeight="1" x14ac:dyDescent="0.25">
      <c r="A177" s="2021"/>
      <c r="B177" s="2024"/>
      <c r="C177" s="2026" t="s">
        <v>340</v>
      </c>
      <c r="D177" s="613" t="s">
        <v>328</v>
      </c>
      <c r="E177" s="613" t="s">
        <v>87</v>
      </c>
      <c r="F177" s="613"/>
      <c r="G177" s="614" t="s">
        <v>11</v>
      </c>
      <c r="H177" s="628"/>
      <c r="J177" s="288"/>
      <c r="K177" s="288"/>
      <c r="L177" s="288"/>
      <c r="M177" s="288"/>
      <c r="N177" s="288"/>
      <c r="O177" s="610"/>
      <c r="P177" s="288"/>
      <c r="Q177" s="288"/>
      <c r="R177" s="610"/>
      <c r="S177" s="288"/>
      <c r="T177" s="288"/>
      <c r="U177" s="610"/>
      <c r="V177" s="288"/>
      <c r="W177" s="288"/>
      <c r="X177" s="288"/>
      <c r="Y177" s="288"/>
      <c r="AA177" s="288"/>
      <c r="AB177" s="288"/>
    </row>
    <row r="178" spans="1:52" s="222" customFormat="1" ht="19.5" customHeight="1" x14ac:dyDescent="0.25">
      <c r="A178" s="2022"/>
      <c r="B178" s="2025"/>
      <c r="C178" s="2027"/>
      <c r="D178" s="617" t="s">
        <v>229</v>
      </c>
      <c r="E178" s="617"/>
      <c r="F178" s="614" t="s">
        <v>337</v>
      </c>
      <c r="G178" s="614" t="s">
        <v>166</v>
      </c>
      <c r="H178" s="628"/>
      <c r="J178" s="288"/>
      <c r="K178" s="288"/>
      <c r="L178" s="288"/>
      <c r="M178" s="288"/>
      <c r="N178" s="288"/>
      <c r="O178" s="610"/>
      <c r="P178" s="288"/>
      <c r="Q178" s="288"/>
      <c r="R178" s="610"/>
      <c r="S178" s="288"/>
      <c r="T178" s="288"/>
      <c r="U178" s="610"/>
      <c r="V178" s="288"/>
      <c r="W178" s="288"/>
      <c r="X178" s="288"/>
      <c r="Y178" s="288"/>
      <c r="AA178" s="288"/>
      <c r="AB178" s="288"/>
    </row>
    <row r="179" spans="1:52" s="222" customFormat="1" ht="30" customHeight="1" x14ac:dyDescent="0.25">
      <c r="A179" s="630"/>
      <c r="B179" s="631" t="str">
        <f>Samenvatting!A276</f>
        <v>werken in nabijheid geactiveerde target</v>
      </c>
      <c r="C179" s="1861">
        <v>25</v>
      </c>
      <c r="D179" s="1861">
        <v>0.5</v>
      </c>
      <c r="E179" s="1861">
        <v>4</v>
      </c>
      <c r="F179" s="632">
        <f>C179*D179/10^3</f>
        <v>1.2500000000000001E-2</v>
      </c>
      <c r="G179" s="621">
        <f>F179*E179</f>
        <v>0.05</v>
      </c>
      <c r="H179" s="633"/>
      <c r="M179" s="288"/>
      <c r="N179" s="288"/>
      <c r="O179" s="288"/>
      <c r="P179" s="288"/>
      <c r="Q179" s="288"/>
      <c r="R179" s="288"/>
      <c r="S179" s="288"/>
      <c r="T179" s="288"/>
      <c r="U179" s="288"/>
      <c r="V179" s="288"/>
      <c r="W179" s="288"/>
      <c r="X179" s="288"/>
      <c r="Y179" s="288"/>
      <c r="Z179" s="288"/>
      <c r="AA179" s="288"/>
    </row>
    <row r="180" spans="1:52" s="222" customFormat="1" ht="19.5" customHeight="1" x14ac:dyDescent="0.25">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189"/>
      <c r="W180" s="189"/>
      <c r="X180" s="189"/>
      <c r="Y180" s="189"/>
      <c r="Z180" s="189"/>
      <c r="AA180" s="189"/>
      <c r="AB180" s="202"/>
      <c r="AC180" s="202"/>
      <c r="AD180" s="202"/>
      <c r="AE180" s="202"/>
    </row>
    <row r="181" spans="1:52" s="225" customFormat="1" ht="19.5" customHeight="1" x14ac:dyDescent="0.25">
      <c r="A181" s="634" t="s">
        <v>327</v>
      </c>
      <c r="C181" s="288"/>
      <c r="D181" s="288"/>
      <c r="E181" s="288"/>
      <c r="F181" s="288"/>
      <c r="G181" s="288"/>
      <c r="H181" s="288"/>
      <c r="I181" s="288"/>
      <c r="J181" s="288"/>
      <c r="K181" s="288"/>
      <c r="L181" s="288"/>
      <c r="M181" s="288"/>
      <c r="N181" s="288"/>
      <c r="O181" s="288"/>
      <c r="P181" s="288"/>
      <c r="Q181" s="288"/>
      <c r="R181" s="288"/>
      <c r="S181" s="288"/>
      <c r="T181" s="288"/>
      <c r="U181" s="288"/>
      <c r="V181" s="222"/>
      <c r="W181" s="222"/>
      <c r="X181" s="222"/>
      <c r="Y181" s="222"/>
      <c r="Z181" s="222"/>
      <c r="AA181" s="222"/>
      <c r="AB181" s="222"/>
      <c r="AC181" s="222"/>
      <c r="AD181" s="222"/>
      <c r="AE181" s="222"/>
      <c r="AG181" s="328"/>
      <c r="AI181" s="328"/>
      <c r="AJ181" s="328"/>
      <c r="AK181" s="328"/>
      <c r="AL181" s="328"/>
      <c r="AP181" s="222"/>
      <c r="AQ181" s="211"/>
      <c r="AR181" s="222"/>
      <c r="AS181" s="222"/>
      <c r="AY181" s="300"/>
      <c r="AZ181" s="300"/>
    </row>
    <row r="182" spans="1:52" s="187" customFormat="1" ht="19.5" customHeight="1" x14ac:dyDescent="0.25">
      <c r="A182" s="2020" t="s">
        <v>50</v>
      </c>
      <c r="B182" s="2023" t="s">
        <v>15</v>
      </c>
      <c r="C182" s="606" t="s">
        <v>261</v>
      </c>
      <c r="D182" s="607" t="s">
        <v>224</v>
      </c>
      <c r="E182" s="608" t="s">
        <v>329</v>
      </c>
      <c r="F182" s="607" t="s">
        <v>260</v>
      </c>
      <c r="G182" s="607" t="s">
        <v>260</v>
      </c>
      <c r="H182" s="628"/>
      <c r="I182" s="222"/>
      <c r="J182" s="288"/>
      <c r="K182" s="288"/>
      <c r="L182" s="288"/>
      <c r="M182" s="288"/>
      <c r="N182" s="288"/>
      <c r="O182" s="610"/>
      <c r="P182" s="288"/>
      <c r="Q182" s="288"/>
      <c r="R182" s="610"/>
      <c r="S182" s="288"/>
      <c r="T182" s="288"/>
      <c r="U182" s="610"/>
      <c r="V182" s="288"/>
      <c r="W182" s="288"/>
      <c r="X182" s="288"/>
      <c r="Y182" s="288"/>
      <c r="Z182" s="222"/>
      <c r="AA182" s="288"/>
      <c r="AB182" s="288"/>
      <c r="AC182" s="222"/>
      <c r="AD182" s="222"/>
      <c r="AE182" s="222"/>
    </row>
    <row r="183" spans="1:52" s="222" customFormat="1" ht="19.5" customHeight="1" x14ac:dyDescent="0.25">
      <c r="A183" s="2021"/>
      <c r="B183" s="2024"/>
      <c r="C183" s="2026" t="s">
        <v>340</v>
      </c>
      <c r="D183" s="613" t="s">
        <v>328</v>
      </c>
      <c r="E183" s="613" t="s">
        <v>87</v>
      </c>
      <c r="F183" s="613"/>
      <c r="G183" s="614" t="s">
        <v>11</v>
      </c>
      <c r="H183" s="628"/>
      <c r="J183" s="288"/>
      <c r="K183" s="288"/>
      <c r="L183" s="288"/>
      <c r="M183" s="288"/>
      <c r="N183" s="288"/>
      <c r="O183" s="610"/>
      <c r="P183" s="288"/>
      <c r="Q183" s="288"/>
      <c r="R183" s="610"/>
      <c r="S183" s="288"/>
      <c r="T183" s="288"/>
      <c r="U183" s="610"/>
      <c r="V183" s="288"/>
      <c r="W183" s="288"/>
      <c r="X183" s="288"/>
      <c r="Y183" s="288"/>
      <c r="AA183" s="288"/>
      <c r="AB183" s="288"/>
    </row>
    <row r="184" spans="1:52" s="222" customFormat="1" ht="19.5" customHeight="1" x14ac:dyDescent="0.25">
      <c r="A184" s="2022"/>
      <c r="B184" s="2025"/>
      <c r="C184" s="2027"/>
      <c r="D184" s="617" t="s">
        <v>229</v>
      </c>
      <c r="E184" s="617"/>
      <c r="F184" s="614" t="s">
        <v>337</v>
      </c>
      <c r="G184" s="614" t="s">
        <v>166</v>
      </c>
      <c r="H184" s="628"/>
      <c r="J184" s="288"/>
      <c r="K184" s="288"/>
      <c r="L184" s="288"/>
      <c r="M184" s="288"/>
      <c r="N184" s="288"/>
      <c r="O184" s="610"/>
      <c r="P184" s="288"/>
      <c r="Q184" s="288"/>
      <c r="R184" s="610"/>
      <c r="S184" s="288"/>
      <c r="T184" s="288"/>
      <c r="U184" s="610"/>
      <c r="V184" s="288"/>
      <c r="W184" s="288"/>
      <c r="X184" s="288"/>
      <c r="Y184" s="288"/>
      <c r="AA184" s="288"/>
      <c r="AB184" s="288"/>
    </row>
    <row r="185" spans="1:52" s="222" customFormat="1" ht="30" customHeight="1" x14ac:dyDescent="0.25">
      <c r="A185" s="623"/>
      <c r="B185" s="631" t="str">
        <f>Samenvatting!A287</f>
        <v>werken in nabijheid geactiveerde onderdelen</v>
      </c>
      <c r="C185" s="1861">
        <v>1.5</v>
      </c>
      <c r="D185" s="1861">
        <v>2</v>
      </c>
      <c r="E185" s="1861">
        <v>24</v>
      </c>
      <c r="F185" s="632">
        <f>C185*D185/10^3</f>
        <v>3.0000000000000001E-3</v>
      </c>
      <c r="G185" s="621">
        <f>F185*E185</f>
        <v>7.2000000000000008E-2</v>
      </c>
      <c r="H185" s="635"/>
      <c r="M185" s="288"/>
      <c r="N185" s="288"/>
      <c r="O185" s="288"/>
      <c r="P185" s="288"/>
      <c r="Q185" s="288"/>
      <c r="R185" s="288"/>
      <c r="S185" s="288"/>
      <c r="T185" s="288"/>
      <c r="U185" s="288"/>
      <c r="V185" s="288"/>
      <c r="W185" s="288"/>
      <c r="X185" s="288"/>
      <c r="Y185" s="288"/>
      <c r="Z185" s="288"/>
      <c r="AA185" s="288"/>
    </row>
    <row r="186" spans="1:52" s="222" customFormat="1" ht="30" customHeight="1" x14ac:dyDescent="0.25">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189"/>
      <c r="W186" s="189"/>
      <c r="X186" s="189"/>
      <c r="Y186" s="189"/>
      <c r="Z186" s="189"/>
      <c r="AA186" s="189"/>
      <c r="AB186" s="202"/>
      <c r="AC186" s="202"/>
      <c r="AD186" s="202"/>
      <c r="AE186" s="202"/>
    </row>
    <row r="187" spans="1:52" s="225" customFormat="1" ht="19.5" customHeight="1" thickBot="1" x14ac:dyDescent="0.3">
      <c r="A187" s="288" t="s">
        <v>326</v>
      </c>
      <c r="C187" s="636"/>
      <c r="D187" s="265"/>
      <c r="E187" s="265"/>
      <c r="F187" s="265"/>
      <c r="G187" s="265"/>
      <c r="H187" s="265"/>
      <c r="I187" s="233"/>
      <c r="J187" s="242"/>
      <c r="K187" s="233"/>
      <c r="L187" s="233"/>
      <c r="M187" s="242"/>
      <c r="N187" s="369"/>
      <c r="O187" s="222"/>
      <c r="P187" s="222"/>
      <c r="Q187" s="222"/>
      <c r="R187" s="222"/>
      <c r="T187" s="328"/>
      <c r="V187" s="328"/>
      <c r="W187" s="328"/>
      <c r="X187" s="328"/>
      <c r="Y187" s="328"/>
      <c r="AC187" s="222"/>
      <c r="AD187" s="211"/>
      <c r="AE187" s="222"/>
      <c r="AF187" s="222"/>
      <c r="AL187" s="300"/>
      <c r="AM187" s="300"/>
    </row>
    <row r="188" spans="1:52" s="225" customFormat="1" ht="19.5" customHeight="1" thickBot="1" x14ac:dyDescent="0.3">
      <c r="A188" s="2020" t="s">
        <v>50</v>
      </c>
      <c r="B188" s="2023" t="s">
        <v>15</v>
      </c>
      <c r="C188" s="1998" t="s">
        <v>25</v>
      </c>
      <c r="D188" s="1998" t="s">
        <v>158</v>
      </c>
      <c r="E188" s="2012" t="s">
        <v>527</v>
      </c>
      <c r="F188" s="304" t="s">
        <v>77</v>
      </c>
      <c r="G188" s="637"/>
      <c r="H188" s="305"/>
      <c r="I188" s="607" t="s">
        <v>224</v>
      </c>
      <c r="J188" s="608" t="s">
        <v>329</v>
      </c>
      <c r="K188" s="2016">
        <v>18</v>
      </c>
      <c r="L188" s="2017"/>
      <c r="M188" s="2018"/>
      <c r="N188" s="2003" t="s">
        <v>16</v>
      </c>
      <c r="O188" s="2004"/>
      <c r="P188" s="222"/>
      <c r="Q188" s="222"/>
      <c r="R188" s="222"/>
      <c r="T188" s="328"/>
      <c r="V188" s="328"/>
      <c r="W188" s="328"/>
      <c r="X188" s="328"/>
      <c r="Y188" s="328"/>
      <c r="AC188" s="222"/>
      <c r="AD188" s="211"/>
      <c r="AE188" s="222"/>
      <c r="AF188" s="222"/>
      <c r="AL188" s="300"/>
      <c r="AM188" s="300"/>
    </row>
    <row r="189" spans="1:52" s="222" customFormat="1" ht="19.5" customHeight="1" x14ac:dyDescent="0.25">
      <c r="A189" s="2021"/>
      <c r="B189" s="2024"/>
      <c r="C189" s="2010"/>
      <c r="D189" s="2010"/>
      <c r="E189" s="2010"/>
      <c r="F189" s="639"/>
      <c r="G189" s="211"/>
      <c r="H189" s="611"/>
      <c r="I189" s="614" t="s">
        <v>328</v>
      </c>
      <c r="J189" s="613" t="s">
        <v>87</v>
      </c>
      <c r="K189" s="312" t="s">
        <v>86</v>
      </c>
      <c r="L189" s="312" t="s">
        <v>206</v>
      </c>
      <c r="M189" s="312" t="s">
        <v>260</v>
      </c>
      <c r="N189" s="613"/>
      <c r="O189" s="614" t="s">
        <v>11</v>
      </c>
      <c r="T189" s="328"/>
      <c r="V189" s="328"/>
      <c r="W189" s="328"/>
      <c r="X189" s="328"/>
      <c r="Y189" s="328"/>
      <c r="AD189" s="211"/>
      <c r="AL189" s="211"/>
      <c r="AM189" s="211"/>
    </row>
    <row r="190" spans="1:52" s="222" customFormat="1" ht="19.5" customHeight="1" thickBot="1" x14ac:dyDescent="0.3">
      <c r="A190" s="2022"/>
      <c r="B190" s="2025"/>
      <c r="C190" s="2011"/>
      <c r="D190" s="2011"/>
      <c r="E190" s="2013"/>
      <c r="F190" s="615" t="s">
        <v>1</v>
      </c>
      <c r="G190" s="615" t="s">
        <v>61</v>
      </c>
      <c r="H190" s="615" t="s">
        <v>3</v>
      </c>
      <c r="I190" s="179" t="s">
        <v>229</v>
      </c>
      <c r="J190" s="179"/>
      <c r="K190" s="505" t="s">
        <v>208</v>
      </c>
      <c r="L190" s="505" t="s">
        <v>207</v>
      </c>
      <c r="M190" s="506" t="s">
        <v>341</v>
      </c>
      <c r="N190" s="614" t="s">
        <v>337</v>
      </c>
      <c r="O190" s="614" t="s">
        <v>166</v>
      </c>
      <c r="U190" s="328"/>
      <c r="W190" s="328"/>
      <c r="X190" s="328"/>
      <c r="Y190" s="328"/>
      <c r="Z190" s="328"/>
      <c r="AE190" s="211"/>
      <c r="AM190" s="211"/>
      <c r="AN190" s="211"/>
    </row>
    <row r="191" spans="1:52" s="222" customFormat="1" ht="30" customHeight="1" x14ac:dyDescent="0.25">
      <c r="A191" s="301"/>
      <c r="B191" s="2008" t="str">
        <f>Samenvatting!A298</f>
        <v>werkzaamheden uitvoeren in gecontroleerde ruimte (buiten de bestralingsruimte) terwijl er gestraald word: bv dak wegens reparaties</v>
      </c>
      <c r="C191" s="323" t="s">
        <v>569</v>
      </c>
      <c r="D191" s="1840">
        <v>6</v>
      </c>
      <c r="E191" s="1863">
        <v>0.25</v>
      </c>
      <c r="F191" s="1834">
        <v>250</v>
      </c>
      <c r="G191" s="1834">
        <v>0</v>
      </c>
      <c r="H191" s="1834">
        <v>0</v>
      </c>
      <c r="I191" s="640"/>
      <c r="J191" s="641"/>
      <c r="K191" s="686">
        <f>IF(K188=C4,IF($F191=0,0,1+($F191-$C$21)/$C$22)+$G191/$C$23+$H191/$C$24,IF(K188=D4,(IF($F191=0,0,1+($F191-$D$21)/$D$22)+$G191/$D$23+$H191/$D$24),IF(K188=E4,IF($F191=0,0,1+($F191-$E$21)/$E$22)+$G191/$E$23+$H191/$E$24,IF(K188=F4,IF($F191=0,0,1+($F191-$F$21)/$F$22)+$G191/$F$23+$H191/$F$24,IF(K188=G4,IF($F191=0,0,1+($F191-$G$21)/$G$22)+$G191/$G$23+$H191/$G$24,2)))))</f>
        <v>5.7674418604651159</v>
      </c>
      <c r="L191" s="72">
        <f>10^(-K191)</f>
        <v>1.7082763938087111E-6</v>
      </c>
      <c r="M191" s="71">
        <f>($C$7*$C$14*I192/40*$E191/$D191^2*L191*10^6)</f>
        <v>1.1863030512560492E-2</v>
      </c>
      <c r="N191" s="642">
        <f>M191+M192</f>
        <v>1.8104733127211996E-2</v>
      </c>
      <c r="O191" s="643">
        <f>N191*J192</f>
        <v>1.8104733127211996E-2</v>
      </c>
      <c r="U191" s="328"/>
      <c r="V191" s="328"/>
      <c r="W191" s="328"/>
      <c r="X191" s="328"/>
      <c r="Y191" s="328"/>
      <c r="Z191" s="328"/>
      <c r="AE191" s="211"/>
      <c r="AM191" s="211"/>
      <c r="AN191" s="211"/>
    </row>
    <row r="192" spans="1:52" s="222" customFormat="1" ht="30" customHeight="1" thickBot="1" x14ac:dyDescent="0.3">
      <c r="A192" s="623"/>
      <c r="B192" s="2019"/>
      <c r="C192" s="331" t="s">
        <v>568</v>
      </c>
      <c r="D192" s="1864">
        <v>5</v>
      </c>
      <c r="E192" s="644"/>
      <c r="F192" s="1865">
        <v>250</v>
      </c>
      <c r="G192" s="1865">
        <v>0</v>
      </c>
      <c r="H192" s="1865">
        <v>0</v>
      </c>
      <c r="I192" s="1866">
        <v>1</v>
      </c>
      <c r="J192" s="1867">
        <v>1</v>
      </c>
      <c r="K192" s="105">
        <f>IF(K188=$C$4,$F192/$C$27+$G192/$C$28+$H192/$C$29,IF(K188=$D$4,$F192/$D$27+$G192/$D$28+$H192/$D$29,IF(K188=$E$4,$F192/$E$27+$G192/$E$28+$H192/$E$29,IF(K188=$F$4,$F192/$F$27+$G192/$F$28+$H192/$F$29,IF(K188=$G$4,$F192/$G$27+$G192/$G$28+$H192/$G$29, )))))</f>
        <v>5.6818181818181817</v>
      </c>
      <c r="L192" s="106">
        <f>10^(-K192)</f>
        <v>2.0805675382171676E-6</v>
      </c>
      <c r="M192" s="105">
        <f>($C$7*I192/40*$C$15*($C$9+$C$10*$C$11)/$D192^2*L192*10^6)</f>
        <v>6.2417026146515033E-3</v>
      </c>
      <c r="N192" s="645"/>
      <c r="O192" s="646"/>
      <c r="U192" s="328"/>
      <c r="V192" s="328"/>
      <c r="W192" s="328"/>
      <c r="X192" s="328"/>
      <c r="Y192" s="328"/>
      <c r="Z192" s="328"/>
      <c r="AE192" s="211"/>
      <c r="AM192" s="211"/>
      <c r="AN192" s="211"/>
    </row>
    <row r="193" spans="1:31" s="222" customFormat="1" ht="30" customHeight="1" x14ac:dyDescent="0.25">
      <c r="A193" s="201"/>
      <c r="B193" s="201"/>
      <c r="C193" s="201"/>
      <c r="D193" s="201"/>
      <c r="E193" s="201"/>
      <c r="F193" s="201"/>
      <c r="G193" s="201"/>
      <c r="H193" s="201"/>
      <c r="I193" s="201"/>
      <c r="J193" s="201"/>
      <c r="K193" s="201"/>
      <c r="L193" s="201"/>
      <c r="M193" s="201"/>
      <c r="N193" s="189"/>
      <c r="O193" s="202"/>
      <c r="P193" s="202"/>
      <c r="Q193" s="202"/>
      <c r="R193" s="202"/>
    </row>
    <row r="194" spans="1:31" s="222" customFormat="1" ht="19.5" customHeight="1" x14ac:dyDescent="0.25">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189"/>
      <c r="W194" s="189"/>
      <c r="X194" s="189"/>
      <c r="Y194" s="189"/>
      <c r="Z194" s="189"/>
      <c r="AA194" s="189"/>
      <c r="AB194" s="202"/>
      <c r="AC194" s="202"/>
      <c r="AD194" s="202"/>
      <c r="AE194" s="202"/>
    </row>
    <row r="195" spans="1:31" ht="19.5" customHeight="1" x14ac:dyDescent="0.25">
      <c r="C195" s="279"/>
      <c r="D195" s="280"/>
      <c r="L195" s="647"/>
      <c r="M195" s="647"/>
      <c r="S195" s="648"/>
      <c r="U195" s="189"/>
      <c r="V195" s="190"/>
      <c r="AA195" s="202"/>
      <c r="AB195" s="538"/>
      <c r="AC195" s="538"/>
      <c r="AD195" s="538"/>
      <c r="AE195" s="538"/>
    </row>
    <row r="196" spans="1:31" ht="19.5" customHeight="1" x14ac:dyDescent="0.25"/>
    <row r="197" spans="1:31" ht="19.5" customHeight="1" x14ac:dyDescent="0.25"/>
  </sheetData>
  <sheetProtection algorithmName="SHA-512" hashValue="rs7GX54QuCN+EmPdrr+2aKlLaoK+qnuH2rOFymcb0AqGz02ikZfJE3vQ7zeHj60ByGEqGuR7oENtAncrFJM5kQ==" saltValue="blJ8ndeiXLsHVbO5+dHTNQ==" spinCount="100000" sheet="1" objects="1" scenarios="1"/>
  <mergeCells count="37">
    <mergeCell ref="B191:B192"/>
    <mergeCell ref="P140:R140"/>
    <mergeCell ref="S140:U140"/>
    <mergeCell ref="V140:X140"/>
    <mergeCell ref="Y140:AA140"/>
    <mergeCell ref="N188:O188"/>
    <mergeCell ref="K188:M188"/>
    <mergeCell ref="X128:Z128"/>
    <mergeCell ref="A182:A184"/>
    <mergeCell ref="B182:B184"/>
    <mergeCell ref="C183:C184"/>
    <mergeCell ref="M141:M142"/>
    <mergeCell ref="P141:P142"/>
    <mergeCell ref="B172:B173"/>
    <mergeCell ref="I169:J169"/>
    <mergeCell ref="A176:A178"/>
    <mergeCell ref="B176:B178"/>
    <mergeCell ref="C177:C178"/>
    <mergeCell ref="S141:S142"/>
    <mergeCell ref="V141:V142"/>
    <mergeCell ref="Y141:Y142"/>
    <mergeCell ref="Q132:Q133"/>
    <mergeCell ref="R132:R133"/>
    <mergeCell ref="AB130:AB135"/>
    <mergeCell ref="AC130:AC135"/>
    <mergeCell ref="A188:A190"/>
    <mergeCell ref="B188:B190"/>
    <mergeCell ref="C188:C190"/>
    <mergeCell ref="D188:D190"/>
    <mergeCell ref="E188:E190"/>
    <mergeCell ref="AB140:AD140"/>
    <mergeCell ref="AC141:AD141"/>
    <mergeCell ref="L134:L135"/>
    <mergeCell ref="M134:M135"/>
    <mergeCell ref="F132:F133"/>
    <mergeCell ref="J132:J133"/>
    <mergeCell ref="K130:K133"/>
  </mergeCells>
  <dataValidations disablePrompts="1" count="21">
    <dataValidation allowBlank="1" showInputMessage="1" showErrorMessage="1" promptTitle="let op" prompt="Als labyrint 1 bocht heeft dan dan is er geen dz5: 1 invullen_x000a_" sqref="S131:V131 P131:Q131 K130 L131:N131"/>
    <dataValidation allowBlank="1" showInputMessage="1" showErrorMessage="1" promptTitle="let op" prompt="als versneller parallel aan het labyrint draait is er geen dp2: 1 invullen" sqref="E131:G131"/>
    <dataValidation allowBlank="1" showInputMessage="1" showErrorMessage="1" promptTitle="let op" prompt="Fr richting opp A2._x000a_Als versneller parallel aan labyrint draait dan is er geen A2: fr is dan 0" sqref="W131"/>
    <dataValidation allowBlank="1" showInputMessage="1" showErrorMessage="1" prompt="Fr richting  opp A1_x000a_" sqref="W130"/>
    <dataValidation allowBlank="1" showInputMessage="1" showErrorMessage="1" promptTitle="let op" prompt="Alleen van belang als E &gt; 10 MV (neutronenproduktie)" sqref="G125:G126"/>
    <dataValidation allowBlank="1" showInputMessage="1" showErrorMessage="1" promptTitle="let op" prompt="als er geen afstand dp is: 1 invullen_x000a_Bij de voorbeeld plattegronden is er alleen een afstand dp in fig 6. " sqref="P17"/>
    <dataValidation type="list" allowBlank="1" showInputMessage="1" showErrorMessage="1" sqref="G107:G108">
      <formula1>"1,2"</formula1>
    </dataValidation>
    <dataValidation type="list" allowBlank="1" showInputMessage="1" showErrorMessage="1" sqref="G106">
      <formula1>"parallel,loodrecht"</formula1>
    </dataValidation>
    <dataValidation allowBlank="1" showInputMessage="1" showErrorMessage="1" promptTitle="let op" prompt="is 1 las versneller parallel aan het labyrint draait" sqref="R15:R16"/>
    <dataValidation allowBlank="1" showInputMessage="1" showErrorMessage="1" promptTitle="let op" prompt="als versneller parallel aan het labyrint draait is er geen dz2:_x000a_ 1 invullen" sqref="H131:J131"/>
    <dataValidation allowBlank="1" showInputMessage="1" showErrorMessage="1" prompt="als versneller parallel aan het labyrint draait is er geen A2_x000a_: 1 invullen" sqref="O131"/>
    <dataValidation allowBlank="1" showInputMessage="1" showErrorMessage="1" promptTitle="let op" prompt="Als labyrint 1 bocht heeft dan dan is er geen A5: 1 invullen" sqref="R130:R132"/>
    <dataValidation allowBlank="1" showInputMessage="1" showErrorMessage="1" prompt="Als labyrint 1 bocht heeft dan dan is er geen A5: 1 invullen_x000a_" sqref="E116:E117"/>
    <dataValidation allowBlank="1" showInputMessage="1" showErrorMessage="1" prompt="Fr voor gantry  90 graden als versneller parallel aan labyrint draait of Fr voor gantry 270 graden als versneller loodrecht op labyrint draait _x000a_" sqref="W133"/>
    <dataValidation allowBlank="1" showInputMessage="1" showErrorMessage="1" prompt="binnenmuur labyrint" sqref="X131:AA131"/>
    <dataValidation allowBlank="1" showInputMessage="1" showErrorMessage="1" prompt="Als kort labyrint (&lt; 5m) gebruik dan 6,1 cm" sqref="O115"/>
    <dataValidation type="list" allowBlank="1" showInputMessage="1" showErrorMessage="1" prompt="Zie handleiding voor verwijzing naar literatuur._x000a_" sqref="Q111">
      <formula1>"1,5,7E-16,6,9E-16"</formula1>
    </dataValidation>
    <dataValidation type="list" allowBlank="1" showInputMessage="1" showErrorMessage="1" prompt="Zie handleiding voor verwijzing naar literatuur._x000a_" sqref="Q113">
      <formula1>"1,3,9,5,4,6,2"</formula1>
    </dataValidation>
    <dataValidation type="list" allowBlank="1" showInputMessage="1" showErrorMessage="1" sqref="K188:M188">
      <formula1>$C$4:$H$4</formula1>
    </dataValidation>
    <dataValidation allowBlank="1" showInputMessage="1" showErrorMessage="1" prompt="Stralingsweegfactor, WR = 20" sqref="E173"/>
    <dataValidation type="list" allowBlank="1" showInputMessage="1" showErrorMessage="1" prompt="als head shielding van wolfraam dan 0,85, als van lood dan 1_x000a_als geen neutronen dan ook 1" sqref="C16">
      <formula1>"0,85,1"</formula1>
    </dataValidation>
  </dataValidations>
  <pageMargins left="0.70866141732283472" right="0.70866141732283472" top="0.74803149606299213" bottom="0.74803149606299213" header="0.31496062992125984" footer="0.31496062992125984"/>
  <pageSetup paperSize="8" scale="30" orientation="landscape" r:id="rId1"/>
  <headerFooter>
    <oddFooter>&amp;C&amp;F &amp;A</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CL197"/>
  <sheetViews>
    <sheetView showGridLines="0" topLeftCell="A164" zoomScale="70" zoomScaleNormal="70" workbookViewId="0">
      <selection activeCell="N204" sqref="N204"/>
    </sheetView>
  </sheetViews>
  <sheetFormatPr defaultRowHeight="15" x14ac:dyDescent="0.25"/>
  <cols>
    <col min="1" max="1" width="6.7109375" style="201" customWidth="1"/>
    <col min="2" max="2" width="20.7109375" style="201" customWidth="1"/>
    <col min="3" max="21" width="12.7109375" style="201" customWidth="1"/>
    <col min="22" max="27" width="12.7109375" style="189" customWidth="1"/>
    <col min="28" max="36" width="12.7109375" style="202" customWidth="1"/>
    <col min="37" max="37" width="10" style="202" bestFit="1" customWidth="1"/>
    <col min="38" max="38" width="12.7109375" style="202" customWidth="1"/>
    <col min="39" max="39" width="10" style="202" bestFit="1" customWidth="1"/>
    <col min="40" max="45" width="12.7109375" style="202" customWidth="1"/>
    <col min="46" max="48" width="10.140625" style="202" bestFit="1" customWidth="1"/>
    <col min="49" max="55" width="12.140625" style="202" customWidth="1"/>
    <col min="56" max="60" width="10.140625" style="202" bestFit="1" customWidth="1"/>
    <col min="61" max="16384" width="9.140625" style="202"/>
  </cols>
  <sheetData>
    <row r="1" spans="1:31" s="187" customFormat="1" ht="26.25" customHeight="1" thickBot="1" x14ac:dyDescent="0.3">
      <c r="A1" s="181" t="s">
        <v>51</v>
      </c>
      <c r="B1" s="182"/>
      <c r="C1" s="183"/>
      <c r="D1" s="182"/>
      <c r="E1" s="182"/>
      <c r="F1" s="182"/>
      <c r="G1" s="182"/>
      <c r="H1" s="182"/>
      <c r="I1" s="182"/>
      <c r="J1" s="182"/>
      <c r="K1" s="182"/>
      <c r="L1" s="182"/>
      <c r="M1" s="182"/>
      <c r="N1" s="182"/>
      <c r="O1" s="182"/>
      <c r="P1" s="182"/>
      <c r="Q1" s="182"/>
      <c r="R1" s="182"/>
      <c r="S1" s="182"/>
      <c r="T1" s="182"/>
      <c r="U1" s="182"/>
      <c r="V1" s="184"/>
      <c r="W1" s="184"/>
      <c r="X1" s="184"/>
      <c r="Y1" s="184"/>
      <c r="Z1" s="184"/>
      <c r="AA1" s="184"/>
      <c r="AB1" s="185"/>
      <c r="AC1" s="185"/>
      <c r="AD1" s="185"/>
      <c r="AE1" s="186"/>
    </row>
    <row r="2" spans="1:31" s="189" customFormat="1" ht="18.75" customHeight="1" thickBot="1" x14ac:dyDescent="0.3">
      <c r="A2" s="188"/>
      <c r="F2" s="190"/>
      <c r="G2" s="190"/>
      <c r="H2" s="190"/>
    </row>
    <row r="3" spans="1:31" s="189" customFormat="1" ht="26.25" customHeight="1" thickBot="1" x14ac:dyDescent="0.3">
      <c r="A3" s="687" t="s">
        <v>314</v>
      </c>
      <c r="B3" s="688"/>
      <c r="C3" s="1868" t="s">
        <v>436</v>
      </c>
      <c r="D3" s="1868"/>
      <c r="E3" s="1868"/>
      <c r="F3" s="1869"/>
      <c r="G3" s="1870"/>
      <c r="H3" s="190"/>
      <c r="L3" s="193"/>
      <c r="M3" s="194" t="s">
        <v>420</v>
      </c>
      <c r="N3" s="195"/>
      <c r="O3" s="195"/>
      <c r="P3" s="195"/>
      <c r="Q3" s="195"/>
      <c r="R3" s="195"/>
      <c r="S3" s="195"/>
      <c r="T3" s="195"/>
    </row>
    <row r="4" spans="1:31" s="212" customFormat="1" ht="19.5" customHeight="1" thickBot="1" x14ac:dyDescent="0.3">
      <c r="A4" s="689" t="s">
        <v>55</v>
      </c>
      <c r="B4" s="690"/>
      <c r="C4" s="691">
        <v>6</v>
      </c>
      <c r="D4" s="691">
        <v>10</v>
      </c>
      <c r="E4" s="692">
        <v>18</v>
      </c>
      <c r="F4" s="691" t="s">
        <v>188</v>
      </c>
      <c r="G4" s="693" t="s">
        <v>189</v>
      </c>
      <c r="H4" s="207"/>
      <c r="I4" s="207"/>
      <c r="L4" s="195"/>
      <c r="M4" s="194"/>
      <c r="N4" s="195"/>
      <c r="O4" s="195"/>
      <c r="P4" s="195"/>
      <c r="Q4" s="195"/>
      <c r="R4" s="195"/>
      <c r="S4" s="195"/>
      <c r="T4" s="195"/>
      <c r="AD4" s="189"/>
    </row>
    <row r="5" spans="1:31" ht="22.5" customHeight="1" x14ac:dyDescent="0.25">
      <c r="A5" s="188"/>
      <c r="C5" s="205"/>
      <c r="D5" s="205"/>
      <c r="E5" s="205"/>
      <c r="F5" s="205"/>
      <c r="G5" s="205"/>
      <c r="L5" s="210"/>
      <c r="M5" s="194" t="s">
        <v>421</v>
      </c>
      <c r="N5" s="195"/>
      <c r="O5" s="195"/>
      <c r="P5" s="195"/>
      <c r="Q5" s="195"/>
      <c r="R5" s="195"/>
      <c r="S5" s="195"/>
      <c r="T5" s="195"/>
      <c r="U5" s="189"/>
      <c r="Z5" s="202"/>
      <c r="AA5" s="202"/>
    </row>
    <row r="6" spans="1:31" ht="19.5" customHeight="1" thickBot="1" x14ac:dyDescent="0.3">
      <c r="A6" s="188" t="s">
        <v>532</v>
      </c>
      <c r="B6" s="203"/>
      <c r="C6" s="650"/>
      <c r="D6" s="651"/>
      <c r="E6" s="651"/>
      <c r="F6" s="652"/>
      <c r="G6" s="652"/>
      <c r="H6" s="207"/>
      <c r="I6" s="207"/>
      <c r="J6" s="208"/>
      <c r="K6" s="209"/>
      <c r="L6" s="214"/>
      <c r="M6" s="194"/>
      <c r="N6" s="195"/>
      <c r="O6" s="195"/>
      <c r="P6" s="195"/>
      <c r="Q6" s="195"/>
      <c r="R6" s="195"/>
      <c r="S6" s="195"/>
      <c r="T6" s="195"/>
      <c r="AD6" s="211"/>
    </row>
    <row r="7" spans="1:31" s="212" customFormat="1" ht="19.5" customHeight="1" thickBot="1" x14ac:dyDescent="0.3">
      <c r="A7" s="215" t="s">
        <v>240</v>
      </c>
      <c r="B7" s="216"/>
      <c r="C7" s="1815">
        <f>10^3</f>
        <v>1000</v>
      </c>
      <c r="D7" s="217"/>
      <c r="E7" s="217"/>
      <c r="F7" s="217"/>
      <c r="G7" s="218"/>
      <c r="H7" s="189"/>
      <c r="I7" s="189"/>
      <c r="L7" s="219"/>
      <c r="M7" s="194" t="s">
        <v>651</v>
      </c>
      <c r="N7" s="195"/>
      <c r="O7" s="195"/>
      <c r="P7" s="195"/>
      <c r="Q7" s="195"/>
      <c r="R7" s="195"/>
      <c r="S7" s="195"/>
      <c r="T7" s="195"/>
    </row>
    <row r="8" spans="1:31" s="212" customFormat="1" ht="19.5" customHeight="1" x14ac:dyDescent="0.25">
      <c r="A8" s="215" t="s">
        <v>122</v>
      </c>
      <c r="B8" s="216"/>
      <c r="C8" s="1816">
        <v>0.2</v>
      </c>
      <c r="D8" s="1816">
        <v>0.2</v>
      </c>
      <c r="E8" s="1818">
        <v>0.2</v>
      </c>
      <c r="F8" s="1816">
        <v>0.2</v>
      </c>
      <c r="G8" s="1819">
        <v>0.2</v>
      </c>
      <c r="J8" s="220"/>
      <c r="K8" s="220"/>
      <c r="L8" s="195"/>
      <c r="M8" s="194"/>
      <c r="N8" s="195"/>
      <c r="O8" s="195"/>
      <c r="P8" s="195"/>
      <c r="Q8" s="195"/>
      <c r="R8" s="195"/>
      <c r="S8" s="195"/>
      <c r="T8" s="195"/>
    </row>
    <row r="9" spans="1:31" s="212" customFormat="1" ht="19.5" customHeight="1" x14ac:dyDescent="0.25">
      <c r="A9" s="221" t="s">
        <v>123</v>
      </c>
      <c r="B9" s="222"/>
      <c r="C9" s="1817">
        <v>0.5</v>
      </c>
      <c r="D9" s="1817">
        <v>0.5</v>
      </c>
      <c r="E9" s="1820">
        <v>0.5</v>
      </c>
      <c r="F9" s="1817">
        <v>0.5</v>
      </c>
      <c r="G9" s="1821">
        <v>0.5</v>
      </c>
      <c r="H9" s="189"/>
      <c r="I9" s="189"/>
      <c r="J9" s="220"/>
      <c r="K9" s="220"/>
      <c r="L9" s="223"/>
      <c r="M9" s="194" t="s">
        <v>422</v>
      </c>
      <c r="N9" s="195"/>
      <c r="O9" s="195"/>
      <c r="P9" s="195"/>
      <c r="Q9" s="195"/>
      <c r="R9" s="195"/>
      <c r="S9" s="195"/>
      <c r="T9" s="195"/>
    </row>
    <row r="10" spans="1:31" s="212" customFormat="1" ht="19.5" customHeight="1" x14ac:dyDescent="0.25">
      <c r="A10" s="221" t="s">
        <v>124</v>
      </c>
      <c r="B10" s="222"/>
      <c r="C10" s="178">
        <f>1-C9</f>
        <v>0.5</v>
      </c>
      <c r="D10" s="178">
        <f>1-D9</f>
        <v>0.5</v>
      </c>
      <c r="E10" s="179">
        <f>1-E9</f>
        <v>0.5</v>
      </c>
      <c r="F10" s="178">
        <f>1-F9</f>
        <v>0.5</v>
      </c>
      <c r="G10" s="180">
        <f>1-G9</f>
        <v>0.5</v>
      </c>
      <c r="H10" s="189"/>
      <c r="I10" s="189"/>
      <c r="J10" s="220"/>
      <c r="K10" s="220"/>
      <c r="L10" s="195"/>
      <c r="M10" s="195"/>
      <c r="N10" s="195"/>
      <c r="O10" s="195"/>
      <c r="P10" s="195"/>
      <c r="Q10" s="195"/>
      <c r="R10" s="195"/>
      <c r="S10" s="195"/>
      <c r="T10" s="195"/>
      <c r="U10" s="222"/>
      <c r="V10" s="225"/>
      <c r="W10" s="225"/>
      <c r="X10" s="225"/>
      <c r="Y10" s="225"/>
      <c r="Z10" s="225"/>
      <c r="AA10" s="225"/>
      <c r="AB10" s="225"/>
      <c r="AC10" s="225"/>
    </row>
    <row r="11" spans="1:31" s="212" customFormat="1" ht="19.5" customHeight="1" thickBot="1" x14ac:dyDescent="0.3">
      <c r="A11" s="226" t="s">
        <v>125</v>
      </c>
      <c r="B11" s="227"/>
      <c r="C11" s="1822">
        <v>5</v>
      </c>
      <c r="D11" s="1822">
        <v>5</v>
      </c>
      <c r="E11" s="1823">
        <v>5</v>
      </c>
      <c r="F11" s="1822">
        <v>5</v>
      </c>
      <c r="G11" s="1824">
        <v>5</v>
      </c>
      <c r="H11" s="189"/>
      <c r="I11" s="189"/>
      <c r="J11" s="220"/>
      <c r="K11" s="220"/>
      <c r="L11" s="228"/>
      <c r="M11" s="194" t="s">
        <v>650</v>
      </c>
      <c r="N11" s="195"/>
      <c r="O11" s="195"/>
      <c r="P11" s="195"/>
      <c r="Q11" s="195"/>
      <c r="R11" s="195"/>
      <c r="S11" s="195"/>
      <c r="T11" s="195"/>
      <c r="U11" s="222"/>
      <c r="V11" s="225"/>
      <c r="W11" s="225"/>
      <c r="X11" s="225"/>
      <c r="Y11" s="225"/>
      <c r="Z11" s="225"/>
      <c r="AA11" s="225"/>
      <c r="AB11" s="225"/>
      <c r="AC11" s="225"/>
    </row>
    <row r="12" spans="1:31" s="212" customFormat="1" ht="22.5" customHeight="1" x14ac:dyDescent="0.25">
      <c r="A12" s="222"/>
      <c r="B12" s="222"/>
      <c r="C12" s="229"/>
      <c r="D12" s="229"/>
      <c r="E12" s="229"/>
      <c r="F12" s="229"/>
      <c r="G12" s="229"/>
      <c r="H12" s="189"/>
      <c r="I12" s="189"/>
      <c r="J12" s="220"/>
      <c r="K12" s="220"/>
      <c r="L12" s="195"/>
      <c r="M12" s="194"/>
      <c r="N12" s="195"/>
      <c r="O12" s="195"/>
      <c r="P12" s="195"/>
      <c r="Q12" s="195"/>
      <c r="R12" s="195"/>
      <c r="S12" s="195"/>
      <c r="T12" s="195"/>
      <c r="U12" s="222"/>
      <c r="V12" s="225"/>
      <c r="W12" s="225"/>
      <c r="X12" s="225"/>
      <c r="Y12" s="225"/>
      <c r="Z12" s="225"/>
      <c r="AA12" s="225"/>
      <c r="AB12" s="225"/>
      <c r="AC12" s="225"/>
    </row>
    <row r="13" spans="1:31" s="212" customFormat="1" ht="19.5" customHeight="1" thickBot="1" x14ac:dyDescent="0.3">
      <c r="A13" s="230" t="s">
        <v>429</v>
      </c>
      <c r="B13" s="222"/>
      <c r="C13" s="231"/>
      <c r="D13" s="231"/>
      <c r="E13" s="231"/>
      <c r="F13" s="231"/>
      <c r="G13" s="231"/>
      <c r="H13" s="189"/>
      <c r="I13" s="189"/>
      <c r="J13" s="220"/>
      <c r="K13" s="220"/>
      <c r="L13" s="232"/>
      <c r="M13" s="194" t="s">
        <v>649</v>
      </c>
      <c r="N13" s="222"/>
      <c r="O13" s="222"/>
      <c r="P13" s="225"/>
      <c r="Q13" s="222"/>
      <c r="R13" s="222"/>
      <c r="S13" s="222"/>
      <c r="T13" s="233"/>
      <c r="U13" s="222"/>
      <c r="V13" s="225"/>
      <c r="W13" s="225"/>
      <c r="X13" s="225"/>
      <c r="Y13" s="225"/>
      <c r="Z13" s="225"/>
      <c r="AA13" s="225"/>
      <c r="AB13" s="225"/>
      <c r="AC13" s="225"/>
    </row>
    <row r="14" spans="1:31" s="212" customFormat="1" ht="19.5" customHeight="1" x14ac:dyDescent="0.2">
      <c r="A14" s="215" t="s">
        <v>417</v>
      </c>
      <c r="B14" s="234"/>
      <c r="C14" s="1825">
        <v>0.04</v>
      </c>
      <c r="D14" s="1825">
        <v>0.04</v>
      </c>
      <c r="E14" s="1825">
        <v>0.04</v>
      </c>
      <c r="F14" s="1825">
        <v>0.04</v>
      </c>
      <c r="G14" s="1826">
        <v>0.04</v>
      </c>
      <c r="H14" s="189"/>
      <c r="I14" s="189"/>
      <c r="L14" s="235"/>
      <c r="M14" s="194"/>
    </row>
    <row r="15" spans="1:31" s="212" customFormat="1" ht="19.5" customHeight="1" thickBot="1" x14ac:dyDescent="0.25">
      <c r="A15" s="236" t="s">
        <v>121</v>
      </c>
      <c r="B15" s="237"/>
      <c r="C15" s="1827">
        <v>1E-3</v>
      </c>
      <c r="D15" s="238"/>
      <c r="E15" s="238"/>
      <c r="F15" s="238"/>
      <c r="G15" s="239"/>
      <c r="H15" s="189"/>
      <c r="I15" s="189"/>
      <c r="J15" s="240"/>
      <c r="K15" s="225"/>
      <c r="L15" s="241"/>
      <c r="M15" s="194" t="s">
        <v>423</v>
      </c>
      <c r="N15" s="225"/>
      <c r="O15" s="225"/>
      <c r="P15" s="225"/>
      <c r="AD15" s="242"/>
    </row>
    <row r="16" spans="1:31" s="212" customFormat="1" ht="19.5" customHeight="1" thickBot="1" x14ac:dyDescent="0.25">
      <c r="A16" s="226" t="s">
        <v>652</v>
      </c>
      <c r="B16" s="227"/>
      <c r="C16" s="1828">
        <v>0.85</v>
      </c>
      <c r="D16" s="243"/>
      <c r="E16" s="243"/>
      <c r="F16" s="243"/>
      <c r="G16" s="244"/>
      <c r="H16" s="189"/>
      <c r="I16" s="189"/>
      <c r="J16" s="240"/>
      <c r="K16" s="225"/>
      <c r="L16" s="235"/>
      <c r="M16" s="194"/>
      <c r="N16" s="225"/>
      <c r="O16" s="225"/>
      <c r="P16" s="225"/>
      <c r="AD16" s="242"/>
    </row>
    <row r="17" spans="1:29" s="212" customFormat="1" ht="19.5" customHeight="1" thickBot="1" x14ac:dyDescent="0.3">
      <c r="A17" s="245" t="s">
        <v>210</v>
      </c>
      <c r="B17" s="246"/>
      <c r="C17" s="1829">
        <v>1</v>
      </c>
      <c r="D17" s="1830">
        <v>1</v>
      </c>
      <c r="E17" s="1831">
        <v>1</v>
      </c>
      <c r="F17" s="1832">
        <v>1</v>
      </c>
      <c r="G17" s="1833">
        <v>1</v>
      </c>
      <c r="J17" s="220"/>
      <c r="K17" s="220"/>
      <c r="L17" s="222"/>
      <c r="M17" s="222"/>
      <c r="N17" s="222"/>
      <c r="O17" s="222"/>
      <c r="P17" s="57"/>
      <c r="Q17" s="222"/>
    </row>
    <row r="18" spans="1:29" s="212" customFormat="1" ht="22.5" customHeight="1" x14ac:dyDescent="0.25">
      <c r="A18" s="222"/>
      <c r="B18" s="222"/>
      <c r="C18" s="229"/>
      <c r="D18" s="229"/>
      <c r="E18" s="229"/>
      <c r="F18" s="229"/>
      <c r="G18" s="229"/>
      <c r="H18" s="189"/>
      <c r="I18" s="189"/>
      <c r="J18" s="220"/>
      <c r="K18" s="220"/>
      <c r="L18" s="222"/>
      <c r="M18" s="222"/>
      <c r="N18" s="222"/>
      <c r="O18" s="222"/>
      <c r="P18" s="225"/>
      <c r="Q18" s="222"/>
      <c r="R18" s="222"/>
      <c r="S18" s="222"/>
      <c r="T18" s="233"/>
      <c r="U18" s="222"/>
      <c r="V18" s="225"/>
      <c r="W18" s="225"/>
      <c r="X18" s="225"/>
      <c r="Y18" s="225"/>
      <c r="Z18" s="225"/>
      <c r="AA18" s="225"/>
      <c r="AB18" s="225"/>
      <c r="AC18" s="225"/>
    </row>
    <row r="19" spans="1:29" s="212" customFormat="1" ht="19.5" customHeight="1" thickBot="1" x14ac:dyDescent="0.3">
      <c r="A19" s="247" t="s">
        <v>419</v>
      </c>
      <c r="B19" s="222"/>
      <c r="C19" s="231"/>
      <c r="D19" s="231"/>
      <c r="E19" s="231"/>
      <c r="F19" s="231"/>
      <c r="G19" s="231"/>
      <c r="H19" s="189"/>
      <c r="I19" s="189"/>
      <c r="J19" s="220"/>
      <c r="K19" s="220"/>
      <c r="L19" s="222"/>
      <c r="M19" s="222"/>
      <c r="N19" s="222"/>
      <c r="O19" s="222"/>
      <c r="P19" s="225"/>
      <c r="Q19" s="222"/>
      <c r="R19" s="222"/>
      <c r="S19" s="222"/>
      <c r="T19" s="233"/>
      <c r="U19" s="222"/>
      <c r="V19" s="225"/>
      <c r="W19" s="225"/>
      <c r="X19" s="225"/>
      <c r="Y19" s="225"/>
      <c r="Z19" s="225"/>
      <c r="AA19" s="225"/>
      <c r="AB19" s="225"/>
      <c r="AC19" s="225"/>
    </row>
    <row r="20" spans="1:29" s="212" customFormat="1" ht="19.5" customHeight="1" x14ac:dyDescent="0.25">
      <c r="A20" s="248"/>
      <c r="B20" s="249"/>
      <c r="C20" s="250" t="s">
        <v>20</v>
      </c>
      <c r="D20" s="251"/>
      <c r="E20" s="251"/>
      <c r="F20" s="251"/>
      <c r="G20" s="252"/>
      <c r="H20" s="221"/>
      <c r="I20" s="222"/>
      <c r="J20" s="220"/>
      <c r="K20" s="220"/>
      <c r="L20" s="222"/>
      <c r="M20" s="222"/>
      <c r="N20" s="222"/>
      <c r="O20" s="222"/>
      <c r="P20" s="225"/>
      <c r="Q20" s="222"/>
      <c r="R20" s="222"/>
      <c r="S20" s="222"/>
      <c r="T20" s="233"/>
      <c r="U20" s="222"/>
      <c r="V20" s="225"/>
      <c r="W20" s="225"/>
      <c r="X20" s="225"/>
      <c r="Y20" s="225"/>
      <c r="Z20" s="225"/>
      <c r="AA20" s="225"/>
      <c r="AB20" s="225"/>
      <c r="AC20" s="225"/>
    </row>
    <row r="21" spans="1:29" s="212" customFormat="1" ht="19.5" customHeight="1" x14ac:dyDescent="0.25">
      <c r="A21" s="221"/>
      <c r="B21" s="253" t="s">
        <v>266</v>
      </c>
      <c r="C21" s="254">
        <f>VLOOKUP($C$4,'TVT''s afscherming'!$A$10:$J$23,2)</f>
        <v>37</v>
      </c>
      <c r="D21" s="255">
        <f>VLOOKUP($D$4,'TVT''s afscherming'!$A$10:$J$23,2)</f>
        <v>41</v>
      </c>
      <c r="E21" s="255">
        <f>VLOOKUP($E$4,'TVT''s afscherming'!$A$10:$J$23,2)</f>
        <v>45</v>
      </c>
      <c r="F21" s="255">
        <f>VLOOKUP($F$4,'TVT''s afscherming'!$A$10:$J$23,2)</f>
        <v>30</v>
      </c>
      <c r="G21" s="256">
        <f>VLOOKUP($G$4,'TVT''s afscherming'!$A$10:$J$23,2)</f>
        <v>36</v>
      </c>
      <c r="H21" s="221"/>
      <c r="I21" s="225"/>
      <c r="J21" s="220"/>
      <c r="K21" s="220"/>
      <c r="L21" s="222"/>
      <c r="M21" s="222"/>
      <c r="N21" s="222"/>
      <c r="O21" s="222"/>
      <c r="P21" s="225"/>
      <c r="Q21" s="222"/>
      <c r="R21" s="222"/>
      <c r="S21" s="222"/>
      <c r="T21" s="233"/>
      <c r="U21" s="222"/>
      <c r="V21" s="225"/>
      <c r="W21" s="225"/>
      <c r="X21" s="225"/>
      <c r="Y21" s="225"/>
      <c r="Z21" s="225"/>
      <c r="AA21" s="225"/>
      <c r="AB21" s="225"/>
      <c r="AC21" s="225"/>
    </row>
    <row r="22" spans="1:29" s="262" customFormat="1" ht="19.5" customHeight="1" x14ac:dyDescent="0.25">
      <c r="A22" s="257"/>
      <c r="B22" s="222" t="s">
        <v>267</v>
      </c>
      <c r="C22" s="258">
        <f>VLOOKUP($C$4,'TVT''s afscherming'!$A$10:$J$23,3)</f>
        <v>33</v>
      </c>
      <c r="D22" s="258">
        <f>VLOOKUP($D$4,'TVT''s afscherming'!$A$10:$J$23,3)</f>
        <v>37</v>
      </c>
      <c r="E22" s="258">
        <f>VLOOKUP($E$4,'TVT''s afscherming'!$A$10:$J$23,3)</f>
        <v>43</v>
      </c>
      <c r="F22" s="258">
        <f>VLOOKUP($F$4,'TVT''s afscherming'!$A$10:$J$23,3)</f>
        <v>27</v>
      </c>
      <c r="G22" s="259">
        <f>VLOOKUP($G$4,'TVT''s afscherming'!$A$10:$J$23,3)</f>
        <v>36</v>
      </c>
      <c r="H22" s="260"/>
      <c r="I22" s="261"/>
      <c r="J22" s="220"/>
      <c r="K22" s="220"/>
      <c r="L22" s="222"/>
      <c r="M22" s="222"/>
      <c r="N22" s="222"/>
      <c r="O22" s="222"/>
      <c r="P22" s="261"/>
      <c r="Q22" s="222"/>
      <c r="R22" s="222"/>
      <c r="S22" s="222"/>
      <c r="U22" s="222"/>
      <c r="V22" s="222"/>
      <c r="W22" s="222"/>
      <c r="X22" s="261"/>
      <c r="Y22" s="261"/>
      <c r="Z22" s="225"/>
      <c r="AA22" s="225"/>
      <c r="AB22" s="225"/>
      <c r="AC22" s="225"/>
    </row>
    <row r="23" spans="1:29" s="262" customFormat="1" ht="19.5" customHeight="1" x14ac:dyDescent="0.25">
      <c r="A23" s="221"/>
      <c r="B23" s="211" t="s">
        <v>61</v>
      </c>
      <c r="C23" s="263">
        <f>VLOOKUP($C$4,'TVT''s afscherming'!$A$10:$J$23,4)</f>
        <v>24.2</v>
      </c>
      <c r="D23" s="258">
        <f>VLOOKUP($D$4,'TVT''s afscherming'!$A$10:$J$23,4)</f>
        <v>27</v>
      </c>
      <c r="E23" s="258">
        <f>VLOOKUP($E$4,'TVT''s afscherming'!$A$10:$J$23,4)</f>
        <v>27</v>
      </c>
      <c r="F23" s="258">
        <f>VLOOKUP($F$4,'TVT''s afscherming'!$A$10:$J$23,4)</f>
        <v>19.7</v>
      </c>
      <c r="G23" s="259">
        <f>VLOOKUP($G$4,'TVT''s afscherming'!$A$10:$J$23,4)</f>
        <v>23.6</v>
      </c>
      <c r="H23" s="264"/>
      <c r="I23" s="261"/>
      <c r="J23" s="220"/>
      <c r="K23" s="220"/>
      <c r="L23" s="222"/>
      <c r="M23" s="222"/>
      <c r="N23" s="222"/>
      <c r="O23" s="222"/>
      <c r="P23" s="261"/>
      <c r="Q23" s="222"/>
      <c r="R23" s="222"/>
      <c r="S23" s="222"/>
      <c r="U23" s="222"/>
      <c r="V23" s="222"/>
      <c r="W23" s="222"/>
      <c r="X23" s="261"/>
      <c r="Y23" s="261"/>
      <c r="Z23" s="261"/>
      <c r="AA23" s="225"/>
      <c r="AB23" s="225"/>
      <c r="AC23" s="225"/>
    </row>
    <row r="24" spans="1:29" s="212" customFormat="1" ht="19.5" customHeight="1" x14ac:dyDescent="0.25">
      <c r="A24" s="221"/>
      <c r="B24" s="211" t="s">
        <v>3</v>
      </c>
      <c r="C24" s="263">
        <f>VLOOKUP($C$4,'TVT''s afscherming'!$A$10:$J$23,5)</f>
        <v>9.9</v>
      </c>
      <c r="D24" s="258">
        <f>VLOOKUP($D$4,'TVT''s afscherming'!$A$10:$J$23,5)</f>
        <v>10</v>
      </c>
      <c r="E24" s="258">
        <f>VLOOKUP($E$4,'TVT''s afscherming'!$A$10:$J$23,5)</f>
        <v>11</v>
      </c>
      <c r="F24" s="258">
        <f>VLOOKUP($F$4,'TVT''s afscherming'!$A$10:$J$23,5)</f>
        <v>10.199999999999999</v>
      </c>
      <c r="G24" s="259">
        <f>VLOOKUP($G$4,'TVT''s afscherming'!$A$10:$J$23,5)</f>
        <v>10.199999999999999</v>
      </c>
      <c r="H24" s="257"/>
      <c r="I24" s="225"/>
      <c r="J24" s="220"/>
      <c r="K24" s="220"/>
      <c r="L24" s="222"/>
      <c r="M24" s="222"/>
      <c r="N24" s="222"/>
      <c r="O24" s="261"/>
      <c r="P24" s="225"/>
      <c r="Q24" s="262"/>
      <c r="R24" s="262"/>
      <c r="S24" s="262"/>
      <c r="T24" s="233"/>
      <c r="U24" s="222"/>
      <c r="V24" s="265"/>
      <c r="W24" s="266"/>
      <c r="X24" s="225"/>
      <c r="Y24" s="225"/>
      <c r="Z24" s="261"/>
      <c r="AA24" s="225"/>
      <c r="AB24" s="225"/>
      <c r="AC24" s="225"/>
    </row>
    <row r="25" spans="1:29" s="212" customFormat="1" ht="19.5" customHeight="1" x14ac:dyDescent="0.25">
      <c r="A25" s="221"/>
      <c r="B25" s="211" t="s">
        <v>22</v>
      </c>
      <c r="C25" s="263">
        <f>VLOOKUP($C$4,'TVT''s afscherming'!$A$10:$J$23,6)</f>
        <v>5.7</v>
      </c>
      <c r="D25" s="258">
        <f>VLOOKUP($D$4,'TVT''s afscherming'!$A$10:$J$23,6)</f>
        <v>5.7</v>
      </c>
      <c r="E25" s="258">
        <f>VLOOKUP($E$4,'TVT''s afscherming'!$A$10:$J$23,6)</f>
        <v>5.6</v>
      </c>
      <c r="F25" s="258">
        <f>VLOOKUP($F$4,'TVT''s afscherming'!$A$10:$J$23,6)</f>
        <v>5.7</v>
      </c>
      <c r="G25" s="259">
        <f>VLOOKUP($G$4,'TVT''s afscherming'!$A$10:$J$23,6)</f>
        <v>5.7</v>
      </c>
      <c r="H25" s="257"/>
      <c r="I25" s="225"/>
      <c r="J25" s="267"/>
      <c r="K25" s="267"/>
      <c r="L25" s="222"/>
      <c r="M25" s="222"/>
      <c r="N25" s="222"/>
      <c r="O25" s="261"/>
      <c r="P25" s="225"/>
      <c r="Q25" s="262"/>
      <c r="R25" s="262"/>
      <c r="S25" s="262"/>
      <c r="U25" s="222"/>
      <c r="V25" s="222"/>
      <c r="W25" s="222"/>
      <c r="X25" s="225"/>
      <c r="Y25" s="225"/>
      <c r="Z25" s="225"/>
      <c r="AA25" s="225"/>
      <c r="AB25" s="225"/>
      <c r="AC25" s="225"/>
    </row>
    <row r="26" spans="1:29" s="212" customFormat="1" ht="19.5" customHeight="1" x14ac:dyDescent="0.25">
      <c r="A26" s="257"/>
      <c r="B26" s="268"/>
      <c r="C26" s="269" t="s">
        <v>139</v>
      </c>
      <c r="D26" s="270"/>
      <c r="E26" s="270"/>
      <c r="F26" s="270"/>
      <c r="G26" s="271"/>
      <c r="H26" s="257"/>
      <c r="I26" s="225"/>
      <c r="J26" s="240"/>
      <c r="K26" s="225"/>
      <c r="L26" s="225"/>
      <c r="M26" s="225"/>
      <c r="N26" s="225"/>
      <c r="O26" s="225"/>
      <c r="P26" s="225"/>
      <c r="Q26" s="225"/>
      <c r="S26" s="222"/>
      <c r="U26" s="222"/>
      <c r="V26" s="222"/>
      <c r="W26" s="222"/>
      <c r="X26" s="225"/>
      <c r="Y26" s="225"/>
      <c r="Z26" s="225"/>
      <c r="AA26" s="225"/>
      <c r="AB26" s="225"/>
      <c r="AC26" s="225"/>
    </row>
    <row r="27" spans="1:29" s="212" customFormat="1" ht="19.5" customHeight="1" x14ac:dyDescent="0.25">
      <c r="A27" s="257"/>
      <c r="B27" s="253" t="s">
        <v>2</v>
      </c>
      <c r="C27" s="254">
        <f>VLOOKUP($C$4,'TVT''s afscherming'!$A$10:$J$23,7)</f>
        <v>34</v>
      </c>
      <c r="D27" s="254">
        <f>VLOOKUP($D$4,'TVT''s afscherming'!$A$10:$J$23,7)</f>
        <v>38</v>
      </c>
      <c r="E27" s="255">
        <f>VLOOKUP($E$4,'TVT''s afscherming'!$A$10:$J$23,7)</f>
        <v>44</v>
      </c>
      <c r="F27" s="254">
        <f>VLOOKUP($F$4,'TVT''s afscherming'!$A$10:$J$23,7)</f>
        <v>30.5</v>
      </c>
      <c r="G27" s="256">
        <f>VLOOKUP($G$4,'TVT''s afscherming'!$A$10:$J$23,7)</f>
        <v>35.6</v>
      </c>
      <c r="H27" s="257"/>
      <c r="I27" s="225"/>
      <c r="J27" s="272"/>
      <c r="K27" s="272"/>
      <c r="L27" s="222"/>
      <c r="M27" s="222"/>
      <c r="N27" s="222"/>
      <c r="O27" s="222"/>
      <c r="P27" s="225"/>
      <c r="Q27" s="222"/>
      <c r="U27" s="222"/>
      <c r="V27" s="225"/>
      <c r="W27" s="225"/>
      <c r="X27" s="225"/>
      <c r="Y27" s="225"/>
      <c r="Z27" s="225"/>
      <c r="AA27" s="261"/>
      <c r="AB27" s="261"/>
      <c r="AC27" s="261"/>
    </row>
    <row r="28" spans="1:29" s="212" customFormat="1" ht="19.5" customHeight="1" x14ac:dyDescent="0.25">
      <c r="A28" s="257"/>
      <c r="B28" s="211" t="s">
        <v>61</v>
      </c>
      <c r="C28" s="263">
        <f>VLOOKUP($C$4,'TVT''s afscherming'!$A$10:$J$23,8)</f>
        <v>20</v>
      </c>
      <c r="D28" s="263">
        <f>VLOOKUP($D$4,'TVT''s afscherming'!$A$10:$J$23,8)</f>
        <v>24</v>
      </c>
      <c r="E28" s="258">
        <f>VLOOKUP($E$4,'TVT''s afscherming'!$A$10:$J$23,8)</f>
        <v>26.8</v>
      </c>
      <c r="F28" s="263">
        <f>VLOOKUP($F$4,'TVT''s afscherming'!$A$10:$J$23,8)</f>
        <v>20.3</v>
      </c>
      <c r="G28" s="259">
        <f>VLOOKUP($G$4,'TVT''s afscherming'!$A$10:$J$23,8)</f>
        <v>23.7</v>
      </c>
      <c r="J28" s="272"/>
      <c r="K28" s="272"/>
      <c r="L28" s="222"/>
      <c r="M28" s="222"/>
      <c r="N28" s="222"/>
      <c r="O28" s="222"/>
      <c r="P28" s="225"/>
      <c r="Q28" s="222"/>
      <c r="U28" s="222"/>
      <c r="V28" s="222"/>
      <c r="W28" s="222"/>
      <c r="X28" s="222"/>
    </row>
    <row r="29" spans="1:29" s="212" customFormat="1" ht="19.5" customHeight="1" x14ac:dyDescent="0.25">
      <c r="A29" s="257"/>
      <c r="B29" s="211" t="s">
        <v>3</v>
      </c>
      <c r="C29" s="263">
        <f>VLOOKUP($C$4,'TVT''s afscherming'!$A$10:$J$23,9)</f>
        <v>9.9</v>
      </c>
      <c r="D29" s="263">
        <f>VLOOKUP($D$4,'TVT''s afscherming'!$A$10:$J$23,9)</f>
        <v>10</v>
      </c>
      <c r="E29" s="258">
        <f>VLOOKUP($E$4,'TVT''s afscherming'!$A$10:$J$23,9)</f>
        <v>11</v>
      </c>
      <c r="F29" s="263">
        <f>VLOOKUP($F$4,'TVT''s afscherming'!$A$10:$J$23,9)</f>
        <v>10.199999999999999</v>
      </c>
      <c r="G29" s="259">
        <f>VLOOKUP($G$4,'TVT''s afscherming'!$A$10:$J$23,9)</f>
        <v>10.7</v>
      </c>
      <c r="I29" s="211"/>
      <c r="J29" s="272"/>
      <c r="K29" s="272"/>
      <c r="L29" s="222"/>
      <c r="M29" s="222"/>
      <c r="N29" s="222"/>
      <c r="O29" s="222"/>
      <c r="P29" s="225"/>
      <c r="Q29" s="222"/>
      <c r="U29" s="222"/>
      <c r="V29" s="222"/>
      <c r="W29" s="222"/>
      <c r="X29" s="222"/>
    </row>
    <row r="30" spans="1:29" s="212" customFormat="1" ht="19.5" customHeight="1" thickBot="1" x14ac:dyDescent="0.3">
      <c r="A30" s="273"/>
      <c r="B30" s="274" t="s">
        <v>22</v>
      </c>
      <c r="C30" s="275">
        <f>VLOOKUP($C$4,'TVT''s afscherming'!$A$10:$J$23,10)</f>
        <v>5.7</v>
      </c>
      <c r="D30" s="275">
        <f>VLOOKUP($D$4,'TVT''s afscherming'!$A$10:$J$23,10)</f>
        <v>5.7</v>
      </c>
      <c r="E30" s="276">
        <f>VLOOKUP($E$4,'TVT''s afscherming'!$A$10:$J$23,10)</f>
        <v>5.6</v>
      </c>
      <c r="F30" s="275">
        <f>VLOOKUP($F$4,'TVT''s afscherming'!$A$10:$J$23,10)</f>
        <v>5</v>
      </c>
      <c r="G30" s="277">
        <f>VLOOKUP($G$4,'TVT''s afscherming'!$A$10:$J$23,10)</f>
        <v>5.7</v>
      </c>
      <c r="J30" s="272"/>
      <c r="K30" s="272"/>
      <c r="L30" s="222"/>
      <c r="M30" s="222"/>
      <c r="N30" s="222"/>
      <c r="O30" s="222"/>
      <c r="P30" s="225"/>
      <c r="Q30" s="222"/>
      <c r="T30" s="222"/>
      <c r="U30" s="242"/>
      <c r="V30" s="222"/>
      <c r="W30" s="222"/>
      <c r="X30" s="222"/>
      <c r="Y30" s="222"/>
    </row>
    <row r="31" spans="1:29" s="212" customFormat="1" ht="19.5" customHeight="1" x14ac:dyDescent="0.25">
      <c r="A31" s="222"/>
      <c r="J31" s="272"/>
      <c r="K31" s="272"/>
      <c r="L31" s="222"/>
      <c r="M31" s="222"/>
      <c r="N31" s="222"/>
      <c r="O31" s="222"/>
      <c r="P31" s="225"/>
      <c r="Q31" s="222"/>
      <c r="T31" s="222"/>
      <c r="U31" s="242"/>
      <c r="V31" s="222"/>
      <c r="W31" s="222"/>
      <c r="X31" s="222"/>
      <c r="Y31" s="222"/>
    </row>
    <row r="32" spans="1:29" s="212" customFormat="1" ht="22.5" customHeight="1" x14ac:dyDescent="0.25">
      <c r="T32" s="222"/>
      <c r="U32" s="233"/>
      <c r="V32" s="233"/>
      <c r="W32" s="222"/>
      <c r="X32" s="222"/>
      <c r="Y32" s="222"/>
    </row>
    <row r="33" spans="1:52" s="212" customFormat="1" ht="22.5" customHeight="1" x14ac:dyDescent="0.25">
      <c r="I33" s="189"/>
      <c r="T33" s="222"/>
      <c r="U33" s="233"/>
      <c r="V33" s="233"/>
      <c r="W33" s="222"/>
      <c r="X33" s="222"/>
      <c r="Y33" s="222"/>
    </row>
    <row r="34" spans="1:52" ht="19.5" customHeight="1" thickBot="1" x14ac:dyDescent="0.3">
      <c r="A34" s="283" t="s">
        <v>506</v>
      </c>
      <c r="B34" s="284"/>
      <c r="C34" s="284"/>
      <c r="D34" s="280"/>
      <c r="L34" s="289"/>
      <c r="M34" s="290"/>
      <c r="N34" s="290"/>
      <c r="O34" s="290"/>
      <c r="P34" s="290"/>
      <c r="Q34" s="290"/>
      <c r="R34" s="290"/>
      <c r="S34" s="290"/>
      <c r="T34" s="290"/>
      <c r="U34" s="290"/>
      <c r="V34" s="290"/>
      <c r="W34" s="290"/>
      <c r="X34" s="290"/>
      <c r="AB34" s="189"/>
      <c r="AF34" s="281"/>
      <c r="AG34" s="281"/>
      <c r="AH34" s="282"/>
      <c r="AI34" s="282"/>
    </row>
    <row r="35" spans="1:52" s="212" customFormat="1" ht="19.5" customHeight="1" x14ac:dyDescent="0.25">
      <c r="J35" s="653"/>
      <c r="K35" s="292">
        <f>$C$4</f>
        <v>6</v>
      </c>
      <c r="L35" s="293"/>
      <c r="M35" s="294"/>
      <c r="N35" s="292">
        <f>$D$4</f>
        <v>10</v>
      </c>
      <c r="O35" s="293"/>
      <c r="P35" s="294"/>
      <c r="Q35" s="292">
        <f>$E$4</f>
        <v>18</v>
      </c>
      <c r="R35" s="293"/>
      <c r="S35" s="294"/>
      <c r="T35" s="292" t="str">
        <f>$F$4</f>
        <v>6 FFF</v>
      </c>
      <c r="U35" s="293"/>
      <c r="V35" s="294"/>
      <c r="W35" s="292" t="str">
        <f>$G$4</f>
        <v>10 FFF</v>
      </c>
      <c r="X35" s="295"/>
      <c r="Y35" s="296"/>
      <c r="Z35" s="297" t="s">
        <v>16</v>
      </c>
      <c r="AA35" s="298"/>
      <c r="AB35" s="257"/>
      <c r="AC35" s="225"/>
      <c r="AG35" s="299"/>
      <c r="AH35" s="299"/>
      <c r="AI35" s="299"/>
      <c r="AJ35" s="299"/>
      <c r="AK35" s="299"/>
      <c r="AL35" s="299"/>
      <c r="AP35" s="222"/>
      <c r="AQ35" s="211"/>
      <c r="AR35" s="266"/>
      <c r="AS35" s="222"/>
      <c r="AT35" s="187"/>
      <c r="AU35" s="187"/>
      <c r="AV35" s="187"/>
      <c r="AW35" s="187"/>
      <c r="AX35" s="187"/>
      <c r="AY35" s="300"/>
      <c r="AZ35" s="300"/>
    </row>
    <row r="36" spans="1:52" s="212" customFormat="1" ht="19.5" customHeight="1" x14ac:dyDescent="0.25">
      <c r="A36" s="301" t="s">
        <v>50</v>
      </c>
      <c r="B36" s="301" t="s">
        <v>15</v>
      </c>
      <c r="C36" s="302" t="s">
        <v>25</v>
      </c>
      <c r="D36" s="302" t="s">
        <v>158</v>
      </c>
      <c r="E36" s="301" t="s">
        <v>524</v>
      </c>
      <c r="F36" s="303"/>
      <c r="G36" s="304" t="s">
        <v>77</v>
      </c>
      <c r="H36" s="305"/>
      <c r="I36" s="306"/>
      <c r="J36" s="301" t="s">
        <v>86</v>
      </c>
      <c r="K36" s="301" t="s">
        <v>206</v>
      </c>
      <c r="L36" s="301" t="s">
        <v>16</v>
      </c>
      <c r="M36" s="301" t="s">
        <v>86</v>
      </c>
      <c r="N36" s="301" t="s">
        <v>206</v>
      </c>
      <c r="O36" s="301" t="s">
        <v>16</v>
      </c>
      <c r="P36" s="301" t="s">
        <v>86</v>
      </c>
      <c r="Q36" s="301" t="s">
        <v>206</v>
      </c>
      <c r="R36" s="301" t="s">
        <v>16</v>
      </c>
      <c r="S36" s="301" t="s">
        <v>86</v>
      </c>
      <c r="T36" s="301" t="s">
        <v>206</v>
      </c>
      <c r="U36" s="301" t="s">
        <v>16</v>
      </c>
      <c r="V36" s="301" t="s">
        <v>86</v>
      </c>
      <c r="W36" s="301" t="s">
        <v>206</v>
      </c>
      <c r="X36" s="301" t="s">
        <v>16</v>
      </c>
      <c r="Y36" s="307" t="s">
        <v>23</v>
      </c>
      <c r="Z36" s="308" t="s">
        <v>11</v>
      </c>
      <c r="AA36" s="309" t="s">
        <v>11</v>
      </c>
      <c r="AG36" s="310"/>
      <c r="AH36" s="310"/>
      <c r="AI36" s="310"/>
      <c r="AJ36" s="310"/>
      <c r="AK36" s="310"/>
      <c r="AL36" s="310"/>
      <c r="AP36" s="222"/>
      <c r="AQ36" s="211"/>
      <c r="AR36" s="242"/>
      <c r="AS36" s="222"/>
      <c r="AT36" s="225"/>
      <c r="AU36" s="225"/>
      <c r="AV36" s="311"/>
      <c r="AW36" s="225"/>
      <c r="AX36" s="225"/>
      <c r="AY36" s="300"/>
      <c r="AZ36" s="300"/>
    </row>
    <row r="37" spans="1:52" s="212" customFormat="1" ht="19.5" customHeight="1" thickBot="1" x14ac:dyDescent="0.3">
      <c r="A37" s="308"/>
      <c r="B37" s="308"/>
      <c r="C37" s="313"/>
      <c r="D37" s="313" t="s">
        <v>383</v>
      </c>
      <c r="E37" s="312" t="s">
        <v>528</v>
      </c>
      <c r="F37" s="312" t="s">
        <v>1</v>
      </c>
      <c r="G37" s="312" t="s">
        <v>61</v>
      </c>
      <c r="H37" s="312" t="s">
        <v>3</v>
      </c>
      <c r="I37" s="312" t="s">
        <v>22</v>
      </c>
      <c r="J37" s="314" t="s">
        <v>208</v>
      </c>
      <c r="K37" s="314" t="s">
        <v>207</v>
      </c>
      <c r="L37" s="315" t="s">
        <v>174</v>
      </c>
      <c r="M37" s="314" t="s">
        <v>208</v>
      </c>
      <c r="N37" s="314" t="s">
        <v>207</v>
      </c>
      <c r="O37" s="315" t="s">
        <v>174</v>
      </c>
      <c r="P37" s="314" t="s">
        <v>208</v>
      </c>
      <c r="Q37" s="314" t="s">
        <v>207</v>
      </c>
      <c r="R37" s="315" t="s">
        <v>174</v>
      </c>
      <c r="S37" s="314" t="s">
        <v>208</v>
      </c>
      <c r="T37" s="314" t="s">
        <v>207</v>
      </c>
      <c r="U37" s="315" t="s">
        <v>174</v>
      </c>
      <c r="V37" s="314" t="s">
        <v>208</v>
      </c>
      <c r="W37" s="314" t="s">
        <v>207</v>
      </c>
      <c r="X37" s="315" t="s">
        <v>174</v>
      </c>
      <c r="Y37" s="316" t="s">
        <v>173</v>
      </c>
      <c r="Z37" s="179" t="s">
        <v>173</v>
      </c>
      <c r="AA37" s="309" t="s">
        <v>166</v>
      </c>
      <c r="AG37" s="310"/>
      <c r="AH37" s="310"/>
      <c r="AI37" s="310"/>
      <c r="AJ37" s="310"/>
      <c r="AK37" s="310"/>
      <c r="AL37" s="310"/>
      <c r="AP37" s="222"/>
      <c r="AQ37" s="211"/>
      <c r="AR37" s="222"/>
      <c r="AS37" s="222"/>
      <c r="AT37" s="225"/>
      <c r="AU37" s="225"/>
      <c r="AV37" s="225"/>
      <c r="AW37" s="225"/>
      <c r="AX37" s="225"/>
      <c r="AY37" s="300"/>
      <c r="AZ37" s="300"/>
    </row>
    <row r="38" spans="1:52" s="212" customFormat="1" ht="19.5" hidden="1" customHeight="1" thickBot="1" x14ac:dyDescent="0.3">
      <c r="A38" s="694"/>
      <c r="B38" s="694"/>
      <c r="C38" s="695"/>
      <c r="D38" s="695"/>
      <c r="E38" s="694"/>
      <c r="F38" s="694"/>
      <c r="G38" s="694"/>
      <c r="H38" s="694"/>
      <c r="I38" s="694"/>
      <c r="J38" s="97"/>
      <c r="K38" s="97"/>
      <c r="L38" s="58"/>
      <c r="M38" s="97"/>
      <c r="N38" s="97"/>
      <c r="O38" s="58"/>
      <c r="P38" s="97"/>
      <c r="Q38" s="97"/>
      <c r="R38" s="58"/>
      <c r="S38" s="97"/>
      <c r="T38" s="97"/>
      <c r="U38" s="58"/>
      <c r="V38" s="97"/>
      <c r="W38" s="97"/>
      <c r="X38" s="90"/>
      <c r="Y38" s="319"/>
      <c r="Z38" s="320"/>
      <c r="AA38" s="321"/>
      <c r="AG38" s="310"/>
      <c r="AH38" s="310"/>
      <c r="AI38" s="310"/>
      <c r="AJ38" s="310"/>
      <c r="AK38" s="310"/>
      <c r="AL38" s="310"/>
      <c r="AP38" s="222"/>
      <c r="AQ38" s="211"/>
      <c r="AR38" s="222"/>
      <c r="AS38" s="222"/>
      <c r="AT38" s="225"/>
      <c r="AU38" s="225"/>
      <c r="AV38" s="225"/>
      <c r="AW38" s="225"/>
      <c r="AX38" s="225"/>
      <c r="AY38" s="300"/>
      <c r="AZ38" s="300"/>
    </row>
    <row r="39" spans="1:52" s="212" customFormat="1" ht="30" customHeight="1" x14ac:dyDescent="0.25">
      <c r="A39" s="322"/>
      <c r="B39" s="322"/>
      <c r="C39" s="323" t="s">
        <v>569</v>
      </c>
      <c r="D39" s="1834">
        <v>6</v>
      </c>
      <c r="E39" s="1834">
        <v>1</v>
      </c>
      <c r="F39" s="1834">
        <v>250</v>
      </c>
      <c r="G39" s="1834">
        <v>0</v>
      </c>
      <c r="H39" s="1834">
        <v>0</v>
      </c>
      <c r="I39" s="1835">
        <v>0</v>
      </c>
      <c r="J39" s="91">
        <f>IF($F39=0,0,1+($F39-$C$21)/$C$22)+$G39/$C$23+$H39/$C$24+$I39/$C$25</f>
        <v>7.4545454545454541</v>
      </c>
      <c r="K39" s="97">
        <f t="shared" ref="K39:K85" si="0">10^(-J39)</f>
        <v>3.5111917342151263E-8</v>
      </c>
      <c r="L39" s="91">
        <f>($C$7*$C$14*$C$8*$E39/$D39^2*K39*10^6)</f>
        <v>7.8026482982558355E-3</v>
      </c>
      <c r="M39" s="91">
        <f>IF($F39=0,0,1+($F39-$D$21)/$D$22)+$G39/$D$23+$H39/$D$24+$I39/$D$25</f>
        <v>6.6486486486486482</v>
      </c>
      <c r="N39" s="97">
        <f t="shared" ref="N39:N85" si="1">10^(-M39)</f>
        <v>2.2456979955397711E-7</v>
      </c>
      <c r="O39" s="91">
        <f>($C$7*$D$14*$D$8*$E39/$D39^2*N39*10^6)</f>
        <v>4.99043999008838E-2</v>
      </c>
      <c r="P39" s="91">
        <f>IF($F39=0,0,1+($F39-$E$21)/$E$22)+$G39/$E$23+$H39/$E$24+$I39/$E$25</f>
        <v>5.7674418604651159</v>
      </c>
      <c r="Q39" s="97">
        <f t="shared" ref="Q39:Q85" si="2">10^(-P39)</f>
        <v>1.7082763938087111E-6</v>
      </c>
      <c r="R39" s="91">
        <f>($C$7*$E$14*$E$8*$E39/$D39^2*Q39*10^6)</f>
        <v>0.37961697640193576</v>
      </c>
      <c r="S39" s="91">
        <f>IF($F39=0,0,1+($F39-$F$21)/$F$22)+$G39/$F$23+$H39/$F$24+$I39/$F$25</f>
        <v>9.1481481481481488</v>
      </c>
      <c r="T39" s="97">
        <f t="shared" ref="T39:T85" si="3">10^(-S39)</f>
        <v>7.1097094323124171E-10</v>
      </c>
      <c r="U39" s="91">
        <f>($C$7*$F$14*$F$8*$E39/$D39^2*T39*10^6)</f>
        <v>1.5799354294027593E-4</v>
      </c>
      <c r="V39" s="91">
        <f>IF($F39=0,0,1+($F39-$G$21)/$G$22)+$G39/$G$23+$H39/$G$24+$I39/$G$25</f>
        <v>6.9444444444444446</v>
      </c>
      <c r="W39" s="97">
        <f t="shared" ref="W39:W85" si="4">10^(-V39)</f>
        <v>1.136463666385722E-7</v>
      </c>
      <c r="X39" s="76">
        <f>($C$7*$G$14*$G$8*$E39/$D39^2*W39*10^6)</f>
        <v>2.5254748141904933E-2</v>
      </c>
      <c r="Y39" s="654">
        <f t="shared" ref="Y39:Y49" si="5">SUM(L39,O39,R39,U39,X39)</f>
        <v>0.46273676628592059</v>
      </c>
      <c r="Z39" s="325"/>
      <c r="AA39" s="326"/>
      <c r="AG39" s="328"/>
      <c r="AI39" s="328"/>
      <c r="AJ39" s="328"/>
      <c r="AK39" s="328"/>
      <c r="AL39" s="328"/>
      <c r="AP39" s="222"/>
      <c r="AQ39" s="211"/>
      <c r="AR39" s="222"/>
      <c r="AS39" s="222"/>
      <c r="AT39" s="225"/>
      <c r="AU39" s="225"/>
      <c r="AV39" s="225"/>
      <c r="AW39" s="225"/>
      <c r="AX39" s="225"/>
      <c r="AY39" s="300"/>
      <c r="AZ39" s="300"/>
    </row>
    <row r="40" spans="1:52" s="212" customFormat="1" ht="30" customHeight="1" thickBot="1" x14ac:dyDescent="0.3">
      <c r="A40" s="329" t="str">
        <f>Samenvatting!A13</f>
        <v>B1</v>
      </c>
      <c r="B40" s="330" t="str">
        <f>Samenvatting!B13</f>
        <v>bedieningsruimte Linac 1</v>
      </c>
      <c r="C40" s="331" t="s">
        <v>568</v>
      </c>
      <c r="D40" s="1836">
        <v>5</v>
      </c>
      <c r="E40" s="89"/>
      <c r="F40" s="1834">
        <v>250</v>
      </c>
      <c r="G40" s="1834">
        <v>0</v>
      </c>
      <c r="H40" s="1834">
        <v>0</v>
      </c>
      <c r="I40" s="1835">
        <v>0</v>
      </c>
      <c r="J40" s="91">
        <f>$F40/$C$27+$G40/$C$28+$H40/$C$29+$I40/$C$30</f>
        <v>7.3529411764705879</v>
      </c>
      <c r="K40" s="97">
        <f t="shared" si="0"/>
        <v>4.4366873309786093E-8</v>
      </c>
      <c r="L40" s="91">
        <f>($C$7*$C$15*$C$8*($C$9+$C$10*$C$11)/$D40^2*K40*10^6)</f>
        <v>1.0648049594348663E-3</v>
      </c>
      <c r="M40" s="91">
        <f>$F40/$D$27+$G40/$D$28+$H40/$D$29+$I40/$D$30</f>
        <v>6.5789473684210522</v>
      </c>
      <c r="N40" s="97">
        <f t="shared" si="1"/>
        <v>2.636650898730358E-7</v>
      </c>
      <c r="O40" s="91">
        <f>($C$7*$C$15*$D$8*($D$9+$D$10*$D$11)/$D40^2*N40*10^6)</f>
        <v>6.3279621569528599E-3</v>
      </c>
      <c r="P40" s="91">
        <f>$F40/$E$27+$G40/$E$28+$H40/$E$29+$I40/$E$30</f>
        <v>5.6818181818181817</v>
      </c>
      <c r="Q40" s="97">
        <f t="shared" si="2"/>
        <v>2.0805675382171676E-6</v>
      </c>
      <c r="R40" s="91">
        <f>($C$7*$C$15*$E$8*($E$9+$E$10*$E$11)/$D40^2*Q40*10^6)</f>
        <v>4.9933620917212027E-2</v>
      </c>
      <c r="S40" s="91">
        <f>$F40/$F$27+$G40/$F$28+$H40/$F$29+$I40/$F$30</f>
        <v>8.1967213114754092</v>
      </c>
      <c r="T40" s="97">
        <f t="shared" si="3"/>
        <v>6.3573875711648393E-9</v>
      </c>
      <c r="U40" s="91">
        <f>($C$7*$C$15*$F$8*($F$9+$F$10*$F$11)/$D40^2*T40*10^6)</f>
        <v>1.5257730170795616E-4</v>
      </c>
      <c r="V40" s="91">
        <f>$F40/$G$27+$G40/$G$28+$H40/$G$29+$I40/$G$30</f>
        <v>7.0224719101123592</v>
      </c>
      <c r="W40" s="97">
        <f t="shared" si="4"/>
        <v>9.4957241494880226E-8</v>
      </c>
      <c r="X40" s="76">
        <f>($C$7*$C$15*$G$8*($G$9+$G$10*$G$11)/$D40^2*W40*10^6)</f>
        <v>2.278973795877126E-3</v>
      </c>
      <c r="Y40" s="655">
        <f t="shared" si="5"/>
        <v>5.9757939131184837E-2</v>
      </c>
      <c r="Z40" s="333">
        <f>SUM(Y38:Y41)</f>
        <v>0.52249470541710541</v>
      </c>
      <c r="AA40" s="334">
        <f>Z40*52/10^3</f>
        <v>2.7169724681689482E-2</v>
      </c>
      <c r="AG40" s="328"/>
      <c r="AH40" s="328"/>
      <c r="AI40" s="328"/>
      <c r="AJ40" s="328"/>
      <c r="AK40" s="328"/>
      <c r="AL40" s="328"/>
      <c r="AP40" s="222"/>
      <c r="AQ40" s="211"/>
      <c r="AR40" s="222"/>
      <c r="AS40" s="222"/>
      <c r="AT40" s="225"/>
      <c r="AU40" s="225"/>
      <c r="AV40" s="225"/>
      <c r="AW40" s="225"/>
      <c r="AX40" s="225"/>
      <c r="AY40" s="300"/>
      <c r="AZ40" s="300"/>
    </row>
    <row r="41" spans="1:52" s="212" customFormat="1" ht="30" hidden="1" customHeight="1" thickBot="1" x14ac:dyDescent="0.3">
      <c r="A41" s="317"/>
      <c r="B41" s="317"/>
      <c r="C41" s="318"/>
      <c r="D41" s="1838"/>
      <c r="E41" s="1839"/>
      <c r="F41" s="1839"/>
      <c r="G41" s="1839"/>
      <c r="H41" s="1839"/>
      <c r="I41" s="1839"/>
      <c r="J41" s="91"/>
      <c r="K41" s="97"/>
      <c r="L41" s="91"/>
      <c r="M41" s="91"/>
      <c r="N41" s="97"/>
      <c r="O41" s="91"/>
      <c r="P41" s="91"/>
      <c r="Q41" s="97"/>
      <c r="R41" s="91"/>
      <c r="S41" s="91"/>
      <c r="T41" s="97"/>
      <c r="U41" s="91"/>
      <c r="V41" s="91"/>
      <c r="W41" s="97"/>
      <c r="X41" s="76"/>
      <c r="Y41" s="335"/>
      <c r="Z41" s="336"/>
      <c r="AA41" s="309"/>
      <c r="AG41" s="328"/>
      <c r="AH41" s="328"/>
      <c r="AI41" s="328"/>
      <c r="AJ41" s="328"/>
      <c r="AK41" s="328"/>
      <c r="AL41" s="328"/>
      <c r="AP41" s="222"/>
      <c r="AQ41" s="211"/>
      <c r="AR41" s="222"/>
      <c r="AS41" s="222"/>
      <c r="AT41" s="225"/>
      <c r="AU41" s="225"/>
      <c r="AV41" s="225"/>
      <c r="AW41" s="225"/>
      <c r="AX41" s="225"/>
      <c r="AY41" s="300"/>
      <c r="AZ41" s="300"/>
    </row>
    <row r="42" spans="1:52" s="212" customFormat="1" ht="30" customHeight="1" x14ac:dyDescent="0.25">
      <c r="A42" s="322"/>
      <c r="B42" s="322"/>
      <c r="C42" s="323" t="s">
        <v>569</v>
      </c>
      <c r="D42" s="1840">
        <v>6</v>
      </c>
      <c r="E42" s="1840">
        <v>1</v>
      </c>
      <c r="F42" s="1834">
        <v>250</v>
      </c>
      <c r="G42" s="1834">
        <v>0</v>
      </c>
      <c r="H42" s="1834">
        <v>0</v>
      </c>
      <c r="I42" s="1835">
        <v>0</v>
      </c>
      <c r="J42" s="91">
        <f>IF($F42=0,0,1+($F42-$C$21)/$C$22)+$G42/$C$23+$H42/$C$24+$I42/$C$25</f>
        <v>7.4545454545454541</v>
      </c>
      <c r="K42" s="97">
        <f t="shared" si="0"/>
        <v>3.5111917342151263E-8</v>
      </c>
      <c r="L42" s="91">
        <f>($C$7*$C$14*$C$8*$E42/$D42^2*K42*10^6)</f>
        <v>7.8026482982558355E-3</v>
      </c>
      <c r="M42" s="91">
        <f>IF($F42=0,0,1+($F42-$D$21)/$D$22)+$G42/$D$23+$H42/$D$24+$I42/$D$25</f>
        <v>6.6486486486486482</v>
      </c>
      <c r="N42" s="97">
        <f t="shared" si="1"/>
        <v>2.2456979955397711E-7</v>
      </c>
      <c r="O42" s="91">
        <f>($C$7*$D$14*$D$8*$E42/$D42^2*N42*10^6)</f>
        <v>4.99043999008838E-2</v>
      </c>
      <c r="P42" s="91">
        <f>IF($F42=0,0,1+($F42-$E$21)/$E$22)+$G42/$E$23+$H42/$E$24+$I42/$E$25</f>
        <v>5.7674418604651159</v>
      </c>
      <c r="Q42" s="97">
        <f t="shared" si="2"/>
        <v>1.7082763938087111E-6</v>
      </c>
      <c r="R42" s="91">
        <f>($C$7*$E$14*$E$8*$E42/$D42^2*Q42*10^6)</f>
        <v>0.37961697640193576</v>
      </c>
      <c r="S42" s="91">
        <f>IF($F42=0,0,1+($F42-$F$21)/$F$22)+$G42/$F$23+$H42/$F$24+$I42/$F$25</f>
        <v>9.1481481481481488</v>
      </c>
      <c r="T42" s="97">
        <f t="shared" si="3"/>
        <v>7.1097094323124171E-10</v>
      </c>
      <c r="U42" s="91">
        <f>($C$7*$F$14*$F$8*$E42/$D42^2*T42*10^6)</f>
        <v>1.5799354294027593E-4</v>
      </c>
      <c r="V42" s="91">
        <f>IF($F42=0,0,1+($F42-$G$21)/$G$22)+$G42/$G$23+$H42/$G$24+$I42/$G$25</f>
        <v>6.9444444444444446</v>
      </c>
      <c r="W42" s="97">
        <f t="shared" si="4"/>
        <v>1.136463666385722E-7</v>
      </c>
      <c r="X42" s="76">
        <f>($C$7*$G$14*$G$8*$E42/$D42^2*W42*10^6)</f>
        <v>2.5254748141904933E-2</v>
      </c>
      <c r="Y42" s="324">
        <f t="shared" si="5"/>
        <v>0.46273676628592059</v>
      </c>
      <c r="Z42" s="325"/>
      <c r="AA42" s="326"/>
      <c r="AG42" s="328"/>
      <c r="AI42" s="328"/>
      <c r="AJ42" s="328"/>
      <c r="AK42" s="328"/>
      <c r="AL42" s="328"/>
      <c r="AP42" s="222"/>
      <c r="AQ42" s="211"/>
      <c r="AR42" s="222"/>
      <c r="AS42" s="222"/>
      <c r="AT42" s="225"/>
      <c r="AU42" s="225"/>
      <c r="AV42" s="225"/>
      <c r="AW42" s="225"/>
      <c r="AX42" s="225"/>
      <c r="AY42" s="300"/>
      <c r="AZ42" s="300"/>
    </row>
    <row r="43" spans="1:52" s="212" customFormat="1" ht="30" customHeight="1" thickBot="1" x14ac:dyDescent="0.3">
      <c r="A43" s="337" t="str">
        <f>Samenvatting!A25</f>
        <v>B2</v>
      </c>
      <c r="B43" s="338" t="str">
        <f>Samenvatting!B25</f>
        <v>bedieningsruimte Linac 2</v>
      </c>
      <c r="C43" s="331" t="s">
        <v>568</v>
      </c>
      <c r="D43" s="1836">
        <v>5</v>
      </c>
      <c r="E43" s="89"/>
      <c r="F43" s="1834">
        <v>250</v>
      </c>
      <c r="G43" s="1834">
        <v>0</v>
      </c>
      <c r="H43" s="1834">
        <v>0</v>
      </c>
      <c r="I43" s="1835">
        <v>0</v>
      </c>
      <c r="J43" s="91">
        <f>$F43/$C$27+$G43/$C$28+$H43/$C$29+$I43/$C$30</f>
        <v>7.3529411764705879</v>
      </c>
      <c r="K43" s="97">
        <f t="shared" si="0"/>
        <v>4.4366873309786093E-8</v>
      </c>
      <c r="L43" s="91">
        <f>($C$7*$C$15*$C$8*($C$9+$C$10*$C$11)/$D43^2*K43*10^6)</f>
        <v>1.0648049594348663E-3</v>
      </c>
      <c r="M43" s="91">
        <f>$F43/$D$27+$G43/$D$28+$H43/$D$29+$I43/$D$30</f>
        <v>6.5789473684210522</v>
      </c>
      <c r="N43" s="97">
        <f t="shared" si="1"/>
        <v>2.636650898730358E-7</v>
      </c>
      <c r="O43" s="91">
        <f>($C$7*$C$15*$D$8*($D$9+$D$10*$D$11)/$D43^2*N43*10^6)</f>
        <v>6.3279621569528599E-3</v>
      </c>
      <c r="P43" s="91">
        <f>$F43/$E$27+$G43/$E$28+$H43/$E$29+$I43/$E$30</f>
        <v>5.6818181818181817</v>
      </c>
      <c r="Q43" s="97">
        <f t="shared" si="2"/>
        <v>2.0805675382171676E-6</v>
      </c>
      <c r="R43" s="91">
        <f>($C$7*$C$15*$E$8*($E$9+$E$10*$E$11)/$D43^2*Q43*10^6)</f>
        <v>4.9933620917212027E-2</v>
      </c>
      <c r="S43" s="91">
        <f>$F43/$F$27+$G43/$F$28+$H43/$F$29+$I43/$F$30</f>
        <v>8.1967213114754092</v>
      </c>
      <c r="T43" s="97">
        <f t="shared" si="3"/>
        <v>6.3573875711648393E-9</v>
      </c>
      <c r="U43" s="91">
        <f>($C$7*$C$15*$F$8*($F$9+$F$10*$F$11)/$D43^2*T43*10^6)</f>
        <v>1.5257730170795616E-4</v>
      </c>
      <c r="V43" s="91">
        <f>$F43/$G$27+$G43/$G$28+$H43/$G$29+$I43/$G$30</f>
        <v>7.0224719101123592</v>
      </c>
      <c r="W43" s="97">
        <f t="shared" si="4"/>
        <v>9.4957241494880226E-8</v>
      </c>
      <c r="X43" s="76">
        <f>($C$7*$C$15*$G$8*($G$9+$G$10*$G$11)/$D43^2*W43*10^6)</f>
        <v>2.278973795877126E-3</v>
      </c>
      <c r="Y43" s="339">
        <f t="shared" si="5"/>
        <v>5.9757939131184837E-2</v>
      </c>
      <c r="Z43" s="333">
        <f>SUM(Y41:Y44)</f>
        <v>0.52249470541710541</v>
      </c>
      <c r="AA43" s="334">
        <f>Z43*52/10^3</f>
        <v>2.7169724681689482E-2</v>
      </c>
      <c r="AG43" s="328"/>
      <c r="AH43" s="328"/>
      <c r="AI43" s="328"/>
      <c r="AJ43" s="328"/>
      <c r="AK43" s="328"/>
      <c r="AL43" s="328"/>
      <c r="AP43" s="222"/>
      <c r="AQ43" s="211"/>
      <c r="AR43" s="222"/>
      <c r="AS43" s="222"/>
      <c r="AT43" s="225"/>
      <c r="AU43" s="225"/>
      <c r="AV43" s="225"/>
      <c r="AW43" s="225"/>
      <c r="AX43" s="225"/>
      <c r="AY43" s="300"/>
      <c r="AZ43" s="300"/>
    </row>
    <row r="44" spans="1:52" s="212" customFormat="1" ht="30" hidden="1" customHeight="1" thickBot="1" x14ac:dyDescent="0.3">
      <c r="A44" s="317"/>
      <c r="B44" s="317"/>
      <c r="C44" s="341"/>
      <c r="D44" s="1841"/>
      <c r="E44" s="1842"/>
      <c r="F44" s="1842"/>
      <c r="G44" s="1842"/>
      <c r="H44" s="1842"/>
      <c r="I44" s="1842"/>
      <c r="J44" s="91"/>
      <c r="K44" s="97"/>
      <c r="L44" s="91"/>
      <c r="M44" s="91"/>
      <c r="N44" s="97"/>
      <c r="O44" s="91"/>
      <c r="P44" s="91"/>
      <c r="Q44" s="97"/>
      <c r="R44" s="91"/>
      <c r="S44" s="91"/>
      <c r="T44" s="97"/>
      <c r="U44" s="91"/>
      <c r="V44" s="91"/>
      <c r="W44" s="97"/>
      <c r="X44" s="76"/>
      <c r="Y44" s="316"/>
      <c r="Z44" s="344"/>
      <c r="AA44" s="345"/>
      <c r="AG44" s="328"/>
      <c r="AH44" s="328"/>
      <c r="AI44" s="328"/>
      <c r="AJ44" s="328"/>
      <c r="AK44" s="328"/>
      <c r="AL44" s="328"/>
      <c r="AP44" s="222"/>
      <c r="AQ44" s="211"/>
      <c r="AR44" s="222"/>
      <c r="AS44" s="222"/>
      <c r="AT44" s="225"/>
      <c r="AU44" s="225"/>
      <c r="AV44" s="225"/>
      <c r="AW44" s="225"/>
      <c r="AX44" s="225"/>
      <c r="AY44" s="300"/>
      <c r="AZ44" s="300"/>
    </row>
    <row r="45" spans="1:52" s="212" customFormat="1" ht="30" customHeight="1" x14ac:dyDescent="0.25">
      <c r="A45" s="322"/>
      <c r="B45" s="322"/>
      <c r="C45" s="323" t="s">
        <v>569</v>
      </c>
      <c r="D45" s="1840">
        <v>6</v>
      </c>
      <c r="E45" s="1840">
        <v>1</v>
      </c>
      <c r="F45" s="1834">
        <v>250</v>
      </c>
      <c r="G45" s="1834">
        <v>0</v>
      </c>
      <c r="H45" s="1834">
        <v>0</v>
      </c>
      <c r="I45" s="1835">
        <v>0</v>
      </c>
      <c r="J45" s="91">
        <f>IF($F45=0,0,1+($F45-$C$21)/$C$22)+$G45/$C$23+$H45/$C$24+$I45/$C$25</f>
        <v>7.4545454545454541</v>
      </c>
      <c r="K45" s="97">
        <f t="shared" si="0"/>
        <v>3.5111917342151263E-8</v>
      </c>
      <c r="L45" s="91">
        <f>($C$7*$C$14*$C$8*$E45/$D45^2*K45*10^6)</f>
        <v>7.8026482982558355E-3</v>
      </c>
      <c r="M45" s="91">
        <f>IF($F45=0,0,1+($F45-$D$21)/$D$22)+$G45/$D$23+$H45/$D$24+$I45/$D$25</f>
        <v>6.6486486486486482</v>
      </c>
      <c r="N45" s="97">
        <f t="shared" si="1"/>
        <v>2.2456979955397711E-7</v>
      </c>
      <c r="O45" s="91">
        <f>($C$7*$E$14*$D$8*$E45/$D45^2*N45*10^6)</f>
        <v>4.99043999008838E-2</v>
      </c>
      <c r="P45" s="91">
        <f>IF($F45=0,0,1+($F45-$E$21)/$E$22)+$G45/$E$23+$H45/$E$24+$I45/$E$25</f>
        <v>5.7674418604651159</v>
      </c>
      <c r="Q45" s="97">
        <f t="shared" si="2"/>
        <v>1.7082763938087111E-6</v>
      </c>
      <c r="R45" s="91">
        <f>($C$7*$E$14*$E$8*$E45/$D45^2*Q45*10^6)</f>
        <v>0.37961697640193576</v>
      </c>
      <c r="S45" s="91">
        <f>IF($F45=0,0,1+($F45-$F$21)/$F$22)+$G45/$F$23+$H45/$F$24+$I45/$F$25</f>
        <v>9.1481481481481488</v>
      </c>
      <c r="T45" s="97">
        <f t="shared" si="3"/>
        <v>7.1097094323124171E-10</v>
      </c>
      <c r="U45" s="91">
        <f>($C$7*$F$14*$F$8*$E45/$D45^2*T45*10^6)</f>
        <v>1.5799354294027593E-4</v>
      </c>
      <c r="V45" s="91">
        <f>IF($F45=0,0,1+($F45-$G$21)/$G$22)+$G45/$G$23+$H45/$G$24+$I45/$G$25</f>
        <v>6.9444444444444446</v>
      </c>
      <c r="W45" s="97">
        <f t="shared" si="4"/>
        <v>1.136463666385722E-7</v>
      </c>
      <c r="X45" s="76">
        <f>($C$7*$G$14*$G$8*$E45/$D45^2*W45*10^6)</f>
        <v>2.5254748141904933E-2</v>
      </c>
      <c r="Y45" s="324">
        <f t="shared" si="5"/>
        <v>0.46273676628592059</v>
      </c>
      <c r="Z45" s="325"/>
      <c r="AA45" s="326"/>
      <c r="AG45" s="328"/>
      <c r="AI45" s="328"/>
      <c r="AJ45" s="328"/>
      <c r="AK45" s="328"/>
      <c r="AL45" s="328"/>
      <c r="AP45" s="222"/>
      <c r="AQ45" s="211"/>
      <c r="AR45" s="222"/>
      <c r="AS45" s="222"/>
      <c r="AT45" s="225"/>
      <c r="AU45" s="225"/>
      <c r="AV45" s="225"/>
      <c r="AW45" s="225"/>
      <c r="AX45" s="225"/>
      <c r="AY45" s="300"/>
      <c r="AZ45" s="300"/>
    </row>
    <row r="46" spans="1:52" s="212" customFormat="1" ht="30" customHeight="1" thickBot="1" x14ac:dyDescent="0.3">
      <c r="A46" s="343" t="str">
        <f>Samenvatting!A37</f>
        <v>B3</v>
      </c>
      <c r="B46" s="338" t="str">
        <f>Samenvatting!B37</f>
        <v>bedieningsruimte Linac 3</v>
      </c>
      <c r="C46" s="331" t="s">
        <v>568</v>
      </c>
      <c r="D46" s="1836">
        <v>5</v>
      </c>
      <c r="E46" s="89"/>
      <c r="F46" s="1834">
        <v>250</v>
      </c>
      <c r="G46" s="1834">
        <v>0</v>
      </c>
      <c r="H46" s="1834">
        <v>0</v>
      </c>
      <c r="I46" s="1835">
        <v>0</v>
      </c>
      <c r="J46" s="91">
        <f>$F46/$C$27+$G46/$C$28+$H46/$C$29+$I46/$C$30</f>
        <v>7.3529411764705879</v>
      </c>
      <c r="K46" s="97">
        <f t="shared" si="0"/>
        <v>4.4366873309786093E-8</v>
      </c>
      <c r="L46" s="91">
        <f>($C$7*$C$15*$C$8*($C$9+$C$10*$C$11)/$D46^2*K46*10^6)</f>
        <v>1.0648049594348663E-3</v>
      </c>
      <c r="M46" s="91">
        <f>$F46/$D$27+$G46/$D$28+$H46/$D$29+$I46/$D$30</f>
        <v>6.5789473684210522</v>
      </c>
      <c r="N46" s="97">
        <f t="shared" si="1"/>
        <v>2.636650898730358E-7</v>
      </c>
      <c r="O46" s="91">
        <f>($C$7*$C$15*$D$8*($D$9+$D$10*$D$11)/$D46^2*N46*10^6)</f>
        <v>6.3279621569528599E-3</v>
      </c>
      <c r="P46" s="91">
        <f>$F46/$E$27+$G46/$E$28+$H46/$E$29+$I46/$E$30</f>
        <v>5.6818181818181817</v>
      </c>
      <c r="Q46" s="97">
        <f t="shared" si="2"/>
        <v>2.0805675382171676E-6</v>
      </c>
      <c r="R46" s="91">
        <f>($C$7*$C$15*$E$8*($E$9+$E$10*$E$11)/$D46^2*Q46*10^6)</f>
        <v>4.9933620917212027E-2</v>
      </c>
      <c r="S46" s="91">
        <f>$F46/$F$27+$G46/$F$28+$H46/$F$29+$I46/$F$30</f>
        <v>8.1967213114754092</v>
      </c>
      <c r="T46" s="97">
        <f t="shared" si="3"/>
        <v>6.3573875711648393E-9</v>
      </c>
      <c r="U46" s="91">
        <f>($C$7*$C$15*$F$8*($F$9+$F$10*$F$11)/$D46^2*T46*10^6)</f>
        <v>1.5257730170795616E-4</v>
      </c>
      <c r="V46" s="91">
        <f>$F46/$G$27+$G46/$G$28+$H46/$G$29+$I46/$G$30</f>
        <v>7.0224719101123592</v>
      </c>
      <c r="W46" s="97">
        <f t="shared" si="4"/>
        <v>9.4957241494880226E-8</v>
      </c>
      <c r="X46" s="76">
        <f>($C$7*$C$15*$G$8*($G$9+$G$10*$G$11)/$D46^2*W46*10^6)</f>
        <v>2.278973795877126E-3</v>
      </c>
      <c r="Y46" s="339">
        <f t="shared" si="5"/>
        <v>5.9757939131184837E-2</v>
      </c>
      <c r="Z46" s="333">
        <f>SUM(Y44:Y47)</f>
        <v>0.52249470541710541</v>
      </c>
      <c r="AA46" s="334">
        <f>Z46*52/10^3</f>
        <v>2.7169724681689482E-2</v>
      </c>
      <c r="AG46" s="328"/>
      <c r="AH46" s="328"/>
      <c r="AI46" s="328"/>
      <c r="AJ46" s="328"/>
      <c r="AK46" s="328"/>
      <c r="AL46" s="328"/>
      <c r="AP46" s="222"/>
      <c r="AQ46" s="211"/>
      <c r="AR46" s="222"/>
      <c r="AS46" s="222"/>
      <c r="AT46" s="225"/>
      <c r="AU46" s="225"/>
      <c r="AV46" s="225"/>
      <c r="AW46" s="225"/>
      <c r="AX46" s="225"/>
      <c r="AY46" s="300"/>
      <c r="AZ46" s="300"/>
    </row>
    <row r="47" spans="1:52" s="212" customFormat="1" ht="30" hidden="1" customHeight="1" thickBot="1" x14ac:dyDescent="0.3">
      <c r="A47" s="317"/>
      <c r="B47" s="317"/>
      <c r="C47" s="318"/>
      <c r="D47" s="1838"/>
      <c r="E47" s="1839"/>
      <c r="F47" s="1839"/>
      <c r="G47" s="1839"/>
      <c r="H47" s="1839"/>
      <c r="I47" s="1839"/>
      <c r="J47" s="91"/>
      <c r="K47" s="97"/>
      <c r="L47" s="91"/>
      <c r="M47" s="91"/>
      <c r="N47" s="97"/>
      <c r="O47" s="91"/>
      <c r="P47" s="91"/>
      <c r="Q47" s="97"/>
      <c r="R47" s="91"/>
      <c r="S47" s="91"/>
      <c r="T47" s="97"/>
      <c r="U47" s="91"/>
      <c r="V47" s="91"/>
      <c r="W47" s="97"/>
      <c r="X47" s="76"/>
      <c r="Y47" s="335"/>
      <c r="Z47" s="344"/>
      <c r="AA47" s="345"/>
      <c r="AG47" s="328"/>
      <c r="AH47" s="328"/>
      <c r="AI47" s="328"/>
      <c r="AJ47" s="328"/>
      <c r="AK47" s="328"/>
      <c r="AL47" s="328"/>
      <c r="AP47" s="222"/>
      <c r="AQ47" s="211"/>
      <c r="AR47" s="222"/>
      <c r="AS47" s="222"/>
      <c r="AT47" s="225"/>
      <c r="AU47" s="225"/>
      <c r="AV47" s="225"/>
      <c r="AW47" s="225"/>
      <c r="AX47" s="225"/>
      <c r="AY47" s="300"/>
      <c r="AZ47" s="300"/>
    </row>
    <row r="48" spans="1:52" s="212" customFormat="1" ht="30" customHeight="1" x14ac:dyDescent="0.25">
      <c r="A48" s="322"/>
      <c r="B48" s="322"/>
      <c r="C48" s="323" t="s">
        <v>569</v>
      </c>
      <c r="D48" s="1840">
        <v>6</v>
      </c>
      <c r="E48" s="1840">
        <v>1</v>
      </c>
      <c r="F48" s="1834">
        <v>250</v>
      </c>
      <c r="G48" s="1834">
        <v>0</v>
      </c>
      <c r="H48" s="1834">
        <v>0</v>
      </c>
      <c r="I48" s="1835">
        <v>0</v>
      </c>
      <c r="J48" s="91">
        <f>IF($F48=0,0,1+($F48-$C$21)/$C$22)+$G48/$C$23+$H48/$C$24+$I48/$C$25</f>
        <v>7.4545454545454541</v>
      </c>
      <c r="K48" s="97">
        <f t="shared" si="0"/>
        <v>3.5111917342151263E-8</v>
      </c>
      <c r="L48" s="91">
        <f>($C$7*$C$14*$C$8*$E48/$D48^2*K48*10^6)</f>
        <v>7.8026482982558355E-3</v>
      </c>
      <c r="M48" s="91">
        <f>IF($F48=0,0,1+($F48-$D$21)/$D$22)+$G48/$D$23+$H48/$D$24+$I48/$D$25</f>
        <v>6.6486486486486482</v>
      </c>
      <c r="N48" s="97">
        <f t="shared" si="1"/>
        <v>2.2456979955397711E-7</v>
      </c>
      <c r="O48" s="91">
        <f>($C$7*$D$14*$D$8*$E48/$D48^2*N48*10^6)</f>
        <v>4.99043999008838E-2</v>
      </c>
      <c r="P48" s="91">
        <f>IF($F48=0,0,1+($F48-$E$21)/$E$22)+$G48/$E$23+$H48/$E$24+$I48/$E$25</f>
        <v>5.7674418604651159</v>
      </c>
      <c r="Q48" s="97">
        <f t="shared" si="2"/>
        <v>1.7082763938087111E-6</v>
      </c>
      <c r="R48" s="91">
        <f>($C$7*$E$14*$E$8*$E48/$D48^2*Q48*10^6)</f>
        <v>0.37961697640193576</v>
      </c>
      <c r="S48" s="91">
        <f>IF($F48=0,0,1+($F48-$F$21)/$F$22)+$G48/$F$23+$H48/$F$24+$I48/$F$25</f>
        <v>9.1481481481481488</v>
      </c>
      <c r="T48" s="97">
        <f t="shared" si="3"/>
        <v>7.1097094323124171E-10</v>
      </c>
      <c r="U48" s="91">
        <f>($C$7*$F$14*$F$8*$E48/$D48^2*T48*10^6)</f>
        <v>1.5799354294027593E-4</v>
      </c>
      <c r="V48" s="91">
        <f>IF($F48=0,0,1+($F48-$G$21)/$G$22)+$G48/$G$23+$H48/$G$24+$I48/$G$25</f>
        <v>6.9444444444444446</v>
      </c>
      <c r="W48" s="97">
        <f t="shared" si="4"/>
        <v>1.136463666385722E-7</v>
      </c>
      <c r="X48" s="76">
        <f>($C$7*$G$14*$G$8*$E48/$D48^2*W48*10^6)</f>
        <v>2.5254748141904933E-2</v>
      </c>
      <c r="Y48" s="324">
        <f t="shared" si="5"/>
        <v>0.46273676628592059</v>
      </c>
      <c r="Z48" s="325"/>
      <c r="AA48" s="326"/>
      <c r="AG48" s="328"/>
      <c r="AI48" s="328"/>
      <c r="AJ48" s="328"/>
      <c r="AK48" s="328"/>
      <c r="AL48" s="328"/>
      <c r="AP48" s="222"/>
      <c r="AQ48" s="211"/>
      <c r="AR48" s="222"/>
      <c r="AS48" s="222"/>
      <c r="AT48" s="225"/>
      <c r="AU48" s="225"/>
      <c r="AV48" s="225"/>
      <c r="AW48" s="225"/>
      <c r="AX48" s="225"/>
      <c r="AY48" s="300"/>
      <c r="AZ48" s="300"/>
    </row>
    <row r="49" spans="1:52" s="212" customFormat="1" ht="30" customHeight="1" thickBot="1" x14ac:dyDescent="0.3">
      <c r="A49" s="343" t="str">
        <f>Samenvatting!A49</f>
        <v>B4</v>
      </c>
      <c r="B49" s="338" t="str">
        <f>Samenvatting!B49</f>
        <v>bedieningsruimte Linac 4</v>
      </c>
      <c r="C49" s="331" t="s">
        <v>568</v>
      </c>
      <c r="D49" s="1836">
        <v>5</v>
      </c>
      <c r="E49" s="89"/>
      <c r="F49" s="1834">
        <v>250</v>
      </c>
      <c r="G49" s="1834">
        <v>0</v>
      </c>
      <c r="H49" s="1834">
        <v>0</v>
      </c>
      <c r="I49" s="1835">
        <v>0</v>
      </c>
      <c r="J49" s="91">
        <f>$F49/$C$27+$G49/$C$28+$H49/$C$29+$I49/$C$30</f>
        <v>7.3529411764705879</v>
      </c>
      <c r="K49" s="97">
        <f t="shared" si="0"/>
        <v>4.4366873309786093E-8</v>
      </c>
      <c r="L49" s="91">
        <f>($C$7*$C$15*$C$8*($C$9+$C$10*$C$11)/$D49^2*K49*10^6)</f>
        <v>1.0648049594348663E-3</v>
      </c>
      <c r="M49" s="91">
        <f>$F49/$D$27+$G49/$D$28+$H49/$D$29+$I49/$D$30</f>
        <v>6.5789473684210522</v>
      </c>
      <c r="N49" s="97">
        <f t="shared" si="1"/>
        <v>2.636650898730358E-7</v>
      </c>
      <c r="O49" s="91">
        <f>($C$7*$C$15*$D$8*($D$9+$D$10*$D$11)/$D49^2*N49*10^6)</f>
        <v>6.3279621569528599E-3</v>
      </c>
      <c r="P49" s="91">
        <f>$F49/$E$27+$G49/$E$28+$H49/$E$29+$I49/$E$30</f>
        <v>5.6818181818181817</v>
      </c>
      <c r="Q49" s="97">
        <f t="shared" si="2"/>
        <v>2.0805675382171676E-6</v>
      </c>
      <c r="R49" s="91">
        <f>($C$7*$C$15*$E$8*($E$9+$E$10*$E$11)/$D49^2*Q49*10^6)</f>
        <v>4.9933620917212027E-2</v>
      </c>
      <c r="S49" s="91">
        <f>$F49/$F$27+$G49/$F$28+$H49/$F$29+$I49/$F$30</f>
        <v>8.1967213114754092</v>
      </c>
      <c r="T49" s="97">
        <f t="shared" si="3"/>
        <v>6.3573875711648393E-9</v>
      </c>
      <c r="U49" s="91">
        <f>($C$7*$C$15*$F$8*($F$9+$F$10*$F$11)/$D49^2*T49*10^6)</f>
        <v>1.5257730170795616E-4</v>
      </c>
      <c r="V49" s="91">
        <f>$F49/$G$27+$G49/$G$28+$H49/$G$29+$I49/$G$30</f>
        <v>7.0224719101123592</v>
      </c>
      <c r="W49" s="97">
        <f t="shared" si="4"/>
        <v>9.4957241494880226E-8</v>
      </c>
      <c r="X49" s="76">
        <f>($C$7*$C$15*$G$8*($G$9+$G$10*$G$11)/$D49^2*W49*10^6)</f>
        <v>2.278973795877126E-3</v>
      </c>
      <c r="Y49" s="339">
        <f t="shared" si="5"/>
        <v>5.9757939131184837E-2</v>
      </c>
      <c r="Z49" s="333">
        <f>SUM(Y47:Y50)</f>
        <v>0.52249470541710541</v>
      </c>
      <c r="AA49" s="334">
        <f>Z49*52/10^3</f>
        <v>2.7169724681689482E-2</v>
      </c>
      <c r="AG49" s="328"/>
      <c r="AH49" s="328"/>
      <c r="AI49" s="328"/>
      <c r="AJ49" s="328"/>
      <c r="AK49" s="328"/>
      <c r="AL49" s="328"/>
      <c r="AP49" s="222"/>
      <c r="AQ49" s="211"/>
      <c r="AR49" s="222"/>
      <c r="AS49" s="222"/>
      <c r="AT49" s="225"/>
      <c r="AU49" s="225"/>
      <c r="AV49" s="225"/>
      <c r="AW49" s="225"/>
      <c r="AX49" s="225"/>
      <c r="AY49" s="300"/>
      <c r="AZ49" s="300"/>
    </row>
    <row r="50" spans="1:52" s="212" customFormat="1" ht="30" hidden="1" customHeight="1" thickBot="1" x14ac:dyDescent="0.3">
      <c r="A50" s="317"/>
      <c r="B50" s="317"/>
      <c r="C50" s="318"/>
      <c r="D50" s="1838"/>
      <c r="E50" s="1839"/>
      <c r="F50" s="1839"/>
      <c r="G50" s="1839"/>
      <c r="H50" s="1839"/>
      <c r="I50" s="1839"/>
      <c r="J50" s="91"/>
      <c r="K50" s="97"/>
      <c r="L50" s="91"/>
      <c r="M50" s="91"/>
      <c r="N50" s="97"/>
      <c r="O50" s="91"/>
      <c r="P50" s="91"/>
      <c r="Q50" s="97"/>
      <c r="R50" s="91"/>
      <c r="S50" s="91"/>
      <c r="T50" s="97"/>
      <c r="U50" s="91"/>
      <c r="V50" s="91"/>
      <c r="W50" s="97"/>
      <c r="X50" s="76"/>
      <c r="Y50" s="316"/>
      <c r="Z50" s="344"/>
      <c r="AA50" s="345"/>
      <c r="AG50" s="328"/>
      <c r="AH50" s="328"/>
      <c r="AI50" s="328"/>
      <c r="AJ50" s="328"/>
      <c r="AK50" s="328"/>
      <c r="AL50" s="328"/>
      <c r="AP50" s="222"/>
      <c r="AQ50" s="211"/>
      <c r="AR50" s="222"/>
      <c r="AS50" s="222"/>
      <c r="AT50" s="225"/>
      <c r="AU50" s="225"/>
      <c r="AV50" s="225"/>
      <c r="AW50" s="225"/>
      <c r="AX50" s="225"/>
      <c r="AY50" s="300"/>
      <c r="AZ50" s="300"/>
    </row>
    <row r="51" spans="1:52" s="212" customFormat="1" ht="30" customHeight="1" x14ac:dyDescent="0.25">
      <c r="A51" s="322"/>
      <c r="B51" s="322"/>
      <c r="C51" s="323" t="s">
        <v>569</v>
      </c>
      <c r="D51" s="1840">
        <v>6</v>
      </c>
      <c r="E51" s="1840">
        <v>1</v>
      </c>
      <c r="F51" s="1834">
        <v>250</v>
      </c>
      <c r="G51" s="1834">
        <v>0</v>
      </c>
      <c r="H51" s="1834">
        <v>0</v>
      </c>
      <c r="I51" s="1835">
        <v>0</v>
      </c>
      <c r="J51" s="91">
        <f>IF($F51=0,0,1+($F51-$C$21)/$C$22)+$G51/$C$23+$H51/$C$24+$I51/$C$25</f>
        <v>7.4545454545454541</v>
      </c>
      <c r="K51" s="97">
        <f t="shared" si="0"/>
        <v>3.5111917342151263E-8</v>
      </c>
      <c r="L51" s="91">
        <f>($C$7*$C$14*$C$8*$E51/$D51^2*K51*10^6)</f>
        <v>7.8026482982558355E-3</v>
      </c>
      <c r="M51" s="91">
        <f>IF($F51=0,0,1+($F51-$D$21)/$D$22)+$G51/$D$23+$H51/$D$24+$I51/$D$25</f>
        <v>6.6486486486486482</v>
      </c>
      <c r="N51" s="97">
        <f t="shared" si="1"/>
        <v>2.2456979955397711E-7</v>
      </c>
      <c r="O51" s="91">
        <f>($C$7*$D$14*$D$8*$E51/$D51^2*N51*10^6)</f>
        <v>4.99043999008838E-2</v>
      </c>
      <c r="P51" s="91">
        <f>IF($F51=0,0,1+($F51-$E$21)/$E$22)+$G51/$E$23+$H51/$E$24+$I51/$E$25</f>
        <v>5.7674418604651159</v>
      </c>
      <c r="Q51" s="97">
        <f t="shared" si="2"/>
        <v>1.7082763938087111E-6</v>
      </c>
      <c r="R51" s="91">
        <f>($C$7*$E$14*$E$8*$E51/$D51^2*Q51*10^6)</f>
        <v>0.37961697640193576</v>
      </c>
      <c r="S51" s="91">
        <f>IF($F51=0,0,1+($F51-$F$21)/$F$22)+$G51/$F$23+$H51/$F$24+$I51/$F$25</f>
        <v>9.1481481481481488</v>
      </c>
      <c r="T51" s="97">
        <f t="shared" si="3"/>
        <v>7.1097094323124171E-10</v>
      </c>
      <c r="U51" s="91">
        <f>($C$7*$F$14*$F$8*$E51/$D51^2*T51*10^6)</f>
        <v>1.5799354294027593E-4</v>
      </c>
      <c r="V51" s="91">
        <f>IF($F51=0,0,1+($F51-$G$21)/$G$22)+$G51/$G$23+$H51/$G$24+$I51/$G$25</f>
        <v>6.9444444444444446</v>
      </c>
      <c r="W51" s="97">
        <f t="shared" si="4"/>
        <v>1.136463666385722E-7</v>
      </c>
      <c r="X51" s="76">
        <f>($C$7*$G$14*$G$8*$E51/$D51^2*W51*10^6)</f>
        <v>2.5254748141904933E-2</v>
      </c>
      <c r="Y51" s="324">
        <f>SUM(L51,O51,R51,U51,X51)</f>
        <v>0.46273676628592059</v>
      </c>
      <c r="Z51" s="325"/>
      <c r="AA51" s="326"/>
      <c r="AG51" s="328"/>
      <c r="AI51" s="328"/>
      <c r="AJ51" s="328"/>
      <c r="AK51" s="328"/>
      <c r="AL51" s="328"/>
      <c r="AP51" s="222"/>
      <c r="AQ51" s="211"/>
      <c r="AR51" s="222"/>
      <c r="AS51" s="222"/>
      <c r="AT51" s="225"/>
      <c r="AU51" s="225"/>
      <c r="AV51" s="225"/>
      <c r="AW51" s="225"/>
      <c r="AX51" s="225"/>
      <c r="AY51" s="300"/>
      <c r="AZ51" s="300"/>
    </row>
    <row r="52" spans="1:52" s="212" customFormat="1" ht="30" customHeight="1" thickBot="1" x14ac:dyDescent="0.3">
      <c r="A52" s="343" t="str">
        <f>Samenvatting!A61</f>
        <v>B5</v>
      </c>
      <c r="B52" s="346" t="str">
        <f>Samenvatting!B61</f>
        <v>bedieningsruimte Linac 5</v>
      </c>
      <c r="C52" s="331" t="s">
        <v>568</v>
      </c>
      <c r="D52" s="1843">
        <v>5</v>
      </c>
      <c r="E52" s="347"/>
      <c r="F52" s="1834">
        <v>250</v>
      </c>
      <c r="G52" s="1834">
        <v>0</v>
      </c>
      <c r="H52" s="1834">
        <v>0</v>
      </c>
      <c r="I52" s="1835">
        <v>0</v>
      </c>
      <c r="J52" s="91">
        <f>$F52/$C$27+$G52/$C$28+$H52/$C$29+$I52/$C$30</f>
        <v>7.3529411764705879</v>
      </c>
      <c r="K52" s="97">
        <f t="shared" si="0"/>
        <v>4.4366873309786093E-8</v>
      </c>
      <c r="L52" s="91">
        <f>($C$7*$C$15*$C$8*($C$9+$C$10*$C$11)/$D52^2*K52*10^6)</f>
        <v>1.0648049594348663E-3</v>
      </c>
      <c r="M52" s="91">
        <f>$F52/$D$27+$G52/$D$28+$H52/$D$29+$I52/$D$30</f>
        <v>6.5789473684210522</v>
      </c>
      <c r="N52" s="97">
        <f t="shared" si="1"/>
        <v>2.636650898730358E-7</v>
      </c>
      <c r="O52" s="91">
        <f>($C$7*$C$15*$D$8*($D$9+$D$10*$D$11)/$D52^2*N52*10^6)</f>
        <v>6.3279621569528599E-3</v>
      </c>
      <c r="P52" s="91">
        <f>$F52/$E$27+$G52/$E$28+$H52/$E$29+$I52/$E$30</f>
        <v>5.6818181818181817</v>
      </c>
      <c r="Q52" s="97">
        <f t="shared" si="2"/>
        <v>2.0805675382171676E-6</v>
      </c>
      <c r="R52" s="91">
        <f>($C$7*$C$15*$E$8*($E$9+$E$10*$E$11)/$D52^2*Q52*10^6)</f>
        <v>4.9933620917212027E-2</v>
      </c>
      <c r="S52" s="91">
        <f>$F52/$F$27+$G52/$F$28+$H52/$F$29+$I52/$F$30</f>
        <v>8.1967213114754092</v>
      </c>
      <c r="T52" s="97">
        <f t="shared" si="3"/>
        <v>6.3573875711648393E-9</v>
      </c>
      <c r="U52" s="91">
        <f>($C$7*$C$15*$F$8*($F$9+$F$10*$F$11)/$D52^2*T52*10^6)</f>
        <v>1.5257730170795616E-4</v>
      </c>
      <c r="V52" s="91">
        <f>$F52/$G$27+$G52/$G$28+$H52/$G$29+$I52/$G$30</f>
        <v>7.0224719101123592</v>
      </c>
      <c r="W52" s="97">
        <f t="shared" si="4"/>
        <v>9.4957241494880226E-8</v>
      </c>
      <c r="X52" s="76">
        <f>($C$7*$C$15*$G$8*($G$9+$G$10*$G$11)/$D52^2*W52*10^6)</f>
        <v>2.278973795877126E-3</v>
      </c>
      <c r="Y52" s="339">
        <f>SUM(L52,O52,R52,U52,X52)</f>
        <v>5.9757939131184837E-2</v>
      </c>
      <c r="Z52" s="333">
        <f>SUM(Y50:Y53)</f>
        <v>0.52249470541710541</v>
      </c>
      <c r="AA52" s="334">
        <f>Z52*52/10^3</f>
        <v>2.7169724681689482E-2</v>
      </c>
      <c r="AG52" s="328"/>
      <c r="AH52" s="328"/>
      <c r="AI52" s="328"/>
      <c r="AJ52" s="328"/>
      <c r="AK52" s="328"/>
      <c r="AL52" s="328"/>
      <c r="AP52" s="222"/>
      <c r="AQ52" s="211"/>
      <c r="AR52" s="222"/>
      <c r="AS52" s="222"/>
      <c r="AT52" s="225"/>
      <c r="AU52" s="225"/>
      <c r="AV52" s="225"/>
      <c r="AW52" s="225"/>
      <c r="AX52" s="225"/>
      <c r="AY52" s="300"/>
      <c r="AZ52" s="300"/>
    </row>
    <row r="53" spans="1:52" s="212" customFormat="1" ht="30" hidden="1" customHeight="1" thickBot="1" x14ac:dyDescent="0.3">
      <c r="A53" s="317"/>
      <c r="B53" s="317"/>
      <c r="C53" s="318"/>
      <c r="D53" s="1838"/>
      <c r="E53" s="1839"/>
      <c r="F53" s="1839"/>
      <c r="G53" s="1839"/>
      <c r="H53" s="1839"/>
      <c r="I53" s="1839"/>
      <c r="J53" s="91"/>
      <c r="K53" s="97"/>
      <c r="L53" s="91"/>
      <c r="M53" s="91"/>
      <c r="N53" s="97"/>
      <c r="O53" s="91"/>
      <c r="P53" s="91"/>
      <c r="Q53" s="97"/>
      <c r="R53" s="91"/>
      <c r="S53" s="91"/>
      <c r="T53" s="97"/>
      <c r="U53" s="91"/>
      <c r="V53" s="91"/>
      <c r="W53" s="97"/>
      <c r="X53" s="76"/>
      <c r="Y53" s="316"/>
      <c r="Z53" s="344"/>
      <c r="AA53" s="345"/>
      <c r="AG53" s="328"/>
      <c r="AH53" s="328"/>
      <c r="AI53" s="328"/>
      <c r="AJ53" s="328"/>
      <c r="AK53" s="328"/>
      <c r="AL53" s="328"/>
      <c r="AP53" s="222"/>
      <c r="AQ53" s="211"/>
      <c r="AR53" s="222"/>
      <c r="AS53" s="222"/>
      <c r="AT53" s="225"/>
      <c r="AU53" s="225"/>
      <c r="AV53" s="225"/>
      <c r="AW53" s="225"/>
      <c r="AX53" s="225"/>
      <c r="AY53" s="300"/>
      <c r="AZ53" s="300"/>
    </row>
    <row r="54" spans="1:52" s="212" customFormat="1" ht="30" customHeight="1" x14ac:dyDescent="0.25">
      <c r="A54" s="322"/>
      <c r="B54" s="322"/>
      <c r="C54" s="323" t="s">
        <v>569</v>
      </c>
      <c r="D54" s="1840">
        <v>6</v>
      </c>
      <c r="E54" s="1840">
        <v>1</v>
      </c>
      <c r="F54" s="1834">
        <v>250</v>
      </c>
      <c r="G54" s="1834">
        <v>0</v>
      </c>
      <c r="H54" s="1834">
        <v>0</v>
      </c>
      <c r="I54" s="1835">
        <v>0</v>
      </c>
      <c r="J54" s="91">
        <f>IF($F54=0,0,1+($F54-$C$21)/$C$22)+$G54/$C$23+$H54/$C$24+$I54/$C$25</f>
        <v>7.4545454545454541</v>
      </c>
      <c r="K54" s="97">
        <f t="shared" si="0"/>
        <v>3.5111917342151263E-8</v>
      </c>
      <c r="L54" s="91">
        <f>($C$7*$C$14*$C$8*$E54/$D54^2*K54*10^6)</f>
        <v>7.8026482982558355E-3</v>
      </c>
      <c r="M54" s="91">
        <f>IF($F54=0,0,1+($F54-$D$21)/$D$22)+$G54/$D$23+$H54/$D$24+$I54/$D$25</f>
        <v>6.6486486486486482</v>
      </c>
      <c r="N54" s="97">
        <f t="shared" si="1"/>
        <v>2.2456979955397711E-7</v>
      </c>
      <c r="O54" s="91">
        <f>($C$7*$D$14*$D$8*$E54/$D54^2*N54*10^6)</f>
        <v>4.99043999008838E-2</v>
      </c>
      <c r="P54" s="91">
        <f>IF($F54=0,0,1+($F54-$E$21)/$E$22)+$G54/$E$23+$H54/$E$24+$I54/$E$25</f>
        <v>5.7674418604651159</v>
      </c>
      <c r="Q54" s="97">
        <f t="shared" si="2"/>
        <v>1.7082763938087111E-6</v>
      </c>
      <c r="R54" s="91">
        <f>($C$7*$E$14*$E$8*$E54/$D54^2*Q54*10^6)</f>
        <v>0.37961697640193576</v>
      </c>
      <c r="S54" s="91">
        <f>IF($F54=0,0,1+($F54-$F$21)/$F$22)+$G54/$F$23+$H54/$F$24+$I54/$F$25</f>
        <v>9.1481481481481488</v>
      </c>
      <c r="T54" s="97">
        <f t="shared" si="3"/>
        <v>7.1097094323124171E-10</v>
      </c>
      <c r="U54" s="91">
        <f>($C$7*$F$14*$F$8*$E54/$D54^2*T54*10^6)</f>
        <v>1.5799354294027593E-4</v>
      </c>
      <c r="V54" s="91">
        <f>IF($F54=0,0,1+($F54-$G$21)/$G$22)+$G54/$G$23+$H54/$G$24+$I54/$G$25</f>
        <v>6.9444444444444446</v>
      </c>
      <c r="W54" s="97">
        <f t="shared" si="4"/>
        <v>1.136463666385722E-7</v>
      </c>
      <c r="X54" s="76">
        <f>($C$7*$G$14*$G$8*$E54/$D54^2*W54*10^6)</f>
        <v>2.5254748141904933E-2</v>
      </c>
      <c r="Y54" s="324">
        <f>SUM(L54,O54,R54,U54,X54)</f>
        <v>0.46273676628592059</v>
      </c>
      <c r="Z54" s="325"/>
      <c r="AA54" s="326"/>
      <c r="AG54" s="328"/>
      <c r="AI54" s="328"/>
      <c r="AJ54" s="328"/>
      <c r="AK54" s="328"/>
      <c r="AL54" s="328"/>
      <c r="AP54" s="222"/>
      <c r="AQ54" s="211"/>
      <c r="AR54" s="222"/>
      <c r="AS54" s="222"/>
      <c r="AT54" s="225"/>
      <c r="AU54" s="225"/>
      <c r="AV54" s="225"/>
      <c r="AW54" s="225"/>
      <c r="AX54" s="225"/>
      <c r="AY54" s="300"/>
      <c r="AZ54" s="300"/>
    </row>
    <row r="55" spans="1:52" s="212" customFormat="1" ht="30" customHeight="1" thickBot="1" x14ac:dyDescent="0.3">
      <c r="A55" s="343" t="str">
        <f>Samenvatting!A73</f>
        <v>B6</v>
      </c>
      <c r="B55" s="338" t="str">
        <f>Samenvatting!B73</f>
        <v>bedieningsruimte Linac 6</v>
      </c>
      <c r="C55" s="331" t="s">
        <v>568</v>
      </c>
      <c r="D55" s="1836">
        <v>5</v>
      </c>
      <c r="E55" s="89"/>
      <c r="F55" s="1834">
        <v>250</v>
      </c>
      <c r="G55" s="1834">
        <v>0</v>
      </c>
      <c r="H55" s="1834">
        <v>0</v>
      </c>
      <c r="I55" s="1835">
        <v>0</v>
      </c>
      <c r="J55" s="91">
        <f>$F55/$C$27+$G55/$C$28+$H55/$C$29+$I55/$C$30</f>
        <v>7.3529411764705879</v>
      </c>
      <c r="K55" s="97">
        <f t="shared" si="0"/>
        <v>4.4366873309786093E-8</v>
      </c>
      <c r="L55" s="91">
        <f>($C$7*$C$15*$C$8*($C$9+$C$10*$C$11)/$D55^2*K55*10^6)</f>
        <v>1.0648049594348663E-3</v>
      </c>
      <c r="M55" s="91">
        <f>$F55/$D$27+$G55/$D$28+$H55/$D$29+$I55/$D$30</f>
        <v>6.5789473684210522</v>
      </c>
      <c r="N55" s="97">
        <f t="shared" si="1"/>
        <v>2.636650898730358E-7</v>
      </c>
      <c r="O55" s="91">
        <f>($C$7*$C$15*$D$8*($D$9+$D$10*$D$11)/$D55^2*N55*10^6)</f>
        <v>6.3279621569528599E-3</v>
      </c>
      <c r="P55" s="91">
        <f>$F55/$E$27+$G55/$E$28+$H55/$E$29+$I55/$E$30</f>
        <v>5.6818181818181817</v>
      </c>
      <c r="Q55" s="97">
        <f t="shared" si="2"/>
        <v>2.0805675382171676E-6</v>
      </c>
      <c r="R55" s="91">
        <f>($C$7*$C$15*$E$8*($E$9+$E$10*$E$11)/$D55^2*Q55*10^6)</f>
        <v>4.9933620917212027E-2</v>
      </c>
      <c r="S55" s="91">
        <f>$F55/$F$27+$G55/$F$28+$H55/$F$29+$I55/$F$30</f>
        <v>8.1967213114754092</v>
      </c>
      <c r="T55" s="97">
        <f t="shared" si="3"/>
        <v>6.3573875711648393E-9</v>
      </c>
      <c r="U55" s="91">
        <f>($C$7*$C$15*$F$8*($F$9+$F$10*$F$11)/$D55^2*T55*10^6)</f>
        <v>1.5257730170795616E-4</v>
      </c>
      <c r="V55" s="91">
        <f>$F55/$G$27+$G55/$G$28+$H55/$G$29+$I55/$G$30</f>
        <v>7.0224719101123592</v>
      </c>
      <c r="W55" s="97">
        <f t="shared" si="4"/>
        <v>9.4957241494880226E-8</v>
      </c>
      <c r="X55" s="76">
        <f>($C$7*$C$15*$G$8*($G$9+$G$10*$G$11)/$D55^2*W55*10^6)</f>
        <v>2.278973795877126E-3</v>
      </c>
      <c r="Y55" s="339">
        <f>SUM(L55,O55,R55,U55,X55)</f>
        <v>5.9757939131184837E-2</v>
      </c>
      <c r="Z55" s="333">
        <f>SUM(Y53:Y56)</f>
        <v>0.52249470541710541</v>
      </c>
      <c r="AA55" s="334">
        <f>Z55*52/10^3</f>
        <v>2.7169724681689482E-2</v>
      </c>
      <c r="AG55" s="328"/>
      <c r="AH55" s="328"/>
      <c r="AI55" s="328"/>
      <c r="AJ55" s="328"/>
      <c r="AK55" s="328"/>
      <c r="AL55" s="328"/>
      <c r="AP55" s="222"/>
      <c r="AQ55" s="211"/>
      <c r="AR55" s="222"/>
      <c r="AS55" s="222"/>
      <c r="AT55" s="225"/>
      <c r="AU55" s="225"/>
      <c r="AV55" s="225"/>
      <c r="AW55" s="225"/>
      <c r="AX55" s="225"/>
      <c r="AY55" s="300"/>
      <c r="AZ55" s="300"/>
    </row>
    <row r="56" spans="1:52" s="212" customFormat="1" ht="30" hidden="1" customHeight="1" thickBot="1" x14ac:dyDescent="0.3">
      <c r="A56" s="317"/>
      <c r="B56" s="317"/>
      <c r="C56" s="318"/>
      <c r="D56" s="1838"/>
      <c r="E56" s="1839"/>
      <c r="F56" s="1839"/>
      <c r="G56" s="1839"/>
      <c r="H56" s="1839"/>
      <c r="I56" s="1839"/>
      <c r="J56" s="91"/>
      <c r="K56" s="97"/>
      <c r="L56" s="91"/>
      <c r="M56" s="91"/>
      <c r="N56" s="97"/>
      <c r="O56" s="91"/>
      <c r="P56" s="91"/>
      <c r="Q56" s="97"/>
      <c r="R56" s="91"/>
      <c r="S56" s="91"/>
      <c r="T56" s="97"/>
      <c r="U56" s="91"/>
      <c r="V56" s="91"/>
      <c r="W56" s="97"/>
      <c r="X56" s="76"/>
      <c r="Y56" s="316"/>
      <c r="Z56" s="344"/>
      <c r="AA56" s="345"/>
      <c r="AG56" s="328"/>
      <c r="AH56" s="328"/>
      <c r="AI56" s="328"/>
      <c r="AJ56" s="328"/>
      <c r="AK56" s="328"/>
      <c r="AL56" s="328"/>
      <c r="AP56" s="222"/>
      <c r="AQ56" s="211"/>
      <c r="AR56" s="222"/>
      <c r="AS56" s="222"/>
      <c r="AT56" s="225"/>
      <c r="AU56" s="225"/>
      <c r="AV56" s="225"/>
      <c r="AW56" s="225"/>
      <c r="AX56" s="225"/>
      <c r="AY56" s="300"/>
      <c r="AZ56" s="300"/>
    </row>
    <row r="57" spans="1:52" s="212" customFormat="1" ht="30" customHeight="1" x14ac:dyDescent="0.25">
      <c r="A57" s="322"/>
      <c r="B57" s="322"/>
      <c r="C57" s="323" t="s">
        <v>569</v>
      </c>
      <c r="D57" s="1840">
        <v>6</v>
      </c>
      <c r="E57" s="1840">
        <v>1</v>
      </c>
      <c r="F57" s="1834">
        <v>250</v>
      </c>
      <c r="G57" s="1834">
        <v>0</v>
      </c>
      <c r="H57" s="1834">
        <v>0</v>
      </c>
      <c r="I57" s="1835">
        <v>0</v>
      </c>
      <c r="J57" s="91">
        <f>IF($F57=0,0,1+($F57-$C$21)/$C$22)+$G57/$C$23+$H57/$C$24+$I57/$C$25</f>
        <v>7.4545454545454541</v>
      </c>
      <c r="K57" s="97">
        <f t="shared" si="0"/>
        <v>3.5111917342151263E-8</v>
      </c>
      <c r="L57" s="91">
        <f>($C$7*$C$14*$C$8*$E57/$D57^2*K57*10^6)</f>
        <v>7.8026482982558355E-3</v>
      </c>
      <c r="M57" s="91">
        <f>IF($F57=0,0,1+($F57-$D$21)/$D$22)+$G57/$D$23+$H57/$D$24+$I57/$D$25</f>
        <v>6.6486486486486482</v>
      </c>
      <c r="N57" s="97">
        <f t="shared" si="1"/>
        <v>2.2456979955397711E-7</v>
      </c>
      <c r="O57" s="91">
        <f>($C$7*$D$14*$D$8*$E57/$D57^2*N57*10^6)</f>
        <v>4.99043999008838E-2</v>
      </c>
      <c r="P57" s="91">
        <f>IF($F57=0,0,1+($F57-$E$21)/$E$22)+$G57/$E$23+$H57/$E$24+$I57/$E$25</f>
        <v>5.7674418604651159</v>
      </c>
      <c r="Q57" s="97">
        <f t="shared" si="2"/>
        <v>1.7082763938087111E-6</v>
      </c>
      <c r="R57" s="91">
        <f>($C$7*$E$14*$E$8*$E57/$D57^2*Q57*10^6)</f>
        <v>0.37961697640193576</v>
      </c>
      <c r="S57" s="91">
        <f>IF($F57=0,0,1+($F57-$F$21)/$F$22)+$G57/$F$23+$H57/$F$24+$I57/$F$25</f>
        <v>9.1481481481481488</v>
      </c>
      <c r="T57" s="97">
        <f t="shared" si="3"/>
        <v>7.1097094323124171E-10</v>
      </c>
      <c r="U57" s="91">
        <f>($C$7*$F$14*$F$8*$E57/$D57^2*T57*10^6)</f>
        <v>1.5799354294027593E-4</v>
      </c>
      <c r="V57" s="91">
        <f>IF($F57=0,0,1+($F57-$G$21)/$G$22)+$G57/$G$23+$H57/$G$24+$I57/$G$25</f>
        <v>6.9444444444444446</v>
      </c>
      <c r="W57" s="97">
        <f t="shared" si="4"/>
        <v>1.136463666385722E-7</v>
      </c>
      <c r="X57" s="76">
        <f>($C$7*$G$14*$G$8*$E57/$D57^2*W57*10^6)</f>
        <v>2.5254748141904933E-2</v>
      </c>
      <c r="Y57" s="324">
        <f>SUM(L57,O57,R57,U57,X57)</f>
        <v>0.46273676628592059</v>
      </c>
      <c r="Z57" s="325"/>
      <c r="AA57" s="326"/>
      <c r="AG57" s="328"/>
      <c r="AI57" s="328"/>
      <c r="AJ57" s="328"/>
      <c r="AK57" s="328"/>
      <c r="AL57" s="328"/>
      <c r="AP57" s="222"/>
      <c r="AQ57" s="211"/>
      <c r="AR57" s="222"/>
      <c r="AS57" s="222"/>
      <c r="AT57" s="225"/>
      <c r="AU57" s="225"/>
      <c r="AV57" s="225"/>
      <c r="AW57" s="225"/>
      <c r="AX57" s="225"/>
      <c r="AY57" s="300"/>
      <c r="AZ57" s="300"/>
    </row>
    <row r="58" spans="1:52" s="212" customFormat="1" ht="30" customHeight="1" thickBot="1" x14ac:dyDescent="0.3">
      <c r="A58" s="343" t="str">
        <f>Samenvatting!A85</f>
        <v>B7</v>
      </c>
      <c r="B58" s="338" t="str">
        <f>Samenvatting!B85</f>
        <v>bedieningsruimte Linac 7</v>
      </c>
      <c r="C58" s="331" t="s">
        <v>568</v>
      </c>
      <c r="D58" s="1836">
        <v>5</v>
      </c>
      <c r="E58" s="89"/>
      <c r="F58" s="1834">
        <v>250</v>
      </c>
      <c r="G58" s="1834">
        <v>0</v>
      </c>
      <c r="H58" s="1834">
        <v>0</v>
      </c>
      <c r="I58" s="1835">
        <v>0</v>
      </c>
      <c r="J58" s="91">
        <f>$F58/$C$27+$G58/$C$28+$H58/$C$29+$I58/$C$30</f>
        <v>7.3529411764705879</v>
      </c>
      <c r="K58" s="97">
        <f t="shared" si="0"/>
        <v>4.4366873309786093E-8</v>
      </c>
      <c r="L58" s="91">
        <f>($C$7*$C$15*$C$8*($C$9+$C$10*$C$11)/$D58^2*K58*10^6)</f>
        <v>1.0648049594348663E-3</v>
      </c>
      <c r="M58" s="91">
        <f>$F58/$D$27+$G58/$D$28+$H58/$D$29+$I58/$D$30</f>
        <v>6.5789473684210522</v>
      </c>
      <c r="N58" s="97">
        <f t="shared" si="1"/>
        <v>2.636650898730358E-7</v>
      </c>
      <c r="O58" s="91">
        <f>($C$7*$C$15*$D$8*($D$9+$D$10*$D$11)/$D58^2*N58*10^6)</f>
        <v>6.3279621569528599E-3</v>
      </c>
      <c r="P58" s="91">
        <f>$F58/$E$27+$G58/$E$28+$H58/$E$29+$I58/$E$30</f>
        <v>5.6818181818181817</v>
      </c>
      <c r="Q58" s="97">
        <f t="shared" si="2"/>
        <v>2.0805675382171676E-6</v>
      </c>
      <c r="R58" s="91">
        <f>($C$7*$C$15*$E$8*($E$9+$E$10*$E$11)/$D58^2*Q58*10^6)</f>
        <v>4.9933620917212027E-2</v>
      </c>
      <c r="S58" s="91">
        <f>$F58/$F$27+$G58/$F$28+$H58/$F$29+$I58/$F$30</f>
        <v>8.1967213114754092</v>
      </c>
      <c r="T58" s="97">
        <f t="shared" si="3"/>
        <v>6.3573875711648393E-9</v>
      </c>
      <c r="U58" s="91">
        <f>($C$7*$C$15*$F$8*($F$9+$F$10*$F$11)/$D58^2*T58*10^6)</f>
        <v>1.5257730170795616E-4</v>
      </c>
      <c r="V58" s="91">
        <f>$F58/$G$27+$G58/$G$28+$H58/$G$29+$I58/$G$30</f>
        <v>7.0224719101123592</v>
      </c>
      <c r="W58" s="97">
        <f t="shared" si="4"/>
        <v>9.4957241494880226E-8</v>
      </c>
      <c r="X58" s="76">
        <f>($C$7*$C$15*$G$8*($G$9+$G$10*$G$11)/$D58^2*W58*10^6)</f>
        <v>2.278973795877126E-3</v>
      </c>
      <c r="Y58" s="339">
        <f>SUM(L58,O58,R58,U58,X58)</f>
        <v>5.9757939131184837E-2</v>
      </c>
      <c r="Z58" s="333">
        <f>SUM(Y56:Y59)</f>
        <v>0.52249470541710541</v>
      </c>
      <c r="AA58" s="334">
        <f>Z58*52/10^3</f>
        <v>2.7169724681689482E-2</v>
      </c>
      <c r="AG58" s="328"/>
      <c r="AH58" s="328"/>
      <c r="AI58" s="328"/>
      <c r="AJ58" s="328"/>
      <c r="AK58" s="328"/>
      <c r="AL58" s="328"/>
      <c r="AP58" s="222"/>
      <c r="AQ58" s="211"/>
      <c r="AR58" s="222"/>
      <c r="AS58" s="222"/>
      <c r="AT58" s="225"/>
      <c r="AU58" s="225"/>
      <c r="AV58" s="225"/>
      <c r="AW58" s="225"/>
      <c r="AX58" s="225"/>
      <c r="AY58" s="300"/>
      <c r="AZ58" s="300"/>
    </row>
    <row r="59" spans="1:52" s="212" customFormat="1" ht="30" hidden="1" customHeight="1" thickBot="1" x14ac:dyDescent="0.3">
      <c r="A59" s="317"/>
      <c r="B59" s="317"/>
      <c r="C59" s="318"/>
      <c r="D59" s="1838"/>
      <c r="E59" s="1839"/>
      <c r="F59" s="1839"/>
      <c r="G59" s="1839"/>
      <c r="H59" s="1839"/>
      <c r="I59" s="1839"/>
      <c r="J59" s="91"/>
      <c r="K59" s="97"/>
      <c r="L59" s="91"/>
      <c r="M59" s="91"/>
      <c r="N59" s="97"/>
      <c r="O59" s="91"/>
      <c r="P59" s="91"/>
      <c r="Q59" s="97"/>
      <c r="R59" s="91"/>
      <c r="S59" s="91"/>
      <c r="T59" s="97"/>
      <c r="U59" s="91"/>
      <c r="V59" s="91"/>
      <c r="W59" s="97"/>
      <c r="X59" s="76"/>
      <c r="Y59" s="316"/>
      <c r="Z59" s="344"/>
      <c r="AA59" s="345"/>
      <c r="AG59" s="328"/>
      <c r="AH59" s="328"/>
      <c r="AI59" s="328"/>
      <c r="AJ59" s="328"/>
      <c r="AK59" s="328"/>
      <c r="AL59" s="328"/>
      <c r="AP59" s="222"/>
      <c r="AQ59" s="211"/>
      <c r="AR59" s="222"/>
      <c r="AS59" s="222"/>
      <c r="AT59" s="225"/>
      <c r="AU59" s="225"/>
      <c r="AV59" s="225"/>
      <c r="AW59" s="225"/>
      <c r="AX59" s="225"/>
      <c r="AY59" s="300"/>
      <c r="AZ59" s="300"/>
    </row>
    <row r="60" spans="1:52" s="212" customFormat="1" ht="30" customHeight="1" x14ac:dyDescent="0.25">
      <c r="A60" s="322"/>
      <c r="B60" s="322"/>
      <c r="C60" s="323" t="s">
        <v>569</v>
      </c>
      <c r="D60" s="1840">
        <v>6</v>
      </c>
      <c r="E60" s="1840">
        <v>1</v>
      </c>
      <c r="F60" s="1834">
        <v>250</v>
      </c>
      <c r="G60" s="1834">
        <v>0</v>
      </c>
      <c r="H60" s="1834">
        <v>0</v>
      </c>
      <c r="I60" s="1835">
        <v>0</v>
      </c>
      <c r="J60" s="91">
        <f>IF($F60=0,0,1+($F60-$C$21)/$C$22)+$G60/$C$23+$H60/$C$24+$I60/$C$25</f>
        <v>7.4545454545454541</v>
      </c>
      <c r="K60" s="97">
        <f t="shared" si="0"/>
        <v>3.5111917342151263E-8</v>
      </c>
      <c r="L60" s="91">
        <f>($C$7*$C$14*$C$8*$E60/$D60^2*K60*10^6)</f>
        <v>7.8026482982558355E-3</v>
      </c>
      <c r="M60" s="91">
        <f>IF($F60=0,0,1+($F60-$D$21)/$D$22)+$G60/$D$23+$H60/$D$24+$I60/$D$25</f>
        <v>6.6486486486486482</v>
      </c>
      <c r="N60" s="97">
        <f t="shared" si="1"/>
        <v>2.2456979955397711E-7</v>
      </c>
      <c r="O60" s="91">
        <f>($C$7*$D$14*$D$8*$E60/$D60^2*N60*10^6)</f>
        <v>4.99043999008838E-2</v>
      </c>
      <c r="P60" s="91">
        <f>IF($F60=0,0,1+($F60-$E$21)/$E$22)+$G60/$E$23+$H60/$E$24+$I60/$E$25</f>
        <v>5.7674418604651159</v>
      </c>
      <c r="Q60" s="97">
        <f t="shared" si="2"/>
        <v>1.7082763938087111E-6</v>
      </c>
      <c r="R60" s="91">
        <f>($C$7*$E$14*$E$8*$E60/$D60^2*Q60*10^6)</f>
        <v>0.37961697640193576</v>
      </c>
      <c r="S60" s="91">
        <f>IF($F60=0,0,1+($F60-$F$21)/$F$22)+$G60/$F$23+$H60/$F$24+$I60/$F$25</f>
        <v>9.1481481481481488</v>
      </c>
      <c r="T60" s="97">
        <f t="shared" si="3"/>
        <v>7.1097094323124171E-10</v>
      </c>
      <c r="U60" s="91">
        <f>($C$7*$F$14*$F$8*$E60/$D60^2*T60*10^6)</f>
        <v>1.5799354294027593E-4</v>
      </c>
      <c r="V60" s="91">
        <f>IF($F60=0,0,1+($F60-$G$21)/$G$22)+$G60/$G$23+$H60/$G$24+$I60/$G$25</f>
        <v>6.9444444444444446</v>
      </c>
      <c r="W60" s="97">
        <f t="shared" si="4"/>
        <v>1.136463666385722E-7</v>
      </c>
      <c r="X60" s="76">
        <f>($C$7*$G$14*$G$8*$E60/$D60^2*W60*10^6)</f>
        <v>2.5254748141904933E-2</v>
      </c>
      <c r="Y60" s="324">
        <f>SUM(L60,O60,R60,U60,X60)</f>
        <v>0.46273676628592059</v>
      </c>
      <c r="Z60" s="325"/>
      <c r="AA60" s="326"/>
      <c r="AG60" s="328"/>
      <c r="AI60" s="328"/>
      <c r="AJ60" s="328"/>
      <c r="AK60" s="328"/>
      <c r="AL60" s="328"/>
      <c r="AP60" s="222"/>
      <c r="AQ60" s="211"/>
      <c r="AR60" s="222"/>
      <c r="AS60" s="222"/>
      <c r="AT60" s="225"/>
      <c r="AU60" s="225"/>
      <c r="AV60" s="225"/>
      <c r="AW60" s="225"/>
      <c r="AX60" s="225"/>
      <c r="AY60" s="300"/>
      <c r="AZ60" s="300"/>
    </row>
    <row r="61" spans="1:52" s="212" customFormat="1" ht="30" customHeight="1" thickBot="1" x14ac:dyDescent="0.3">
      <c r="A61" s="343" t="str">
        <f>Samenvatting!A97</f>
        <v>B8</v>
      </c>
      <c r="B61" s="338" t="str">
        <f>Samenvatting!B97</f>
        <v>bedieningsruimte Linac 8</v>
      </c>
      <c r="C61" s="331" t="s">
        <v>568</v>
      </c>
      <c r="D61" s="1836">
        <v>5</v>
      </c>
      <c r="E61" s="89"/>
      <c r="F61" s="1834">
        <v>250</v>
      </c>
      <c r="G61" s="1834">
        <v>0</v>
      </c>
      <c r="H61" s="1834">
        <v>0</v>
      </c>
      <c r="I61" s="1835">
        <v>0</v>
      </c>
      <c r="J61" s="91">
        <f>$F61/$C$27+$G61/$C$28+$H61/$C$29+$I61/$C$30</f>
        <v>7.3529411764705879</v>
      </c>
      <c r="K61" s="97">
        <f t="shared" si="0"/>
        <v>4.4366873309786093E-8</v>
      </c>
      <c r="L61" s="91">
        <f>($C$7*$C$15*$C$8*($C$9+$C$10*$C$11)/$D61^2*K61*10^6)</f>
        <v>1.0648049594348663E-3</v>
      </c>
      <c r="M61" s="91">
        <f>$F61/$D$27+$G61/$D$28+$H61/$D$29+$I61/$D$30</f>
        <v>6.5789473684210522</v>
      </c>
      <c r="N61" s="97">
        <f t="shared" si="1"/>
        <v>2.636650898730358E-7</v>
      </c>
      <c r="O61" s="91">
        <f>($C$7*$C$15*$D$8*($D$9+$D$10*$D$11)/$D61^2*N61*10^6)</f>
        <v>6.3279621569528599E-3</v>
      </c>
      <c r="P61" s="91">
        <f>$F61/$E$27+$G61/$E$28+$H61/$E$29+$I61/$E$30</f>
        <v>5.6818181818181817</v>
      </c>
      <c r="Q61" s="97">
        <f t="shared" si="2"/>
        <v>2.0805675382171676E-6</v>
      </c>
      <c r="R61" s="91">
        <f>($C$7*$C$15*$E$8*($E$9+$E$10*$E$11)/$D61^2*Q61*10^6)</f>
        <v>4.9933620917212027E-2</v>
      </c>
      <c r="S61" s="91">
        <f>$F61/$F$27+$G61/$F$28+$H61/$F$29+$I61/$F$30</f>
        <v>8.1967213114754092</v>
      </c>
      <c r="T61" s="97">
        <f t="shared" si="3"/>
        <v>6.3573875711648393E-9</v>
      </c>
      <c r="U61" s="91">
        <f>($C$7*$C$15*$F$8*($F$9+$F$10*$F$11)/$D61^2*T61*10^6)</f>
        <v>1.5257730170795616E-4</v>
      </c>
      <c r="V61" s="91">
        <f>$F61/$G$27+$G61/$G$28+$H61/$G$29+$I61/$G$30</f>
        <v>7.0224719101123592</v>
      </c>
      <c r="W61" s="97">
        <f t="shared" si="4"/>
        <v>9.4957241494880226E-8</v>
      </c>
      <c r="X61" s="76">
        <f>($C$7*$C$15*$G$8*($G$9+$G$10*$G$11)/$D61^2*W61*10^6)</f>
        <v>2.278973795877126E-3</v>
      </c>
      <c r="Y61" s="339">
        <f>SUM(L61,O61,R61,U61,X61)</f>
        <v>5.9757939131184837E-2</v>
      </c>
      <c r="Z61" s="333">
        <f>SUM(Y59:Y62)</f>
        <v>0.52249470541710541</v>
      </c>
      <c r="AA61" s="334">
        <f>Z61*52/10^3</f>
        <v>2.7169724681689482E-2</v>
      </c>
      <c r="AG61" s="328"/>
      <c r="AH61" s="328"/>
      <c r="AI61" s="328"/>
      <c r="AJ61" s="328"/>
      <c r="AK61" s="328"/>
      <c r="AL61" s="328"/>
      <c r="AP61" s="222"/>
      <c r="AQ61" s="211"/>
      <c r="AR61" s="222"/>
      <c r="AS61" s="222"/>
      <c r="AT61" s="225"/>
      <c r="AU61" s="225"/>
      <c r="AV61" s="225"/>
      <c r="AW61" s="225"/>
      <c r="AX61" s="225"/>
      <c r="AY61" s="300"/>
      <c r="AZ61" s="300"/>
    </row>
    <row r="62" spans="1:52" s="212" customFormat="1" ht="30" hidden="1" customHeight="1" thickBot="1" x14ac:dyDescent="0.3">
      <c r="A62" s="317"/>
      <c r="B62" s="317"/>
      <c r="C62" s="318"/>
      <c r="D62" s="1838"/>
      <c r="E62" s="1839"/>
      <c r="F62" s="1839"/>
      <c r="G62" s="1839"/>
      <c r="H62" s="1839"/>
      <c r="I62" s="1839"/>
      <c r="J62" s="91"/>
      <c r="K62" s="97"/>
      <c r="L62" s="91"/>
      <c r="M62" s="91"/>
      <c r="N62" s="97"/>
      <c r="O62" s="91"/>
      <c r="P62" s="91"/>
      <c r="Q62" s="97"/>
      <c r="R62" s="91"/>
      <c r="S62" s="91"/>
      <c r="T62" s="97"/>
      <c r="U62" s="91"/>
      <c r="V62" s="91"/>
      <c r="W62" s="97"/>
      <c r="X62" s="76"/>
      <c r="Y62" s="316"/>
      <c r="Z62" s="344"/>
      <c r="AA62" s="345"/>
      <c r="AG62" s="328"/>
      <c r="AH62" s="328"/>
      <c r="AI62" s="328"/>
      <c r="AJ62" s="328"/>
      <c r="AK62" s="328"/>
      <c r="AL62" s="328"/>
      <c r="AP62" s="222"/>
      <c r="AQ62" s="211"/>
      <c r="AR62" s="222"/>
      <c r="AS62" s="222"/>
      <c r="AT62" s="225"/>
      <c r="AU62" s="225"/>
      <c r="AV62" s="225"/>
      <c r="AW62" s="225"/>
      <c r="AX62" s="225"/>
      <c r="AY62" s="300"/>
      <c r="AZ62" s="300"/>
    </row>
    <row r="63" spans="1:52" s="212" customFormat="1" ht="30" customHeight="1" x14ac:dyDescent="0.25">
      <c r="A63" s="322"/>
      <c r="B63" s="322"/>
      <c r="C63" s="323" t="s">
        <v>569</v>
      </c>
      <c r="D63" s="1840">
        <v>6</v>
      </c>
      <c r="E63" s="1840">
        <v>1</v>
      </c>
      <c r="F63" s="1834">
        <v>250</v>
      </c>
      <c r="G63" s="1834">
        <v>0</v>
      </c>
      <c r="H63" s="1834">
        <v>0</v>
      </c>
      <c r="I63" s="1835">
        <v>0</v>
      </c>
      <c r="J63" s="91">
        <f>IF($F63=0,0,1+($F63-$C$21)/$C$22)+$G63/$C$23+$H63/$C$24+$I63/$C$25</f>
        <v>7.4545454545454541</v>
      </c>
      <c r="K63" s="97">
        <f t="shared" si="0"/>
        <v>3.5111917342151263E-8</v>
      </c>
      <c r="L63" s="91">
        <f>($C$7*$C$14*$C$8*$E63/$D63^2*K63*10^6)</f>
        <v>7.8026482982558355E-3</v>
      </c>
      <c r="M63" s="91">
        <f>IF($F63=0,0,1+($F63-$D$21)/$D$22)+$G63/$D$23+$H63/$D$24+$I63/$D$25</f>
        <v>6.6486486486486482</v>
      </c>
      <c r="N63" s="97">
        <f t="shared" si="1"/>
        <v>2.2456979955397711E-7</v>
      </c>
      <c r="O63" s="91">
        <f>($C$7*$D$14*$D$8*$E63/$D63^2*N63*10^6)</f>
        <v>4.99043999008838E-2</v>
      </c>
      <c r="P63" s="91">
        <f>IF($F63=0,0,1+($F63-$E$21)/$E$22)+$G63/$E$23+$H63/$E$24+$I63/$E$25</f>
        <v>5.7674418604651159</v>
      </c>
      <c r="Q63" s="97">
        <f t="shared" si="2"/>
        <v>1.7082763938087111E-6</v>
      </c>
      <c r="R63" s="91">
        <f>($C$7*$E$14*$E$8*$E63/$D63^2*Q63*10^6)</f>
        <v>0.37961697640193576</v>
      </c>
      <c r="S63" s="91">
        <f>IF($F63=0,0,1+($F63-$F$21)/$F$22)+$G63/$F$23+$H63/$F$24+$I63/$F$25</f>
        <v>9.1481481481481488</v>
      </c>
      <c r="T63" s="97">
        <f t="shared" si="3"/>
        <v>7.1097094323124171E-10</v>
      </c>
      <c r="U63" s="91">
        <f>($C$7*$F$14*$F$8*$E63/$D63^2*T63*10^6)</f>
        <v>1.5799354294027593E-4</v>
      </c>
      <c r="V63" s="91">
        <f>IF($F63=0,0,1+($F63-$G$21)/$G$22)+$G63/$G$23+$H63/$G$24+$I63/$G$25</f>
        <v>6.9444444444444446</v>
      </c>
      <c r="W63" s="97">
        <f t="shared" si="4"/>
        <v>1.136463666385722E-7</v>
      </c>
      <c r="X63" s="76">
        <f>($C$7*$G$14*$G$8*$E63/$D63^2*W63*10^6)</f>
        <v>2.5254748141904933E-2</v>
      </c>
      <c r="Y63" s="324">
        <f>SUM(L63,O63,R63,U63,X63)</f>
        <v>0.46273676628592059</v>
      </c>
      <c r="Z63" s="325"/>
      <c r="AA63" s="326"/>
      <c r="AG63" s="328"/>
      <c r="AI63" s="328"/>
      <c r="AJ63" s="328"/>
      <c r="AK63" s="328"/>
      <c r="AL63" s="328"/>
      <c r="AP63" s="222"/>
      <c r="AQ63" s="211"/>
      <c r="AR63" s="222"/>
      <c r="AS63" s="222"/>
      <c r="AT63" s="225"/>
      <c r="AU63" s="225"/>
      <c r="AV63" s="225"/>
      <c r="AW63" s="225"/>
      <c r="AX63" s="225"/>
      <c r="AY63" s="300"/>
      <c r="AZ63" s="300"/>
    </row>
    <row r="64" spans="1:52" s="212" customFormat="1" ht="30" customHeight="1" thickBot="1" x14ac:dyDescent="0.3">
      <c r="A64" s="343" t="str">
        <f>Samenvatting!A109</f>
        <v>B9</v>
      </c>
      <c r="B64" s="338" t="str">
        <f>Samenvatting!B109</f>
        <v>bedieningsruimte Linac 9</v>
      </c>
      <c r="C64" s="331" t="s">
        <v>568</v>
      </c>
      <c r="D64" s="1843">
        <v>5</v>
      </c>
      <c r="E64" s="347"/>
      <c r="F64" s="1834">
        <v>250</v>
      </c>
      <c r="G64" s="1834">
        <v>0</v>
      </c>
      <c r="H64" s="1834">
        <v>0</v>
      </c>
      <c r="I64" s="1835">
        <v>0</v>
      </c>
      <c r="J64" s="91">
        <f>$F64/$C$27+$G64/$C$28+$H64/$C$29+$I64/$C$30</f>
        <v>7.3529411764705879</v>
      </c>
      <c r="K64" s="97">
        <f t="shared" si="0"/>
        <v>4.4366873309786093E-8</v>
      </c>
      <c r="L64" s="91">
        <f>($C$7*$C$15*$C$8*($C$9+$C$10*$C$11)/$D64^2*K64*10^6)</f>
        <v>1.0648049594348663E-3</v>
      </c>
      <c r="M64" s="91">
        <f>$F64/$D$27+$G64/$D$28+$H64/$D$29+$I64/$D$30</f>
        <v>6.5789473684210522</v>
      </c>
      <c r="N64" s="97">
        <f t="shared" si="1"/>
        <v>2.636650898730358E-7</v>
      </c>
      <c r="O64" s="91">
        <f>($C$7*$C$15*$D$8*($D$9+$D$10*$D$11)/$D64^2*N64*10^6)</f>
        <v>6.3279621569528599E-3</v>
      </c>
      <c r="P64" s="91">
        <f>$F64/$E$27+$G64/$E$28+$H64/$E$29+$I64/$E$30</f>
        <v>5.6818181818181817</v>
      </c>
      <c r="Q64" s="97">
        <f t="shared" si="2"/>
        <v>2.0805675382171676E-6</v>
      </c>
      <c r="R64" s="91">
        <f>($C$7*$C$15*$E$8*($E$9+$E$10*$E$11)/$D64^2*Q64*10^6)</f>
        <v>4.9933620917212027E-2</v>
      </c>
      <c r="S64" s="91">
        <f>$F64/$F$27+$G64/$F$28+$H64/$F$29+$I64/$F$30</f>
        <v>8.1967213114754092</v>
      </c>
      <c r="T64" s="97">
        <f t="shared" si="3"/>
        <v>6.3573875711648393E-9</v>
      </c>
      <c r="U64" s="91">
        <f>($C$7*$C$15*$F$8*($F$9+$F$10*$F$11)/$D64^2*T64*10^6)</f>
        <v>1.5257730170795616E-4</v>
      </c>
      <c r="V64" s="91">
        <f>$F64/$G$27+$G64/$G$28+$H64/$G$29+$I64/$G$30</f>
        <v>7.0224719101123592</v>
      </c>
      <c r="W64" s="97">
        <f t="shared" si="4"/>
        <v>9.4957241494880226E-8</v>
      </c>
      <c r="X64" s="76">
        <f>($C$7*$C$15*$G$8*($G$9+$G$10*$G$11)/$D64^2*W64*10^6)</f>
        <v>2.278973795877126E-3</v>
      </c>
      <c r="Y64" s="339">
        <f>SUM(L64,O64,R64,U64,X64)</f>
        <v>5.9757939131184837E-2</v>
      </c>
      <c r="Z64" s="333">
        <f>SUM(Y62:Y65)</f>
        <v>0.52249470541710541</v>
      </c>
      <c r="AA64" s="334">
        <f>Z64*52/10^3</f>
        <v>2.7169724681689482E-2</v>
      </c>
      <c r="AG64" s="328"/>
      <c r="AH64" s="328"/>
      <c r="AI64" s="328"/>
      <c r="AJ64" s="328"/>
      <c r="AK64" s="328"/>
      <c r="AL64" s="328"/>
      <c r="AP64" s="222"/>
      <c r="AQ64" s="211"/>
      <c r="AR64" s="222"/>
      <c r="AS64" s="222"/>
      <c r="AT64" s="225"/>
      <c r="AU64" s="225"/>
      <c r="AV64" s="225"/>
      <c r="AW64" s="225"/>
      <c r="AX64" s="225"/>
      <c r="AY64" s="300"/>
      <c r="AZ64" s="300"/>
    </row>
    <row r="65" spans="1:52" s="212" customFormat="1" ht="30" hidden="1" customHeight="1" thickBot="1" x14ac:dyDescent="0.3">
      <c r="A65" s="317"/>
      <c r="B65" s="317"/>
      <c r="C65" s="318"/>
      <c r="D65" s="1838"/>
      <c r="E65" s="1839"/>
      <c r="F65" s="1839"/>
      <c r="G65" s="1839"/>
      <c r="H65" s="1839"/>
      <c r="I65" s="1839"/>
      <c r="J65" s="91"/>
      <c r="K65" s="97"/>
      <c r="L65" s="91"/>
      <c r="M65" s="91"/>
      <c r="N65" s="97"/>
      <c r="O65" s="91"/>
      <c r="P65" s="91"/>
      <c r="Q65" s="97"/>
      <c r="R65" s="91"/>
      <c r="S65" s="91"/>
      <c r="T65" s="97"/>
      <c r="U65" s="91"/>
      <c r="V65" s="91"/>
      <c r="W65" s="97"/>
      <c r="X65" s="76"/>
      <c r="Y65" s="316"/>
      <c r="Z65" s="344"/>
      <c r="AA65" s="345"/>
      <c r="AG65" s="328"/>
      <c r="AH65" s="328"/>
      <c r="AI65" s="328"/>
      <c r="AJ65" s="328"/>
      <c r="AK65" s="328"/>
      <c r="AL65" s="328"/>
      <c r="AP65" s="222"/>
      <c r="AQ65" s="211"/>
      <c r="AR65" s="222"/>
      <c r="AS65" s="222"/>
      <c r="AT65" s="225"/>
      <c r="AU65" s="225"/>
      <c r="AV65" s="225"/>
      <c r="AW65" s="225"/>
      <c r="AX65" s="225"/>
      <c r="AY65" s="300"/>
      <c r="AZ65" s="300"/>
    </row>
    <row r="66" spans="1:52" s="212" customFormat="1" ht="30" customHeight="1" x14ac:dyDescent="0.25">
      <c r="A66" s="322"/>
      <c r="B66" s="322"/>
      <c r="C66" s="323" t="s">
        <v>569</v>
      </c>
      <c r="D66" s="1840">
        <v>6</v>
      </c>
      <c r="E66" s="1840">
        <v>1</v>
      </c>
      <c r="F66" s="1834">
        <v>250</v>
      </c>
      <c r="G66" s="1834">
        <v>0</v>
      </c>
      <c r="H66" s="1834">
        <v>0</v>
      </c>
      <c r="I66" s="1835">
        <v>0</v>
      </c>
      <c r="J66" s="91">
        <f>IF($F66=0,0,1+($F66-$C$21)/$C$22)+$G66/$C$23+$H66/$C$24+$I66/$C$25</f>
        <v>7.4545454545454541</v>
      </c>
      <c r="K66" s="97">
        <f t="shared" si="0"/>
        <v>3.5111917342151263E-8</v>
      </c>
      <c r="L66" s="91">
        <f>($C$7*$C$14*$C$8*$E66/$D66^2*K66*10^6)</f>
        <v>7.8026482982558355E-3</v>
      </c>
      <c r="M66" s="91">
        <f>IF($F66=0,0,1+($F66-$D$21)/$D$22)+$G66/$D$23+$H66/$D$24+$I66/$D$25</f>
        <v>6.6486486486486482</v>
      </c>
      <c r="N66" s="97">
        <f t="shared" si="1"/>
        <v>2.2456979955397711E-7</v>
      </c>
      <c r="O66" s="91">
        <f>($C$7*$D$14*$D$8*$E66/$D66^2*N66*10^6)</f>
        <v>4.99043999008838E-2</v>
      </c>
      <c r="P66" s="91">
        <f>IF($F66=0,0,1+($F66-$E$21)/$E$22)+$G66/$E$23+$H66/$E$24+$I66/$E$25</f>
        <v>5.7674418604651159</v>
      </c>
      <c r="Q66" s="97">
        <f t="shared" si="2"/>
        <v>1.7082763938087111E-6</v>
      </c>
      <c r="R66" s="91">
        <f>($C$7*$E$14*$E$8*$E66/$D66^2*Q66*10^6)</f>
        <v>0.37961697640193576</v>
      </c>
      <c r="S66" s="91">
        <f>IF($F66=0,0,1+($F66-$F$21)/$F$22)+$G66/$F$23+$H66/$F$24+$I66/$F$25</f>
        <v>9.1481481481481488</v>
      </c>
      <c r="T66" s="97">
        <f t="shared" si="3"/>
        <v>7.1097094323124171E-10</v>
      </c>
      <c r="U66" s="91">
        <f>($C$7*$F$14*$F$8*$E66/$D66^2*T66*10^6)</f>
        <v>1.5799354294027593E-4</v>
      </c>
      <c r="V66" s="91">
        <f>IF($F66=0,0,1+($F66-$G$21)/$G$22)+$G66/$G$23+$H66/$G$24+$I66/$G$25</f>
        <v>6.9444444444444446</v>
      </c>
      <c r="W66" s="97">
        <f t="shared" si="4"/>
        <v>1.136463666385722E-7</v>
      </c>
      <c r="X66" s="76">
        <f>($C$7*$G$14*$G$8*$E66/$D66^2*W66*10^6)</f>
        <v>2.5254748141904933E-2</v>
      </c>
      <c r="Y66" s="324">
        <f>SUM(L66,O66,R66,U66,X66)</f>
        <v>0.46273676628592059</v>
      </c>
      <c r="Z66" s="325"/>
      <c r="AA66" s="326"/>
      <c r="AG66" s="328"/>
      <c r="AI66" s="328"/>
      <c r="AJ66" s="328"/>
      <c r="AK66" s="328"/>
      <c r="AL66" s="328"/>
      <c r="AP66" s="222"/>
      <c r="AQ66" s="211"/>
      <c r="AR66" s="222"/>
      <c r="AS66" s="222"/>
      <c r="AT66" s="225"/>
      <c r="AU66" s="225"/>
      <c r="AV66" s="225"/>
      <c r="AW66" s="225"/>
      <c r="AX66" s="225"/>
      <c r="AY66" s="300"/>
      <c r="AZ66" s="300"/>
    </row>
    <row r="67" spans="1:52" s="212" customFormat="1" ht="30" customHeight="1" thickBot="1" x14ac:dyDescent="0.3">
      <c r="A67" s="343" t="str">
        <f>Samenvatting!A121</f>
        <v>B10</v>
      </c>
      <c r="B67" s="656" t="str">
        <f>Samenvatting!B121</f>
        <v>bedieningsruimte Linac 10</v>
      </c>
      <c r="C67" s="331" t="s">
        <v>568</v>
      </c>
      <c r="D67" s="1836">
        <v>5</v>
      </c>
      <c r="E67" s="89"/>
      <c r="F67" s="1834">
        <v>250</v>
      </c>
      <c r="G67" s="1834">
        <v>0</v>
      </c>
      <c r="H67" s="1834">
        <v>0</v>
      </c>
      <c r="I67" s="1835">
        <v>0</v>
      </c>
      <c r="J67" s="91">
        <f>$F67/$C$27+$G67/$C$28+$H67/$C$29+$I67/$C$30</f>
        <v>7.3529411764705879</v>
      </c>
      <c r="K67" s="97">
        <f t="shared" si="0"/>
        <v>4.4366873309786093E-8</v>
      </c>
      <c r="L67" s="91">
        <f>($C$7*$C$15*$C$8*($C$9+$C$10*$C$11)/$D67^2*K67*10^6)</f>
        <v>1.0648049594348663E-3</v>
      </c>
      <c r="M67" s="91">
        <f>$F67/$D$27+$G67/$D$28+$H67/$D$29+$I67/$D$30</f>
        <v>6.5789473684210522</v>
      </c>
      <c r="N67" s="97">
        <f t="shared" si="1"/>
        <v>2.636650898730358E-7</v>
      </c>
      <c r="O67" s="91">
        <f>($C$7*$C$15*$D$8*($D$9+$D$10*$D$11)/$D67^2*N67*10^6)</f>
        <v>6.3279621569528599E-3</v>
      </c>
      <c r="P67" s="91">
        <f>$F67/$E$27+$G67/$E$28+$H67/$E$29+$I67/$E$30</f>
        <v>5.6818181818181817</v>
      </c>
      <c r="Q67" s="97">
        <f t="shared" si="2"/>
        <v>2.0805675382171676E-6</v>
      </c>
      <c r="R67" s="91">
        <f>($C$7*$C$15*$E$8*($E$9+$E$10*$E$11)/$D67^2*Q67*10^6)</f>
        <v>4.9933620917212027E-2</v>
      </c>
      <c r="S67" s="91">
        <f>$F67/$F$27+$G67/$F$28+$H67/$F$29+$I67/$F$30</f>
        <v>8.1967213114754092</v>
      </c>
      <c r="T67" s="97">
        <f t="shared" si="3"/>
        <v>6.3573875711648393E-9</v>
      </c>
      <c r="U67" s="91">
        <f>($C$7*$C$15*$F$8*($F$9+$F$10*$F$11)/$D67^2*T67*10^6)</f>
        <v>1.5257730170795616E-4</v>
      </c>
      <c r="V67" s="91">
        <f>$F67/$G$27+$G67/$G$28+$H67/$G$29+$I67/$G$30</f>
        <v>7.0224719101123592</v>
      </c>
      <c r="W67" s="97">
        <f t="shared" si="4"/>
        <v>9.4957241494880226E-8</v>
      </c>
      <c r="X67" s="76">
        <f>($C$7*$C$15*$G$8*($G$9+$G$10*$G$11)/$D67^2*W67*10^6)</f>
        <v>2.278973795877126E-3</v>
      </c>
      <c r="Y67" s="339">
        <f>SUM(L67,O67,R67,U67,X67)</f>
        <v>5.9757939131184837E-2</v>
      </c>
      <c r="Z67" s="333">
        <f>SUM(Y65:Y68)</f>
        <v>0.52249470541710541</v>
      </c>
      <c r="AA67" s="334">
        <f>Z67*52/10^3</f>
        <v>2.7169724681689482E-2</v>
      </c>
      <c r="AG67" s="328"/>
      <c r="AH67" s="328"/>
      <c r="AI67" s="328"/>
      <c r="AJ67" s="328"/>
      <c r="AK67" s="328"/>
      <c r="AL67" s="328"/>
      <c r="AP67" s="222"/>
      <c r="AQ67" s="211"/>
      <c r="AR67" s="222"/>
      <c r="AS67" s="222"/>
      <c r="AT67" s="225"/>
      <c r="AU67" s="225"/>
      <c r="AV67" s="225"/>
      <c r="AW67" s="225"/>
      <c r="AX67" s="225"/>
      <c r="AY67" s="300"/>
      <c r="AZ67" s="300"/>
    </row>
    <row r="68" spans="1:52" s="212" customFormat="1" ht="30" hidden="1" customHeight="1" thickBot="1" x14ac:dyDescent="0.3">
      <c r="A68" s="312"/>
      <c r="B68" s="450"/>
      <c r="C68" s="318"/>
      <c r="D68" s="58"/>
      <c r="E68" s="58"/>
      <c r="F68" s="58"/>
      <c r="G68" s="58"/>
      <c r="H68" s="58"/>
      <c r="I68" s="58"/>
      <c r="J68" s="91"/>
      <c r="K68" s="97"/>
      <c r="L68" s="91"/>
      <c r="M68" s="91"/>
      <c r="N68" s="97"/>
      <c r="O68" s="91"/>
      <c r="P68" s="91"/>
      <c r="Q68" s="97"/>
      <c r="R68" s="91"/>
      <c r="S68" s="91"/>
      <c r="T68" s="97"/>
      <c r="U68" s="91"/>
      <c r="V68" s="91"/>
      <c r="W68" s="97"/>
      <c r="X68" s="76"/>
      <c r="Y68" s="335"/>
      <c r="Z68" s="344"/>
      <c r="AA68" s="345"/>
      <c r="AG68" s="328"/>
      <c r="AH68" s="328"/>
      <c r="AI68" s="328"/>
      <c r="AJ68" s="328"/>
      <c r="AK68" s="328"/>
      <c r="AL68" s="328"/>
      <c r="AP68" s="222"/>
      <c r="AQ68" s="211"/>
      <c r="AR68" s="222"/>
      <c r="AS68" s="222"/>
      <c r="AT68" s="225"/>
      <c r="AU68" s="225"/>
      <c r="AV68" s="225"/>
      <c r="AW68" s="225"/>
      <c r="AX68" s="225"/>
      <c r="AY68" s="300"/>
      <c r="AZ68" s="300"/>
    </row>
    <row r="69" spans="1:52" s="212" customFormat="1" ht="30" customHeight="1" x14ac:dyDescent="0.25">
      <c r="A69" s="322"/>
      <c r="B69" s="322"/>
      <c r="C69" s="323" t="s">
        <v>569</v>
      </c>
      <c r="D69" s="1859">
        <v>6</v>
      </c>
      <c r="E69" s="1859">
        <v>1</v>
      </c>
      <c r="F69" s="1859">
        <v>250</v>
      </c>
      <c r="G69" s="1859">
        <v>0</v>
      </c>
      <c r="H69" s="1859">
        <v>0</v>
      </c>
      <c r="I69" s="1859">
        <v>0</v>
      </c>
      <c r="J69" s="91">
        <f>IF($F69=0,0,1+($F69-$C$21)/$C$22)+$G69/$C$23+$H69/$C$24+$I69/$C$25</f>
        <v>7.4545454545454541</v>
      </c>
      <c r="K69" s="97">
        <f t="shared" si="0"/>
        <v>3.5111917342151263E-8</v>
      </c>
      <c r="L69" s="91">
        <f>($C$7*$C$14*$C$8*$E69/$D69^2*K69*10^6)</f>
        <v>7.8026482982558355E-3</v>
      </c>
      <c r="M69" s="91">
        <f>IF($F69=0,0,1+($F69-$D$21)/$D$22)+$G69/$D$23+$H69/$D$24+$I69/$D$25</f>
        <v>6.6486486486486482</v>
      </c>
      <c r="N69" s="97">
        <f t="shared" si="1"/>
        <v>2.2456979955397711E-7</v>
      </c>
      <c r="O69" s="91">
        <f>($C$7*$D$14*$D$8*$E69/$D69^2*N69*10^6)</f>
        <v>4.99043999008838E-2</v>
      </c>
      <c r="P69" s="91">
        <f>IF($F69=0,0,1+($F69-$E$21)/$E$22)+$G69/$E$23+$H69/$E$24+$I69/$E$25</f>
        <v>5.7674418604651159</v>
      </c>
      <c r="Q69" s="97">
        <f t="shared" si="2"/>
        <v>1.7082763938087111E-6</v>
      </c>
      <c r="R69" s="91">
        <f>($C$7*$D$14*$E$8*$E69/$D69^2*Q69*10^6)</f>
        <v>0.37961697640193576</v>
      </c>
      <c r="S69" s="91">
        <f>IF($F69=0,0,1+($F69-$F$21)/$F$22)+$G69/$F$23+$H69/$F$24+$I69/$F$25</f>
        <v>9.1481481481481488</v>
      </c>
      <c r="T69" s="97">
        <f t="shared" si="3"/>
        <v>7.1097094323124171E-10</v>
      </c>
      <c r="U69" s="91">
        <f>($C$7*$F$14*$F$8*$E69/$D69^2*T69*10^6)</f>
        <v>1.5799354294027593E-4</v>
      </c>
      <c r="V69" s="91">
        <f>IF($F69=0,0,1+($F69-$G$21)/$G$22)+$G69/$G$23+$H69/$G$24+$I69/$G$25</f>
        <v>6.9444444444444446</v>
      </c>
      <c r="W69" s="97">
        <f t="shared" si="4"/>
        <v>1.136463666385722E-7</v>
      </c>
      <c r="X69" s="76">
        <f>($C$7*$G$14*$G$8*$E69/$D69^2*W69*10^6)</f>
        <v>2.5254748141904933E-2</v>
      </c>
      <c r="Y69" s="324">
        <f>SUM(L69,O69,R69,U69,X69)</f>
        <v>0.46273676628592059</v>
      </c>
      <c r="Z69" s="325"/>
      <c r="AA69" s="350"/>
      <c r="AG69" s="328"/>
      <c r="AI69" s="328"/>
      <c r="AJ69" s="328"/>
      <c r="AK69" s="328"/>
      <c r="AL69" s="328"/>
      <c r="AP69" s="222"/>
      <c r="AQ69" s="211"/>
      <c r="AR69" s="222"/>
      <c r="AS69" s="222"/>
      <c r="AT69" s="225"/>
      <c r="AU69" s="225"/>
      <c r="AV69" s="225"/>
      <c r="AW69" s="225"/>
      <c r="AX69" s="225"/>
      <c r="AY69" s="300"/>
      <c r="AZ69" s="300"/>
    </row>
    <row r="70" spans="1:52" s="212" customFormat="1" ht="30" customHeight="1" thickBot="1" x14ac:dyDescent="0.3">
      <c r="A70" s="329" t="str">
        <f>Samenvatting!A123</f>
        <v>L1</v>
      </c>
      <c r="B70" s="656" t="str">
        <f>Samenvatting!B123</f>
        <v>ingang labyrint linac 1</v>
      </c>
      <c r="C70" s="331" t="s">
        <v>568</v>
      </c>
      <c r="D70" s="1859">
        <v>5</v>
      </c>
      <c r="E70" s="58"/>
      <c r="F70" s="1859">
        <v>250</v>
      </c>
      <c r="G70" s="1859">
        <v>0</v>
      </c>
      <c r="H70" s="1859">
        <v>0</v>
      </c>
      <c r="I70" s="1859">
        <v>0</v>
      </c>
      <c r="J70" s="91">
        <f>$F70/$C$27+$G70/$C$28+$H70/$C$29+$I70/$C$30</f>
        <v>7.3529411764705879</v>
      </c>
      <c r="K70" s="97">
        <f t="shared" si="0"/>
        <v>4.4366873309786093E-8</v>
      </c>
      <c r="L70" s="91">
        <f>($C$7*$C$15*$C$8*($C$9+$C$10*$C$11)/$D70^2*K70*10^6)</f>
        <v>1.0648049594348663E-3</v>
      </c>
      <c r="M70" s="91">
        <f>$F70/$D$27+$G70/$D$28+$H70/$D$29+$I70/$D$30</f>
        <v>6.5789473684210522</v>
      </c>
      <c r="N70" s="97">
        <f t="shared" si="1"/>
        <v>2.636650898730358E-7</v>
      </c>
      <c r="O70" s="91">
        <f>($C$7*$C$15*$D$8*($D$9+$D$10*$D$11)/$D70^2*N70*10^6)</f>
        <v>6.3279621569528599E-3</v>
      </c>
      <c r="P70" s="91">
        <f>$F70/$E$27+$G70/$E$28+$H70/$E$29+$I70/$E$30</f>
        <v>5.6818181818181817</v>
      </c>
      <c r="Q70" s="97">
        <f t="shared" si="2"/>
        <v>2.0805675382171676E-6</v>
      </c>
      <c r="R70" s="91">
        <f>($C$7*$C$15*$E$8*($E$9+$E$10*$E$11)/$D70^2*Q70*10^6)</f>
        <v>4.9933620917212027E-2</v>
      </c>
      <c r="S70" s="91">
        <f>$F70/$F$27+$G70/$F$28+$H70/$F$29+$I70/$F$30</f>
        <v>8.1967213114754092</v>
      </c>
      <c r="T70" s="97">
        <f t="shared" si="3"/>
        <v>6.3573875711648393E-9</v>
      </c>
      <c r="U70" s="91">
        <f>($C$7*$C$15*$F$8*($F$9+$F$10*$F$11)/$D70^2*T70*10^6)</f>
        <v>1.5257730170795616E-4</v>
      </c>
      <c r="V70" s="91">
        <f>$F70/$G$27+$G70/$G$28+$H70/$G$29+$I70/$G$30</f>
        <v>7.0224719101123592</v>
      </c>
      <c r="W70" s="97">
        <f t="shared" si="4"/>
        <v>9.4957241494880226E-8</v>
      </c>
      <c r="X70" s="76">
        <f>($C$7*$C$15*$G$8*($G$9+$G$10*$G$11)/$D70^2*W70*10^6)</f>
        <v>2.278973795877126E-3</v>
      </c>
      <c r="Y70" s="339">
        <f>SUM(L70,O70,R70,U70,X70)</f>
        <v>5.9757939131184837E-2</v>
      </c>
      <c r="Z70" s="363">
        <f>SUM(Y68:Y71)</f>
        <v>0.52249470541710541</v>
      </c>
      <c r="AA70" s="334">
        <f>Z70*52/10^3</f>
        <v>2.7169724681689482E-2</v>
      </c>
      <c r="AG70" s="328"/>
      <c r="AH70" s="328"/>
      <c r="AI70" s="328"/>
      <c r="AJ70" s="328"/>
      <c r="AK70" s="328"/>
      <c r="AL70" s="328"/>
      <c r="AP70" s="222"/>
      <c r="AQ70" s="211"/>
      <c r="AR70" s="222"/>
      <c r="AS70" s="222"/>
      <c r="AT70" s="225"/>
      <c r="AU70" s="225"/>
      <c r="AV70" s="225"/>
      <c r="AW70" s="225"/>
      <c r="AX70" s="225"/>
      <c r="AY70" s="300"/>
      <c r="AZ70" s="300"/>
    </row>
    <row r="71" spans="1:52" s="212" customFormat="1" ht="30" hidden="1" customHeight="1" thickBot="1" x14ac:dyDescent="0.3">
      <c r="A71" s="317"/>
      <c r="B71" s="317"/>
      <c r="C71" s="318"/>
      <c r="D71" s="1871"/>
      <c r="E71" s="1871"/>
      <c r="F71" s="1871"/>
      <c r="G71" s="1871"/>
      <c r="H71" s="1871"/>
      <c r="I71" s="1871"/>
      <c r="J71" s="91"/>
      <c r="K71" s="97"/>
      <c r="L71" s="91"/>
      <c r="M71" s="91"/>
      <c r="N71" s="97"/>
      <c r="O71" s="91"/>
      <c r="P71" s="91"/>
      <c r="Q71" s="97"/>
      <c r="R71" s="91"/>
      <c r="S71" s="91"/>
      <c r="T71" s="97"/>
      <c r="U71" s="91"/>
      <c r="V71" s="91"/>
      <c r="W71" s="97"/>
      <c r="X71" s="76"/>
      <c r="Y71" s="577"/>
      <c r="Z71" s="659"/>
      <c r="AA71" s="660"/>
      <c r="AG71" s="328"/>
      <c r="AH71" s="328"/>
      <c r="AI71" s="328"/>
      <c r="AJ71" s="328"/>
      <c r="AK71" s="328"/>
      <c r="AL71" s="328"/>
      <c r="AP71" s="222"/>
      <c r="AQ71" s="211"/>
      <c r="AR71" s="222"/>
      <c r="AS71" s="222"/>
      <c r="AT71" s="225"/>
      <c r="AU71" s="225"/>
      <c r="AV71" s="225"/>
      <c r="AW71" s="225"/>
      <c r="AX71" s="225"/>
      <c r="AY71" s="300"/>
      <c r="AZ71" s="300"/>
    </row>
    <row r="72" spans="1:52" s="212" customFormat="1" ht="30" customHeight="1" x14ac:dyDescent="0.25">
      <c r="A72" s="322"/>
      <c r="B72" s="322"/>
      <c r="C72" s="323" t="s">
        <v>569</v>
      </c>
      <c r="D72" s="1859">
        <v>6</v>
      </c>
      <c r="E72" s="1859">
        <v>1</v>
      </c>
      <c r="F72" s="1859">
        <v>250</v>
      </c>
      <c r="G72" s="1859">
        <v>0</v>
      </c>
      <c r="H72" s="1859">
        <v>0</v>
      </c>
      <c r="I72" s="1859">
        <v>0</v>
      </c>
      <c r="J72" s="91">
        <f>IF($F72=0,0,1+($F72-$C$21)/$C$22)+$G72/$C$23+$H72/$C$24+$I72/$C$25</f>
        <v>7.4545454545454541</v>
      </c>
      <c r="K72" s="97">
        <f t="shared" si="0"/>
        <v>3.5111917342151263E-8</v>
      </c>
      <c r="L72" s="91">
        <f>($C$7*$C$14*$C$8*$E72/$D72^2*K72*10^6)</f>
        <v>7.8026482982558355E-3</v>
      </c>
      <c r="M72" s="91">
        <f>IF($F72=0,0,1+($F72-$D$21)/$D$22)+$G72/$D$23+$H72/$D$24+$I72/$D$25</f>
        <v>6.6486486486486482</v>
      </c>
      <c r="N72" s="97">
        <f t="shared" si="1"/>
        <v>2.2456979955397711E-7</v>
      </c>
      <c r="O72" s="91">
        <f>($C$7*$D$14*$D$8*$E72/$D72^2*N72*10^6)</f>
        <v>4.99043999008838E-2</v>
      </c>
      <c r="P72" s="91">
        <f>IF($F$72=0,0,1+($F72-$E$21)/$E$22)+$G72/$E$23+$H72/$E$24+$I72/$E$25</f>
        <v>5.7674418604651159</v>
      </c>
      <c r="Q72" s="97">
        <f t="shared" si="2"/>
        <v>1.7082763938087111E-6</v>
      </c>
      <c r="R72" s="91">
        <f>($C$7*$D$14*$E$8*$E72/$D72^2*Q72*10^6)</f>
        <v>0.37961697640193576</v>
      </c>
      <c r="S72" s="91">
        <f>IF($F72=0,0,1+($F72-$F$21)/$F$22)+$G72/$F$23+$H72/$F$24+$I72/$F$25</f>
        <v>9.1481481481481488</v>
      </c>
      <c r="T72" s="97">
        <f t="shared" si="3"/>
        <v>7.1097094323124171E-10</v>
      </c>
      <c r="U72" s="91">
        <f>($C$7*$F$14*$F$8*$E72/$D72^2*T72*10^6)</f>
        <v>1.5799354294027593E-4</v>
      </c>
      <c r="V72" s="91">
        <f>IF($F72=0,0,1+($F72-$G$21)/$G$22)+$G72/$G$23+$H72/$G$24+$I72/$G$25</f>
        <v>6.9444444444444446</v>
      </c>
      <c r="W72" s="97">
        <f t="shared" si="4"/>
        <v>1.136463666385722E-7</v>
      </c>
      <c r="X72" s="76">
        <f>($C$7*$G$14*$G$8*$E72/$D72^2*W72*10^6)</f>
        <v>2.5254748141904933E-2</v>
      </c>
      <c r="Y72" s="324">
        <f>SUM(L72,O72,R72,U72,X72)</f>
        <v>0.46273676628592059</v>
      </c>
      <c r="Z72" s="325"/>
      <c r="AA72" s="350"/>
      <c r="AG72" s="328"/>
      <c r="AI72" s="328"/>
      <c r="AJ72" s="328"/>
      <c r="AK72" s="328"/>
      <c r="AL72" s="328"/>
      <c r="AP72" s="222"/>
      <c r="AQ72" s="211"/>
      <c r="AR72" s="222"/>
      <c r="AS72" s="222"/>
      <c r="AT72" s="225"/>
      <c r="AU72" s="225"/>
      <c r="AV72" s="225"/>
      <c r="AW72" s="225"/>
      <c r="AX72" s="225"/>
      <c r="AY72" s="300"/>
      <c r="AZ72" s="300"/>
    </row>
    <row r="73" spans="1:52" s="212" customFormat="1" ht="30" customHeight="1" thickBot="1" x14ac:dyDescent="0.3">
      <c r="A73" s="343" t="str">
        <f>Samenvatting!A135</f>
        <v>L2</v>
      </c>
      <c r="B73" s="338" t="str">
        <f>Samenvatting!B135</f>
        <v>ingang labyrint linac 2</v>
      </c>
      <c r="C73" s="331" t="s">
        <v>568</v>
      </c>
      <c r="D73" s="1859">
        <v>5</v>
      </c>
      <c r="E73" s="58"/>
      <c r="F73" s="1859">
        <v>250</v>
      </c>
      <c r="G73" s="1859">
        <v>0</v>
      </c>
      <c r="H73" s="1859">
        <v>0</v>
      </c>
      <c r="I73" s="1859">
        <v>0</v>
      </c>
      <c r="J73" s="91">
        <f>$F73/$C$27+$G73/$C$28+$H73/$C$29+$I73/$C$30</f>
        <v>7.3529411764705879</v>
      </c>
      <c r="K73" s="97">
        <f t="shared" si="0"/>
        <v>4.4366873309786093E-8</v>
      </c>
      <c r="L73" s="91">
        <f>($C$7*$C$15*$C$8*($C$9+$C$10*$C$11)/$D73^2*K73*10^6)</f>
        <v>1.0648049594348663E-3</v>
      </c>
      <c r="M73" s="91">
        <f>$F73/$D$27+$G73/$D$28+$H73/$D$29+$I73/$D$30</f>
        <v>6.5789473684210522</v>
      </c>
      <c r="N73" s="97">
        <f t="shared" si="1"/>
        <v>2.636650898730358E-7</v>
      </c>
      <c r="O73" s="91">
        <f>($C$7*$C$15*$D$8*($D$9+$D$10*$D$11)/$D73^2*N73*10^6)</f>
        <v>6.3279621569528599E-3</v>
      </c>
      <c r="P73" s="91">
        <f>$F73/$E$27+$G73/$E$28+$H73/$E$29+$I73/$E$30</f>
        <v>5.6818181818181817</v>
      </c>
      <c r="Q73" s="97">
        <f t="shared" si="2"/>
        <v>2.0805675382171676E-6</v>
      </c>
      <c r="R73" s="91">
        <f>($C$7*$C$15*$E$8*($E$9+$E$10*$E$11)/$D73^2*Q73*10^6)</f>
        <v>4.9933620917212027E-2</v>
      </c>
      <c r="S73" s="91">
        <f>$F73/$F$27+$G73/$F$28+$H73/$F$29+$I73/$F$30</f>
        <v>8.1967213114754092</v>
      </c>
      <c r="T73" s="97">
        <f t="shared" si="3"/>
        <v>6.3573875711648393E-9</v>
      </c>
      <c r="U73" s="91">
        <f>($C$7*$C$15*$F$8*($F$9+$F$10*$F$11)/$D73^2*T73*10^6)</f>
        <v>1.5257730170795616E-4</v>
      </c>
      <c r="V73" s="91">
        <f>$F73/$G$27+$G73/$G$28+$H73/$G$29+$I73/$G$30</f>
        <v>7.0224719101123592</v>
      </c>
      <c r="W73" s="97">
        <f t="shared" si="4"/>
        <v>9.4957241494880226E-8</v>
      </c>
      <c r="X73" s="76">
        <f>($C$7*$C$15*$G$8*($G$9+$G$10*$G$11)/$D73^2*W73*10^6)</f>
        <v>2.278973795877126E-3</v>
      </c>
      <c r="Y73" s="339">
        <f>SUM(L73,O73,R73,U73,X73)</f>
        <v>5.9757939131184837E-2</v>
      </c>
      <c r="Z73" s="363">
        <f>SUM(Y71:Y74)</f>
        <v>0.52249470541710541</v>
      </c>
      <c r="AA73" s="334">
        <f>Z73*52/10^3</f>
        <v>2.7169724681689482E-2</v>
      </c>
      <c r="AG73" s="328"/>
      <c r="AH73" s="328"/>
      <c r="AI73" s="328"/>
      <c r="AJ73" s="328"/>
      <c r="AK73" s="328"/>
      <c r="AL73" s="328"/>
      <c r="AP73" s="222"/>
      <c r="AQ73" s="211"/>
      <c r="AR73" s="222"/>
      <c r="AS73" s="222"/>
      <c r="AT73" s="225"/>
      <c r="AU73" s="225"/>
      <c r="AV73" s="225"/>
      <c r="AW73" s="225"/>
      <c r="AX73" s="225"/>
      <c r="AY73" s="300"/>
      <c r="AZ73" s="300"/>
    </row>
    <row r="74" spans="1:52" s="212" customFormat="1" ht="30" hidden="1" customHeight="1" thickBot="1" x14ac:dyDescent="0.3">
      <c r="A74" s="317"/>
      <c r="B74" s="317"/>
      <c r="C74" s="318"/>
      <c r="D74" s="1871"/>
      <c r="E74" s="1871"/>
      <c r="F74" s="1871"/>
      <c r="G74" s="1871"/>
      <c r="H74" s="1871"/>
      <c r="I74" s="1871"/>
      <c r="J74" s="91"/>
      <c r="K74" s="97"/>
      <c r="L74" s="91"/>
      <c r="M74" s="91"/>
      <c r="N74" s="97"/>
      <c r="O74" s="91"/>
      <c r="P74" s="91"/>
      <c r="Q74" s="97"/>
      <c r="R74" s="91"/>
      <c r="S74" s="91"/>
      <c r="T74" s="97"/>
      <c r="U74" s="91"/>
      <c r="V74" s="91"/>
      <c r="W74" s="97"/>
      <c r="X74" s="76"/>
      <c r="Y74" s="577"/>
      <c r="Z74" s="659"/>
      <c r="AA74" s="660"/>
      <c r="AG74" s="328"/>
      <c r="AH74" s="328"/>
      <c r="AI74" s="328"/>
      <c r="AJ74" s="328"/>
      <c r="AK74" s="328"/>
      <c r="AL74" s="328"/>
      <c r="AP74" s="222"/>
      <c r="AQ74" s="211"/>
      <c r="AR74" s="222"/>
      <c r="AS74" s="222"/>
      <c r="AT74" s="225"/>
      <c r="AU74" s="225"/>
      <c r="AV74" s="225"/>
      <c r="AW74" s="225"/>
      <c r="AX74" s="225"/>
      <c r="AY74" s="300"/>
      <c r="AZ74" s="300"/>
    </row>
    <row r="75" spans="1:52" s="212" customFormat="1" ht="30" customHeight="1" x14ac:dyDescent="0.25">
      <c r="A75" s="322"/>
      <c r="B75" s="322"/>
      <c r="C75" s="323" t="s">
        <v>569</v>
      </c>
      <c r="D75" s="1859">
        <v>6</v>
      </c>
      <c r="E75" s="1859">
        <v>1</v>
      </c>
      <c r="F75" s="1859">
        <v>250</v>
      </c>
      <c r="G75" s="1859">
        <v>0</v>
      </c>
      <c r="H75" s="1859">
        <v>0</v>
      </c>
      <c r="I75" s="1859">
        <v>0</v>
      </c>
      <c r="J75" s="91">
        <f>IF($F75=0,0,1+($F75-$C$21)/$C$22)+$G75/$C$23+$H75/$C$24+$I75/$C$25</f>
        <v>7.4545454545454541</v>
      </c>
      <c r="K75" s="97">
        <f t="shared" si="0"/>
        <v>3.5111917342151263E-8</v>
      </c>
      <c r="L75" s="91">
        <f>($C$7*$C$14*$C$8*$E75/$D75^2*K75*10^6)</f>
        <v>7.8026482982558355E-3</v>
      </c>
      <c r="M75" s="91">
        <f>IF($F75=0,0,1+($F75-$D$21)/$D$22)+$G75/$D$23+$H75/$D$24+$I75/$D$25</f>
        <v>6.6486486486486482</v>
      </c>
      <c r="N75" s="97">
        <f t="shared" si="1"/>
        <v>2.2456979955397711E-7</v>
      </c>
      <c r="O75" s="91">
        <f>($C$7*$D$14*$D$8*$E75/$D75^2*N75*10^6)</f>
        <v>4.99043999008838E-2</v>
      </c>
      <c r="P75" s="91">
        <f>IF($F75=0,0,1+($F75-$E$21)/$E$22)+$G75/$E$23+$H75/$E$24+$I75/$E$25</f>
        <v>5.7674418604651159</v>
      </c>
      <c r="Q75" s="97">
        <f t="shared" si="2"/>
        <v>1.7082763938087111E-6</v>
      </c>
      <c r="R75" s="91">
        <f>($C$7*$D$14*$E$8*$E75/$D75^2*Q75*10^6)</f>
        <v>0.37961697640193576</v>
      </c>
      <c r="S75" s="91">
        <f>IF($F75=0,0,1+($F75-$F$21)/$F$22)+$G75/$F$23+$H75/$F$24+$I75/$F$25</f>
        <v>9.1481481481481488</v>
      </c>
      <c r="T75" s="97">
        <f t="shared" si="3"/>
        <v>7.1097094323124171E-10</v>
      </c>
      <c r="U75" s="91">
        <f>($C$7*$F$14*$F$8*$E75/$D75^2*T75*10^6)</f>
        <v>1.5799354294027593E-4</v>
      </c>
      <c r="V75" s="91">
        <f>IF($F75=0,0,1+($F75-$G$21)/$G$22)+$G75/$G$23+$H75/$G$24+$I75/$G$25</f>
        <v>6.9444444444444446</v>
      </c>
      <c r="W75" s="97">
        <f t="shared" si="4"/>
        <v>1.136463666385722E-7</v>
      </c>
      <c r="X75" s="76">
        <f>($C$7*$G$14*$G$8*$E75/$D75^2*W75*10^6)</f>
        <v>2.5254748141904933E-2</v>
      </c>
      <c r="Y75" s="324">
        <f>SUM(L75,O75,R75,U75,X75)</f>
        <v>0.46273676628592059</v>
      </c>
      <c r="Z75" s="325"/>
      <c r="AA75" s="350"/>
      <c r="AG75" s="328"/>
      <c r="AI75" s="328"/>
      <c r="AJ75" s="328"/>
      <c r="AK75" s="328"/>
      <c r="AL75" s="328"/>
      <c r="AP75" s="222"/>
      <c r="AQ75" s="211"/>
      <c r="AR75" s="222"/>
      <c r="AS75" s="222"/>
      <c r="AT75" s="225"/>
      <c r="AU75" s="225"/>
      <c r="AV75" s="225"/>
      <c r="AW75" s="225"/>
      <c r="AX75" s="225"/>
      <c r="AY75" s="300"/>
      <c r="AZ75" s="300"/>
    </row>
    <row r="76" spans="1:52" s="212" customFormat="1" ht="30" customHeight="1" thickBot="1" x14ac:dyDescent="0.3">
      <c r="A76" s="657" t="str">
        <f>Samenvatting!A147</f>
        <v>L3</v>
      </c>
      <c r="B76" s="656" t="str">
        <f>Samenvatting!B147</f>
        <v>ingang labyrint linac 3</v>
      </c>
      <c r="C76" s="331" t="s">
        <v>568</v>
      </c>
      <c r="D76" s="1859">
        <v>5</v>
      </c>
      <c r="E76" s="58"/>
      <c r="F76" s="1859">
        <v>250</v>
      </c>
      <c r="G76" s="1859">
        <v>0</v>
      </c>
      <c r="H76" s="1859">
        <v>0</v>
      </c>
      <c r="I76" s="1859">
        <v>0</v>
      </c>
      <c r="J76" s="91">
        <f>$F76/$C$27+$G76/$C$28+$H76/$C$29+$I76/$C$30</f>
        <v>7.3529411764705879</v>
      </c>
      <c r="K76" s="97">
        <f t="shared" si="0"/>
        <v>4.4366873309786093E-8</v>
      </c>
      <c r="L76" s="91">
        <f>($C$7*$C$15*$C$8*($C$9+$C$10*$C$11)/$D76^2*K76*10^6)</f>
        <v>1.0648049594348663E-3</v>
      </c>
      <c r="M76" s="91">
        <f>$F76/$D$27+$G76/$D$28+$H76/$D$29+$I76/$D$30</f>
        <v>6.5789473684210522</v>
      </c>
      <c r="N76" s="97">
        <f t="shared" si="1"/>
        <v>2.636650898730358E-7</v>
      </c>
      <c r="O76" s="91">
        <f>($C$7*$C$15*$D$8*($D$9+$D$10*$D$11)/$D76^2*N76*10^6)</f>
        <v>6.3279621569528599E-3</v>
      </c>
      <c r="P76" s="91">
        <f>$F76/$E$27+$G76/$E$28+$H76/$E$29+$I76/$E$30</f>
        <v>5.6818181818181817</v>
      </c>
      <c r="Q76" s="97">
        <f t="shared" si="2"/>
        <v>2.0805675382171676E-6</v>
      </c>
      <c r="R76" s="91">
        <f>($C$7*$C$15*$E$8*($E$9+$E$10*$E$11)/$D76^2*Q76*10^6)</f>
        <v>4.9933620917212027E-2</v>
      </c>
      <c r="S76" s="91">
        <f>$F76/$F$27+$G76/$F$28+$H76/$F$29+$I76/$F$30</f>
        <v>8.1967213114754092</v>
      </c>
      <c r="T76" s="97">
        <f t="shared" si="3"/>
        <v>6.3573875711648393E-9</v>
      </c>
      <c r="U76" s="91">
        <f>($C$7*$C$15*$F$8*($F$9+$F$10*$F$11)/$D76^2*T76*10^6)</f>
        <v>1.5257730170795616E-4</v>
      </c>
      <c r="V76" s="91">
        <f>$F76/$G$27+$G76/$G$28+$H76/$G$29+$I76/$G$30</f>
        <v>7.0224719101123592</v>
      </c>
      <c r="W76" s="97">
        <f t="shared" si="4"/>
        <v>9.4957241494880226E-8</v>
      </c>
      <c r="X76" s="76">
        <f>($C$7*$C$15*$G$8*($G$9+$G$10*$G$11)/$D76^2*W76*10^6)</f>
        <v>2.278973795877126E-3</v>
      </c>
      <c r="Y76" s="339">
        <f>SUM(L76,O76,R76,U76,X76)</f>
        <v>5.9757939131184837E-2</v>
      </c>
      <c r="Z76" s="363">
        <f>SUM(Y74:Y77)</f>
        <v>0.52249470541710541</v>
      </c>
      <c r="AA76" s="334">
        <f>Z76*52/10^3</f>
        <v>2.7169724681689482E-2</v>
      </c>
      <c r="AG76" s="328"/>
      <c r="AH76" s="328"/>
      <c r="AI76" s="328"/>
      <c r="AJ76" s="328"/>
      <c r="AK76" s="328"/>
      <c r="AL76" s="328"/>
      <c r="AP76" s="222"/>
      <c r="AQ76" s="211"/>
      <c r="AR76" s="222"/>
      <c r="AS76" s="222"/>
      <c r="AT76" s="225"/>
      <c r="AU76" s="225"/>
      <c r="AV76" s="225"/>
      <c r="AW76" s="225"/>
      <c r="AX76" s="225"/>
      <c r="AY76" s="300"/>
      <c r="AZ76" s="300"/>
    </row>
    <row r="77" spans="1:52" s="212" customFormat="1" ht="30" hidden="1" customHeight="1" thickBot="1" x14ac:dyDescent="0.3">
      <c r="A77" s="715"/>
      <c r="B77" s="716"/>
      <c r="C77" s="318"/>
      <c r="D77" s="1871"/>
      <c r="E77" s="1871"/>
      <c r="F77" s="1871"/>
      <c r="G77" s="1871"/>
      <c r="H77" s="1871"/>
      <c r="I77" s="1871"/>
      <c r="J77" s="91"/>
      <c r="K77" s="97"/>
      <c r="L77" s="91"/>
      <c r="M77" s="91"/>
      <c r="N77" s="97"/>
      <c r="O77" s="91"/>
      <c r="P77" s="91"/>
      <c r="Q77" s="97"/>
      <c r="R77" s="91"/>
      <c r="S77" s="91"/>
      <c r="T77" s="97"/>
      <c r="U77" s="91"/>
      <c r="V77" s="91"/>
      <c r="W77" s="97"/>
      <c r="X77" s="76"/>
      <c r="Y77" s="577"/>
      <c r="Z77" s="659"/>
      <c r="AA77" s="660"/>
      <c r="AG77" s="328"/>
      <c r="AH77" s="328"/>
      <c r="AI77" s="328"/>
      <c r="AJ77" s="328"/>
      <c r="AK77" s="328"/>
      <c r="AL77" s="328"/>
      <c r="AP77" s="222"/>
      <c r="AQ77" s="211"/>
      <c r="AR77" s="222"/>
      <c r="AS77" s="222"/>
      <c r="AT77" s="225"/>
      <c r="AU77" s="225"/>
      <c r="AV77" s="225"/>
      <c r="AW77" s="225"/>
      <c r="AX77" s="225"/>
      <c r="AY77" s="300"/>
      <c r="AZ77" s="300"/>
    </row>
    <row r="78" spans="1:52" s="212" customFormat="1" ht="30" customHeight="1" x14ac:dyDescent="0.25">
      <c r="A78" s="552"/>
      <c r="B78" s="322"/>
      <c r="C78" s="323" t="s">
        <v>569</v>
      </c>
      <c r="D78" s="1859">
        <v>6</v>
      </c>
      <c r="E78" s="1859">
        <v>1</v>
      </c>
      <c r="F78" s="1859">
        <v>250</v>
      </c>
      <c r="G78" s="1859">
        <v>0</v>
      </c>
      <c r="H78" s="1859">
        <v>0</v>
      </c>
      <c r="I78" s="1859">
        <v>0</v>
      </c>
      <c r="J78" s="91">
        <f>IF($F78=0,0,1+($F78-$C$21)/$C$22)+$G78/$C$23+$H78/$C$24+$I78/$C$25</f>
        <v>7.4545454545454541</v>
      </c>
      <c r="K78" s="97">
        <f t="shared" si="0"/>
        <v>3.5111917342151263E-8</v>
      </c>
      <c r="L78" s="91">
        <f>($C$7*$C$14*$C$8*$E78/$D78^2*K78*10^6)</f>
        <v>7.8026482982558355E-3</v>
      </c>
      <c r="M78" s="91">
        <f>IF($F78=0,0,1+($F78-$D$21)/$D$22)+$G78/$D$23+$H78/$D$24+$I78/$D$25</f>
        <v>6.6486486486486482</v>
      </c>
      <c r="N78" s="97">
        <f t="shared" si="1"/>
        <v>2.2456979955397711E-7</v>
      </c>
      <c r="O78" s="91">
        <f>($C$7*$D$14*$D$8*$E78/$D78^2*N78*10^6)</f>
        <v>4.99043999008838E-2</v>
      </c>
      <c r="P78" s="91">
        <f>IF($F78=0,0,1+($F78-$E$21)/$E$22)+$G78/$E$23+$H78/$E$24+$I78/$E$25</f>
        <v>5.7674418604651159</v>
      </c>
      <c r="Q78" s="97">
        <f t="shared" si="2"/>
        <v>1.7082763938087111E-6</v>
      </c>
      <c r="R78" s="91">
        <f>($C$7*$D$14*$E$8*$E78/$D78^2*Q78*10^6)</f>
        <v>0.37961697640193576</v>
      </c>
      <c r="S78" s="91">
        <f>IF($F78=0,0,1+($F78-$F$21)/$F$22)+$G78/$F$23+$H78/$F$24+$I78/$F$25</f>
        <v>9.1481481481481488</v>
      </c>
      <c r="T78" s="97">
        <f t="shared" si="3"/>
        <v>7.1097094323124171E-10</v>
      </c>
      <c r="U78" s="91">
        <f>($C$7*$F$14*$F$8*$E78/$D78^2*T78*10^6)</f>
        <v>1.5799354294027593E-4</v>
      </c>
      <c r="V78" s="91">
        <f>IF($F78=0,0,1+($F78-$G$21)/$G$22)+$G78/$G$23+$H78/$G$24+$I78/$G$25</f>
        <v>6.9444444444444446</v>
      </c>
      <c r="W78" s="97">
        <f t="shared" si="4"/>
        <v>1.136463666385722E-7</v>
      </c>
      <c r="X78" s="76">
        <f>($C$7*$G$14*$G$8*$E78/$D78^2*W78*10^6)</f>
        <v>2.5254748141904933E-2</v>
      </c>
      <c r="Y78" s="324">
        <f>SUM(L78,O78,R78,U78,X78)</f>
        <v>0.46273676628592059</v>
      </c>
      <c r="Z78" s="325"/>
      <c r="AA78" s="350"/>
      <c r="AG78" s="328"/>
      <c r="AI78" s="328"/>
      <c r="AJ78" s="328"/>
      <c r="AK78" s="328"/>
      <c r="AL78" s="328"/>
      <c r="AP78" s="222"/>
      <c r="AQ78" s="211"/>
      <c r="AR78" s="222"/>
      <c r="AS78" s="222"/>
      <c r="AT78" s="225"/>
      <c r="AU78" s="225"/>
      <c r="AV78" s="225"/>
      <c r="AW78" s="225"/>
      <c r="AX78" s="225"/>
      <c r="AY78" s="300"/>
      <c r="AZ78" s="300"/>
    </row>
    <row r="79" spans="1:52" s="212" customFormat="1" ht="30" customHeight="1" thickBot="1" x14ac:dyDescent="0.3">
      <c r="A79" s="657" t="str">
        <f>Samenvatting!A159</f>
        <v>L4</v>
      </c>
      <c r="B79" s="330" t="str">
        <f>Samenvatting!B159</f>
        <v>ingang labyrint linac 4</v>
      </c>
      <c r="C79" s="331" t="s">
        <v>568</v>
      </c>
      <c r="D79" s="1859">
        <v>5</v>
      </c>
      <c r="E79" s="58"/>
      <c r="F79" s="1859">
        <v>250</v>
      </c>
      <c r="G79" s="1859">
        <v>0</v>
      </c>
      <c r="H79" s="1859">
        <v>0</v>
      </c>
      <c r="I79" s="1859">
        <v>0</v>
      </c>
      <c r="J79" s="91">
        <f>$F79/$C$27+$G79/$C$28+$H79/$C$29+$I79/$C$30</f>
        <v>7.3529411764705879</v>
      </c>
      <c r="K79" s="97">
        <f t="shared" si="0"/>
        <v>4.4366873309786093E-8</v>
      </c>
      <c r="L79" s="91">
        <f>($C$7*$C$15*$C$8*($C$9+$C$10*$C$11)/$D79^2*K79*10^6)</f>
        <v>1.0648049594348663E-3</v>
      </c>
      <c r="M79" s="91">
        <f>$F79/$D$27+$G79/$D$28+$H79/$D$29+$I79/$D$30</f>
        <v>6.5789473684210522</v>
      </c>
      <c r="N79" s="97">
        <f t="shared" si="1"/>
        <v>2.636650898730358E-7</v>
      </c>
      <c r="O79" s="91">
        <f>($C$7*$C$15*$D$8*($D$9+$D$10*$D$11)/$D79^2*N79*10^6)</f>
        <v>6.3279621569528599E-3</v>
      </c>
      <c r="P79" s="91">
        <f>$F79/$E$27+$G79/$E$28+$H79/$E$29+$I79/$E$30</f>
        <v>5.6818181818181817</v>
      </c>
      <c r="Q79" s="97">
        <f t="shared" si="2"/>
        <v>2.0805675382171676E-6</v>
      </c>
      <c r="R79" s="91">
        <f>($C$7*$C$15*$E$8*($E$9+$E$10*$E$11)/$D79^2*Q79*10^6)</f>
        <v>4.9933620917212027E-2</v>
      </c>
      <c r="S79" s="91">
        <f>$F79/$F$27+$G79/$F$28+$H79/$F$29+$I79/$F$30</f>
        <v>8.1967213114754092</v>
      </c>
      <c r="T79" s="97">
        <f t="shared" si="3"/>
        <v>6.3573875711648393E-9</v>
      </c>
      <c r="U79" s="91">
        <f>($C$7*$C$15*$F$8*($F$9+$F$10*$F$11)/$D79^2*T79*10^6)</f>
        <v>1.5257730170795616E-4</v>
      </c>
      <c r="V79" s="91">
        <f>$F79/$G$27+$G79/$G$28+$H79/$G$29+$I79/$G$30</f>
        <v>7.0224719101123592</v>
      </c>
      <c r="W79" s="97">
        <f t="shared" si="4"/>
        <v>9.4957241494880226E-8</v>
      </c>
      <c r="X79" s="76">
        <f>($C$7*$C$15*$G$8*($G$9+$G$10*$G$11)/$D79^2*W79*10^6)</f>
        <v>2.278973795877126E-3</v>
      </c>
      <c r="Y79" s="339">
        <f>SUM(L79,O79,R79,U79,X79)</f>
        <v>5.9757939131184837E-2</v>
      </c>
      <c r="Z79" s="363">
        <f>SUM(Y77:Y80)</f>
        <v>0.52249470541710541</v>
      </c>
      <c r="AA79" s="334">
        <f>Z79*52/10^3</f>
        <v>2.7169724681689482E-2</v>
      </c>
      <c r="AG79" s="328"/>
      <c r="AH79" s="328"/>
      <c r="AI79" s="328"/>
      <c r="AJ79" s="328"/>
      <c r="AK79" s="328"/>
      <c r="AL79" s="328"/>
      <c r="AP79" s="222"/>
      <c r="AQ79" s="211"/>
      <c r="AR79" s="222"/>
      <c r="AS79" s="222"/>
      <c r="AT79" s="225"/>
      <c r="AU79" s="225"/>
      <c r="AV79" s="225"/>
      <c r="AW79" s="225"/>
      <c r="AX79" s="225"/>
      <c r="AY79" s="300"/>
      <c r="AZ79" s="300"/>
    </row>
    <row r="80" spans="1:52" s="212" customFormat="1" ht="30" hidden="1" customHeight="1" thickBot="1" x14ac:dyDescent="0.3">
      <c r="A80" s="312"/>
      <c r="B80" s="450"/>
      <c r="C80" s="318"/>
      <c r="D80" s="1871"/>
      <c r="E80" s="1871"/>
      <c r="F80" s="1871"/>
      <c r="G80" s="1871"/>
      <c r="H80" s="1871"/>
      <c r="I80" s="1871"/>
      <c r="J80" s="91"/>
      <c r="K80" s="97"/>
      <c r="L80" s="91"/>
      <c r="M80" s="91"/>
      <c r="N80" s="97"/>
      <c r="O80" s="91"/>
      <c r="P80" s="91"/>
      <c r="Q80" s="97"/>
      <c r="R80" s="91"/>
      <c r="S80" s="91"/>
      <c r="T80" s="97"/>
      <c r="U80" s="91"/>
      <c r="V80" s="91"/>
      <c r="W80" s="97"/>
      <c r="X80" s="76"/>
      <c r="Y80" s="577"/>
      <c r="Z80" s="659"/>
      <c r="AA80" s="660"/>
      <c r="AG80" s="328"/>
      <c r="AH80" s="328"/>
      <c r="AI80" s="328"/>
      <c r="AJ80" s="328"/>
      <c r="AK80" s="328"/>
      <c r="AL80" s="328"/>
      <c r="AP80" s="222"/>
      <c r="AQ80" s="211"/>
      <c r="AR80" s="222"/>
      <c r="AS80" s="222"/>
      <c r="AT80" s="225"/>
      <c r="AU80" s="225"/>
      <c r="AV80" s="225"/>
      <c r="AW80" s="225"/>
      <c r="AX80" s="225"/>
      <c r="AY80" s="300"/>
      <c r="AZ80" s="300"/>
    </row>
    <row r="81" spans="1:52" s="212" customFormat="1" ht="30" customHeight="1" x14ac:dyDescent="0.25">
      <c r="A81" s="322"/>
      <c r="B81" s="322"/>
      <c r="C81" s="323" t="s">
        <v>569</v>
      </c>
      <c r="D81" s="1859">
        <v>6</v>
      </c>
      <c r="E81" s="1859">
        <v>1</v>
      </c>
      <c r="F81" s="1859">
        <v>250</v>
      </c>
      <c r="G81" s="1859">
        <v>0</v>
      </c>
      <c r="H81" s="1859">
        <v>0</v>
      </c>
      <c r="I81" s="1859">
        <v>0</v>
      </c>
      <c r="J81" s="91">
        <f>IF($F81=0,0,1+($F81-$C$21)/$C$22)+$G81/$C$23+$H81/$C$24+$I81/$C$25</f>
        <v>7.4545454545454541</v>
      </c>
      <c r="K81" s="97">
        <f t="shared" si="0"/>
        <v>3.5111917342151263E-8</v>
      </c>
      <c r="L81" s="91">
        <f>($C$7*$C$14*$C$8*$E81/$D81^2*K81*10^6)</f>
        <v>7.8026482982558355E-3</v>
      </c>
      <c r="M81" s="91">
        <f>IF($F81=0,0,1+($F81-$D$21)/$D$22)+$G81/$D$23+$H81/$D$24+$I81/$D$25</f>
        <v>6.6486486486486482</v>
      </c>
      <c r="N81" s="97">
        <f t="shared" si="1"/>
        <v>2.2456979955397711E-7</v>
      </c>
      <c r="O81" s="91">
        <f>($C$7*$D$14*$D$8*$E81/$D81^2*N81*10^6)</f>
        <v>4.99043999008838E-2</v>
      </c>
      <c r="P81" s="91">
        <f>IF($F81=0,0,1+($F81-$E$21)/$E$22)+$G81/$E$23+$H81/$E$24+$I81/$E$25</f>
        <v>5.7674418604651159</v>
      </c>
      <c r="Q81" s="97">
        <f t="shared" si="2"/>
        <v>1.7082763938087111E-6</v>
      </c>
      <c r="R81" s="91">
        <f>($C$7*$D$14*$E$8*$E81/$D81^2*Q81*10^6)</f>
        <v>0.37961697640193576</v>
      </c>
      <c r="S81" s="91">
        <f>IF($F81=0,0,1+($F81-$F$21)/$F$22)+$G81/$F$23+$H81/$F$24+$I81/$F$25</f>
        <v>9.1481481481481488</v>
      </c>
      <c r="T81" s="97">
        <f t="shared" si="3"/>
        <v>7.1097094323124171E-10</v>
      </c>
      <c r="U81" s="91">
        <f>($C$7*$F$14*$F$8*$E81/$D81^2*T81*10^6)</f>
        <v>1.5799354294027593E-4</v>
      </c>
      <c r="V81" s="91">
        <f>IF($F81=0,0,1+($F81-$G$21)/$G$22)+$G81/$G$23+$H81/$G$24+$I81/$G$25</f>
        <v>6.9444444444444446</v>
      </c>
      <c r="W81" s="97">
        <f t="shared" si="4"/>
        <v>1.136463666385722E-7</v>
      </c>
      <c r="X81" s="76">
        <f>($C$7*$G$14*$G$8*$E81/$D81^2*W81*10^6)</f>
        <v>2.5254748141904933E-2</v>
      </c>
      <c r="Y81" s="324">
        <f>SUM(L81,O81,R81,U81,X81)</f>
        <v>0.46273676628592059</v>
      </c>
      <c r="Z81" s="325"/>
      <c r="AA81" s="350"/>
      <c r="AG81" s="328"/>
      <c r="AI81" s="328"/>
      <c r="AJ81" s="328"/>
      <c r="AK81" s="328"/>
      <c r="AL81" s="328"/>
      <c r="AP81" s="222"/>
      <c r="AQ81" s="211"/>
      <c r="AR81" s="222"/>
      <c r="AS81" s="222"/>
      <c r="AT81" s="225"/>
      <c r="AU81" s="225"/>
      <c r="AV81" s="225"/>
      <c r="AW81" s="225"/>
      <c r="AX81" s="225"/>
      <c r="AY81" s="300"/>
      <c r="AZ81" s="300"/>
    </row>
    <row r="82" spans="1:52" s="212" customFormat="1" ht="30" customHeight="1" thickBot="1" x14ac:dyDescent="0.3">
      <c r="A82" s="657" t="str">
        <f>Samenvatting!A171</f>
        <v>L5</v>
      </c>
      <c r="B82" s="330" t="str">
        <f>Samenvatting!B171</f>
        <v>ingang labyrint linac 5</v>
      </c>
      <c r="C82" s="331" t="s">
        <v>568</v>
      </c>
      <c r="D82" s="1859">
        <v>5</v>
      </c>
      <c r="E82" s="58"/>
      <c r="F82" s="1859">
        <v>250</v>
      </c>
      <c r="G82" s="1859">
        <v>0</v>
      </c>
      <c r="H82" s="1859">
        <v>0</v>
      </c>
      <c r="I82" s="1859">
        <v>0</v>
      </c>
      <c r="J82" s="91">
        <f>$F82/$C$27+$G82/$C$28+$H82/$C$29+$I82/$C$30</f>
        <v>7.3529411764705879</v>
      </c>
      <c r="K82" s="97">
        <f t="shared" si="0"/>
        <v>4.4366873309786093E-8</v>
      </c>
      <c r="L82" s="91">
        <f>($C$7*$C$15*$C$8*($C$9+$C$10*$C$11)/$D82^2*K82*10^6)</f>
        <v>1.0648049594348663E-3</v>
      </c>
      <c r="M82" s="91">
        <f>$F82/$D$27+$G82/$D$28+$H82/$D$29+$I82/$D$30</f>
        <v>6.5789473684210522</v>
      </c>
      <c r="N82" s="97">
        <f t="shared" si="1"/>
        <v>2.636650898730358E-7</v>
      </c>
      <c r="O82" s="91">
        <f>($C$7*$C$15*$D$8*($D$9+$D$10*$D$11)/$D82^2*N82*10^6)</f>
        <v>6.3279621569528599E-3</v>
      </c>
      <c r="P82" s="91">
        <f>$F82/$E$27+$G82/$E$28+$H82/$E$29+$I82/$E$30</f>
        <v>5.6818181818181817</v>
      </c>
      <c r="Q82" s="97">
        <f t="shared" si="2"/>
        <v>2.0805675382171676E-6</v>
      </c>
      <c r="R82" s="91">
        <f>($C$7*$C$15*$E$8*($E$9+$E$10*$E$11)/$D82^2*Q82*10^6)</f>
        <v>4.9933620917212027E-2</v>
      </c>
      <c r="S82" s="91">
        <f>$F82/$F$27+$G82/$F$28+$H82/$F$29+$I82/$F$30</f>
        <v>8.1967213114754092</v>
      </c>
      <c r="T82" s="97">
        <f t="shared" si="3"/>
        <v>6.3573875711648393E-9</v>
      </c>
      <c r="U82" s="91">
        <f>($C$7*$C$15*$F$8*($F$9+$F$10*$F$11)/$D82^2*T82*10^6)</f>
        <v>1.5257730170795616E-4</v>
      </c>
      <c r="V82" s="91">
        <f>$F82/$G$27+$G82/$G$28+$H82/$G$29+$I82/$G$30</f>
        <v>7.0224719101123592</v>
      </c>
      <c r="W82" s="97">
        <f t="shared" si="4"/>
        <v>9.4957241494880226E-8</v>
      </c>
      <c r="X82" s="76">
        <f>($C$7*$C$15*$G$8*($G$9+$G$10*$G$11)/$D82^2*W82*10^6)</f>
        <v>2.278973795877126E-3</v>
      </c>
      <c r="Y82" s="339">
        <f>SUM(L82,O82,R82,U82,X82)</f>
        <v>5.9757939131184837E-2</v>
      </c>
      <c r="Z82" s="363">
        <f>SUM(Y80:Y83)</f>
        <v>0.52249470541710541</v>
      </c>
      <c r="AA82" s="334">
        <f>Z82*52/10^3</f>
        <v>2.7169724681689482E-2</v>
      </c>
      <c r="AG82" s="328"/>
      <c r="AH82" s="328"/>
      <c r="AI82" s="328"/>
      <c r="AJ82" s="328"/>
      <c r="AK82" s="328"/>
      <c r="AL82" s="328"/>
      <c r="AP82" s="222"/>
      <c r="AQ82" s="211"/>
      <c r="AR82" s="222"/>
      <c r="AS82" s="222"/>
      <c r="AT82" s="225"/>
      <c r="AU82" s="225"/>
      <c r="AV82" s="225"/>
      <c r="AW82" s="225"/>
      <c r="AX82" s="225"/>
      <c r="AY82" s="300"/>
      <c r="AZ82" s="300"/>
    </row>
    <row r="83" spans="1:52" s="212" customFormat="1" ht="30" hidden="1" customHeight="1" thickBot="1" x14ac:dyDescent="0.3">
      <c r="A83" s="312"/>
      <c r="B83" s="450"/>
      <c r="C83" s="318"/>
      <c r="D83" s="1871"/>
      <c r="E83" s="1871"/>
      <c r="F83" s="1871"/>
      <c r="G83" s="1871"/>
      <c r="H83" s="1871"/>
      <c r="I83" s="1871"/>
      <c r="J83" s="91"/>
      <c r="K83" s="97"/>
      <c r="L83" s="91"/>
      <c r="M83" s="91"/>
      <c r="N83" s="97"/>
      <c r="O83" s="91"/>
      <c r="P83" s="91"/>
      <c r="Q83" s="97"/>
      <c r="R83" s="91"/>
      <c r="S83" s="91"/>
      <c r="T83" s="97"/>
      <c r="U83" s="91"/>
      <c r="V83" s="91"/>
      <c r="W83" s="97"/>
      <c r="X83" s="76"/>
      <c r="Y83" s="577"/>
      <c r="Z83" s="659"/>
      <c r="AA83" s="660"/>
      <c r="AG83" s="328"/>
      <c r="AH83" s="328"/>
      <c r="AI83" s="328"/>
      <c r="AJ83" s="328"/>
      <c r="AK83" s="328"/>
      <c r="AL83" s="328"/>
      <c r="AP83" s="222"/>
      <c r="AQ83" s="211"/>
      <c r="AR83" s="222"/>
      <c r="AS83" s="222"/>
      <c r="AT83" s="225"/>
      <c r="AU83" s="225"/>
      <c r="AV83" s="225"/>
      <c r="AW83" s="225"/>
      <c r="AX83" s="225"/>
      <c r="AY83" s="300"/>
      <c r="AZ83" s="300"/>
    </row>
    <row r="84" spans="1:52" s="212" customFormat="1" ht="30" customHeight="1" x14ac:dyDescent="0.25">
      <c r="A84" s="322"/>
      <c r="B84" s="322"/>
      <c r="C84" s="323" t="s">
        <v>569</v>
      </c>
      <c r="D84" s="1859">
        <v>6</v>
      </c>
      <c r="E84" s="1859">
        <v>1</v>
      </c>
      <c r="F84" s="1859">
        <v>250</v>
      </c>
      <c r="G84" s="1859">
        <v>0</v>
      </c>
      <c r="H84" s="1859">
        <v>0</v>
      </c>
      <c r="I84" s="1859">
        <v>0</v>
      </c>
      <c r="J84" s="91">
        <f>IF($F84=0,0,1+($F84-$C$21)/$C$22)+$G84/$C$23+$H84/$C$24+$I84/$C$25</f>
        <v>7.4545454545454541</v>
      </c>
      <c r="K84" s="97">
        <f t="shared" si="0"/>
        <v>3.5111917342151263E-8</v>
      </c>
      <c r="L84" s="91">
        <f>($C$7*$C$14*$C$8*$E84/$D84^2*K84*10^6)</f>
        <v>7.8026482982558355E-3</v>
      </c>
      <c r="M84" s="91">
        <f>IF($F84=0,0,1+($F84-$D$21)/$D$22)+$G84/$D$23+$H84/$D$24+$I84/$D$25</f>
        <v>6.6486486486486482</v>
      </c>
      <c r="N84" s="97">
        <f t="shared" si="1"/>
        <v>2.2456979955397711E-7</v>
      </c>
      <c r="O84" s="91">
        <f>($C$7*$D$14*$D$8*$E84/$D84^2*N84*10^6)</f>
        <v>4.99043999008838E-2</v>
      </c>
      <c r="P84" s="91">
        <f>IF($F84=0,0,1+($F84-$E$21)/$E$22)+$G84/$E$23+$H84/$E$24+$I84/$E$25</f>
        <v>5.7674418604651159</v>
      </c>
      <c r="Q84" s="97">
        <f t="shared" si="2"/>
        <v>1.7082763938087111E-6</v>
      </c>
      <c r="R84" s="91">
        <f>($C$7*$D$14*$E$8*$E84/$D84^2*Q84*10^6)</f>
        <v>0.37961697640193576</v>
      </c>
      <c r="S84" s="91">
        <f>IF($F84=0,0,1+($F84-$F$21)/$F$22)+$G84/$F$23+$H84/$F$24+$I84/$F$25</f>
        <v>9.1481481481481488</v>
      </c>
      <c r="T84" s="97">
        <f t="shared" si="3"/>
        <v>7.1097094323124171E-10</v>
      </c>
      <c r="U84" s="91">
        <f>($C$7*$F$14*$F$8*$E84/$D84^2*T84*10^6)</f>
        <v>1.5799354294027593E-4</v>
      </c>
      <c r="V84" s="91">
        <f>IF($F84=0,0,1+($F84-$G$21)/$G$22)+$G84/$G$23+$H84/$G$24+$I84/$G$25</f>
        <v>6.9444444444444446</v>
      </c>
      <c r="W84" s="97">
        <f t="shared" si="4"/>
        <v>1.136463666385722E-7</v>
      </c>
      <c r="X84" s="76">
        <f>($C$7*$G$14*$G$8*$E84/$D84^2*W84*10^6)</f>
        <v>2.5254748141904933E-2</v>
      </c>
      <c r="Y84" s="324">
        <f>SUM(L84,O84,R84,U84,X84)</f>
        <v>0.46273676628592059</v>
      </c>
      <c r="Z84" s="325"/>
      <c r="AA84" s="350"/>
      <c r="AG84" s="328"/>
      <c r="AI84" s="328"/>
      <c r="AJ84" s="328"/>
      <c r="AK84" s="328"/>
      <c r="AL84" s="328"/>
      <c r="AP84" s="222"/>
      <c r="AQ84" s="211"/>
      <c r="AR84" s="222"/>
      <c r="AS84" s="222"/>
      <c r="AT84" s="225"/>
      <c r="AU84" s="225"/>
      <c r="AV84" s="225"/>
      <c r="AW84" s="225"/>
      <c r="AX84" s="225"/>
      <c r="AY84" s="300"/>
      <c r="AZ84" s="300"/>
    </row>
    <row r="85" spans="1:52" s="212" customFormat="1" ht="30" customHeight="1" thickBot="1" x14ac:dyDescent="0.3">
      <c r="A85" s="657" t="str">
        <f>Samenvatting!A183</f>
        <v>L6</v>
      </c>
      <c r="B85" s="330" t="str">
        <f>Samenvatting!B183</f>
        <v>ingang labyrint linac 6</v>
      </c>
      <c r="C85" s="331" t="s">
        <v>568</v>
      </c>
      <c r="D85" s="1859">
        <v>5</v>
      </c>
      <c r="E85" s="58"/>
      <c r="F85" s="1859">
        <v>250</v>
      </c>
      <c r="G85" s="1859">
        <v>0</v>
      </c>
      <c r="H85" s="1859">
        <v>0</v>
      </c>
      <c r="I85" s="1859">
        <v>0</v>
      </c>
      <c r="J85" s="91">
        <f>$F85/$C$27+$G85/$C$28+$H85/$C$29+$I85/$C$30</f>
        <v>7.3529411764705879</v>
      </c>
      <c r="K85" s="97">
        <f t="shared" si="0"/>
        <v>4.4366873309786093E-8</v>
      </c>
      <c r="L85" s="91">
        <f>($C$7*$C$15*$C$8*($C$9+$C$10*$C$11)/$D85^2*K85*10^6)</f>
        <v>1.0648049594348663E-3</v>
      </c>
      <c r="M85" s="91">
        <f>$F85/$D$27+$G85/$D$28+$H85/$D$29+$I85/$D$30</f>
        <v>6.5789473684210522</v>
      </c>
      <c r="N85" s="97">
        <f t="shared" si="1"/>
        <v>2.636650898730358E-7</v>
      </c>
      <c r="O85" s="91">
        <f>($C$7*$C$15*$D$8*($D$9+$D$10*$D$11)/$D85^2*N85*10^6)</f>
        <v>6.3279621569528599E-3</v>
      </c>
      <c r="P85" s="91">
        <f>$F85/$E$27+$G85/$E$28+$H85/$E$29+$I85/$E$30</f>
        <v>5.6818181818181817</v>
      </c>
      <c r="Q85" s="97">
        <f t="shared" si="2"/>
        <v>2.0805675382171676E-6</v>
      </c>
      <c r="R85" s="91">
        <f>($C$7*$C$15*$E$8*($E$9+$E$10*$E$11)/$D85^2*Q85*10^6)</f>
        <v>4.9933620917212027E-2</v>
      </c>
      <c r="S85" s="91">
        <f>$F85/$F$27+$G85/$F$28+$H85/$F$29+$I85/$F$30</f>
        <v>8.1967213114754092</v>
      </c>
      <c r="T85" s="97">
        <f t="shared" si="3"/>
        <v>6.3573875711648393E-9</v>
      </c>
      <c r="U85" s="91">
        <f>($C$7*$C$15*$F$8*($F$9+$F$10*$F$11)/$D85^2*T85*10^6)</f>
        <v>1.5257730170795616E-4</v>
      </c>
      <c r="V85" s="91">
        <f>$F85/$G$27+$G85/$G$28+$H85/$G$29+$I85/$G$30</f>
        <v>7.0224719101123592</v>
      </c>
      <c r="W85" s="97">
        <f t="shared" si="4"/>
        <v>9.4957241494880226E-8</v>
      </c>
      <c r="X85" s="76">
        <f>($C$7*$C$15*$G$8*($G$9+$G$10*$G$11)/$D85^2*W85*10^6)</f>
        <v>2.278973795877126E-3</v>
      </c>
      <c r="Y85" s="339">
        <f>SUM(L85,O85,R85,U85,X85)</f>
        <v>5.9757939131184837E-2</v>
      </c>
      <c r="Z85" s="363">
        <f>SUM(Y83:Y86)</f>
        <v>0.52249470541710541</v>
      </c>
      <c r="AA85" s="334">
        <f>Z85*52/10^3</f>
        <v>2.7169724681689482E-2</v>
      </c>
      <c r="AG85" s="328"/>
      <c r="AH85" s="328"/>
      <c r="AI85" s="328"/>
      <c r="AJ85" s="328"/>
      <c r="AK85" s="328"/>
      <c r="AL85" s="328"/>
      <c r="AP85" s="222"/>
      <c r="AQ85" s="211"/>
      <c r="AR85" s="222"/>
      <c r="AS85" s="222"/>
      <c r="AT85" s="225"/>
      <c r="AU85" s="225"/>
      <c r="AV85" s="225"/>
      <c r="AW85" s="225"/>
      <c r="AX85" s="225"/>
      <c r="AY85" s="300"/>
      <c r="AZ85" s="300"/>
    </row>
    <row r="86" spans="1:52" s="212" customFormat="1" ht="30" hidden="1" customHeight="1" thickBot="1" x14ac:dyDescent="0.3">
      <c r="A86" s="715"/>
      <c r="B86" s="716"/>
      <c r="C86" s="318"/>
      <c r="D86" s="1871"/>
      <c r="E86" s="1871"/>
      <c r="F86" s="1871"/>
      <c r="G86" s="1871"/>
      <c r="H86" s="1871"/>
      <c r="I86" s="1871"/>
      <c r="J86" s="91"/>
      <c r="K86" s="97"/>
      <c r="L86" s="91"/>
      <c r="M86" s="91"/>
      <c r="N86" s="97"/>
      <c r="O86" s="91"/>
      <c r="P86" s="91"/>
      <c r="Q86" s="97"/>
      <c r="R86" s="91"/>
      <c r="S86" s="91"/>
      <c r="T86" s="97"/>
      <c r="U86" s="91"/>
      <c r="V86" s="91"/>
      <c r="W86" s="97"/>
      <c r="X86" s="76"/>
      <c r="Y86" s="577"/>
      <c r="Z86" s="659"/>
      <c r="AA86" s="660"/>
      <c r="AG86" s="328"/>
      <c r="AH86" s="328"/>
      <c r="AI86" s="328"/>
      <c r="AJ86" s="328"/>
      <c r="AK86" s="328"/>
      <c r="AL86" s="328"/>
      <c r="AP86" s="222"/>
      <c r="AQ86" s="211"/>
      <c r="AR86" s="222"/>
      <c r="AS86" s="222"/>
      <c r="AT86" s="225"/>
      <c r="AU86" s="225"/>
      <c r="AV86" s="225"/>
      <c r="AW86" s="225"/>
      <c r="AX86" s="225"/>
      <c r="AY86" s="300"/>
      <c r="AZ86" s="300"/>
    </row>
    <row r="87" spans="1:52" s="212" customFormat="1" ht="30" customHeight="1" x14ac:dyDescent="0.25">
      <c r="A87" s="552"/>
      <c r="B87" s="726"/>
      <c r="C87" s="348" t="s">
        <v>209</v>
      </c>
      <c r="D87" s="1859">
        <v>6</v>
      </c>
      <c r="E87" s="1859">
        <v>1</v>
      </c>
      <c r="F87" s="1859">
        <v>250</v>
      </c>
      <c r="G87" s="1859">
        <v>0</v>
      </c>
      <c r="H87" s="1859">
        <v>0</v>
      </c>
      <c r="I87" s="1859">
        <v>0</v>
      </c>
      <c r="J87" s="91">
        <f>IF($F87=0,0,1+($F87-$C$21)/$C$22)+$G87/$C$23+$H87/$C$24+$I87/$C$25</f>
        <v>7.4545454545454541</v>
      </c>
      <c r="K87" s="97">
        <f>10^(-J87)</f>
        <v>3.5111917342151263E-8</v>
      </c>
      <c r="L87" s="91">
        <f>($C$7*$C$14*$C$8*$E87/$D87^2*K87*10^6)</f>
        <v>7.8026482982558355E-3</v>
      </c>
      <c r="M87" s="91">
        <f>IF($F87=0,0,1+($F87-$D$21)/$D$22)+$G87/$D$23+$H87/$D$24+$I87/$D$25</f>
        <v>6.6486486486486482</v>
      </c>
      <c r="N87" s="97">
        <f>10^(-M87)</f>
        <v>2.2456979955397711E-7</v>
      </c>
      <c r="O87" s="91">
        <f>($C$7*$D$14*$D$8*$E87/$D87^2*N87*10^6)</f>
        <v>4.99043999008838E-2</v>
      </c>
      <c r="P87" s="91">
        <f>IF($F87=0,0,1+($F87-$E$21)/$E$22)+$G87/$E$23+$H87/$E$24+$I87/$E$25</f>
        <v>5.7674418604651159</v>
      </c>
      <c r="Q87" s="97">
        <f>10^(-P87)</f>
        <v>1.7082763938087111E-6</v>
      </c>
      <c r="R87" s="91">
        <f>($C$7*$D$14*$E$8*$E87/$D87^2*Q87*10^6)</f>
        <v>0.37961697640193576</v>
      </c>
      <c r="S87" s="91">
        <f>IF($F87=0,0,1+($F87-$F$21)/$F$22)+$G87/$F$23+$H87/$F$24+$I87/$F$25</f>
        <v>9.1481481481481488</v>
      </c>
      <c r="T87" s="97">
        <f>10^(-S87)</f>
        <v>7.1097094323124171E-10</v>
      </c>
      <c r="U87" s="91">
        <f>($C$7*$F$14*$F$8*$E87/$D87^2*T87*10^6)</f>
        <v>1.5799354294027593E-4</v>
      </c>
      <c r="V87" s="91">
        <f>IF($F87=0,0,1+($F87-$G$21)/$G$22)+$G87/$G$23+$H87/$G$24+$I87/$G$25</f>
        <v>6.9444444444444446</v>
      </c>
      <c r="W87" s="97">
        <f>10^(-V87)</f>
        <v>1.136463666385722E-7</v>
      </c>
      <c r="X87" s="76">
        <f>($C$7*$G$14*$G$8*$E87/$D87^2*W87*10^6)</f>
        <v>2.5254748141904933E-2</v>
      </c>
      <c r="Y87" s="324">
        <f>SUM(L87,O87,R87,U87,X87)</f>
        <v>0.46273676628592059</v>
      </c>
      <c r="Z87" s="717"/>
      <c r="AA87" s="718"/>
      <c r="AG87" s="328"/>
      <c r="AI87" s="328"/>
      <c r="AJ87" s="328"/>
      <c r="AK87" s="328"/>
      <c r="AL87" s="328"/>
      <c r="AP87" s="222"/>
      <c r="AQ87" s="211"/>
      <c r="AR87" s="222"/>
      <c r="AS87" s="222"/>
      <c r="AT87" s="225"/>
      <c r="AU87" s="225"/>
      <c r="AV87" s="225"/>
      <c r="AW87" s="225"/>
      <c r="AX87" s="225"/>
      <c r="AY87" s="300"/>
      <c r="AZ87" s="300"/>
    </row>
    <row r="88" spans="1:52" s="212" customFormat="1" ht="30" customHeight="1" x14ac:dyDescent="0.25">
      <c r="A88" s="351" t="str">
        <f>Samenvatting!A195</f>
        <v>L7</v>
      </c>
      <c r="B88" s="719" t="str">
        <f>Samenvatting!B195</f>
        <v>ingang labyrint linac 7</v>
      </c>
      <c r="C88" s="353" t="s">
        <v>361</v>
      </c>
      <c r="D88" s="1859">
        <v>5</v>
      </c>
      <c r="E88" s="58"/>
      <c r="F88" s="1859">
        <v>250</v>
      </c>
      <c r="G88" s="1859">
        <v>0</v>
      </c>
      <c r="H88" s="1859">
        <v>0</v>
      </c>
      <c r="I88" s="1859">
        <v>0</v>
      </c>
      <c r="J88" s="91">
        <f>$F88/$C$27+$G88/$C$28+$H88/$C$29+$I88/$C$30</f>
        <v>7.3529411764705879</v>
      </c>
      <c r="K88" s="97">
        <f>10^(-J88)</f>
        <v>4.4366873309786093E-8</v>
      </c>
      <c r="L88" s="91">
        <f>($C$7*$C$15*$C$8*($C$9+$C$10*$C$11)/$D88^2*K88*10^6)</f>
        <v>1.0648049594348663E-3</v>
      </c>
      <c r="M88" s="91">
        <f>$F88/$D$27+$G88/$D$28+$H88/$D$29+$I88/$D$30</f>
        <v>6.5789473684210522</v>
      </c>
      <c r="N88" s="97">
        <f>10^(-M88)</f>
        <v>2.636650898730358E-7</v>
      </c>
      <c r="O88" s="91">
        <f>($C$7*$C$15*$D$8*($D$9+$D$10*$D$11)/$D88^2*N88*10^6)</f>
        <v>6.3279621569528599E-3</v>
      </c>
      <c r="P88" s="91">
        <f>$F88/$E$27+$G88/$E$28+$H88/$E$29+$I88/$E$30</f>
        <v>5.6818181818181817</v>
      </c>
      <c r="Q88" s="97">
        <f>10^(-P88)</f>
        <v>2.0805675382171676E-6</v>
      </c>
      <c r="R88" s="91">
        <f>($C$7*$C$15*$E$8*($E$9+$E$10*$E$11)/$D88^2*Q88*10^6)</f>
        <v>4.9933620917212027E-2</v>
      </c>
      <c r="S88" s="91">
        <f>$F88/$F$27+$G88/$F$28+$H88/$F$29+$I88/$F$30</f>
        <v>8.1967213114754092</v>
      </c>
      <c r="T88" s="97">
        <f>10^(-S88)</f>
        <v>6.3573875711648393E-9</v>
      </c>
      <c r="U88" s="91">
        <f>($C$7*$C$15*$F$8*($F$9+$F$10*$F$11)/$D88^2*T88*10^6)</f>
        <v>1.5257730170795616E-4</v>
      </c>
      <c r="V88" s="91">
        <f>$F88/$G$27+$G88/$G$28+$H88/$G$29+$I88/$G$30</f>
        <v>7.0224719101123592</v>
      </c>
      <c r="W88" s="97">
        <f>10^(-V88)</f>
        <v>9.4957241494880226E-8</v>
      </c>
      <c r="X88" s="76">
        <f>($C$7*$C$15*$G$8*($G$9+$G$10*$G$11)/$D88^2*W88*10^6)</f>
        <v>2.278973795877126E-3</v>
      </c>
      <c r="Y88" s="355">
        <f>SUM(L88,O88,R88,U88,X88)</f>
        <v>5.9757939131184837E-2</v>
      </c>
      <c r="Z88" s="662">
        <f>SUM(Y86:Y90)</f>
        <v>298.71327202141981</v>
      </c>
      <c r="AA88" s="663">
        <f>Z88*52/10^3</f>
        <v>15.53309014511383</v>
      </c>
      <c r="AG88" s="328"/>
      <c r="AH88" s="328"/>
      <c r="AI88" s="328"/>
      <c r="AJ88" s="328"/>
      <c r="AK88" s="328"/>
      <c r="AL88" s="328"/>
      <c r="AP88" s="222"/>
      <c r="AQ88" s="211"/>
      <c r="AR88" s="222"/>
      <c r="AS88" s="222"/>
      <c r="AT88" s="225"/>
      <c r="AU88" s="225"/>
      <c r="AV88" s="225"/>
      <c r="AW88" s="225"/>
      <c r="AX88" s="225"/>
      <c r="AY88" s="300"/>
      <c r="AZ88" s="300"/>
    </row>
    <row r="89" spans="1:52" s="212" customFormat="1" ht="30" customHeight="1" thickBot="1" x14ac:dyDescent="0.3">
      <c r="A89" s="727"/>
      <c r="B89" s="700"/>
      <c r="C89" s="360" t="s">
        <v>360</v>
      </c>
      <c r="D89" s="701" t="s">
        <v>362</v>
      </c>
      <c r="E89" s="58"/>
      <c r="F89" s="58"/>
      <c r="G89" s="58"/>
      <c r="H89" s="58"/>
      <c r="I89" s="58"/>
      <c r="J89" s="91"/>
      <c r="K89" s="97"/>
      <c r="L89" s="91"/>
      <c r="M89" s="702"/>
      <c r="N89" s="703"/>
      <c r="O89" s="704"/>
      <c r="P89" s="704"/>
      <c r="Q89" s="703"/>
      <c r="R89" s="704"/>
      <c r="S89" s="704"/>
      <c r="T89" s="703"/>
      <c r="U89" s="704"/>
      <c r="V89" s="704"/>
      <c r="W89" s="703"/>
      <c r="X89" s="705"/>
      <c r="Y89" s="339">
        <f>SUM(AT130:AT135)</f>
        <v>298.19077731600271</v>
      </c>
      <c r="Z89" s="720"/>
      <c r="AA89" s="364"/>
      <c r="AG89" s="328"/>
      <c r="AH89" s="328"/>
      <c r="AI89" s="328"/>
      <c r="AJ89" s="328"/>
      <c r="AK89" s="328"/>
      <c r="AL89" s="328"/>
      <c r="AP89" s="222"/>
      <c r="AQ89" s="211"/>
      <c r="AR89" s="222"/>
      <c r="AS89" s="222"/>
      <c r="AT89" s="225"/>
      <c r="AU89" s="225"/>
      <c r="AV89" s="225"/>
      <c r="AW89" s="225"/>
      <c r="AX89" s="225"/>
      <c r="AY89" s="300"/>
      <c r="AZ89" s="300"/>
    </row>
    <row r="90" spans="1:52" s="212" customFormat="1" ht="30" hidden="1" customHeight="1" thickBot="1" x14ac:dyDescent="0.3">
      <c r="A90" s="211"/>
      <c r="B90" s="450"/>
      <c r="C90" s="318"/>
      <c r="D90" s="1872"/>
      <c r="E90" s="1871"/>
      <c r="F90" s="1871"/>
      <c r="G90" s="1871"/>
      <c r="H90" s="1871"/>
      <c r="I90" s="1871"/>
      <c r="J90" s="91"/>
      <c r="K90" s="97"/>
      <c r="L90" s="91"/>
      <c r="M90" s="702"/>
      <c r="N90" s="703"/>
      <c r="O90" s="704"/>
      <c r="P90" s="704"/>
      <c r="Q90" s="703"/>
      <c r="R90" s="704"/>
      <c r="S90" s="704"/>
      <c r="T90" s="703"/>
      <c r="U90" s="704"/>
      <c r="V90" s="704"/>
      <c r="W90" s="703"/>
      <c r="X90" s="705"/>
      <c r="Y90" s="577"/>
      <c r="Z90" s="707"/>
      <c r="AA90" s="708"/>
      <c r="AG90" s="328"/>
      <c r="AH90" s="328"/>
      <c r="AI90" s="328"/>
      <c r="AJ90" s="328"/>
      <c r="AK90" s="328"/>
      <c r="AL90" s="328"/>
      <c r="AP90" s="222"/>
      <c r="AQ90" s="211"/>
      <c r="AR90" s="222"/>
      <c r="AS90" s="222"/>
      <c r="AT90" s="225"/>
      <c r="AU90" s="225"/>
      <c r="AV90" s="225"/>
      <c r="AW90" s="225"/>
      <c r="AX90" s="225"/>
      <c r="AY90" s="300"/>
      <c r="AZ90" s="300"/>
    </row>
    <row r="91" spans="1:52" s="212" customFormat="1" ht="30" customHeight="1" x14ac:dyDescent="0.25">
      <c r="A91" s="322"/>
      <c r="B91" s="322"/>
      <c r="C91" s="323" t="s">
        <v>569</v>
      </c>
      <c r="D91" s="1859">
        <v>6</v>
      </c>
      <c r="E91" s="1859">
        <v>1</v>
      </c>
      <c r="F91" s="1859">
        <v>250</v>
      </c>
      <c r="G91" s="1859">
        <v>0</v>
      </c>
      <c r="H91" s="1859">
        <v>0</v>
      </c>
      <c r="I91" s="1859">
        <v>0</v>
      </c>
      <c r="J91" s="91">
        <f>IF($F91=0,0,1+($F91-$C$21)/$C$22)+$G91/$C$23+$H91/$C$24+$I91/$C$25</f>
        <v>7.4545454545454541</v>
      </c>
      <c r="K91" s="97">
        <f t="shared" ref="K91:K101" si="6">10^(-J91)</f>
        <v>3.5111917342151263E-8</v>
      </c>
      <c r="L91" s="91">
        <f>($C$7*$C$14*$C$8*$E91/$D91^2*K91*10^6)</f>
        <v>7.8026482982558355E-3</v>
      </c>
      <c r="M91" s="91">
        <f>IF($F91=0,0,1+($F91-$D$21)/$D$22)+$G91/$D$23+$H91/$D$24+$I91/$D$25</f>
        <v>6.6486486486486482</v>
      </c>
      <c r="N91" s="97">
        <f t="shared" ref="N91:N101" si="7">10^(-M91)</f>
        <v>2.2456979955397711E-7</v>
      </c>
      <c r="O91" s="91">
        <f>($C$7*$D$14*$D$8*$E91/$D91^2*N91*10^6)</f>
        <v>4.99043999008838E-2</v>
      </c>
      <c r="P91" s="91">
        <f>IF($F91=0,0,1+($F91-$E$21)/$E$22)+$G91/$E$23+$H91/$E$24+$I91/$E$25</f>
        <v>5.7674418604651159</v>
      </c>
      <c r="Q91" s="97">
        <f t="shared" ref="Q91:Q101" si="8">10^(-P91)</f>
        <v>1.7082763938087111E-6</v>
      </c>
      <c r="R91" s="91">
        <f>($C$7*$D$14*$E$8*$E91/$D91^2*Q91*10^6)</f>
        <v>0.37961697640193576</v>
      </c>
      <c r="S91" s="91">
        <f>IF($F91=0,0,1+($F91-$F$21)/$F$22)+$G91/$F$23+$H91/$F$24+$I91/$F$25</f>
        <v>9.1481481481481488</v>
      </c>
      <c r="T91" s="97">
        <f t="shared" ref="T91:T101" si="9">10^(-S91)</f>
        <v>7.1097094323124171E-10</v>
      </c>
      <c r="U91" s="91">
        <f>($C$7*$F$14*$F$8*$E91/$D91^2*T91*10^6)</f>
        <v>1.5799354294027593E-4</v>
      </c>
      <c r="V91" s="91">
        <f>IF($F91=0,0,1+($F91-$G$21)/$G$22)+$G91/$G$23+$H91/$G$24+$I91/$G$25</f>
        <v>6.9444444444444446</v>
      </c>
      <c r="W91" s="97">
        <f t="shared" ref="W91:W101" si="10">10^(-V91)</f>
        <v>1.136463666385722E-7</v>
      </c>
      <c r="X91" s="76">
        <f>($C$7*$G$14*$G$8*$E91/$D91^2*W91*10^6)</f>
        <v>2.5254748141904933E-2</v>
      </c>
      <c r="Y91" s="324">
        <f>SUM(L91,O91,R91,U91,X91)</f>
        <v>0.46273676628592059</v>
      </c>
      <c r="Z91" s="325"/>
      <c r="AA91" s="350"/>
      <c r="AG91" s="328"/>
      <c r="AI91" s="328"/>
      <c r="AJ91" s="328"/>
      <c r="AK91" s="328"/>
      <c r="AL91" s="328"/>
      <c r="AP91" s="222"/>
      <c r="AQ91" s="211"/>
      <c r="AR91" s="222"/>
      <c r="AS91" s="222"/>
      <c r="AT91" s="225"/>
      <c r="AU91" s="225"/>
      <c r="AV91" s="225"/>
      <c r="AW91" s="225"/>
      <c r="AX91" s="225"/>
      <c r="AY91" s="300"/>
      <c r="AZ91" s="300"/>
    </row>
    <row r="92" spans="1:52" s="212" customFormat="1" ht="30" customHeight="1" thickBot="1" x14ac:dyDescent="0.3">
      <c r="A92" s="351" t="str">
        <f>Samenvatting!A207</f>
        <v>L8</v>
      </c>
      <c r="B92" s="346" t="str">
        <f>Samenvatting!B207</f>
        <v>ingang labyrint linac 8</v>
      </c>
      <c r="C92" s="331" t="s">
        <v>568</v>
      </c>
      <c r="D92" s="1859">
        <v>5</v>
      </c>
      <c r="E92" s="58"/>
      <c r="F92" s="1859">
        <v>250</v>
      </c>
      <c r="G92" s="1859">
        <v>0</v>
      </c>
      <c r="H92" s="1859">
        <v>0</v>
      </c>
      <c r="I92" s="1859">
        <v>0</v>
      </c>
      <c r="J92" s="91">
        <f>$F92/$C$27+$G92/$C$28+$H92/$C$29+$I92/$C$30</f>
        <v>7.3529411764705879</v>
      </c>
      <c r="K92" s="97">
        <f t="shared" si="6"/>
        <v>4.4366873309786093E-8</v>
      </c>
      <c r="L92" s="91">
        <f>($C$7*$C$15*$C$8*($C$9+$C$10*$C$11)/$D92^2*K92*10^6)</f>
        <v>1.0648049594348663E-3</v>
      </c>
      <c r="M92" s="91">
        <f>$F92/$D$27+$G92/$D$28+$H92/$D$29+$I92/$D$30</f>
        <v>6.5789473684210522</v>
      </c>
      <c r="N92" s="97">
        <f t="shared" si="7"/>
        <v>2.636650898730358E-7</v>
      </c>
      <c r="O92" s="91">
        <f>($C$7*$C$15*$D$8*($D$9+$D$10*$D$11)/$D92^2*N92*10^6)</f>
        <v>6.3279621569528599E-3</v>
      </c>
      <c r="P92" s="91">
        <f>$F92/$E$27+$G92/$E$28+$H92/$E$29+$I92/$E$30</f>
        <v>5.6818181818181817</v>
      </c>
      <c r="Q92" s="97">
        <f t="shared" si="8"/>
        <v>2.0805675382171676E-6</v>
      </c>
      <c r="R92" s="91">
        <f>($C$7*$C$15*$E$8*($E$9+$E$10*$E$11)/$D92^2*Q92*10^6)</f>
        <v>4.9933620917212027E-2</v>
      </c>
      <c r="S92" s="91">
        <f>$F92/$F$27+$G92/$F$28+$H92/$F$29+$I92/$F$30</f>
        <v>8.1967213114754092</v>
      </c>
      <c r="T92" s="97">
        <f t="shared" si="9"/>
        <v>6.3573875711648393E-9</v>
      </c>
      <c r="U92" s="91">
        <f>($C$7*$C$15*$F$8*($F$9+$F$10*$F$11)/$D92^2*T92*10^6)</f>
        <v>1.5257730170795616E-4</v>
      </c>
      <c r="V92" s="91">
        <f>$F92/$G$27+$G92/$G$28+$H92/$G$29+$I92/$G$30</f>
        <v>7.0224719101123592</v>
      </c>
      <c r="W92" s="97">
        <f t="shared" si="10"/>
        <v>9.4957241494880226E-8</v>
      </c>
      <c r="X92" s="76">
        <f>($C$7*$C$15*$G$8*($G$9+$G$10*$G$11)/$D92^2*W92*10^6)</f>
        <v>2.278973795877126E-3</v>
      </c>
      <c r="Y92" s="339">
        <f>SUM(L92,O92,R92,U92,X92)</f>
        <v>5.9757939131184837E-2</v>
      </c>
      <c r="Z92" s="363">
        <f>SUM(Y90:Y93)</f>
        <v>0.52249470541710541</v>
      </c>
      <c r="AA92" s="334">
        <f>Z92*52/10^3</f>
        <v>2.7169724681689482E-2</v>
      </c>
      <c r="AG92" s="328"/>
      <c r="AH92" s="328"/>
      <c r="AI92" s="328"/>
      <c r="AJ92" s="328"/>
      <c r="AK92" s="328"/>
      <c r="AL92" s="328"/>
      <c r="AP92" s="222"/>
      <c r="AQ92" s="211"/>
      <c r="AR92" s="222"/>
      <c r="AS92" s="222"/>
      <c r="AT92" s="225"/>
      <c r="AU92" s="225"/>
      <c r="AV92" s="225"/>
      <c r="AW92" s="225"/>
      <c r="AX92" s="225"/>
      <c r="AY92" s="300"/>
      <c r="AZ92" s="300"/>
    </row>
    <row r="93" spans="1:52" s="212" customFormat="1" ht="30" hidden="1" customHeight="1" thickBot="1" x14ac:dyDescent="0.3">
      <c r="A93" s="317"/>
      <c r="B93" s="317"/>
      <c r="C93" s="318"/>
      <c r="D93" s="1871"/>
      <c r="E93" s="1871"/>
      <c r="F93" s="1871"/>
      <c r="G93" s="1871"/>
      <c r="H93" s="1871"/>
      <c r="I93" s="1871"/>
      <c r="J93" s="91"/>
      <c r="K93" s="97"/>
      <c r="L93" s="91"/>
      <c r="M93" s="91"/>
      <c r="N93" s="97"/>
      <c r="O93" s="91"/>
      <c r="P93" s="91"/>
      <c r="Q93" s="97"/>
      <c r="R93" s="91"/>
      <c r="S93" s="91"/>
      <c r="T93" s="97"/>
      <c r="U93" s="91"/>
      <c r="V93" s="91"/>
      <c r="W93" s="97"/>
      <c r="X93" s="76"/>
      <c r="Y93" s="577"/>
      <c r="Z93" s="659"/>
      <c r="AA93" s="660"/>
      <c r="AG93" s="328"/>
      <c r="AH93" s="328"/>
      <c r="AI93" s="328"/>
      <c r="AJ93" s="328"/>
      <c r="AK93" s="328"/>
      <c r="AL93" s="328"/>
      <c r="AP93" s="222"/>
      <c r="AQ93" s="211"/>
      <c r="AR93" s="222"/>
      <c r="AS93" s="222"/>
      <c r="AT93" s="225"/>
      <c r="AU93" s="225"/>
      <c r="AV93" s="225"/>
      <c r="AW93" s="225"/>
      <c r="AX93" s="225"/>
      <c r="AY93" s="300"/>
      <c r="AZ93" s="300"/>
    </row>
    <row r="94" spans="1:52" s="212" customFormat="1" ht="30" customHeight="1" x14ac:dyDescent="0.25">
      <c r="A94" s="322"/>
      <c r="B94" s="322"/>
      <c r="C94" s="323" t="s">
        <v>569</v>
      </c>
      <c r="D94" s="1859">
        <v>6</v>
      </c>
      <c r="E94" s="1859">
        <v>1</v>
      </c>
      <c r="F94" s="1859">
        <v>250</v>
      </c>
      <c r="G94" s="1859">
        <v>0</v>
      </c>
      <c r="H94" s="1859">
        <v>0</v>
      </c>
      <c r="I94" s="1859">
        <v>0</v>
      </c>
      <c r="J94" s="91">
        <f>IF($F94=0,0,1+($F94-$C$21)/$C$22)+$G94/$C$23+$H94/$C$24+$I94/$C$25</f>
        <v>7.4545454545454541</v>
      </c>
      <c r="K94" s="97">
        <f t="shared" si="6"/>
        <v>3.5111917342151263E-8</v>
      </c>
      <c r="L94" s="91">
        <f>($C$7*$C$14*$C$8*$E94/$D94^2*K94*10^6)</f>
        <v>7.8026482982558355E-3</v>
      </c>
      <c r="M94" s="91">
        <f>IF($F94=0,0,1+($F94-$D$21)/$D$22)+$G94/$D$23+$H94/$D$24+$I94/$D$25</f>
        <v>6.6486486486486482</v>
      </c>
      <c r="N94" s="97">
        <f t="shared" si="7"/>
        <v>2.2456979955397711E-7</v>
      </c>
      <c r="O94" s="91">
        <f>($C$7*$D$14*$D$8*$E94/$D94^2*N94*10^6)</f>
        <v>4.99043999008838E-2</v>
      </c>
      <c r="P94" s="91">
        <f>IF($F94=0,0,1+($F94-$E$21)/$E$22)+$G94/$E$23+$H94/$E$24+$I94/$E$25</f>
        <v>5.7674418604651159</v>
      </c>
      <c r="Q94" s="97">
        <f t="shared" si="8"/>
        <v>1.7082763938087111E-6</v>
      </c>
      <c r="R94" s="91">
        <f>($C$7*$D$14*$E$8*$E94/$D94^2*Q94*10^6)</f>
        <v>0.37961697640193576</v>
      </c>
      <c r="S94" s="91">
        <f>IF($F94=0,0,1+($F94-$F$21)/$F$22)+$G94/$F$23+$H94/$F$24+$I94/$F$25</f>
        <v>9.1481481481481488</v>
      </c>
      <c r="T94" s="97">
        <f t="shared" si="9"/>
        <v>7.1097094323124171E-10</v>
      </c>
      <c r="U94" s="91">
        <f>($C$7*$F$14*$F$8*$E94/$D94^2*T94*10^6)</f>
        <v>1.5799354294027593E-4</v>
      </c>
      <c r="V94" s="91">
        <f>IF($F94=0,0,1+($F94-$G$21)/$G$22)+$G94/$G$23+$H94/$G$24+$I94/$G$25</f>
        <v>6.9444444444444446</v>
      </c>
      <c r="W94" s="97">
        <f t="shared" si="10"/>
        <v>1.136463666385722E-7</v>
      </c>
      <c r="X94" s="76">
        <f>($C$7*$G$14*$G$8*$E94/$D94^2*W94*10^6)</f>
        <v>2.5254748141904933E-2</v>
      </c>
      <c r="Y94" s="324">
        <f>SUM(L94,O94,R94,U94,X94)</f>
        <v>0.46273676628592059</v>
      </c>
      <c r="Z94" s="325"/>
      <c r="AA94" s="350"/>
      <c r="AG94" s="328"/>
      <c r="AI94" s="328"/>
      <c r="AJ94" s="328"/>
      <c r="AK94" s="328"/>
      <c r="AL94" s="328"/>
      <c r="AP94" s="222"/>
      <c r="AQ94" s="211"/>
      <c r="AR94" s="222"/>
      <c r="AS94" s="222"/>
      <c r="AT94" s="225"/>
      <c r="AU94" s="225"/>
      <c r="AV94" s="225"/>
      <c r="AW94" s="225"/>
      <c r="AX94" s="225"/>
      <c r="AY94" s="300"/>
      <c r="AZ94" s="300"/>
    </row>
    <row r="95" spans="1:52" s="212" customFormat="1" ht="30" customHeight="1" thickBot="1" x14ac:dyDescent="0.3">
      <c r="A95" s="351" t="str">
        <f>Samenvatting!A219</f>
        <v>L9</v>
      </c>
      <c r="B95" s="352" t="str">
        <f>Samenvatting!B219</f>
        <v>ingang labyrint linac 9</v>
      </c>
      <c r="C95" s="331" t="s">
        <v>568</v>
      </c>
      <c r="D95" s="1859">
        <v>5</v>
      </c>
      <c r="E95" s="58"/>
      <c r="F95" s="1859">
        <v>250</v>
      </c>
      <c r="G95" s="1859">
        <v>0</v>
      </c>
      <c r="H95" s="1859">
        <v>0</v>
      </c>
      <c r="I95" s="1859">
        <v>0</v>
      </c>
      <c r="J95" s="91">
        <f>$F95/$C$27+$G95/$C$28+$H95/$C$29+$I95/$C$30</f>
        <v>7.3529411764705879</v>
      </c>
      <c r="K95" s="97">
        <f t="shared" si="6"/>
        <v>4.4366873309786093E-8</v>
      </c>
      <c r="L95" s="91">
        <f>($C$7*$C$15*$C$8*($C$9+$C$10*$C$11)/$D95^2*K95*10^6)</f>
        <v>1.0648049594348663E-3</v>
      </c>
      <c r="M95" s="91">
        <f>$F95/$D$27+$G95/$D$28+$H95/$D$29+$I95/$D$30</f>
        <v>6.5789473684210522</v>
      </c>
      <c r="N95" s="97">
        <f t="shared" si="7"/>
        <v>2.636650898730358E-7</v>
      </c>
      <c r="O95" s="91">
        <f>($C$7*$C$15*$D$8*($D$9+$D$10*$D$11)/$D95^2*N95*10^6)</f>
        <v>6.3279621569528599E-3</v>
      </c>
      <c r="P95" s="91">
        <f>$F95/$E$27+$G95/$E$28+$H95/$E$29+$I95/$E$30</f>
        <v>5.6818181818181817</v>
      </c>
      <c r="Q95" s="97">
        <f t="shared" si="8"/>
        <v>2.0805675382171676E-6</v>
      </c>
      <c r="R95" s="91">
        <f>($C$7*$C$15*$E$8*($E$9+$E$10*$E$11)/$D95^2*Q95*10^6)</f>
        <v>4.9933620917212027E-2</v>
      </c>
      <c r="S95" s="91">
        <f>$F95/$F$27+$G95/$F$28+$H95/$F$29+$I95/$F$30</f>
        <v>8.1967213114754092</v>
      </c>
      <c r="T95" s="97">
        <f t="shared" si="9"/>
        <v>6.3573875711648393E-9</v>
      </c>
      <c r="U95" s="91">
        <f>($C$7*$C$15*$F$8*($F$9+$F$10*$F$11)/$D95^2*T95*10^6)</f>
        <v>1.5257730170795616E-4</v>
      </c>
      <c r="V95" s="91">
        <f>$F95/$G$27+$G95/$G$28+$H95/$G$29+$I95/$G$30</f>
        <v>7.0224719101123592</v>
      </c>
      <c r="W95" s="97">
        <f t="shared" si="10"/>
        <v>9.4957241494880226E-8</v>
      </c>
      <c r="X95" s="76">
        <f>($C$7*$C$15*$G$8*($G$9+$G$10*$G$11)/$D95^2*W95*10^6)</f>
        <v>2.278973795877126E-3</v>
      </c>
      <c r="Y95" s="339">
        <f>SUM(L95,O95,R95,U95,X95)</f>
        <v>5.9757939131184837E-2</v>
      </c>
      <c r="Z95" s="363">
        <f>SUM(Y93:Y96)</f>
        <v>0.52249470541710541</v>
      </c>
      <c r="AA95" s="334">
        <f>Z95*52/10^3</f>
        <v>2.7169724681689482E-2</v>
      </c>
      <c r="AG95" s="328"/>
      <c r="AH95" s="328"/>
      <c r="AI95" s="328"/>
      <c r="AJ95" s="328"/>
      <c r="AK95" s="328"/>
      <c r="AL95" s="328"/>
      <c r="AP95" s="222"/>
      <c r="AQ95" s="211"/>
      <c r="AR95" s="222"/>
      <c r="AS95" s="222"/>
      <c r="AT95" s="225"/>
      <c r="AU95" s="225"/>
      <c r="AV95" s="225"/>
      <c r="AW95" s="225"/>
      <c r="AX95" s="225"/>
      <c r="AY95" s="300"/>
      <c r="AZ95" s="300"/>
    </row>
    <row r="96" spans="1:52" s="212" customFormat="1" ht="30" hidden="1" customHeight="1" thickBot="1" x14ac:dyDescent="0.3">
      <c r="A96" s="317"/>
      <c r="B96" s="317"/>
      <c r="C96" s="318"/>
      <c r="D96" s="1871"/>
      <c r="E96" s="1871"/>
      <c r="F96" s="1871"/>
      <c r="G96" s="1871"/>
      <c r="H96" s="1871"/>
      <c r="I96" s="1871"/>
      <c r="J96" s="91"/>
      <c r="K96" s="97"/>
      <c r="L96" s="91"/>
      <c r="M96" s="91"/>
      <c r="N96" s="97"/>
      <c r="O96" s="91"/>
      <c r="P96" s="91"/>
      <c r="Q96" s="97"/>
      <c r="R96" s="91"/>
      <c r="S96" s="91"/>
      <c r="T96" s="97"/>
      <c r="U96" s="91"/>
      <c r="V96" s="91"/>
      <c r="W96" s="97"/>
      <c r="X96" s="76"/>
      <c r="Y96" s="577"/>
      <c r="Z96" s="659"/>
      <c r="AA96" s="660"/>
      <c r="AG96" s="328"/>
      <c r="AH96" s="328"/>
      <c r="AI96" s="328"/>
      <c r="AJ96" s="328"/>
      <c r="AK96" s="328"/>
      <c r="AL96" s="328"/>
      <c r="AP96" s="222"/>
      <c r="AQ96" s="211"/>
      <c r="AR96" s="222"/>
      <c r="AS96" s="222"/>
      <c r="AT96" s="225"/>
      <c r="AU96" s="225"/>
      <c r="AV96" s="225"/>
      <c r="AW96" s="225"/>
      <c r="AX96" s="225"/>
      <c r="AY96" s="300"/>
      <c r="AZ96" s="300"/>
    </row>
    <row r="97" spans="1:54" s="212" customFormat="1" ht="30" customHeight="1" x14ac:dyDescent="0.25">
      <c r="A97" s="322"/>
      <c r="B97" s="322"/>
      <c r="C97" s="323" t="s">
        <v>569</v>
      </c>
      <c r="D97" s="1859">
        <v>6</v>
      </c>
      <c r="E97" s="1859">
        <v>1</v>
      </c>
      <c r="F97" s="1859">
        <v>250</v>
      </c>
      <c r="G97" s="1859">
        <v>0</v>
      </c>
      <c r="H97" s="1859">
        <v>0</v>
      </c>
      <c r="I97" s="1859">
        <v>0</v>
      </c>
      <c r="J97" s="91">
        <f>IF($F97=0,0,1+($F97-$C$21)/$C$22)+$G97/$C$23+$H97/$C$24+$I97/$C$25</f>
        <v>7.4545454545454541</v>
      </c>
      <c r="K97" s="97">
        <f t="shared" si="6"/>
        <v>3.5111917342151263E-8</v>
      </c>
      <c r="L97" s="91">
        <f>($C$7*$C$14*$C$8*$E97/$D97^2*K97*10^6)</f>
        <v>7.8026482982558355E-3</v>
      </c>
      <c r="M97" s="91">
        <f>IF($F97=0,0,1+($F97-$D$21)/$D$22)+$G97/$D$23+$H97/$D$24+$I97/$D$25</f>
        <v>6.6486486486486482</v>
      </c>
      <c r="N97" s="97">
        <f t="shared" si="7"/>
        <v>2.2456979955397711E-7</v>
      </c>
      <c r="O97" s="91">
        <f>($C$7*$D$14*$D$8*$E97/$D97^2*N97*10^6)</f>
        <v>4.99043999008838E-2</v>
      </c>
      <c r="P97" s="91">
        <f>IF($F97=0,0,1+($F97-$E$21)/$E$22)+$G97/$E$23+$H97/$E$24+$I97/$E$25</f>
        <v>5.7674418604651159</v>
      </c>
      <c r="Q97" s="97">
        <f t="shared" si="8"/>
        <v>1.7082763938087111E-6</v>
      </c>
      <c r="R97" s="91">
        <f>($C$7*$D$14*$E$8*$E97/$D97^2*Q97*10^6)</f>
        <v>0.37961697640193576</v>
      </c>
      <c r="S97" s="91">
        <f>IF($F97=0,0,1+($F97-$F$21)/$F$22)+$G97/$F$23+$H97/$F$24+$I97/$F$25</f>
        <v>9.1481481481481488</v>
      </c>
      <c r="T97" s="97">
        <f t="shared" si="9"/>
        <v>7.1097094323124171E-10</v>
      </c>
      <c r="U97" s="91">
        <f>($C$7*$F$14*$F$8*$E97/$D97^2*T97*10^6)</f>
        <v>1.5799354294027593E-4</v>
      </c>
      <c r="V97" s="91">
        <f>IF($F97=0,0,1+($F97-$G$21)/$G$22)+$G97/$G$23+$H97/$G$24+$I97/$G$25</f>
        <v>6.9444444444444446</v>
      </c>
      <c r="W97" s="97">
        <f t="shared" si="10"/>
        <v>1.136463666385722E-7</v>
      </c>
      <c r="X97" s="76">
        <f>($C$7*$G$14*$G$8*$E97/$D97^2*W97*10^6)</f>
        <v>2.5254748141904933E-2</v>
      </c>
      <c r="Y97" s="324">
        <f>SUM(L97,O97,R97,U97,X97)</f>
        <v>0.46273676628592059</v>
      </c>
      <c r="Z97" s="325"/>
      <c r="AA97" s="350"/>
      <c r="AG97" s="328"/>
      <c r="AI97" s="328"/>
      <c r="AJ97" s="328"/>
      <c r="AK97" s="328"/>
      <c r="AL97" s="328"/>
      <c r="AP97" s="222"/>
      <c r="AQ97" s="211"/>
      <c r="AR97" s="222"/>
      <c r="AS97" s="222"/>
      <c r="AT97" s="225"/>
      <c r="AU97" s="225"/>
      <c r="AV97" s="225"/>
      <c r="AW97" s="225"/>
      <c r="AX97" s="225"/>
      <c r="AY97" s="300"/>
      <c r="AZ97" s="300"/>
    </row>
    <row r="98" spans="1:54" s="212" customFormat="1" ht="30" customHeight="1" thickBot="1" x14ac:dyDescent="0.3">
      <c r="A98" s="351" t="str">
        <f>Samenvatting!A231</f>
        <v>L10</v>
      </c>
      <c r="B98" s="656" t="str">
        <f>Samenvatting!B231</f>
        <v>ingang labyrint linac 10</v>
      </c>
      <c r="C98" s="331" t="s">
        <v>568</v>
      </c>
      <c r="D98" s="1859">
        <v>5</v>
      </c>
      <c r="E98" s="58"/>
      <c r="F98" s="585">
        <v>250</v>
      </c>
      <c r="G98" s="1859">
        <v>0</v>
      </c>
      <c r="H98" s="1859">
        <v>0</v>
      </c>
      <c r="I98" s="1859">
        <v>0</v>
      </c>
      <c r="J98" s="91">
        <f>$F98/$C$27+$G98/$C$28+$H98/$C$29+$I98/$C$30</f>
        <v>7.3529411764705879</v>
      </c>
      <c r="K98" s="97">
        <f t="shared" si="6"/>
        <v>4.4366873309786093E-8</v>
      </c>
      <c r="L98" s="91">
        <f>($C$7*$C$15*$C$8*($C$9+$C$10*$C$11)/$D98^2*K98*10^6)</f>
        <v>1.0648049594348663E-3</v>
      </c>
      <c r="M98" s="91">
        <f>$F98/$D$27+$G98/$D$28+$H98/$D$29+$I98/$D$30</f>
        <v>6.5789473684210522</v>
      </c>
      <c r="N98" s="97">
        <f t="shared" si="7"/>
        <v>2.636650898730358E-7</v>
      </c>
      <c r="O98" s="91">
        <f>($C$7*$C$15*$D$8*($D$9+$D$10*$D$11)/$D98^2*N98*10^6)</f>
        <v>6.3279621569528599E-3</v>
      </c>
      <c r="P98" s="91">
        <f>$F98/$E$27+$G98/$E$28+$H98/$E$29+$I98/$E$30</f>
        <v>5.6818181818181817</v>
      </c>
      <c r="Q98" s="97">
        <f t="shared" si="8"/>
        <v>2.0805675382171676E-6</v>
      </c>
      <c r="R98" s="91">
        <f>($C$7*$C$15*$E$8*($E$9+$E$10*$E$11)/$D98^2*Q98*10^6)</f>
        <v>4.9933620917212027E-2</v>
      </c>
      <c r="S98" s="91">
        <f>$F98/$F$27+$G98/$F$28+$H98/$F$29+$I98/$F$30</f>
        <v>8.1967213114754092</v>
      </c>
      <c r="T98" s="97">
        <f t="shared" si="9"/>
        <v>6.3573875711648393E-9</v>
      </c>
      <c r="U98" s="91">
        <f>($C$7*$C$15*$F$8*($F$9+$F$10*$F$11)/$D98^2*T98*10^6)</f>
        <v>1.5257730170795616E-4</v>
      </c>
      <c r="V98" s="91">
        <f>$F98/$G$27+$G98/$G$28+$H98/$G$29+$I98/$G$30</f>
        <v>7.0224719101123592</v>
      </c>
      <c r="W98" s="97">
        <f t="shared" si="10"/>
        <v>9.4957241494880226E-8</v>
      </c>
      <c r="X98" s="76">
        <f>($C$7*$C$15*$G$8*($G$9+$G$10*$G$11)/$D98^2*W98*10^6)</f>
        <v>2.278973795877126E-3</v>
      </c>
      <c r="Y98" s="339">
        <f>SUM(L98,O98,R98,U98,X98)</f>
        <v>5.9757939131184837E-2</v>
      </c>
      <c r="Z98" s="363">
        <f>SUM(Y96:Y99)</f>
        <v>0.52249470541710541</v>
      </c>
      <c r="AA98" s="334">
        <f>Z98*52/10^3</f>
        <v>2.7169724681689482E-2</v>
      </c>
      <c r="AG98" s="328"/>
      <c r="AH98" s="328"/>
      <c r="AI98" s="328"/>
      <c r="AJ98" s="328"/>
      <c r="AK98" s="328"/>
      <c r="AL98" s="328"/>
      <c r="AP98" s="222"/>
      <c r="AQ98" s="211"/>
      <c r="AR98" s="222"/>
      <c r="AS98" s="222"/>
      <c r="AT98" s="225"/>
      <c r="AU98" s="225"/>
      <c r="AV98" s="225"/>
      <c r="AW98" s="225"/>
      <c r="AX98" s="225"/>
      <c r="AY98" s="300"/>
      <c r="AZ98" s="300"/>
    </row>
    <row r="99" spans="1:54" s="212" customFormat="1" ht="30" hidden="1" customHeight="1" thickBot="1" x14ac:dyDescent="0.3">
      <c r="A99" s="317"/>
      <c r="B99" s="312"/>
      <c r="C99" s="318"/>
      <c r="D99" s="1871"/>
      <c r="E99" s="1871"/>
      <c r="F99" s="1871"/>
      <c r="G99" s="1871"/>
      <c r="H99" s="1871"/>
      <c r="I99" s="1871"/>
      <c r="J99" s="91"/>
      <c r="K99" s="97"/>
      <c r="L99" s="91"/>
      <c r="M99" s="91"/>
      <c r="N99" s="97"/>
      <c r="O99" s="91"/>
      <c r="P99" s="91"/>
      <c r="Q99" s="97"/>
      <c r="R99" s="91"/>
      <c r="S99" s="91"/>
      <c r="T99" s="97"/>
      <c r="U99" s="91"/>
      <c r="V99" s="91"/>
      <c r="W99" s="97"/>
      <c r="X99" s="76"/>
      <c r="Y99" s="577"/>
      <c r="Z99" s="659"/>
      <c r="AA99" s="660"/>
      <c r="AG99" s="328"/>
      <c r="AH99" s="328"/>
      <c r="AI99" s="328"/>
      <c r="AJ99" s="328"/>
      <c r="AK99" s="328"/>
      <c r="AL99" s="328"/>
      <c r="AP99" s="222"/>
      <c r="AQ99" s="211"/>
      <c r="AR99" s="222"/>
      <c r="AS99" s="222"/>
      <c r="AT99" s="225"/>
      <c r="AU99" s="225"/>
      <c r="AV99" s="225"/>
      <c r="AW99" s="225"/>
      <c r="AX99" s="225"/>
      <c r="AY99" s="300"/>
      <c r="AZ99" s="300"/>
    </row>
    <row r="100" spans="1:54" s="212" customFormat="1" ht="30" customHeight="1" x14ac:dyDescent="0.25">
      <c r="A100" s="322"/>
      <c r="B100" s="322"/>
      <c r="C100" s="323" t="s">
        <v>569</v>
      </c>
      <c r="D100" s="1859">
        <v>6</v>
      </c>
      <c r="E100" s="1859">
        <v>1</v>
      </c>
      <c r="F100" s="1859">
        <v>250</v>
      </c>
      <c r="G100" s="1859">
        <v>0</v>
      </c>
      <c r="H100" s="1859">
        <v>0</v>
      </c>
      <c r="I100" s="1859">
        <v>0</v>
      </c>
      <c r="J100" s="91">
        <f>IF($F100=0,0,1+($F100-$C$21)/$C$22)+$G100/$C$23+$H100/$C$24+$I100/$C$25</f>
        <v>7.4545454545454541</v>
      </c>
      <c r="K100" s="97">
        <f t="shared" si="6"/>
        <v>3.5111917342151263E-8</v>
      </c>
      <c r="L100" s="91">
        <f>($C$7*$C$14*$C$8*$E100/$D100^2*K100*10^6)</f>
        <v>7.8026482982558355E-3</v>
      </c>
      <c r="M100" s="91">
        <f>IF($F100=0,0,1+($F100-$D$21)/$D$22)+$G100/$D$23+$H100/$D$24+$I100/$D$25</f>
        <v>6.6486486486486482</v>
      </c>
      <c r="N100" s="97">
        <f t="shared" si="7"/>
        <v>2.2456979955397711E-7</v>
      </c>
      <c r="O100" s="91">
        <f>($C$7*$D$14*$D$8*$E100/$D100^2*N100*10^6)</f>
        <v>4.99043999008838E-2</v>
      </c>
      <c r="P100" s="91">
        <f>IF($F100=0,0,1+($F100-$E$21)/$E$22)+$G100/$E$23+$H100/$E$24+$I100/$E$25</f>
        <v>5.7674418604651159</v>
      </c>
      <c r="Q100" s="97">
        <f t="shared" si="8"/>
        <v>1.7082763938087111E-6</v>
      </c>
      <c r="R100" s="91">
        <f>($C$7*$D$14*$E$8*$E100/$D100^2*Q100*10^6)</f>
        <v>0.37961697640193576</v>
      </c>
      <c r="S100" s="91">
        <f>IF($F100=0,0,1+($F100-$F$21)/$F$22)+$G100/$F$23+$H100/$F$24+$I100/$F$25</f>
        <v>9.1481481481481488</v>
      </c>
      <c r="T100" s="97">
        <f t="shared" si="9"/>
        <v>7.1097094323124171E-10</v>
      </c>
      <c r="U100" s="91">
        <f>($C$7*$F$14*$F$8*$E100/$D100^2*T100*10^6)</f>
        <v>1.5799354294027593E-4</v>
      </c>
      <c r="V100" s="91">
        <f>IF($F100=0,0,1+($F100-$G$21)/$G$22)+$G100/$G$23+$H100/$G$24+$I100/$G$25</f>
        <v>6.9444444444444446</v>
      </c>
      <c r="W100" s="97">
        <f t="shared" si="10"/>
        <v>1.136463666385722E-7</v>
      </c>
      <c r="X100" s="76">
        <f>($C$7*$G$14*$G$8*$E100/$D100^2*W100*10^6)</f>
        <v>2.5254748141904933E-2</v>
      </c>
      <c r="Y100" s="324">
        <f>SUM(L100,O100,R100,U100,X100)</f>
        <v>0.46273676628592059</v>
      </c>
      <c r="Z100" s="325"/>
      <c r="AA100" s="350"/>
      <c r="AG100" s="328"/>
      <c r="AI100" s="328"/>
      <c r="AJ100" s="328"/>
      <c r="AK100" s="328"/>
      <c r="AL100" s="328"/>
      <c r="AP100" s="222"/>
      <c r="AQ100" s="211"/>
      <c r="AR100" s="222"/>
      <c r="AS100" s="222"/>
      <c r="AT100" s="225"/>
      <c r="AU100" s="225"/>
      <c r="AV100" s="225"/>
      <c r="AW100" s="225"/>
      <c r="AX100" s="225"/>
      <c r="AY100" s="300"/>
      <c r="AZ100" s="300"/>
    </row>
    <row r="101" spans="1:54" s="212" customFormat="1" ht="30" customHeight="1" thickBot="1" x14ac:dyDescent="0.3">
      <c r="A101" s="343" t="str">
        <f>Samenvatting!A233</f>
        <v>vrij</v>
      </c>
      <c r="B101" s="338" t="str">
        <f>Samenvatting!B233</f>
        <v>vrij te kiezen</v>
      </c>
      <c r="C101" s="331" t="s">
        <v>568</v>
      </c>
      <c r="D101" s="1859">
        <v>5</v>
      </c>
      <c r="E101" s="58"/>
      <c r="F101" s="1859">
        <v>250</v>
      </c>
      <c r="G101" s="1859">
        <v>0</v>
      </c>
      <c r="H101" s="1859">
        <v>0</v>
      </c>
      <c r="I101" s="1859">
        <v>0</v>
      </c>
      <c r="J101" s="91">
        <f>$F101/$C$27+$G101/$C$28+$H101/$C$29+$I101/$C$30</f>
        <v>7.3529411764705879</v>
      </c>
      <c r="K101" s="97">
        <f t="shared" si="6"/>
        <v>4.4366873309786093E-8</v>
      </c>
      <c r="L101" s="91">
        <f>($C$7*$C$15*$C$8*($C$9+$C$10*$C$11)/$D101^2*K101*10^6)</f>
        <v>1.0648049594348663E-3</v>
      </c>
      <c r="M101" s="91">
        <f>$F101/$D$27+$G101/$D$28+$H101/$D$29+$I101/$D$30</f>
        <v>6.5789473684210522</v>
      </c>
      <c r="N101" s="97">
        <f t="shared" si="7"/>
        <v>2.636650898730358E-7</v>
      </c>
      <c r="O101" s="91">
        <f>($C$7*$C$15*$D$8*($D$9+$D$10*$D$11)/$D101^2*N101*10^6)</f>
        <v>6.3279621569528599E-3</v>
      </c>
      <c r="P101" s="91">
        <f>$F101/$E$27+$G101/$E$28+$H101/$E$29+$I101/$E$30</f>
        <v>5.6818181818181817</v>
      </c>
      <c r="Q101" s="97">
        <f t="shared" si="8"/>
        <v>2.0805675382171676E-6</v>
      </c>
      <c r="R101" s="91">
        <f>($C$7*$C$15*$E$8*($E$9+$E$10*$E$11)/$D101^2*Q101*10^6)</f>
        <v>4.9933620917212027E-2</v>
      </c>
      <c r="S101" s="91">
        <f>$F101/$F$27+$G101/$F$28+$H101/$F$29+$I101/$F$30</f>
        <v>8.1967213114754092</v>
      </c>
      <c r="T101" s="97">
        <f t="shared" si="9"/>
        <v>6.3573875711648393E-9</v>
      </c>
      <c r="U101" s="91">
        <f>($C$7*$C$15*$F$8*($F$9+$F$10*$F$11)/$D101^2*T101*10^6)</f>
        <v>1.5257730170795616E-4</v>
      </c>
      <c r="V101" s="91">
        <f>$F101/$G$27+$G101/$G$28+$H101/$G$29+$I101/$G$30</f>
        <v>7.0224719101123592</v>
      </c>
      <c r="W101" s="97">
        <f t="shared" si="10"/>
        <v>9.4957241494880226E-8</v>
      </c>
      <c r="X101" s="76">
        <f>($C$7*$C$15*$G$8*($G$9+$G$10*$G$11)/$D101^2*W101*10^6)</f>
        <v>2.278973795877126E-3</v>
      </c>
      <c r="Y101" s="339">
        <f>SUM(L101,O101,R101,U101,X101)</f>
        <v>5.9757939131184837E-2</v>
      </c>
      <c r="Z101" s="363">
        <f>SUM(Y99:Y102)</f>
        <v>0.52249470541710541</v>
      </c>
      <c r="AA101" s="334">
        <f>Z101*52/10^3</f>
        <v>2.7169724681689482E-2</v>
      </c>
      <c r="AG101" s="328"/>
      <c r="AH101" s="328"/>
      <c r="AI101" s="328"/>
      <c r="AJ101" s="328"/>
      <c r="AK101" s="328"/>
      <c r="AL101" s="328"/>
      <c r="AP101" s="222"/>
      <c r="AQ101" s="211"/>
      <c r="AR101" s="222"/>
      <c r="AS101" s="222"/>
      <c r="AT101" s="225"/>
      <c r="AU101" s="225"/>
      <c r="AV101" s="225"/>
      <c r="AW101" s="225"/>
      <c r="AX101" s="225"/>
      <c r="AY101" s="300"/>
      <c r="AZ101" s="300"/>
    </row>
    <row r="102" spans="1:54" s="225" customFormat="1" ht="30" hidden="1" customHeight="1" x14ac:dyDescent="0.25">
      <c r="A102" s="211"/>
      <c r="B102" s="220"/>
      <c r="C102" s="310"/>
      <c r="D102" s="57"/>
      <c r="E102" s="57"/>
      <c r="F102" s="57"/>
      <c r="G102" s="57"/>
      <c r="H102" s="57"/>
      <c r="I102" s="57"/>
      <c r="J102" s="369"/>
      <c r="K102" s="328"/>
      <c r="L102" s="369"/>
      <c r="M102" s="369"/>
      <c r="N102" s="328"/>
      <c r="O102" s="369"/>
      <c r="P102" s="369"/>
      <c r="Q102" s="328"/>
      <c r="R102" s="369"/>
      <c r="S102" s="369"/>
      <c r="T102" s="328"/>
      <c r="U102" s="369"/>
      <c r="V102" s="369"/>
      <c r="W102" s="328"/>
      <c r="X102" s="369"/>
      <c r="Y102" s="369"/>
      <c r="Z102" s="233"/>
      <c r="AA102" s="233"/>
      <c r="AG102" s="328"/>
      <c r="AH102" s="328"/>
      <c r="AI102" s="328"/>
      <c r="AJ102" s="328"/>
      <c r="AK102" s="328"/>
      <c r="AL102" s="328"/>
      <c r="AP102" s="222"/>
      <c r="AQ102" s="211"/>
      <c r="AR102" s="222"/>
      <c r="AS102" s="222"/>
      <c r="AY102" s="300"/>
      <c r="AZ102" s="300"/>
    </row>
    <row r="103" spans="1:54" s="225" customFormat="1" ht="19.5" customHeight="1" thickBot="1" x14ac:dyDescent="0.3">
      <c r="A103" s="222"/>
      <c r="B103" s="222"/>
      <c r="C103" s="368"/>
      <c r="D103" s="57"/>
      <c r="E103" s="57"/>
      <c r="F103" s="57"/>
      <c r="G103" s="57"/>
      <c r="H103" s="57"/>
      <c r="I103" s="57"/>
      <c r="J103" s="369"/>
      <c r="K103" s="328"/>
      <c r="L103" s="369"/>
      <c r="M103" s="369"/>
      <c r="N103" s="328"/>
      <c r="O103" s="369"/>
      <c r="P103" s="369"/>
      <c r="Q103" s="328"/>
      <c r="R103" s="369"/>
      <c r="S103" s="369"/>
      <c r="T103" s="328"/>
      <c r="U103" s="369"/>
      <c r="V103" s="369"/>
      <c r="W103" s="328"/>
      <c r="X103" s="369"/>
      <c r="Y103" s="369"/>
      <c r="Z103" s="233"/>
      <c r="AA103" s="233"/>
      <c r="AG103" s="328"/>
      <c r="AH103" s="328"/>
      <c r="AI103" s="328"/>
      <c r="AJ103" s="328"/>
      <c r="AK103" s="328"/>
      <c r="AL103" s="328"/>
      <c r="AP103" s="222"/>
      <c r="AQ103" s="211"/>
      <c r="AR103" s="222"/>
      <c r="AS103" s="222"/>
      <c r="AY103" s="300"/>
      <c r="AZ103" s="300"/>
    </row>
    <row r="104" spans="1:54" ht="19.5" customHeight="1" x14ac:dyDescent="0.25">
      <c r="A104" s="373" t="s">
        <v>363</v>
      </c>
      <c r="B104" s="374"/>
      <c r="C104" s="375"/>
      <c r="D104" s="376"/>
      <c r="E104" s="377"/>
      <c r="F104" s="378"/>
      <c r="G104" s="379"/>
      <c r="H104" s="379"/>
      <c r="I104" s="379"/>
      <c r="J104" s="379"/>
      <c r="K104" s="379"/>
      <c r="L104" s="380"/>
      <c r="M104" s="380"/>
      <c r="N104" s="379"/>
      <c r="O104" s="379"/>
      <c r="P104" s="379"/>
      <c r="Q104" s="379"/>
      <c r="R104" s="379"/>
      <c r="S104" s="381"/>
      <c r="T104" s="379"/>
      <c r="U104" s="379"/>
      <c r="V104" s="379"/>
      <c r="W104" s="379"/>
      <c r="X104" s="379"/>
      <c r="Y104" s="379"/>
      <c r="Z104" s="379"/>
      <c r="AA104" s="216"/>
      <c r="AB104" s="297"/>
      <c r="AC104" s="216"/>
      <c r="AD104" s="216"/>
      <c r="AE104" s="216"/>
      <c r="AF104" s="216"/>
      <c r="AG104" s="382"/>
      <c r="AH104" s="382"/>
      <c r="AI104" s="382"/>
      <c r="AJ104" s="383"/>
      <c r="AK104" s="383"/>
      <c r="AL104" s="383"/>
      <c r="AM104" s="383"/>
      <c r="AN104" s="383"/>
      <c r="AO104" s="383"/>
      <c r="AP104" s="383"/>
      <c r="AQ104" s="383"/>
      <c r="AR104" s="382"/>
      <c r="AS104" s="382"/>
      <c r="AT104" s="382"/>
      <c r="AU104" s="382"/>
      <c r="AV104" s="186"/>
    </row>
    <row r="105" spans="1:54" ht="19.5" customHeight="1" thickBot="1" x14ac:dyDescent="0.3">
      <c r="A105" s="384"/>
      <c r="B105" s="385"/>
      <c r="C105" s="386"/>
      <c r="D105" s="387"/>
      <c r="E105" s="388"/>
      <c r="F105" s="388"/>
      <c r="G105" s="388"/>
      <c r="H105" s="288"/>
      <c r="I105" s="288"/>
      <c r="J105" s="288"/>
      <c r="K105" s="288"/>
      <c r="L105" s="299"/>
      <c r="M105" s="299"/>
      <c r="N105" s="288"/>
      <c r="O105" s="288"/>
      <c r="P105" s="288"/>
      <c r="Q105" s="288"/>
      <c r="R105" s="288"/>
      <c r="S105" s="289"/>
      <c r="T105" s="288"/>
      <c r="U105" s="288"/>
      <c r="V105" s="288"/>
      <c r="W105" s="288"/>
      <c r="X105" s="288"/>
      <c r="Y105" s="288"/>
      <c r="Z105" s="288"/>
      <c r="AA105" s="222"/>
      <c r="AB105" s="211"/>
      <c r="AC105" s="222"/>
      <c r="AD105" s="222"/>
      <c r="AE105" s="222"/>
      <c r="AF105" s="222"/>
      <c r="AG105" s="187"/>
      <c r="AH105" s="187"/>
      <c r="AI105" s="187"/>
      <c r="AJ105" s="282"/>
      <c r="AK105" s="282"/>
      <c r="AL105" s="282"/>
      <c r="AM105" s="282"/>
      <c r="AN105" s="282"/>
      <c r="AO105" s="282"/>
      <c r="AP105" s="282"/>
      <c r="AQ105" s="282"/>
      <c r="AR105" s="187"/>
      <c r="AS105" s="187"/>
      <c r="AT105" s="187"/>
      <c r="AU105" s="187"/>
      <c r="AV105" s="186"/>
    </row>
    <row r="106" spans="1:54" ht="19.5" customHeight="1" x14ac:dyDescent="0.25">
      <c r="A106" s="215" t="s">
        <v>247</v>
      </c>
      <c r="B106" s="389"/>
      <c r="C106" s="389"/>
      <c r="D106" s="389"/>
      <c r="E106" s="389"/>
      <c r="F106" s="389"/>
      <c r="G106" s="1845" t="s">
        <v>387</v>
      </c>
      <c r="H106" s="288"/>
      <c r="I106" s="288"/>
      <c r="J106" s="288"/>
      <c r="K106" s="288"/>
      <c r="L106" s="299"/>
      <c r="M106" s="299"/>
      <c r="N106" s="288"/>
      <c r="O106" s="288"/>
      <c r="P106" s="288"/>
      <c r="Q106" s="288"/>
      <c r="R106" s="288"/>
      <c r="S106" s="289"/>
      <c r="T106" s="288"/>
      <c r="U106" s="288"/>
      <c r="V106" s="288"/>
      <c r="W106" s="288"/>
      <c r="X106" s="288"/>
      <c r="Y106" s="288"/>
      <c r="Z106" s="288"/>
      <c r="AA106" s="222"/>
      <c r="AB106" s="211"/>
      <c r="AC106" s="222"/>
      <c r="AD106" s="222"/>
      <c r="AE106" s="222"/>
      <c r="AF106" s="222"/>
      <c r="AG106" s="187"/>
      <c r="AH106" s="187"/>
      <c r="AI106" s="187"/>
      <c r="AJ106" s="282"/>
      <c r="AK106" s="282"/>
      <c r="AL106" s="282"/>
      <c r="AM106" s="282"/>
      <c r="AN106" s="282"/>
      <c r="AO106" s="282"/>
      <c r="AP106" s="282"/>
      <c r="AQ106" s="282"/>
      <c r="AR106" s="187"/>
      <c r="AS106" s="187"/>
      <c r="AT106" s="187"/>
      <c r="AU106" s="187"/>
      <c r="AV106" s="186"/>
    </row>
    <row r="107" spans="1:54" ht="19.5" customHeight="1" thickBot="1" x14ac:dyDescent="0.3">
      <c r="A107" s="226" t="s">
        <v>246</v>
      </c>
      <c r="B107" s="390"/>
      <c r="C107" s="390"/>
      <c r="D107" s="390"/>
      <c r="E107" s="390"/>
      <c r="F107" s="390"/>
      <c r="G107" s="1846">
        <v>1</v>
      </c>
      <c r="H107" s="288"/>
      <c r="I107" s="288"/>
      <c r="J107" s="288"/>
      <c r="K107" s="288"/>
      <c r="L107" s="299"/>
      <c r="M107" s="299"/>
      <c r="N107" s="288"/>
      <c r="O107" s="288"/>
      <c r="P107" s="288"/>
      <c r="Q107" s="288"/>
      <c r="R107" s="288"/>
      <c r="S107" s="289"/>
      <c r="T107" s="288"/>
      <c r="U107" s="288"/>
      <c r="V107" s="288"/>
      <c r="W107" s="288"/>
      <c r="X107" s="288"/>
      <c r="Y107" s="288"/>
      <c r="Z107" s="288"/>
      <c r="AA107" s="222"/>
      <c r="AB107" s="211"/>
      <c r="AC107" s="222"/>
      <c r="AD107" s="222"/>
      <c r="AE107" s="222"/>
      <c r="AF107" s="222"/>
      <c r="AG107" s="187"/>
      <c r="AH107" s="187"/>
      <c r="AI107" s="187"/>
      <c r="AJ107" s="282"/>
      <c r="AK107" s="282"/>
      <c r="AL107" s="282"/>
      <c r="AM107" s="282"/>
      <c r="AN107" s="282"/>
      <c r="AO107" s="282"/>
      <c r="AP107" s="282"/>
      <c r="AQ107" s="282"/>
      <c r="AR107" s="187"/>
      <c r="AS107" s="187"/>
      <c r="AT107" s="187"/>
      <c r="AU107" s="187"/>
      <c r="AV107" s="186"/>
    </row>
    <row r="108" spans="1:54" ht="19.5" customHeight="1" thickBot="1" x14ac:dyDescent="0.3">
      <c r="A108" s="221"/>
      <c r="B108" s="225"/>
      <c r="C108" s="225"/>
      <c r="D108" s="225"/>
      <c r="E108" s="225"/>
      <c r="F108" s="225"/>
      <c r="G108" s="57"/>
      <c r="H108" s="288"/>
      <c r="I108" s="288"/>
      <c r="J108" s="288"/>
      <c r="K108" s="288"/>
      <c r="L108" s="225"/>
      <c r="M108" s="187"/>
      <c r="N108" s="187"/>
      <c r="O108" s="187"/>
      <c r="P108" s="187"/>
      <c r="Q108" s="187"/>
      <c r="R108" s="288"/>
      <c r="Y108" s="288"/>
      <c r="Z108" s="288"/>
      <c r="AA108" s="222"/>
      <c r="AB108" s="211"/>
      <c r="AC108" s="222"/>
      <c r="AD108" s="222"/>
      <c r="AE108" s="222"/>
      <c r="AF108" s="222"/>
      <c r="AG108" s="187"/>
      <c r="AH108" s="187"/>
      <c r="AI108" s="187"/>
      <c r="AJ108" s="282"/>
      <c r="AK108" s="282"/>
      <c r="AL108" s="282"/>
      <c r="AM108" s="282"/>
      <c r="AN108" s="282"/>
      <c r="AO108" s="282"/>
      <c r="AP108" s="282"/>
      <c r="AQ108" s="282"/>
      <c r="AR108" s="187"/>
      <c r="AS108" s="187"/>
      <c r="AT108" s="187"/>
      <c r="AU108" s="187"/>
      <c r="AV108" s="186"/>
    </row>
    <row r="109" spans="1:54" s="212" customFormat="1" ht="19.5" customHeight="1" thickBot="1" x14ac:dyDescent="0.3">
      <c r="A109" s="391" t="s">
        <v>243</v>
      </c>
      <c r="B109" s="392"/>
      <c r="C109" s="216"/>
      <c r="D109" s="216"/>
      <c r="E109" s="393"/>
      <c r="F109" s="216"/>
      <c r="G109" s="389"/>
      <c r="H109" s="216"/>
      <c r="I109" s="297"/>
      <c r="J109" s="394"/>
      <c r="K109" s="395"/>
      <c r="L109" s="396" t="s">
        <v>163</v>
      </c>
      <c r="M109" s="379"/>
      <c r="N109" s="379"/>
      <c r="O109" s="397"/>
      <c r="Q109" s="396" t="s">
        <v>581</v>
      </c>
      <c r="R109" s="398"/>
      <c r="S109" s="389"/>
      <c r="T109" s="389"/>
      <c r="U109" s="399"/>
      <c r="Y109" s="400"/>
      <c r="Z109" s="400"/>
      <c r="AA109" s="400"/>
      <c r="AB109" s="400"/>
      <c r="AC109" s="400"/>
      <c r="AD109" s="400"/>
      <c r="AE109" s="225"/>
      <c r="AF109" s="299"/>
      <c r="AG109" s="299"/>
      <c r="AH109" s="225"/>
      <c r="AI109" s="299"/>
      <c r="AJ109" s="299"/>
      <c r="AK109" s="225"/>
      <c r="AL109" s="299"/>
      <c r="AM109" s="299"/>
      <c r="AN109" s="225"/>
      <c r="AO109" s="299"/>
      <c r="AP109" s="299"/>
      <c r="AQ109" s="225"/>
      <c r="AR109" s="299"/>
      <c r="AS109" s="299"/>
      <c r="AT109" s="220"/>
      <c r="AU109" s="211"/>
      <c r="AV109" s="221"/>
      <c r="AW109" s="222"/>
      <c r="AX109" s="225"/>
      <c r="AY109" s="225"/>
      <c r="AZ109" s="225"/>
      <c r="BA109" s="225"/>
      <c r="BB109" s="225"/>
    </row>
    <row r="110" spans="1:54" s="212" customFormat="1" ht="19.5" customHeight="1" thickBot="1" x14ac:dyDescent="0.3">
      <c r="A110" s="401"/>
      <c r="B110" s="222"/>
      <c r="C110" s="225"/>
      <c r="D110" s="240"/>
      <c r="E110" s="402"/>
      <c r="F110" s="403" t="s">
        <v>55</v>
      </c>
      <c r="G110" s="211"/>
      <c r="H110" s="222"/>
      <c r="I110" s="211"/>
      <c r="J110" s="404"/>
      <c r="K110" s="395"/>
      <c r="L110" s="405" t="s">
        <v>577</v>
      </c>
      <c r="M110" s="406"/>
      <c r="N110" s="406"/>
      <c r="O110" s="407"/>
      <c r="Q110" s="408" t="s">
        <v>579</v>
      </c>
      <c r="R110" s="398"/>
      <c r="S110" s="389"/>
      <c r="T110" s="389"/>
      <c r="U110" s="399"/>
      <c r="Y110" s="400"/>
      <c r="Z110" s="400"/>
      <c r="AA110" s="400"/>
      <c r="AB110" s="400"/>
      <c r="AC110" s="400"/>
      <c r="AD110" s="400"/>
      <c r="AE110" s="225"/>
      <c r="AF110" s="299"/>
      <c r="AG110" s="299"/>
      <c r="AH110" s="225"/>
      <c r="AI110" s="299"/>
      <c r="AJ110" s="299"/>
      <c r="AK110" s="225"/>
      <c r="AL110" s="299"/>
      <c r="AM110" s="299"/>
      <c r="AN110" s="225"/>
      <c r="AO110" s="299"/>
      <c r="AP110" s="299"/>
      <c r="AQ110" s="225"/>
      <c r="AR110" s="299"/>
      <c r="AS110" s="299"/>
      <c r="AT110" s="220"/>
      <c r="AU110" s="211"/>
      <c r="AV110" s="221"/>
      <c r="AW110" s="222"/>
      <c r="AX110" s="225"/>
      <c r="AY110" s="225"/>
      <c r="AZ110" s="225"/>
      <c r="BA110" s="225"/>
      <c r="BB110" s="225"/>
    </row>
    <row r="111" spans="1:54" s="212" customFormat="1" ht="19.5" customHeight="1" thickBot="1" x14ac:dyDescent="0.3">
      <c r="A111" s="221"/>
      <c r="B111" s="308" t="s">
        <v>68</v>
      </c>
      <c r="C111" s="409" t="s">
        <v>81</v>
      </c>
      <c r="D111" s="410"/>
      <c r="E111" s="58">
        <v>0.5</v>
      </c>
      <c r="F111" s="411">
        <f>$C$4</f>
        <v>6</v>
      </c>
      <c r="G111" s="411">
        <f>$D$4</f>
        <v>10</v>
      </c>
      <c r="H111" s="411">
        <f>$E$4</f>
        <v>18</v>
      </c>
      <c r="I111" s="411" t="str">
        <f>$F$4</f>
        <v>6 FFF</v>
      </c>
      <c r="J111" s="412" t="str">
        <f>$G$4</f>
        <v>10 FFF</v>
      </c>
      <c r="K111" s="395"/>
      <c r="L111" s="413"/>
      <c r="M111" s="414" t="s">
        <v>38</v>
      </c>
      <c r="N111" s="415" t="s">
        <v>38</v>
      </c>
      <c r="O111" s="416" t="s">
        <v>156</v>
      </c>
      <c r="Q111" s="1847">
        <v>5.6999999999999999E-16</v>
      </c>
      <c r="R111" s="390"/>
      <c r="S111" s="390"/>
      <c r="T111" s="390"/>
      <c r="U111" s="417"/>
      <c r="Y111" s="400"/>
      <c r="Z111" s="400"/>
      <c r="AA111" s="400"/>
      <c r="AB111" s="400"/>
      <c r="AC111" s="400"/>
      <c r="AD111" s="400"/>
      <c r="AE111" s="225"/>
      <c r="AF111" s="299"/>
      <c r="AG111" s="299"/>
      <c r="AH111" s="225"/>
      <c r="AI111" s="299"/>
      <c r="AJ111" s="299"/>
      <c r="AK111" s="225"/>
      <c r="AL111" s="299"/>
      <c r="AM111" s="299"/>
      <c r="AN111" s="225"/>
      <c r="AO111" s="299"/>
      <c r="AP111" s="299"/>
      <c r="AQ111" s="225"/>
      <c r="AR111" s="299"/>
      <c r="AS111" s="299"/>
      <c r="AT111" s="220"/>
      <c r="AU111" s="211"/>
      <c r="AV111" s="221"/>
      <c r="AW111" s="222"/>
      <c r="AX111" s="225"/>
      <c r="AY111" s="225"/>
      <c r="AZ111" s="225"/>
      <c r="BA111" s="225"/>
      <c r="BB111" s="225"/>
    </row>
    <row r="112" spans="1:54" s="212" customFormat="1" ht="19.5" customHeight="1" thickBot="1" x14ac:dyDescent="0.3">
      <c r="A112" s="418" t="s">
        <v>293</v>
      </c>
      <c r="B112" s="419" t="s">
        <v>282</v>
      </c>
      <c r="C112" s="420">
        <f>IF($G$106="parallel",75,30)</f>
        <v>75</v>
      </c>
      <c r="D112" s="421"/>
      <c r="E112" s="422"/>
      <c r="F112" s="423">
        <f>IF($G$106="parallel",VLOOKUP($F$111,reflectiecoefficienten!$A$11:$F$20,2),VLOOKUP($F$111,reflectiecoefficienten!$A$28:$F$37,2))</f>
        <v>2.7000000000000001E-3</v>
      </c>
      <c r="G112" s="423">
        <f>IF($G$106="parallel",VLOOKUP($G$111,reflectiecoefficienten!$A$11:$F$20,2),VLOOKUP($G$111,reflectiecoefficienten!$A$28:$F$37,2))</f>
        <v>2.0999999999999999E-3</v>
      </c>
      <c r="H112" s="423">
        <f>IF($G$106="parallel",VLOOKUP($H$111,reflectiecoefficienten!$A$11:$F$20,2),VLOOKUP($H$111,reflectiecoefficienten!$A$28:$F$37,2))</f>
        <v>1.6000000000000001E-3</v>
      </c>
      <c r="I112" s="424">
        <f>IF($G$106="parallel",VLOOKUP($I$111,reflectiecoefficienten!$A$11:$F$20,2),VLOOKUP($I$111,reflectiecoefficienten!$A$28:$F$37,2))</f>
        <v>3.5000000000000001E-3</v>
      </c>
      <c r="J112" s="425">
        <f>IF($G$106="parallel",VLOOKUP($J$111,reflectiecoefficienten!$A$11:$F$20,2),VLOOKUP($J$111,reflectiecoefficienten!$A$28:$F$37,2))</f>
        <v>3.3E-3</v>
      </c>
      <c r="K112" s="395"/>
      <c r="L112" s="257"/>
      <c r="M112" s="312" t="s">
        <v>578</v>
      </c>
      <c r="N112" s="308" t="s">
        <v>33</v>
      </c>
      <c r="O112" s="309" t="s">
        <v>245</v>
      </c>
      <c r="Q112" s="426" t="s">
        <v>580</v>
      </c>
      <c r="R112" s="400"/>
      <c r="S112" s="225"/>
      <c r="T112" s="225"/>
      <c r="U112" s="427"/>
      <c r="Y112" s="400"/>
      <c r="Z112" s="400"/>
      <c r="AA112" s="400"/>
      <c r="AB112" s="400"/>
      <c r="AC112" s="400"/>
      <c r="AD112" s="400"/>
      <c r="AE112" s="225"/>
      <c r="AF112" s="299"/>
      <c r="AG112" s="299"/>
      <c r="AH112" s="225"/>
      <c r="AI112" s="299"/>
      <c r="AJ112" s="299"/>
      <c r="AK112" s="225"/>
      <c r="AL112" s="299"/>
      <c r="AM112" s="299"/>
      <c r="AN112" s="225"/>
      <c r="AO112" s="299"/>
      <c r="AP112" s="299"/>
      <c r="AQ112" s="225"/>
      <c r="AR112" s="299"/>
      <c r="AS112" s="299"/>
      <c r="AT112" s="220"/>
      <c r="AU112" s="211"/>
      <c r="AV112" s="221"/>
      <c r="AW112" s="222"/>
      <c r="AX112" s="225"/>
      <c r="AY112" s="225"/>
      <c r="AZ112" s="225"/>
      <c r="BA112" s="225"/>
      <c r="BB112" s="225"/>
    </row>
    <row r="113" spans="1:54" s="212" customFormat="1" ht="19.5" customHeight="1" thickBot="1" x14ac:dyDescent="0.3">
      <c r="A113" s="428" t="s">
        <v>294</v>
      </c>
      <c r="B113" s="179" t="s">
        <v>282</v>
      </c>
      <c r="C113" s="308">
        <v>75</v>
      </c>
      <c r="D113" s="421"/>
      <c r="E113" s="429"/>
      <c r="F113" s="423">
        <f>IF($G$106="parallel",VLOOKUP($F$111,reflectiecoefficienten!$A$11:$F$20,3),VLOOKUP($F$111,reflectiecoefficienten!$A$28:$F$37,3))</f>
        <v>2.7000000000000001E-3</v>
      </c>
      <c r="G113" s="423">
        <f>IF($G$106="parallel",VLOOKUP($G$111,reflectiecoefficienten!$A$11:$F$20,3),VLOOKUP($G$111,reflectiecoefficienten!$A$28:$F$37,3))</f>
        <v>2.0999999999999999E-3</v>
      </c>
      <c r="H113" s="423">
        <f>IF($G$106="parallel",VLOOKUP($H$111,reflectiecoefficienten!$A$11:$F$20,3),VLOOKUP($H$111,reflectiecoefficienten!$A$28:$F$37,3))</f>
        <v>1.6000000000000001E-3</v>
      </c>
      <c r="I113" s="424">
        <f>IF($G$106="parallel",VLOOKUP($I$111,reflectiecoefficienten!$A$11:$F$20,3),VLOOKUP($I$111,reflectiecoefficienten!$A$28:$F$37,3))</f>
        <v>3.5000000000000001E-3</v>
      </c>
      <c r="J113" s="425">
        <f>IF($G$106="parallel",VLOOKUP($J$111,reflectiecoefficienten!$A$11:$F$20,3),VLOOKUP($J$111,reflectiecoefficienten!$A$28:$F$37,3))</f>
        <v>3.3E-3</v>
      </c>
      <c r="K113" s="395"/>
      <c r="L113" s="307" t="s">
        <v>55</v>
      </c>
      <c r="M113" s="430">
        <v>0.5</v>
      </c>
      <c r="N113" s="415">
        <v>0.1</v>
      </c>
      <c r="O113" s="416">
        <v>3.6</v>
      </c>
      <c r="Q113" s="1848">
        <v>6.2</v>
      </c>
      <c r="R113" s="431"/>
      <c r="S113" s="390"/>
      <c r="T113" s="390"/>
      <c r="U113" s="417"/>
      <c r="Y113" s="400"/>
      <c r="Z113" s="400"/>
      <c r="AA113" s="400"/>
      <c r="AB113" s="400"/>
      <c r="AC113" s="400"/>
      <c r="AD113" s="400"/>
      <c r="AE113" s="225"/>
      <c r="AF113" s="299"/>
      <c r="AG113" s="299"/>
      <c r="AH113" s="225"/>
      <c r="AI113" s="299"/>
      <c r="AJ113" s="299"/>
      <c r="AK113" s="225"/>
      <c r="AL113" s="299"/>
      <c r="AM113" s="299"/>
      <c r="AN113" s="225"/>
      <c r="AO113" s="299"/>
      <c r="AP113" s="299"/>
      <c r="AQ113" s="225"/>
      <c r="AR113" s="299"/>
      <c r="AS113" s="299"/>
      <c r="AT113" s="220"/>
      <c r="AU113" s="211"/>
      <c r="AV113" s="221"/>
      <c r="AW113" s="222"/>
      <c r="AX113" s="225"/>
      <c r="AY113" s="225"/>
      <c r="AZ113" s="225"/>
      <c r="BA113" s="225"/>
      <c r="BB113" s="225"/>
    </row>
    <row r="114" spans="1:54" s="212" customFormat="1" ht="19.5" customHeight="1" x14ac:dyDescent="0.25">
      <c r="A114" s="428" t="s">
        <v>295</v>
      </c>
      <c r="B114" s="308" t="str">
        <f>IF($G$106="parallel","loodrecht",45)</f>
        <v>loodrecht</v>
      </c>
      <c r="C114" s="308">
        <f>IF($G$106="parallel",75,0)</f>
        <v>75</v>
      </c>
      <c r="D114" s="421"/>
      <c r="E114" s="432">
        <f>IF($G$106="parallel",VLOOKUP($E$111,reflectiecoefficienten!$A$11:$F$20,4),VLOOKUP($E$111,reflectiecoefficienten!$A$28:$F$37,4))</f>
        <v>8.0000000000000002E-3</v>
      </c>
      <c r="F114" s="433"/>
      <c r="G114" s="423"/>
      <c r="H114" s="423"/>
      <c r="I114" s="424"/>
      <c r="J114" s="425"/>
      <c r="K114" s="395"/>
      <c r="L114" s="434" t="s">
        <v>3</v>
      </c>
      <c r="M114" s="263">
        <f>VLOOKUP($M$113,'TVT''s afscherming'!$A$10:$J$23,5)</f>
        <v>5.5</v>
      </c>
      <c r="N114" s="435">
        <f>VLOOKUP($N$113,'TVT''s afscherming'!$A$45:$J$45,3)</f>
        <v>37</v>
      </c>
      <c r="O114" s="436">
        <f>VLOOKUP($O$113,'TVT''s afscherming'!$A$47:$J$47,3)</f>
        <v>13.5</v>
      </c>
      <c r="R114" s="400"/>
      <c r="Y114" s="400"/>
      <c r="Z114" s="400"/>
      <c r="AA114" s="400"/>
      <c r="AB114" s="400"/>
      <c r="AC114" s="400"/>
      <c r="AD114" s="400"/>
      <c r="AE114" s="225"/>
      <c r="AF114" s="299"/>
      <c r="AG114" s="299"/>
      <c r="AH114" s="225"/>
      <c r="AI114" s="299"/>
      <c r="AJ114" s="299"/>
      <c r="AK114" s="225"/>
      <c r="AL114" s="299"/>
      <c r="AM114" s="299"/>
      <c r="AN114" s="225"/>
      <c r="AO114" s="299"/>
      <c r="AP114" s="299"/>
      <c r="AQ114" s="225"/>
      <c r="AR114" s="299"/>
      <c r="AS114" s="299"/>
      <c r="AT114" s="220"/>
      <c r="AU114" s="211"/>
      <c r="AV114" s="221"/>
      <c r="AW114" s="222"/>
      <c r="AX114" s="225"/>
      <c r="AY114" s="225"/>
      <c r="AZ114" s="225"/>
      <c r="BA114" s="225"/>
      <c r="BB114" s="225"/>
    </row>
    <row r="115" spans="1:54" s="212" customFormat="1" ht="19.5" customHeight="1" x14ac:dyDescent="0.25">
      <c r="A115" s="428" t="s">
        <v>296</v>
      </c>
      <c r="B115" s="308">
        <v>45</v>
      </c>
      <c r="C115" s="308">
        <v>0</v>
      </c>
      <c r="D115" s="421"/>
      <c r="E115" s="432">
        <f>IF($G$106="parallel",VLOOKUP($E$111,reflectiecoefficienten!$A$11:$F$20,5),VLOOKUP($E$111,reflectiecoefficienten!$A$28:$F$37,5))</f>
        <v>2.1999999999999999E-2</v>
      </c>
      <c r="F115" s="423">
        <f>IF($G$106="parallel",VLOOKUP($F$111,reflectiecoefficienten!$A$11:$F$20,5),VLOOKUP($F$111,reflectiecoefficienten!$A$28:$F$37,5))</f>
        <v>6.4000000000000003E-3</v>
      </c>
      <c r="G115" s="423">
        <f>IF($G$106="parallel",VLOOKUP($G$111,reflectiecoefficienten!$A$11:$F$20,5),VLOOKUP($G$111,reflectiecoefficienten!$A$28:$F$37,5))</f>
        <v>5.1000000000000004E-3</v>
      </c>
      <c r="H115" s="423">
        <f>IF($G$106="parallel",VLOOKUP($H$111,reflectiecoefficienten!$A$11:$F$20,5),VLOOKUP($H$111,reflectiecoefficienten!$A$28:$F$37,5))</f>
        <v>4.4999999999999997E-3</v>
      </c>
      <c r="I115" s="424">
        <f>IF($G$106="parallel",VLOOKUP($I$111,reflectiecoefficienten!$A$11:$F$20,5),VLOOKUP($I$111,reflectiecoefficienten!$A$28:$F$37,5))</f>
        <v>8.3000000000000001E-3</v>
      </c>
      <c r="J115" s="425">
        <f>IF($G$106="parallel",VLOOKUP($J$111,reflectiecoefficienten!$A$11:$F$20,5),VLOOKUP($J$111,reflectiecoefficienten!$A$28:$F$37,5))</f>
        <v>7.3000000000000001E-3</v>
      </c>
      <c r="K115" s="395"/>
      <c r="L115" s="307" t="s">
        <v>22</v>
      </c>
      <c r="M115" s="263">
        <f>VLOOKUP($M$113,'TVT''s afscherming'!$A$10:$J$23,6)</f>
        <v>1.6</v>
      </c>
      <c r="N115" s="258">
        <f>VLOOKUP($N$113,'TVT''s afscherming'!$A$45:$J$45,4)</f>
        <v>37</v>
      </c>
      <c r="O115" s="721">
        <f>IF(M134&gt;5,'TVT''s afscherming'!$D$48,'TVT''s afscherming'!$D$47)</f>
        <v>0.6</v>
      </c>
      <c r="R115" s="400"/>
      <c r="Y115" s="400"/>
      <c r="Z115" s="400"/>
      <c r="AA115" s="400"/>
      <c r="AB115" s="400"/>
      <c r="AC115" s="400"/>
      <c r="AD115" s="400"/>
      <c r="AE115" s="225"/>
      <c r="AF115" s="299"/>
      <c r="AG115" s="299"/>
      <c r="AH115" s="225"/>
      <c r="AI115" s="299"/>
      <c r="AJ115" s="299"/>
      <c r="AK115" s="225"/>
      <c r="AL115" s="299"/>
      <c r="AM115" s="299"/>
      <c r="AN115" s="225"/>
      <c r="AO115" s="299"/>
      <c r="AP115" s="299"/>
      <c r="AQ115" s="225"/>
      <c r="AR115" s="299"/>
      <c r="AS115" s="299"/>
      <c r="AT115" s="220"/>
      <c r="AU115" s="211"/>
      <c r="AV115" s="221"/>
      <c r="AW115" s="222"/>
      <c r="AX115" s="225"/>
      <c r="AY115" s="225"/>
      <c r="AZ115" s="225"/>
      <c r="BA115" s="225"/>
      <c r="BB115" s="225"/>
    </row>
    <row r="116" spans="1:54" s="212" customFormat="1" ht="19.5" customHeight="1" thickBot="1" x14ac:dyDescent="0.3">
      <c r="A116" s="428" t="s">
        <v>297</v>
      </c>
      <c r="B116" s="179" t="s">
        <v>282</v>
      </c>
      <c r="C116" s="308">
        <v>75</v>
      </c>
      <c r="D116" s="222"/>
      <c r="E116" s="424">
        <f>IF(G107=1,1,(IF($G$106="parallel",VLOOKUP($E$111,reflectiecoefficienten!$A$11:$F$20,6),VLOOKUP($E$111,reflectiecoefficienten!$A$28:$F$37,6))))</f>
        <v>1</v>
      </c>
      <c r="F116" s="429"/>
      <c r="G116" s="423"/>
      <c r="H116" s="424"/>
      <c r="I116" s="424"/>
      <c r="J116" s="425"/>
      <c r="K116" s="395"/>
      <c r="L116" s="438" t="s">
        <v>39</v>
      </c>
      <c r="M116" s="439"/>
      <c r="N116" s="276">
        <f>VLOOKUP($N$113,'TVT''s afscherming'!$A$45:$J$45,5)</f>
        <v>4.5</v>
      </c>
      <c r="O116" s="440"/>
      <c r="R116" s="400"/>
      <c r="Y116" s="400"/>
      <c r="Z116" s="400"/>
      <c r="AA116" s="400"/>
      <c r="AB116" s="400"/>
      <c r="AC116" s="400"/>
      <c r="AD116" s="400"/>
      <c r="AE116" s="225"/>
      <c r="AF116" s="299"/>
      <c r="AG116" s="299"/>
      <c r="AH116" s="225"/>
      <c r="AI116" s="299"/>
      <c r="AJ116" s="299"/>
      <c r="AK116" s="225"/>
      <c r="AL116" s="299"/>
      <c r="AM116" s="299"/>
      <c r="AN116" s="225"/>
      <c r="AO116" s="299"/>
      <c r="AP116" s="299"/>
      <c r="AQ116" s="225"/>
      <c r="AR116" s="299"/>
      <c r="AS116" s="299"/>
      <c r="AT116" s="220"/>
      <c r="AU116" s="211"/>
      <c r="AV116" s="221"/>
      <c r="AW116" s="222"/>
      <c r="AX116" s="225"/>
      <c r="AY116" s="225"/>
      <c r="AZ116" s="225"/>
      <c r="BA116" s="225"/>
      <c r="BB116" s="225"/>
    </row>
    <row r="117" spans="1:54" s="212" customFormat="1" ht="19.5" customHeight="1" thickBot="1" x14ac:dyDescent="0.3">
      <c r="A117" s="441"/>
      <c r="B117" s="442"/>
      <c r="C117" s="443"/>
      <c r="D117" s="444"/>
      <c r="E117" s="445"/>
      <c r="F117" s="446"/>
      <c r="G117" s="445"/>
      <c r="H117" s="445"/>
      <c r="I117" s="445"/>
      <c r="J117" s="445"/>
      <c r="K117" s="395"/>
      <c r="R117" s="400"/>
      <c r="Y117" s="400"/>
      <c r="Z117" s="400"/>
      <c r="AA117" s="400"/>
      <c r="AB117" s="400"/>
      <c r="AC117" s="400"/>
      <c r="AD117" s="400"/>
      <c r="AE117" s="225"/>
      <c r="AF117" s="299"/>
      <c r="AG117" s="299"/>
      <c r="AH117" s="225"/>
      <c r="AI117" s="299"/>
      <c r="AJ117" s="299"/>
      <c r="AK117" s="225"/>
      <c r="AL117" s="299"/>
      <c r="AM117" s="299"/>
      <c r="AN117" s="225"/>
      <c r="AO117" s="299"/>
      <c r="AP117" s="299"/>
      <c r="AQ117" s="225"/>
      <c r="AR117" s="299"/>
      <c r="AS117" s="299"/>
      <c r="AT117" s="220"/>
      <c r="AU117" s="211"/>
      <c r="AV117" s="221"/>
      <c r="AW117" s="222"/>
      <c r="AX117" s="225"/>
      <c r="AY117" s="225"/>
      <c r="AZ117" s="225"/>
      <c r="BA117" s="225"/>
      <c r="BB117" s="225"/>
    </row>
    <row r="118" spans="1:54" s="212" customFormat="1" ht="19.5" customHeight="1" x14ac:dyDescent="0.25">
      <c r="A118" s="447" t="s">
        <v>280</v>
      </c>
      <c r="B118" s="272"/>
      <c r="C118" s="222"/>
      <c r="D118" s="222"/>
      <c r="E118" s="310"/>
      <c r="F118" s="448" t="s">
        <v>55</v>
      </c>
      <c r="J118" s="449"/>
      <c r="K118" s="395"/>
      <c r="R118" s="400"/>
      <c r="S118" s="400"/>
      <c r="T118" s="400"/>
      <c r="U118" s="400"/>
      <c r="V118" s="400"/>
      <c r="W118" s="400"/>
      <c r="X118" s="400"/>
      <c r="Y118" s="400"/>
      <c r="Z118" s="400"/>
      <c r="AA118" s="400"/>
      <c r="AB118" s="400"/>
      <c r="AC118" s="400"/>
      <c r="AD118" s="400"/>
      <c r="AE118" s="225"/>
      <c r="AF118" s="299"/>
      <c r="AG118" s="299"/>
      <c r="AH118" s="225"/>
      <c r="AI118" s="299"/>
      <c r="AJ118" s="299"/>
      <c r="AK118" s="225"/>
      <c r="AL118" s="299"/>
      <c r="AM118" s="299"/>
      <c r="AN118" s="225"/>
      <c r="AO118" s="299"/>
      <c r="AP118" s="299"/>
      <c r="AQ118" s="225"/>
      <c r="AR118" s="299"/>
      <c r="AS118" s="299"/>
      <c r="AT118" s="220"/>
      <c r="AU118" s="211"/>
      <c r="AV118" s="221"/>
      <c r="AW118" s="222"/>
      <c r="AX118" s="225"/>
      <c r="AY118" s="225"/>
      <c r="AZ118" s="225"/>
      <c r="BA118" s="225"/>
      <c r="BB118" s="225"/>
    </row>
    <row r="119" spans="1:54" s="212" customFormat="1" ht="19.5" customHeight="1" x14ac:dyDescent="0.25">
      <c r="A119" s="221" t="s">
        <v>291</v>
      </c>
      <c r="B119" s="220"/>
      <c r="C119" s="450" t="s">
        <v>289</v>
      </c>
      <c r="D119" s="266"/>
      <c r="E119" s="451"/>
      <c r="F119" s="411">
        <f>$C$4</f>
        <v>6</v>
      </c>
      <c r="G119" s="269">
        <f>$D$4</f>
        <v>10</v>
      </c>
      <c r="H119" s="269">
        <f>$E$4</f>
        <v>18</v>
      </c>
      <c r="I119" s="411" t="str">
        <f>$F$4</f>
        <v>6 FFF</v>
      </c>
      <c r="J119" s="412" t="str">
        <f>$G$4</f>
        <v>10 FFF</v>
      </c>
      <c r="K119" s="395"/>
      <c r="L119" s="211"/>
      <c r="M119" s="452"/>
      <c r="N119" s="453"/>
      <c r="O119" s="453"/>
      <c r="P119" s="453"/>
      <c r="Q119" s="453"/>
      <c r="R119" s="400"/>
      <c r="S119" s="400"/>
      <c r="T119" s="400"/>
      <c r="U119" s="400"/>
      <c r="V119" s="400"/>
      <c r="W119" s="400"/>
      <c r="X119" s="400"/>
      <c r="Y119" s="400"/>
      <c r="Z119" s="400"/>
      <c r="AA119" s="400"/>
      <c r="AB119" s="400"/>
      <c r="AC119" s="400"/>
      <c r="AD119" s="400"/>
      <c r="AE119" s="225"/>
      <c r="AF119" s="299"/>
      <c r="AG119" s="299"/>
      <c r="AH119" s="225"/>
      <c r="AI119" s="299"/>
      <c r="AJ119" s="299"/>
      <c r="AK119" s="225"/>
      <c r="AL119" s="299"/>
      <c r="AM119" s="299"/>
      <c r="AN119" s="225"/>
      <c r="AO119" s="299"/>
      <c r="AP119" s="299"/>
      <c r="AQ119" s="225"/>
      <c r="AR119" s="299"/>
      <c r="AS119" s="299"/>
      <c r="AT119" s="220"/>
      <c r="AU119" s="211"/>
      <c r="AV119" s="221"/>
      <c r="AW119" s="222"/>
      <c r="AX119" s="225"/>
      <c r="AY119" s="225"/>
      <c r="AZ119" s="225"/>
      <c r="BA119" s="225"/>
      <c r="BB119" s="225"/>
    </row>
    <row r="120" spans="1:54" s="212" customFormat="1" ht="19.5" customHeight="1" x14ac:dyDescent="0.25">
      <c r="A120" s="454" t="s">
        <v>281</v>
      </c>
      <c r="B120" s="455"/>
      <c r="C120" s="456" t="s">
        <v>287</v>
      </c>
      <c r="D120" s="457"/>
      <c r="E120" s="458"/>
      <c r="F120" s="423">
        <f>VLOOKUP($F$119,patientscatterfactoren!$A$18:$I$29,5)</f>
        <v>1.39E-3</v>
      </c>
      <c r="G120" s="423">
        <f>VLOOKUP($G$119,patientscatterfactoren!$A$18:$I$29,5)</f>
        <v>1.3500000000000001E-3</v>
      </c>
      <c r="H120" s="423">
        <f>VLOOKUP($H$119,patientscatterfactoren!$A$18:$I$29,5)</f>
        <v>8.6399999999999997E-4</v>
      </c>
      <c r="I120" s="423">
        <f>VLOOKUP($I$119,patientscatterfactoren!$A$18:$I$29,5)</f>
        <v>1.2999999999999999E-3</v>
      </c>
      <c r="J120" s="425">
        <f>VLOOKUP($J$119,patientscatterfactoren!$A$18:$I$29,5)</f>
        <v>1.1999999999999999E-3</v>
      </c>
      <c r="K120" s="395"/>
      <c r="L120" s="211"/>
      <c r="M120" s="453"/>
      <c r="N120" s="453"/>
      <c r="O120" s="453"/>
      <c r="P120" s="453"/>
      <c r="Q120" s="453"/>
      <c r="R120" s="400"/>
      <c r="S120" s="400"/>
      <c r="T120" s="400"/>
      <c r="U120" s="400"/>
      <c r="V120" s="400"/>
      <c r="W120" s="400"/>
      <c r="X120" s="400"/>
      <c r="Y120" s="400"/>
      <c r="Z120" s="400"/>
      <c r="AA120" s="400"/>
      <c r="AB120" s="400"/>
      <c r="AC120" s="400"/>
      <c r="AD120" s="400"/>
      <c r="AE120" s="225"/>
      <c r="AF120" s="299"/>
      <c r="AG120" s="299"/>
      <c r="AH120" s="225"/>
      <c r="AI120" s="299"/>
      <c r="AJ120" s="299"/>
      <c r="AK120" s="225"/>
      <c r="AL120" s="299"/>
      <c r="AM120" s="299"/>
      <c r="AN120" s="225"/>
      <c r="AO120" s="299"/>
      <c r="AP120" s="299"/>
      <c r="AQ120" s="225"/>
      <c r="AR120" s="299"/>
      <c r="AS120" s="299"/>
      <c r="AT120" s="220"/>
      <c r="AU120" s="211"/>
      <c r="AV120" s="221"/>
      <c r="AW120" s="222"/>
      <c r="AX120" s="225"/>
      <c r="AY120" s="225"/>
      <c r="AZ120" s="225"/>
      <c r="BA120" s="225"/>
      <c r="BB120" s="225"/>
    </row>
    <row r="121" spans="1:54" s="212" customFormat="1" ht="19.5" customHeight="1" x14ac:dyDescent="0.25">
      <c r="A121" s="459" t="s">
        <v>284</v>
      </c>
      <c r="B121" s="272"/>
      <c r="C121" s="460" t="s">
        <v>285</v>
      </c>
      <c r="D121" s="222"/>
      <c r="E121" s="461"/>
      <c r="F121" s="423">
        <f>VLOOKUP($F$119,patientscatterfactoren!$A$18:$I$29,7)</f>
        <v>4.26E-4</v>
      </c>
      <c r="G121" s="423">
        <f>VLOOKUP($G$119,patientscatterfactoren!$A$18:$I$29,7)</f>
        <v>3.8099999999999999E-4</v>
      </c>
      <c r="H121" s="423">
        <f>VLOOKUP($H$119,patientscatterfactoren!$A$18:$I$29,7)</f>
        <v>1.8900000000000001E-4</v>
      </c>
      <c r="I121" s="423">
        <f>VLOOKUP($I$119,patientscatterfactoren!$A$18:$I$29,7)</f>
        <v>4.46E-4</v>
      </c>
      <c r="J121" s="425">
        <f>VLOOKUP($J$119,patientscatterfactoren!$A$18:$I$29,7)</f>
        <v>4.0299999999999998E-4</v>
      </c>
      <c r="K121" s="395"/>
      <c r="L121" s="211"/>
      <c r="M121" s="453"/>
      <c r="N121" s="453"/>
      <c r="O121" s="453"/>
      <c r="P121" s="453"/>
      <c r="Q121" s="453"/>
      <c r="R121" s="400"/>
      <c r="S121" s="400"/>
      <c r="T121" s="400"/>
      <c r="U121" s="400"/>
      <c r="V121" s="400"/>
      <c r="W121" s="400"/>
      <c r="X121" s="400"/>
      <c r="Y121" s="400"/>
      <c r="Z121" s="400"/>
      <c r="AA121" s="400"/>
      <c r="AB121" s="400"/>
      <c r="AC121" s="400"/>
      <c r="AD121" s="400"/>
      <c r="AE121" s="225"/>
      <c r="AF121" s="299"/>
      <c r="AG121" s="299"/>
      <c r="AH121" s="225"/>
      <c r="AI121" s="299"/>
      <c r="AJ121" s="299"/>
      <c r="AK121" s="225"/>
      <c r="AL121" s="299"/>
      <c r="AM121" s="299"/>
      <c r="AN121" s="225"/>
      <c r="AO121" s="299"/>
      <c r="AP121" s="299"/>
      <c r="AQ121" s="225"/>
      <c r="AR121" s="299"/>
      <c r="AS121" s="299"/>
      <c r="AT121" s="220"/>
      <c r="AU121" s="211"/>
      <c r="AV121" s="221"/>
      <c r="AW121" s="222"/>
      <c r="AX121" s="225"/>
      <c r="AY121" s="225"/>
      <c r="AZ121" s="225"/>
      <c r="BA121" s="225"/>
      <c r="BB121" s="225"/>
    </row>
    <row r="122" spans="1:54" s="212" customFormat="1" ht="19.5" customHeight="1" thickBot="1" x14ac:dyDescent="0.3">
      <c r="A122" s="459" t="s">
        <v>286</v>
      </c>
      <c r="B122" s="272"/>
      <c r="C122" s="460" t="s">
        <v>288</v>
      </c>
      <c r="D122" s="222"/>
      <c r="E122" s="462"/>
      <c r="F122" s="423">
        <f>VLOOKUP($F$119,patientscatterfactoren!$A$18:$I$29,8)</f>
        <v>2.9999999999999997E-4</v>
      </c>
      <c r="G122" s="423">
        <f>VLOOKUP($G$119,patientscatterfactoren!$A$18:$I$29,8)</f>
        <v>3.0200000000000002E-4</v>
      </c>
      <c r="H122" s="463">
        <f>VLOOKUP($H$119,patientscatterfactoren!$A$18:$I$29,8)</f>
        <v>1.2400000000000001E-4</v>
      </c>
      <c r="I122" s="463">
        <f>VLOOKUP($I$119,patientscatterfactoren!$A$18:$I$29,8)</f>
        <v>3.4200000000000002E-4</v>
      </c>
      <c r="J122" s="464">
        <f>VLOOKUP($J$119,patientscatterfactoren!$A$18:$I$29,8)</f>
        <v>3.8200000000000002E-4</v>
      </c>
      <c r="K122" s="395"/>
      <c r="L122" s="211"/>
      <c r="M122" s="453"/>
      <c r="N122" s="453"/>
      <c r="O122" s="453"/>
      <c r="P122" s="453"/>
      <c r="Q122" s="453"/>
      <c r="R122" s="400"/>
      <c r="S122" s="400"/>
      <c r="T122" s="400"/>
      <c r="U122" s="400"/>
      <c r="V122" s="400"/>
      <c r="W122" s="400"/>
      <c r="X122" s="400"/>
      <c r="Y122" s="400"/>
      <c r="Z122" s="400"/>
      <c r="AA122" s="400"/>
      <c r="AB122" s="400"/>
      <c r="AC122" s="400"/>
      <c r="AD122" s="400"/>
      <c r="AE122" s="225"/>
      <c r="AF122" s="299"/>
      <c r="AG122" s="299"/>
      <c r="AH122" s="225"/>
      <c r="AI122" s="299"/>
      <c r="AJ122" s="299"/>
      <c r="AK122" s="225"/>
      <c r="AL122" s="299"/>
      <c r="AM122" s="299"/>
      <c r="AN122" s="225"/>
      <c r="AO122" s="299"/>
      <c r="AP122" s="299"/>
      <c r="AQ122" s="225"/>
      <c r="AR122" s="299"/>
      <c r="AS122" s="299"/>
      <c r="AT122" s="220"/>
      <c r="AU122" s="211"/>
      <c r="AV122" s="221"/>
      <c r="AW122" s="222"/>
      <c r="AX122" s="225"/>
      <c r="AY122" s="225"/>
      <c r="AZ122" s="225"/>
      <c r="BA122" s="225"/>
      <c r="BB122" s="225"/>
    </row>
    <row r="123" spans="1:54" s="212" customFormat="1" ht="19.5" customHeight="1" thickBot="1" x14ac:dyDescent="0.3">
      <c r="A123" s="465"/>
      <c r="B123" s="466"/>
      <c r="C123" s="466"/>
      <c r="D123" s="444"/>
      <c r="E123" s="445"/>
      <c r="F123" s="445"/>
      <c r="G123" s="445"/>
      <c r="H123" s="467"/>
      <c r="I123" s="467"/>
      <c r="J123" s="467"/>
      <c r="K123" s="395"/>
      <c r="L123" s="395"/>
      <c r="M123" s="400"/>
      <c r="N123" s="400"/>
      <c r="O123" s="400"/>
      <c r="P123" s="400"/>
      <c r="Q123" s="400"/>
      <c r="R123" s="400"/>
      <c r="S123" s="400"/>
      <c r="T123" s="400"/>
      <c r="U123" s="400"/>
      <c r="V123" s="400"/>
      <c r="W123" s="400"/>
      <c r="X123" s="400"/>
      <c r="Y123" s="400"/>
      <c r="Z123" s="400"/>
      <c r="AA123" s="400"/>
      <c r="AB123" s="400"/>
      <c r="AC123" s="400"/>
      <c r="AD123" s="400"/>
      <c r="AE123" s="225"/>
      <c r="AF123" s="299"/>
      <c r="AG123" s="299"/>
      <c r="AH123" s="225"/>
      <c r="AI123" s="299"/>
      <c r="AJ123" s="299"/>
      <c r="AK123" s="225"/>
      <c r="AL123" s="299"/>
      <c r="AM123" s="299"/>
      <c r="AN123" s="225"/>
      <c r="AO123" s="299"/>
      <c r="AP123" s="299"/>
      <c r="AQ123" s="225"/>
      <c r="AR123" s="299"/>
      <c r="AS123" s="299"/>
      <c r="AT123" s="220"/>
      <c r="AU123" s="211"/>
      <c r="AV123" s="221"/>
      <c r="AW123" s="222"/>
      <c r="AX123" s="225"/>
      <c r="AY123" s="225"/>
      <c r="AZ123" s="225"/>
      <c r="BA123" s="225"/>
      <c r="BB123" s="225"/>
    </row>
    <row r="124" spans="1:54" s="212" customFormat="1" ht="19.5" customHeight="1" x14ac:dyDescent="0.25">
      <c r="A124" s="428" t="s">
        <v>244</v>
      </c>
      <c r="B124" s="225"/>
      <c r="C124" s="225"/>
      <c r="D124" s="211"/>
      <c r="E124" s="211"/>
      <c r="F124" s="225"/>
      <c r="G124" s="427"/>
      <c r="H124" s="225"/>
      <c r="I124" s="225"/>
      <c r="J124" s="222"/>
      <c r="K124" s="395"/>
      <c r="L124" s="395"/>
      <c r="M124" s="400"/>
      <c r="N124" s="400"/>
      <c r="O124" s="400"/>
      <c r="P124" s="400"/>
      <c r="Q124" s="400"/>
      <c r="R124" s="400"/>
      <c r="S124" s="400"/>
      <c r="T124" s="400"/>
      <c r="U124" s="400"/>
      <c r="V124" s="400"/>
      <c r="W124" s="400"/>
      <c r="X124" s="400"/>
      <c r="Y124" s="400"/>
      <c r="Z124" s="400"/>
      <c r="AA124" s="400"/>
      <c r="AB124" s="400"/>
      <c r="AC124" s="400"/>
      <c r="AD124" s="400"/>
      <c r="AE124" s="225"/>
      <c r="AF124" s="299"/>
      <c r="AG124" s="299"/>
      <c r="AH124" s="225"/>
      <c r="AI124" s="299"/>
      <c r="AJ124" s="299"/>
      <c r="AK124" s="225"/>
      <c r="AL124" s="299"/>
      <c r="AM124" s="299"/>
      <c r="AN124" s="225"/>
      <c r="AO124" s="299"/>
      <c r="AP124" s="299"/>
      <c r="AQ124" s="225"/>
      <c r="AR124" s="299"/>
      <c r="AS124" s="299"/>
      <c r="AT124" s="220"/>
      <c r="AU124" s="211"/>
      <c r="AV124" s="221"/>
      <c r="AW124" s="222"/>
      <c r="AX124" s="225"/>
      <c r="AY124" s="225"/>
      <c r="AZ124" s="225"/>
      <c r="BA124" s="225"/>
      <c r="BB124" s="225"/>
    </row>
    <row r="125" spans="1:54" s="212" customFormat="1" ht="19.5" customHeight="1" x14ac:dyDescent="0.25">
      <c r="A125" s="401" t="s">
        <v>241</v>
      </c>
      <c r="B125" s="267"/>
      <c r="C125" s="222"/>
      <c r="D125" s="222"/>
      <c r="E125" s="222"/>
      <c r="F125" s="222"/>
      <c r="G125" s="1849">
        <v>0.5</v>
      </c>
      <c r="H125" s="225"/>
      <c r="I125" s="225"/>
      <c r="J125" s="222"/>
      <c r="K125" s="395"/>
      <c r="L125" s="395"/>
      <c r="M125" s="400"/>
      <c r="N125" s="400"/>
      <c r="O125" s="400"/>
      <c r="P125" s="400"/>
      <c r="Q125" s="400"/>
      <c r="R125" s="400"/>
      <c r="S125" s="400"/>
      <c r="T125" s="400"/>
      <c r="U125" s="400"/>
      <c r="V125" s="400"/>
      <c r="W125" s="400"/>
      <c r="X125" s="400"/>
      <c r="Y125" s="400"/>
      <c r="Z125" s="400"/>
      <c r="AA125" s="400"/>
      <c r="AB125" s="400"/>
      <c r="AC125" s="400"/>
      <c r="AD125" s="400"/>
      <c r="AE125" s="225"/>
      <c r="AF125" s="299"/>
      <c r="AG125" s="299"/>
      <c r="AH125" s="225"/>
      <c r="AI125" s="299"/>
      <c r="AJ125" s="299"/>
      <c r="AK125" s="225"/>
      <c r="AL125" s="299"/>
      <c r="AM125" s="299"/>
      <c r="AN125" s="225"/>
      <c r="AO125" s="299"/>
      <c r="AP125" s="299"/>
      <c r="AQ125" s="225"/>
      <c r="AR125" s="299"/>
      <c r="AS125" s="299"/>
      <c r="AT125" s="220"/>
      <c r="AU125" s="211"/>
      <c r="AV125" s="221"/>
      <c r="AW125" s="222"/>
      <c r="AX125" s="225"/>
      <c r="AY125" s="225"/>
      <c r="AZ125" s="225"/>
      <c r="BA125" s="225"/>
      <c r="BB125" s="225"/>
    </row>
    <row r="126" spans="1:54" s="212" customFormat="1" ht="19.5" customHeight="1" thickBot="1" x14ac:dyDescent="0.3">
      <c r="A126" s="468" t="s">
        <v>242</v>
      </c>
      <c r="B126" s="388"/>
      <c r="C126" s="388"/>
      <c r="D126" s="388"/>
      <c r="E126" s="388"/>
      <c r="F126" s="388"/>
      <c r="G126" s="1850">
        <v>0.32</v>
      </c>
      <c r="H126" s="225"/>
      <c r="I126" s="225"/>
      <c r="J126" s="222"/>
      <c r="K126" s="395"/>
      <c r="L126" s="395"/>
      <c r="M126" s="400"/>
      <c r="N126" s="400"/>
      <c r="O126" s="400"/>
      <c r="P126" s="400"/>
      <c r="Q126" s="400"/>
      <c r="R126" s="400"/>
      <c r="S126" s="400"/>
      <c r="T126" s="400"/>
      <c r="U126" s="400"/>
      <c r="V126" s="400"/>
      <c r="W126" s="400"/>
      <c r="X126" s="400"/>
      <c r="Y126" s="400"/>
      <c r="Z126" s="400"/>
      <c r="AA126" s="400"/>
      <c r="AB126" s="400"/>
      <c r="AC126" s="400"/>
      <c r="AD126" s="400"/>
      <c r="AE126" s="225"/>
      <c r="AF126" s="299"/>
      <c r="AG126" s="299"/>
      <c r="AH126" s="225"/>
      <c r="AI126" s="299"/>
      <c r="AJ126" s="299"/>
      <c r="AK126" s="225"/>
      <c r="AL126" s="299"/>
      <c r="AM126" s="299"/>
      <c r="AN126" s="225"/>
      <c r="AO126" s="299"/>
      <c r="AP126" s="299"/>
      <c r="AQ126" s="225"/>
      <c r="AR126" s="299"/>
      <c r="AS126" s="299"/>
      <c r="AT126" s="220"/>
      <c r="AU126" s="211"/>
      <c r="AV126" s="221"/>
      <c r="AW126" s="222"/>
      <c r="AX126" s="225"/>
      <c r="AY126" s="225"/>
      <c r="AZ126" s="225"/>
      <c r="BA126" s="225"/>
      <c r="BB126" s="225"/>
    </row>
    <row r="127" spans="1:54" s="212" customFormat="1" ht="19.5" customHeight="1" x14ac:dyDescent="0.25">
      <c r="A127" s="469"/>
      <c r="B127" s="400"/>
      <c r="C127" s="400"/>
      <c r="D127" s="400"/>
      <c r="E127" s="400"/>
      <c r="F127" s="400"/>
      <c r="G127" s="395"/>
      <c r="H127" s="395"/>
      <c r="I127" s="395"/>
      <c r="J127" s="395"/>
      <c r="K127" s="395"/>
      <c r="L127" s="395"/>
      <c r="M127" s="400"/>
      <c r="N127" s="400"/>
      <c r="O127" s="400"/>
      <c r="P127" s="400"/>
      <c r="Q127" s="400"/>
      <c r="R127" s="400"/>
      <c r="S127" s="400"/>
      <c r="T127" s="400"/>
      <c r="U127" s="400"/>
      <c r="V127" s="400"/>
      <c r="W127" s="400"/>
      <c r="X127" s="400"/>
      <c r="Y127" s="400"/>
      <c r="Z127" s="400"/>
      <c r="AA127" s="400"/>
      <c r="AB127" s="400"/>
      <c r="AC127" s="400"/>
      <c r="AD127" s="400"/>
      <c r="AE127" s="472"/>
      <c r="AF127" s="473">
        <f>$C$4</f>
        <v>6</v>
      </c>
      <c r="AG127" s="474"/>
      <c r="AH127" s="475"/>
      <c r="AI127" s="473">
        <f>$D$4</f>
        <v>10</v>
      </c>
      <c r="AJ127" s="474"/>
      <c r="AK127" s="476"/>
      <c r="AL127" s="473">
        <f>$E$4</f>
        <v>18</v>
      </c>
      <c r="AM127" s="474"/>
      <c r="AN127" s="476"/>
      <c r="AO127" s="473" t="str">
        <f>$F$4</f>
        <v>6 FFF</v>
      </c>
      <c r="AP127" s="474"/>
      <c r="AQ127" s="476"/>
      <c r="AR127" s="473" t="str">
        <f>$G$4</f>
        <v>10 FFF</v>
      </c>
      <c r="AS127" s="473"/>
      <c r="AT127" s="477" t="s">
        <v>16</v>
      </c>
      <c r="AU127" s="478"/>
      <c r="AV127" s="222"/>
      <c r="AW127" s="222"/>
      <c r="AX127" s="225"/>
      <c r="AY127" s="225"/>
      <c r="AZ127" s="225"/>
      <c r="BA127" s="225"/>
      <c r="BB127" s="225"/>
    </row>
    <row r="128" spans="1:54" s="212" customFormat="1" ht="19.5" customHeight="1" x14ac:dyDescent="0.2">
      <c r="A128" s="479" t="s">
        <v>50</v>
      </c>
      <c r="B128" s="480" t="s">
        <v>15</v>
      </c>
      <c r="C128" s="481" t="s">
        <v>25</v>
      </c>
      <c r="D128" s="482" t="s">
        <v>158</v>
      </c>
      <c r="E128" s="483"/>
      <c r="F128" s="484" t="s">
        <v>386</v>
      </c>
      <c r="G128" s="485"/>
      <c r="H128" s="482"/>
      <c r="I128" s="482"/>
      <c r="J128" s="482"/>
      <c r="K128" s="482"/>
      <c r="L128" s="482"/>
      <c r="M128" s="486"/>
      <c r="N128" s="487" t="s">
        <v>381</v>
      </c>
      <c r="O128" s="484"/>
      <c r="P128" s="484" t="s">
        <v>386</v>
      </c>
      <c r="Q128" s="488"/>
      <c r="R128" s="488"/>
      <c r="S128" s="482"/>
      <c r="T128" s="482"/>
      <c r="U128" s="486"/>
      <c r="V128" s="489" t="s">
        <v>525</v>
      </c>
      <c r="W128" s="301" t="s">
        <v>524</v>
      </c>
      <c r="X128" s="1990" t="s">
        <v>77</v>
      </c>
      <c r="Y128" s="1991"/>
      <c r="Z128" s="1992"/>
      <c r="AA128" s="490"/>
      <c r="AB128" s="491"/>
      <c r="AC128" s="492" t="s">
        <v>334</v>
      </c>
      <c r="AD128" s="485"/>
      <c r="AE128" s="493"/>
      <c r="AF128" s="420" t="s">
        <v>206</v>
      </c>
      <c r="AG128" s="420" t="s">
        <v>16</v>
      </c>
      <c r="AH128" s="420" t="s">
        <v>86</v>
      </c>
      <c r="AI128" s="420" t="s">
        <v>206</v>
      </c>
      <c r="AJ128" s="420" t="s">
        <v>16</v>
      </c>
      <c r="AK128" s="420" t="s">
        <v>86</v>
      </c>
      <c r="AL128" s="420" t="s">
        <v>206</v>
      </c>
      <c r="AM128" s="420" t="s">
        <v>16</v>
      </c>
      <c r="AN128" s="420" t="s">
        <v>86</v>
      </c>
      <c r="AO128" s="420" t="s">
        <v>206</v>
      </c>
      <c r="AP128" s="420" t="s">
        <v>16</v>
      </c>
      <c r="AQ128" s="420" t="s">
        <v>86</v>
      </c>
      <c r="AR128" s="420" t="s">
        <v>206</v>
      </c>
      <c r="AS128" s="420" t="s">
        <v>16</v>
      </c>
      <c r="AT128" s="494"/>
      <c r="AU128" s="495" t="s">
        <v>11</v>
      </c>
      <c r="AV128" s="222"/>
      <c r="AW128" s="222"/>
      <c r="AX128" s="225"/>
      <c r="AY128" s="225"/>
      <c r="AZ128" s="225"/>
      <c r="BA128" s="225"/>
      <c r="BB128" s="225"/>
    </row>
    <row r="129" spans="1:90" s="212" customFormat="1" ht="19.5" customHeight="1" thickBot="1" x14ac:dyDescent="0.25">
      <c r="A129" s="496"/>
      <c r="B129" s="497"/>
      <c r="C129" s="498"/>
      <c r="D129" s="499" t="s">
        <v>367</v>
      </c>
      <c r="E129" s="498" t="s">
        <v>364</v>
      </c>
      <c r="F129" s="498" t="s">
        <v>370</v>
      </c>
      <c r="G129" s="499" t="s">
        <v>368</v>
      </c>
      <c r="H129" s="498" t="s">
        <v>365</v>
      </c>
      <c r="I129" s="499" t="s">
        <v>369</v>
      </c>
      <c r="J129" s="498" t="s">
        <v>371</v>
      </c>
      <c r="K129" s="498" t="s">
        <v>366</v>
      </c>
      <c r="L129" s="498" t="s">
        <v>373</v>
      </c>
      <c r="M129" s="498" t="s">
        <v>372</v>
      </c>
      <c r="N129" s="498" t="s">
        <v>374</v>
      </c>
      <c r="O129" s="498" t="s">
        <v>375</v>
      </c>
      <c r="P129" s="498" t="s">
        <v>376</v>
      </c>
      <c r="Q129" s="498" t="s">
        <v>377</v>
      </c>
      <c r="R129" s="498" t="s">
        <v>378</v>
      </c>
      <c r="S129" s="498" t="s">
        <v>382</v>
      </c>
      <c r="T129" s="498" t="s">
        <v>379</v>
      </c>
      <c r="U129" s="498" t="s">
        <v>380</v>
      </c>
      <c r="V129" s="498" t="s">
        <v>526</v>
      </c>
      <c r="W129" s="308" t="s">
        <v>528</v>
      </c>
      <c r="X129" s="500" t="s">
        <v>1</v>
      </c>
      <c r="Y129" s="501" t="s">
        <v>61</v>
      </c>
      <c r="Z129" s="502" t="s">
        <v>3</v>
      </c>
      <c r="AA129" s="502" t="s">
        <v>22</v>
      </c>
      <c r="AB129" s="502" t="s">
        <v>3</v>
      </c>
      <c r="AC129" s="503" t="s">
        <v>22</v>
      </c>
      <c r="AD129" s="504" t="s">
        <v>39</v>
      </c>
      <c r="AE129" s="505" t="s">
        <v>208</v>
      </c>
      <c r="AF129" s="505" t="s">
        <v>207</v>
      </c>
      <c r="AG129" s="506" t="s">
        <v>174</v>
      </c>
      <c r="AH129" s="505" t="s">
        <v>208</v>
      </c>
      <c r="AI129" s="505" t="s">
        <v>207</v>
      </c>
      <c r="AJ129" s="506" t="s">
        <v>174</v>
      </c>
      <c r="AK129" s="507" t="s">
        <v>208</v>
      </c>
      <c r="AL129" s="507" t="s">
        <v>207</v>
      </c>
      <c r="AM129" s="179" t="s">
        <v>174</v>
      </c>
      <c r="AN129" s="507" t="s">
        <v>208</v>
      </c>
      <c r="AO129" s="507" t="s">
        <v>207</v>
      </c>
      <c r="AP129" s="179" t="s">
        <v>174</v>
      </c>
      <c r="AQ129" s="507" t="s">
        <v>208</v>
      </c>
      <c r="AR129" s="507" t="s">
        <v>207</v>
      </c>
      <c r="AS129" s="179" t="s">
        <v>174</v>
      </c>
      <c r="AT129" s="508" t="s">
        <v>174</v>
      </c>
      <c r="AU129" s="509" t="s">
        <v>166</v>
      </c>
      <c r="AV129" s="211"/>
      <c r="AW129" s="222"/>
      <c r="AX129" s="225"/>
      <c r="AY129" s="225"/>
      <c r="AZ129" s="225"/>
      <c r="BA129" s="225"/>
      <c r="BB129" s="225"/>
    </row>
    <row r="130" spans="1:90" s="212" customFormat="1" ht="30" customHeight="1" thickBot="1" x14ac:dyDescent="0.3">
      <c r="A130" s="510" t="str">
        <f>A88</f>
        <v>L7</v>
      </c>
      <c r="B130" s="511" t="str">
        <f>B88</f>
        <v>ingang labyrint linac 7</v>
      </c>
      <c r="C130" s="512" t="s">
        <v>200</v>
      </c>
      <c r="D130" s="1851">
        <v>5</v>
      </c>
      <c r="E130" s="111"/>
      <c r="F130" s="116"/>
      <c r="G130" s="1851">
        <v>10</v>
      </c>
      <c r="H130" s="120"/>
      <c r="I130" s="1853">
        <v>10</v>
      </c>
      <c r="J130" s="123"/>
      <c r="K130" s="1982">
        <v>1</v>
      </c>
      <c r="L130" s="114"/>
      <c r="M130" s="113"/>
      <c r="N130" s="1851">
        <v>4</v>
      </c>
      <c r="O130" s="120"/>
      <c r="P130" s="1851">
        <v>5</v>
      </c>
      <c r="Q130" s="134"/>
      <c r="R130" s="1828">
        <v>2</v>
      </c>
      <c r="S130" s="137"/>
      <c r="T130" s="114"/>
      <c r="U130" s="138"/>
      <c r="V130" s="141"/>
      <c r="W130" s="1828">
        <v>0.25</v>
      </c>
      <c r="X130" s="149"/>
      <c r="Y130" s="150"/>
      <c r="Z130" s="151"/>
      <c r="AA130" s="152"/>
      <c r="AB130" s="1984">
        <v>0</v>
      </c>
      <c r="AC130" s="1987">
        <v>0</v>
      </c>
      <c r="AD130" s="168"/>
      <c r="AE130" s="171">
        <f>$AB130/$M$114+$AC130/$M$115</f>
        <v>0</v>
      </c>
      <c r="AF130" s="97">
        <f t="shared" ref="AF130:AF135" si="11">10^(-AE130)</f>
        <v>1</v>
      </c>
      <c r="AG130" s="91">
        <f>$C$7*$C$14*$C$8*$W$130/$D$130^2*$N$130*$F$112/$G$130^2*$P$130*$E$114/$I$130^2*$R$130*$E$116/$K$130^2*AF130*10^6</f>
        <v>6.9119999999999997E-3</v>
      </c>
      <c r="AH130" s="91">
        <f>$AB130/$M$114+$AC130/$M$115</f>
        <v>0</v>
      </c>
      <c r="AI130" s="97">
        <f t="shared" ref="AI130:AI135" si="12">10^(-AH130)</f>
        <v>1</v>
      </c>
      <c r="AJ130" s="91">
        <f>$C$7*$D$14*$D$8*$W$130/$D$130^2*$N$130*$G$112/$G$130^2*$P$130*$E$114/$I$130^2*$R$130*$E$116/$K$130^2*AI130*10^6</f>
        <v>5.3760000000000006E-3</v>
      </c>
      <c r="AK130" s="91">
        <f>$AB130/$M$114+$AC130/$M$115</f>
        <v>0</v>
      </c>
      <c r="AL130" s="97">
        <f t="shared" ref="AL130:AL135" si="13">10^(-AK130)</f>
        <v>1</v>
      </c>
      <c r="AM130" s="91">
        <f>$C$7*$E$14*$E$8*$W$130/$D$130^2*$N$130*$H$112/$G$130^2*$P$130*$E$114/$I$130^2*$R$130*$E$116/$K$130^2*AL130*10^6</f>
        <v>4.0960000000000015E-3</v>
      </c>
      <c r="AN130" s="91">
        <f>$AB130/$M$114+$AC130/$M$115</f>
        <v>0</v>
      </c>
      <c r="AO130" s="97">
        <f t="shared" ref="AO130:AO135" si="14">10^(-AN130)</f>
        <v>1</v>
      </c>
      <c r="AP130" s="91">
        <f>$C$7*$F$14*$F$8*$W$130/$D$130^2*$N$130*$I$112/$G$130^2*$P$130*$E$114/$I$130^2*$R$130*$E$116/$K$130^2*AO130*10^6</f>
        <v>8.9600000000000009E-3</v>
      </c>
      <c r="AQ130" s="91">
        <f>$AB130/$M$114+$AC130/$M$115</f>
        <v>0</v>
      </c>
      <c r="AR130" s="97">
        <f t="shared" ref="AR130:AR135" si="15">10^(-AQ130)</f>
        <v>1</v>
      </c>
      <c r="AS130" s="76">
        <f>$C$7*$G$14*$G$8*$W$130/$D$130^2*$N$130*$J$112/$G$130^2*$P$130*$E$114/$I$130^2*$R$130*$E$116/$K$130^2*AR130*10^6</f>
        <v>8.4480000000000006E-3</v>
      </c>
      <c r="AT130" s="513">
        <f t="shared" ref="AT130:AT135" si="16">SUM(AG130,AJ130,AM130,AP130,AS130)</f>
        <v>3.3792000000000003E-2</v>
      </c>
      <c r="AU130" s="514">
        <f>SUM(AT130:AT136)*52/10^3</f>
        <v>15.505920420432142</v>
      </c>
      <c r="AV130" s="222"/>
      <c r="AW130" s="222"/>
      <c r="AX130" s="225"/>
      <c r="AY130" s="225"/>
      <c r="AZ130" s="225"/>
      <c r="BA130" s="225"/>
      <c r="BB130" s="225"/>
    </row>
    <row r="131" spans="1:90" s="212" customFormat="1" ht="30" customHeight="1" thickBot="1" x14ac:dyDescent="0.3">
      <c r="A131" s="447"/>
      <c r="B131" s="460"/>
      <c r="C131" s="515" t="s">
        <v>536</v>
      </c>
      <c r="D131" s="107"/>
      <c r="E131" s="1852">
        <v>1</v>
      </c>
      <c r="F131" s="117"/>
      <c r="G131" s="118"/>
      <c r="H131" s="1828">
        <v>5</v>
      </c>
      <c r="I131" s="122"/>
      <c r="J131" s="124"/>
      <c r="K131" s="2030"/>
      <c r="L131" s="127"/>
      <c r="M131" s="128"/>
      <c r="N131" s="129"/>
      <c r="O131" s="1828">
        <v>5</v>
      </c>
      <c r="P131" s="133"/>
      <c r="Q131" s="133"/>
      <c r="R131" s="1828">
        <v>2</v>
      </c>
      <c r="S131" s="139"/>
      <c r="T131" s="132"/>
      <c r="U131" s="140"/>
      <c r="V131" s="142"/>
      <c r="W131" s="1828">
        <v>0.25</v>
      </c>
      <c r="X131" s="1856">
        <v>200</v>
      </c>
      <c r="Y131" s="1856">
        <v>0</v>
      </c>
      <c r="Z131" s="1857">
        <v>0</v>
      </c>
      <c r="AA131" s="1857">
        <v>0</v>
      </c>
      <c r="AB131" s="1985"/>
      <c r="AC131" s="1988"/>
      <c r="AD131" s="169"/>
      <c r="AE131" s="171">
        <f>IF($X131=0,0,1+($X131-$C$21)/$C$22)+$Y131/$C$23+$Z131/$C$24+$AA131/$C$25+$AB130/$M$114+$AC130/$M$115</f>
        <v>5.9393939393939394</v>
      </c>
      <c r="AF131" s="97">
        <f t="shared" si="11"/>
        <v>1.1497569953977332E-6</v>
      </c>
      <c r="AG131" s="91">
        <f>$C$7*$C$14*$C$8*$W$131/$E$131^2*$O$131*$F$113/$H$131^2*$R$131*$E$116/$K$130^2*AF131*10^6</f>
        <v>2.4834751100591044E-3</v>
      </c>
      <c r="AH131" s="91">
        <f>IF($X131=0,0,1+($X131-$D$21)/$D$22)+$Y131/$D$23+$Z131/$D$24+$AB130/$M$114+$AC130/$M$115</f>
        <v>5.2972972972972974</v>
      </c>
      <c r="AI131" s="97">
        <f t="shared" si="12"/>
        <v>5.0431594871713543E-6</v>
      </c>
      <c r="AJ131" s="91">
        <f>$C$7*$D$14*$D$8*$W$131/$E$131^2*$O$131*$G$113/$H$131^2*$R$131*$E$116/$K$130^2*AI131*10^6</f>
        <v>8.4725079384478739E-3</v>
      </c>
      <c r="AK131" s="91">
        <f>IF($X131=0,0,1+($X131-$E$21)/$E$22)+$Y131/$E$23+$Z131/$E$24+$AB130/$M$114+$AC130/$M$115</f>
        <v>4.6046511627906979</v>
      </c>
      <c r="AL131" s="97">
        <f t="shared" si="13"/>
        <v>2.485128426980553E-5</v>
      </c>
      <c r="AM131" s="91">
        <f>$C$7*$E$14*$E$8*$W$131/$E$131^2*$O$131*$H$113/$H$131^2*$R$131*$E$116/$K$130^2*AL131*10^6</f>
        <v>3.1809643865351081E-2</v>
      </c>
      <c r="AN131" s="91">
        <f>IF($X131=0,0,1+($X131-$F$21)/$F$22)+$Y131/$F$23+$Z131/$E$24+$AB130/$M$114+$AC130/$M$115</f>
        <v>7.2962962962962967</v>
      </c>
      <c r="AO131" s="97">
        <f t="shared" si="14"/>
        <v>5.0547968211912231E-8</v>
      </c>
      <c r="AP131" s="91">
        <f>$C$7*$F$14*$F$8*$W$131/$E$131^2*$O$131*$I$113/$H$131^2*$R$131*$E$116/$K$130^2*AO131*10^6</f>
        <v>1.4153431099335427E-4</v>
      </c>
      <c r="AQ131" s="91">
        <f>IF($X131=0,0,1+($X131-$G$21)/$G$22)+$Y131/$G$23+$Z131/$G$24+$AB130/$M$114+$AC130/$M$115</f>
        <v>5.5555555555555554</v>
      </c>
      <c r="AR131" s="97">
        <f t="shared" si="15"/>
        <v>2.782559402207123E-6</v>
      </c>
      <c r="AS131" s="76">
        <f>$C$7*$G$14*$G$8*$W$131/$E$131^2*$O$131*$J$113/$H$131^2*$R$131*$E$116/$K$130^2*AR131*10^6</f>
        <v>7.3459568218268044E-3</v>
      </c>
      <c r="AT131" s="513">
        <f t="shared" si="16"/>
        <v>5.0253118046678216E-2</v>
      </c>
      <c r="AU131" s="516"/>
      <c r="AV131" s="222"/>
      <c r="AW131" s="222"/>
      <c r="AX131" s="225"/>
      <c r="AY131" s="225"/>
      <c r="AZ131" s="225"/>
      <c r="BA131" s="225"/>
      <c r="BB131" s="225"/>
    </row>
    <row r="132" spans="1:90" s="212" customFormat="1" ht="30" customHeight="1" thickBot="1" x14ac:dyDescent="0.3">
      <c r="A132" s="221"/>
      <c r="B132" s="517"/>
      <c r="C132" s="518" t="s">
        <v>537</v>
      </c>
      <c r="D132" s="108"/>
      <c r="E132" s="112"/>
      <c r="F132" s="1987">
        <v>5</v>
      </c>
      <c r="G132" s="119"/>
      <c r="H132" s="121"/>
      <c r="I132" s="113"/>
      <c r="J132" s="1980">
        <v>10</v>
      </c>
      <c r="K132" s="2030"/>
      <c r="L132" s="114"/>
      <c r="M132" s="113"/>
      <c r="N132" s="119"/>
      <c r="O132" s="121"/>
      <c r="P132" s="113"/>
      <c r="Q132" s="1980">
        <v>5</v>
      </c>
      <c r="R132" s="1982">
        <v>2</v>
      </c>
      <c r="S132" s="137"/>
      <c r="T132" s="114"/>
      <c r="U132" s="138"/>
      <c r="V132" s="143"/>
      <c r="W132" s="144">
        <v>1</v>
      </c>
      <c r="X132" s="153"/>
      <c r="Y132" s="154"/>
      <c r="Z132" s="155"/>
      <c r="AA132" s="156"/>
      <c r="AB132" s="1985"/>
      <c r="AC132" s="1988"/>
      <c r="AD132" s="168"/>
      <c r="AE132" s="91">
        <f>$AB130/$M$114+$AC130/$M$115</f>
        <v>0</v>
      </c>
      <c r="AF132" s="97">
        <f t="shared" si="11"/>
        <v>1</v>
      </c>
      <c r="AG132" s="91">
        <f>$C$7*$C$15*$C$8*($C$9+$C$10*$C$11)*$W$132/$F$132^2*$Q$132*$F$115/$J$132^2*$R$132*$E$116/$K$130^2*AF132*10^6</f>
        <v>15.360000000000005</v>
      </c>
      <c r="AH132" s="91">
        <f>$AB130/$M$114+$AC130/$M$115</f>
        <v>0</v>
      </c>
      <c r="AI132" s="97">
        <f t="shared" si="12"/>
        <v>1</v>
      </c>
      <c r="AJ132" s="91">
        <f>$C$7*$C$15*$D$8*($D$9+$D$10*$D$11)*$W$132/$F$132^2*$Q$132*$G$115/$J$132^2*$R$132*$E$116/$K$130^2*AI132*10^6</f>
        <v>12.240000000000004</v>
      </c>
      <c r="AK132" s="91">
        <f>$AB130/$M$114+$AC130/$M$115</f>
        <v>0</v>
      </c>
      <c r="AL132" s="97">
        <f t="shared" si="13"/>
        <v>1</v>
      </c>
      <c r="AM132" s="91">
        <f>$C$7*$C$15*$E$8*($E$9+$E$10*$E$11)*$W$132/$F$132^2*$Q$132*$H$115/$J$132^2*$R$132*$E$116/$K$130^2*AL132*10^6</f>
        <v>10.800000000000002</v>
      </c>
      <c r="AN132" s="91">
        <f>$AB130/$M$114+$AC130/$M$115</f>
        <v>0</v>
      </c>
      <c r="AO132" s="97">
        <f t="shared" si="14"/>
        <v>1</v>
      </c>
      <c r="AP132" s="91">
        <f>$C$7*$C$15*$F$8*($F$9+$F$10*$F$11)*$W$132/$F$132^2*$Q$132*$I$115/$J$132^2*$R$132*$E$116/$K$130^2*AO132*10^6</f>
        <v>19.920000000000002</v>
      </c>
      <c r="AQ132" s="91">
        <f>$AB130/$M$114+$AC130/$M$115</f>
        <v>0</v>
      </c>
      <c r="AR132" s="97">
        <f t="shared" si="15"/>
        <v>1</v>
      </c>
      <c r="AS132" s="76">
        <f>$C$7*$C$15*$G$8*($G$9+$G$10*$G$11)*$W$132/$F$132^2*$Q$132*$J$115/$J$132^2*$R$132*$E$116/$K$130^2*AR132*10^6</f>
        <v>17.520000000000003</v>
      </c>
      <c r="AT132" s="519">
        <f t="shared" si="16"/>
        <v>75.840000000000018</v>
      </c>
      <c r="AU132" s="516"/>
      <c r="AV132" s="222"/>
      <c r="AW132" s="520"/>
      <c r="AX132" s="222"/>
      <c r="AY132" s="211"/>
      <c r="AZ132" s="222"/>
      <c r="BA132" s="222"/>
      <c r="BB132" s="225"/>
    </row>
    <row r="133" spans="1:90" s="212" customFormat="1" ht="30" customHeight="1" thickBot="1" x14ac:dyDescent="0.3">
      <c r="A133" s="221"/>
      <c r="B133" s="517"/>
      <c r="C133" s="521" t="s">
        <v>523</v>
      </c>
      <c r="D133" s="108"/>
      <c r="E133" s="113"/>
      <c r="F133" s="2029"/>
      <c r="G133" s="119"/>
      <c r="H133" s="114"/>
      <c r="I133" s="113"/>
      <c r="J133" s="1981"/>
      <c r="K133" s="1983"/>
      <c r="L133" s="114"/>
      <c r="M133" s="113"/>
      <c r="N133" s="119"/>
      <c r="O133" s="114"/>
      <c r="P133" s="113"/>
      <c r="Q133" s="1981"/>
      <c r="R133" s="1983"/>
      <c r="S133" s="137"/>
      <c r="T133" s="114"/>
      <c r="U133" s="113"/>
      <c r="V133" s="1855">
        <f>20*20</f>
        <v>400</v>
      </c>
      <c r="W133" s="1828">
        <v>0.25</v>
      </c>
      <c r="X133" s="157"/>
      <c r="Y133" s="158"/>
      <c r="Z133" s="159"/>
      <c r="AA133" s="160"/>
      <c r="AB133" s="1985"/>
      <c r="AC133" s="1988"/>
      <c r="AD133" s="168"/>
      <c r="AE133" s="98">
        <f>$AB130/$M$114+$AC130/$M$115</f>
        <v>0</v>
      </c>
      <c r="AF133" s="97">
        <f t="shared" si="11"/>
        <v>1</v>
      </c>
      <c r="AG133" s="91">
        <f>$C$7*$C$8*$W$133*$F$120*$V$133/400*$E$115*$E$116*$Q$132*$R$132/1/1/$F$132^2/$J$132^2/$K$130^2*AF133*10^6</f>
        <v>6.1159999999999988</v>
      </c>
      <c r="AH133" s="98">
        <f>$AB130/$M$114+$AC130/$M$115</f>
        <v>0</v>
      </c>
      <c r="AI133" s="97">
        <f t="shared" si="12"/>
        <v>1</v>
      </c>
      <c r="AJ133" s="91">
        <f>$C$7*$D$8*$W$133*$G$120*$V$133/400*$E$115*$E$116*$Q$132*$R$132/1/1/$F$132^2/$J$132^2/$K$130^2*AI133*10^6</f>
        <v>5.9399999999999995</v>
      </c>
      <c r="AK133" s="98">
        <f>$AB130/$M$114+$AC130/$M$115</f>
        <v>0</v>
      </c>
      <c r="AL133" s="97">
        <f t="shared" si="13"/>
        <v>1</v>
      </c>
      <c r="AM133" s="91">
        <f>$C$7*$E$8*$W$133*$H$120*$V$133/400*$E$115*$E$116*$Q$132*$R$132/1/1/$F$132^2/$J$132^2/$K$130^2*AL133*10^6</f>
        <v>3.8015999999999992</v>
      </c>
      <c r="AN133" s="98">
        <f>$AB130/$M$114+$AC130/$M$115</f>
        <v>0</v>
      </c>
      <c r="AO133" s="97">
        <f t="shared" si="14"/>
        <v>1</v>
      </c>
      <c r="AP133" s="91">
        <f>$C$7*$F$8*$W$133*$I$120*$V$133/400*$E$115*$E$116*$R$132*$Q$132/1/1/$F$132^2/$J$132^2/$K$130^2*AO133*10^6</f>
        <v>5.7200000000000006</v>
      </c>
      <c r="AQ133" s="98">
        <f>$AB130/$M$114+$AC130/$M$115</f>
        <v>0</v>
      </c>
      <c r="AR133" s="97">
        <f t="shared" si="15"/>
        <v>1</v>
      </c>
      <c r="AS133" s="76">
        <f>$C$7*$G$8*$W$133*$J$120*$V$133/400*$E$115*$E$116*$Q$132*$R$132/1/1/$F$132^2/$J$132^2/$K$130^2*AR133*10^6</f>
        <v>5.2799999999999994</v>
      </c>
      <c r="AT133" s="513">
        <f t="shared" si="16"/>
        <v>26.857599999999998</v>
      </c>
      <c r="AU133" s="516"/>
      <c r="AV133" s="222"/>
      <c r="AW133" s="520"/>
      <c r="AX133" s="222"/>
      <c r="AY133" s="211"/>
      <c r="AZ133" s="222"/>
      <c r="BA133" s="222"/>
      <c r="BB133" s="225"/>
      <c r="BC133" s="225"/>
      <c r="BD133" s="225"/>
      <c r="BE133" s="225"/>
      <c r="BF133" s="225"/>
      <c r="BG133" s="300"/>
      <c r="BH133" s="300"/>
      <c r="BI133" s="300"/>
      <c r="BJ133" s="522"/>
      <c r="BK133" s="522"/>
      <c r="BL133" s="522"/>
    </row>
    <row r="134" spans="1:90" s="212" customFormat="1" ht="30" customHeight="1" x14ac:dyDescent="0.25">
      <c r="A134" s="221"/>
      <c r="B134" s="517"/>
      <c r="C134" s="523" t="s">
        <v>33</v>
      </c>
      <c r="D134" s="109"/>
      <c r="E134" s="114"/>
      <c r="F134" s="114"/>
      <c r="G134" s="114"/>
      <c r="H134" s="114"/>
      <c r="I134" s="114"/>
      <c r="J134" s="114"/>
      <c r="K134" s="125"/>
      <c r="L134" s="2028">
        <v>5</v>
      </c>
      <c r="M134" s="2028">
        <v>10</v>
      </c>
      <c r="N134" s="130"/>
      <c r="O134" s="132"/>
      <c r="P134" s="132"/>
      <c r="Q134" s="132"/>
      <c r="R134" s="135"/>
      <c r="S134" s="1851">
        <v>225</v>
      </c>
      <c r="T134" s="1854">
        <v>1</v>
      </c>
      <c r="U134" s="1851">
        <v>1</v>
      </c>
      <c r="V134" s="145"/>
      <c r="W134" s="146"/>
      <c r="X134" s="161"/>
      <c r="Y134" s="162"/>
      <c r="Z134" s="122"/>
      <c r="AA134" s="163"/>
      <c r="AB134" s="1985"/>
      <c r="AC134" s="1988"/>
      <c r="AD134" s="1858">
        <v>0</v>
      </c>
      <c r="AE134" s="91">
        <f>$AB130/$N$114+$AC130/$N$115+$AD134/$N$116</f>
        <v>0</v>
      </c>
      <c r="AF134" s="97">
        <f t="shared" si="11"/>
        <v>1</v>
      </c>
      <c r="AG134" s="91">
        <f>$C$7*$C$8*($C$9+$C$10*$C$11)*0.0000000000000024*($C$16*$C$17*10^12/(4*PI()*$L$134^2)+5.4*$C$16*$C$17*10^12/(2*PI()*$S$134)+1.3*$C$17*10^12/(2*PI()*$S$134))*(SQRT($T$134/$U$134)*((1.64*10^(-$M$134/1.9)+10^(-$M$134/(2.06*SQRT($U$134))))*(1-$G$125)*$AF$134*10^6))</f>
        <v>0.11345901793121269</v>
      </c>
      <c r="AH134" s="91">
        <f>$AB130/$N$114+$AC130/$N$115+$AD134/$N$116</f>
        <v>0</v>
      </c>
      <c r="AI134" s="97">
        <f t="shared" si="12"/>
        <v>1</v>
      </c>
      <c r="AJ134" s="91">
        <f>$C$7*$D$8*($D$9+$D$10*$D$11)*0.0000000000000024*($C$16*$D$17*10^12/(4*PI()*$L$134^2)+5.4*$C$16*$D$17*10^12/(2*PI()*$S$134)+1.3*$D$17*10^12/(2*PI()*$S$134))*(SQRT($T$134/$U$134)*((1.64*10^(-$M$134/1.9)+10^(-$M$134/(2.06*SQRT($U$134))))*(1-$G$125)*$AI$134*10^6))</f>
        <v>0.11345901793121269</v>
      </c>
      <c r="AK134" s="91">
        <f>$AB130/$N$114+$AC130/$N$115+$AD134/$N$116</f>
        <v>0</v>
      </c>
      <c r="AL134" s="97">
        <f t="shared" si="13"/>
        <v>1</v>
      </c>
      <c r="AM134" s="91">
        <f>$C$7*$E$8*($E$9+$E$10*$E$11)*0.0000000000000024*($C$16*$E$17*10^12/(4*PI()*$L$134^2)+5.4*$C$16*$E$17*10^12/(2*PI()*$S$134)+1.3*$E$17*10^12/(2*PI()*$S$134))*(SQRT($T$134/$U$134)*((1.64*10^(-$M$134/1.9)+10^(-$M$134/(2.06*SQRT($U$134))))*(1-$G$125)*$AL$134*10^6))</f>
        <v>0.11345901793121269</v>
      </c>
      <c r="AN134" s="91">
        <f>$AB130/$N$114+$AC130/$N$115+$AD134/$N$116</f>
        <v>0</v>
      </c>
      <c r="AO134" s="97">
        <f t="shared" si="14"/>
        <v>1</v>
      </c>
      <c r="AP134" s="91">
        <f>$C$7*$F$8*($F$9+$F$10*$F$11)*0.0000000000000024*($C$16*$F$17*10^12/(4*PI()*$L$134^2)+5.4*$C$16*$F$17*10^12/(2*PI()*$S$134)+1.3*$F$17*10^12/(2*PI()*$S$134))*(SQRT($T$134/$U$134)*((1.64*10^(-$M$134/1.9)+10^(-$M$134/(2.06*SQRT($U$134))))*(1-$G$125)*$AO$134*10^6))</f>
        <v>0.11345901793121269</v>
      </c>
      <c r="AQ134" s="91">
        <f>$AB130/$N$114+$AC130/$N$115+$AD134/$N$116</f>
        <v>0</v>
      </c>
      <c r="AR134" s="97">
        <f t="shared" si="15"/>
        <v>1</v>
      </c>
      <c r="AS134" s="76">
        <f>$C$7*$G$8*($G$9+$G$10*$G$11)*0.0000000000000024*($C$16*$G$17*10^12/(4*PI()*$L$134^2)+5.4*$C$16*$G$17*10^12/(2*PI()*$S$134)+1.3*$G$17*10^12/(2*PI()*$S$134))*(SQRT($T$134/$U$134)*((1.64*10^(-$M$134/1.9)+10^(-$M$134/(2.06*SQRT($U$134))))*(1-$G$125)*$AR$134*10^6))</f>
        <v>0.11345901793121269</v>
      </c>
      <c r="AT134" s="513">
        <f t="shared" si="16"/>
        <v>0.56729508965606346</v>
      </c>
      <c r="AU134" s="516"/>
      <c r="AV134" s="222"/>
      <c r="AW134" s="189"/>
      <c r="AX134" s="222"/>
      <c r="AY134" s="211"/>
      <c r="AZ134" s="222"/>
      <c r="BA134" s="222"/>
      <c r="BB134" s="225"/>
      <c r="BC134" s="225"/>
      <c r="BD134" s="225"/>
      <c r="BE134" s="225"/>
      <c r="BF134" s="225"/>
      <c r="BG134" s="300"/>
      <c r="BH134" s="300"/>
      <c r="BI134" s="300"/>
      <c r="BJ134" s="522"/>
      <c r="BK134" s="522"/>
      <c r="BL134" s="522"/>
    </row>
    <row r="135" spans="1:90" s="212" customFormat="1" ht="30" customHeight="1" thickBot="1" x14ac:dyDescent="0.3">
      <c r="A135" s="226"/>
      <c r="B135" s="524"/>
      <c r="C135" s="525" t="s">
        <v>157</v>
      </c>
      <c r="D135" s="110"/>
      <c r="E135" s="115"/>
      <c r="F135" s="115"/>
      <c r="G135" s="115"/>
      <c r="H135" s="115"/>
      <c r="I135" s="115"/>
      <c r="J135" s="115"/>
      <c r="K135" s="126"/>
      <c r="L135" s="1989"/>
      <c r="M135" s="1989"/>
      <c r="N135" s="131"/>
      <c r="O135" s="115"/>
      <c r="P135" s="115"/>
      <c r="Q135" s="136"/>
      <c r="R135" s="136"/>
      <c r="S135" s="115"/>
      <c r="T135" s="115"/>
      <c r="U135" s="126"/>
      <c r="V135" s="147"/>
      <c r="W135" s="148"/>
      <c r="X135" s="164"/>
      <c r="Y135" s="165"/>
      <c r="Z135" s="166"/>
      <c r="AA135" s="167"/>
      <c r="AB135" s="1986"/>
      <c r="AC135" s="1989"/>
      <c r="AD135" s="170"/>
      <c r="AE135" s="172">
        <f>$AB130/$O$114+$AC130/$O$115</f>
        <v>0</v>
      </c>
      <c r="AF135" s="173">
        <f t="shared" si="11"/>
        <v>1</v>
      </c>
      <c r="AG135" s="174">
        <f>$C$7*$C$8*($C$9+$C$10*$C$11)*$Q$111*($C$16*$C$17*10^12/(4*PI()*$L$134^2)+5.4*$C$16*$C$17*10^12/(2*PI()*$S$134)+1.3*$C$17*10^12/(2*PI()*$S$134))*10^-($M$134/$Q$113)*(1-$G$126)*AF135*10^6</f>
        <v>38.968367421659991</v>
      </c>
      <c r="AH135" s="172">
        <f>$AB130/$O$114+$AC130/$O$115</f>
        <v>0</v>
      </c>
      <c r="AI135" s="173">
        <f t="shared" si="12"/>
        <v>1</v>
      </c>
      <c r="AJ135" s="175">
        <f>$C$7*$D$8*($D$9+$D$10*$D$11)*$Q$111*($C$16*$D$17*10^12/(4*PI()*$L$134^2)+5.4*$C$16*$D$17*10^12/(2*PI()*$S$134)+1.3*$D$17*10^12/(2*PI()*$S$134))*10^-($M$134/$Q$113)*(1-$G$126)*AI135*10^6</f>
        <v>38.968367421659991</v>
      </c>
      <c r="AK135" s="176">
        <f>$AB130/$O$114+$AC130/$O$115</f>
        <v>0</v>
      </c>
      <c r="AL135" s="173">
        <f t="shared" si="13"/>
        <v>1</v>
      </c>
      <c r="AM135" s="175">
        <f>$C$7*$E$8*($E$9+$E$10*$E$11)*$Q$111*($C$16*$E$17*10^12/(4*PI()*$L$134^2)+5.4*$C$16*$E$17*10^12/(2*PI()*$S$134)+1.3*$E$17*10^12/(2*PI()*$S$134))*10^-($M$134/$Q$113)*(1-$G$126)*AL135*10^6</f>
        <v>38.968367421659991</v>
      </c>
      <c r="AN135" s="172">
        <f>$AB130/$O$114+$AC130/$O$115</f>
        <v>0</v>
      </c>
      <c r="AO135" s="173">
        <f t="shared" si="14"/>
        <v>1</v>
      </c>
      <c r="AP135" s="175">
        <f>$C$7*$F$8*($F$9+$F$10*$F$11)*$Q$111*($C$16*$F$17*10^12/(4*PI()*$L$134^2)+5.4*$C$16*$F$17*10^12/(2*PI()*$S$134)+1.3*$F$17*10^12/(2*PI()*$S$134))*10^-($M$134/$Q$113)*(1-$G$126)*AO135*10^6</f>
        <v>38.968367421659991</v>
      </c>
      <c r="AQ135" s="172">
        <f>$AB130/$O$114+$AC130/$O$115</f>
        <v>0</v>
      </c>
      <c r="AR135" s="173">
        <f t="shared" si="15"/>
        <v>1</v>
      </c>
      <c r="AS135" s="177">
        <f>$C$7*$G$8*($G$9+$G$10*$G$11)*$Q$111*($C$16*$G$17*10^12/(4*PI()*$L$134^2)+5.4*$C$16*$G$17*10^12/(2*PI()*$S$134)+1.3*$G$17*10^12/(2*PI()*$S$134))*10^-($M$134/$Q$113)*(1-$G$126)*AR135*10^6</f>
        <v>38.968367421659991</v>
      </c>
      <c r="AT135" s="526">
        <f t="shared" si="16"/>
        <v>194.84183710829996</v>
      </c>
      <c r="AU135" s="527"/>
      <c r="AV135" s="222"/>
      <c r="AW135" s="189"/>
      <c r="AX135" s="222"/>
      <c r="AY135" s="211"/>
      <c r="AZ135" s="222"/>
      <c r="BA135" s="222"/>
      <c r="BB135" s="225"/>
      <c r="BC135" s="225"/>
      <c r="BD135" s="225"/>
      <c r="BE135" s="225"/>
      <c r="BF135" s="225"/>
      <c r="BG135" s="300"/>
      <c r="BH135" s="300"/>
      <c r="BI135" s="300"/>
      <c r="BJ135" s="522"/>
      <c r="BK135" s="522"/>
      <c r="BL135" s="522"/>
    </row>
    <row r="136" spans="1:90" s="212" customFormat="1" ht="30" hidden="1" customHeight="1" x14ac:dyDescent="0.25">
      <c r="A136" s="222"/>
      <c r="B136" s="222"/>
      <c r="C136" s="282"/>
      <c r="D136" s="282"/>
      <c r="E136" s="211"/>
      <c r="F136" s="211"/>
      <c r="G136" s="211"/>
      <c r="H136" s="211"/>
      <c r="I136" s="211"/>
      <c r="J136" s="211"/>
      <c r="K136" s="211"/>
      <c r="L136" s="211"/>
      <c r="M136" s="211"/>
      <c r="N136" s="211"/>
      <c r="O136" s="211"/>
      <c r="P136" s="211"/>
      <c r="Q136" s="211"/>
      <c r="R136" s="211"/>
      <c r="S136" s="211"/>
      <c r="T136" s="211"/>
      <c r="U136" s="211"/>
      <c r="V136" s="211"/>
      <c r="W136" s="211"/>
      <c r="X136" s="453"/>
      <c r="Y136" s="528"/>
      <c r="Z136" s="57"/>
      <c r="AA136" s="57"/>
      <c r="AB136" s="57"/>
      <c r="AC136" s="57"/>
      <c r="AD136" s="529"/>
      <c r="AE136" s="369"/>
      <c r="AF136" s="328"/>
      <c r="AG136" s="530"/>
      <c r="AH136" s="369"/>
      <c r="AI136" s="328"/>
      <c r="AJ136" s="530"/>
      <c r="AK136" s="369"/>
      <c r="AL136" s="328"/>
      <c r="AM136" s="530"/>
      <c r="AN136" s="369"/>
      <c r="AO136" s="328"/>
      <c r="AP136" s="530"/>
      <c r="AQ136" s="369"/>
      <c r="AR136" s="328"/>
      <c r="AS136" s="530"/>
      <c r="AT136" s="369"/>
      <c r="AU136" s="233"/>
      <c r="AV136" s="222"/>
      <c r="AW136" s="189"/>
      <c r="AX136" s="222"/>
      <c r="AY136" s="211"/>
      <c r="AZ136" s="222"/>
      <c r="BA136" s="222"/>
      <c r="BB136" s="225"/>
      <c r="BC136" s="225"/>
      <c r="BD136" s="225"/>
      <c r="BE136" s="225"/>
      <c r="BF136" s="225"/>
      <c r="BG136" s="300"/>
      <c r="BH136" s="300"/>
      <c r="BI136" s="300"/>
      <c r="BJ136" s="522"/>
      <c r="BK136" s="522"/>
      <c r="BL136" s="522"/>
    </row>
    <row r="137" spans="1:90" s="212" customFormat="1" ht="19.5" customHeight="1" x14ac:dyDescent="0.25">
      <c r="A137" s="222"/>
      <c r="B137" s="222"/>
      <c r="C137" s="282"/>
      <c r="D137" s="282"/>
      <c r="E137" s="211"/>
      <c r="F137" s="211"/>
      <c r="G137" s="211"/>
      <c r="H137" s="211"/>
      <c r="I137" s="211"/>
      <c r="J137" s="211"/>
      <c r="K137" s="211"/>
      <c r="L137" s="211"/>
      <c r="M137" s="211"/>
      <c r="N137" s="211"/>
      <c r="O137" s="211"/>
      <c r="P137" s="211"/>
      <c r="Q137" s="211"/>
      <c r="R137" s="211"/>
      <c r="S137" s="211"/>
      <c r="T137" s="211"/>
      <c r="U137" s="211"/>
      <c r="V137" s="211"/>
      <c r="W137" s="211"/>
      <c r="X137" s="57"/>
      <c r="Y137" s="453"/>
      <c r="Z137" s="528"/>
      <c r="AA137" s="57"/>
      <c r="AB137" s="57"/>
      <c r="AC137" s="57"/>
      <c r="AD137" s="57"/>
      <c r="AE137" s="529"/>
      <c r="AF137" s="369"/>
      <c r="AG137" s="328"/>
      <c r="AH137" s="530"/>
      <c r="AI137" s="369"/>
      <c r="AJ137" s="328"/>
      <c r="AK137" s="530"/>
      <c r="AL137" s="369"/>
      <c r="AM137" s="328"/>
      <c r="AN137" s="530"/>
      <c r="AO137" s="369"/>
      <c r="AP137" s="328"/>
      <c r="AQ137" s="530"/>
      <c r="AR137" s="369"/>
      <c r="AS137" s="328"/>
      <c r="AT137" s="530"/>
      <c r="AU137" s="369"/>
      <c r="AV137" s="233"/>
      <c r="AW137" s="222"/>
      <c r="AX137" s="189"/>
      <c r="AY137" s="222"/>
      <c r="AZ137" s="211"/>
      <c r="BA137" s="222"/>
      <c r="BB137" s="222"/>
      <c r="BC137" s="225"/>
      <c r="BD137" s="225"/>
      <c r="BE137" s="225"/>
      <c r="BF137" s="225"/>
      <c r="BG137" s="225"/>
      <c r="BH137" s="300"/>
      <c r="BI137" s="300"/>
      <c r="BJ137" s="300"/>
      <c r="BK137" s="522"/>
      <c r="BL137" s="522"/>
      <c r="BM137" s="522"/>
    </row>
    <row r="138" spans="1:90" s="212" customFormat="1" ht="19.5" customHeight="1" x14ac:dyDescent="0.25">
      <c r="A138" s="222"/>
      <c r="B138" s="222"/>
      <c r="C138" s="282"/>
      <c r="D138" s="282"/>
      <c r="E138" s="211"/>
      <c r="F138" s="211"/>
      <c r="G138" s="211"/>
      <c r="H138" s="211"/>
      <c r="I138" s="211"/>
      <c r="J138" s="211"/>
      <c r="K138" s="211"/>
      <c r="L138" s="211"/>
      <c r="M138" s="211"/>
      <c r="N138" s="211"/>
      <c r="O138" s="211"/>
      <c r="P138" s="211"/>
      <c r="Q138" s="211"/>
      <c r="R138" s="211"/>
      <c r="S138" s="211"/>
      <c r="T138" s="211"/>
      <c r="U138" s="211"/>
      <c r="V138" s="211"/>
      <c r="W138" s="211"/>
      <c r="X138" s="57"/>
      <c r="Y138" s="453"/>
      <c r="Z138" s="528"/>
      <c r="AA138" s="57"/>
      <c r="AB138" s="57"/>
      <c r="AC138" s="57"/>
      <c r="AD138" s="529"/>
      <c r="AE138" s="369"/>
      <c r="AF138" s="328"/>
      <c r="AG138" s="530"/>
      <c r="AH138" s="369"/>
      <c r="AI138" s="328"/>
      <c r="AJ138" s="530"/>
      <c r="AK138" s="369"/>
      <c r="AL138" s="328"/>
      <c r="AM138" s="530"/>
      <c r="AN138" s="369"/>
      <c r="AO138" s="328"/>
      <c r="AP138" s="530"/>
      <c r="AQ138" s="369"/>
      <c r="AR138" s="328"/>
      <c r="AS138" s="530"/>
      <c r="AT138" s="369"/>
      <c r="AU138" s="233"/>
      <c r="AV138" s="222"/>
      <c r="AW138" s="189"/>
      <c r="AX138" s="222"/>
      <c r="AY138" s="211"/>
      <c r="AZ138" s="222"/>
      <c r="BA138" s="222"/>
      <c r="BB138" s="225"/>
      <c r="BC138" s="225"/>
      <c r="BD138" s="225"/>
      <c r="BE138" s="225"/>
      <c r="BF138" s="225"/>
      <c r="BG138" s="300"/>
      <c r="BH138" s="300"/>
      <c r="BI138" s="300"/>
      <c r="BJ138" s="522"/>
      <c r="BK138" s="522"/>
      <c r="BL138" s="522"/>
    </row>
    <row r="139" spans="1:90" s="212" customFormat="1" ht="19.5" customHeight="1" thickBot="1" x14ac:dyDescent="0.3">
      <c r="A139" s="532" t="s">
        <v>645</v>
      </c>
      <c r="B139" s="533"/>
      <c r="C139" s="310"/>
      <c r="D139" s="57"/>
      <c r="E139" s="57"/>
      <c r="F139" s="57"/>
      <c r="G139" s="57"/>
      <c r="H139" s="57"/>
      <c r="I139" s="57"/>
      <c r="J139" s="57"/>
      <c r="K139" s="57"/>
      <c r="L139" s="529"/>
      <c r="M139" s="529"/>
      <c r="N139" s="529"/>
      <c r="O139" s="530"/>
      <c r="P139" s="328"/>
      <c r="Q139" s="369"/>
      <c r="R139" s="369"/>
      <c r="S139" s="328"/>
      <c r="T139" s="369"/>
      <c r="U139" s="369"/>
      <c r="V139" s="328"/>
      <c r="W139" s="369"/>
      <c r="X139" s="369"/>
      <c r="Y139" s="328"/>
      <c r="Z139" s="369"/>
      <c r="AA139" s="369"/>
      <c r="AB139" s="328"/>
      <c r="AC139" s="369"/>
      <c r="AD139" s="369"/>
      <c r="AE139" s="328"/>
      <c r="AF139" s="233"/>
      <c r="AG139" s="222"/>
      <c r="AH139" s="189"/>
      <c r="AI139" s="222"/>
      <c r="AJ139" s="211"/>
      <c r="AK139" s="222"/>
      <c r="AL139" s="222"/>
      <c r="AM139" s="225"/>
      <c r="AN139" s="225"/>
      <c r="AO139" s="225"/>
      <c r="AP139" s="225"/>
      <c r="AQ139" s="225"/>
      <c r="AR139" s="300"/>
      <c r="AS139" s="300"/>
      <c r="AT139" s="300"/>
      <c r="AU139" s="300"/>
      <c r="AV139" s="300"/>
      <c r="AW139" s="300"/>
      <c r="AX139" s="225"/>
      <c r="AY139" s="225"/>
      <c r="AZ139" s="225"/>
      <c r="BA139" s="225"/>
      <c r="BB139" s="225"/>
      <c r="BC139" s="225"/>
      <c r="BD139" s="225"/>
      <c r="BE139" s="225"/>
      <c r="BF139" s="225"/>
      <c r="BG139" s="225"/>
      <c r="BH139" s="225"/>
      <c r="BI139" s="225"/>
      <c r="BJ139" s="225"/>
      <c r="BK139" s="225"/>
      <c r="BL139" s="225"/>
    </row>
    <row r="140" spans="1:90" ht="19.5" customHeight="1" x14ac:dyDescent="0.25">
      <c r="C140" s="534"/>
      <c r="D140" s="535"/>
      <c r="E140" s="535"/>
      <c r="F140" s="535"/>
      <c r="G140" s="535"/>
      <c r="H140" s="536"/>
      <c r="I140" s="536"/>
      <c r="J140" s="536"/>
      <c r="K140" s="536"/>
      <c r="L140" s="536"/>
      <c r="M140" s="537"/>
      <c r="N140" s="473">
        <f>$C$4</f>
        <v>6</v>
      </c>
      <c r="O140" s="293"/>
      <c r="P140" s="2005">
        <f>$D$4</f>
        <v>10</v>
      </c>
      <c r="Q140" s="2006"/>
      <c r="R140" s="2007"/>
      <c r="S140" s="2005">
        <f>$E$4</f>
        <v>18</v>
      </c>
      <c r="T140" s="2006"/>
      <c r="U140" s="2007"/>
      <c r="V140" s="2005" t="str">
        <f>$F$4</f>
        <v>6 FFF</v>
      </c>
      <c r="W140" s="2006"/>
      <c r="X140" s="2007"/>
      <c r="Y140" s="2005" t="str">
        <f>$G$4</f>
        <v>10 FFF</v>
      </c>
      <c r="Z140" s="2006"/>
      <c r="AA140" s="2033"/>
      <c r="AB140" s="1995" t="s">
        <v>16</v>
      </c>
      <c r="AC140" s="1996"/>
      <c r="AD140" s="1997"/>
      <c r="AE140" s="538"/>
      <c r="AF140" s="538"/>
      <c r="AG140" s="538"/>
      <c r="AH140" s="538"/>
    </row>
    <row r="141" spans="1:90" s="212" customFormat="1" ht="19.5" customHeight="1" x14ac:dyDescent="0.25">
      <c r="A141" s="415" t="s">
        <v>50</v>
      </c>
      <c r="B141" s="415" t="s">
        <v>15</v>
      </c>
      <c r="C141" s="539" t="s">
        <v>25</v>
      </c>
      <c r="D141" s="402" t="s">
        <v>158</v>
      </c>
      <c r="E141" s="310"/>
      <c r="F141" s="540"/>
      <c r="G141" s="541" t="s">
        <v>529</v>
      </c>
      <c r="H141" s="301" t="s">
        <v>524</v>
      </c>
      <c r="I141" s="542"/>
      <c r="J141" s="541" t="s">
        <v>77</v>
      </c>
      <c r="K141" s="541"/>
      <c r="L141" s="543"/>
      <c r="M141" s="1998" t="s">
        <v>216</v>
      </c>
      <c r="N141" s="301" t="s">
        <v>206</v>
      </c>
      <c r="O141" s="301" t="s">
        <v>16</v>
      </c>
      <c r="P141" s="1998" t="s">
        <v>216</v>
      </c>
      <c r="Q141" s="301" t="s">
        <v>206</v>
      </c>
      <c r="R141" s="301" t="s">
        <v>16</v>
      </c>
      <c r="S141" s="1998" t="s">
        <v>216</v>
      </c>
      <c r="T141" s="301" t="s">
        <v>206</v>
      </c>
      <c r="U141" s="301" t="s">
        <v>16</v>
      </c>
      <c r="V141" s="1998" t="s">
        <v>216</v>
      </c>
      <c r="W141" s="301" t="s">
        <v>206</v>
      </c>
      <c r="X141" s="301" t="s">
        <v>16</v>
      </c>
      <c r="Y141" s="1998" t="s">
        <v>216</v>
      </c>
      <c r="Z141" s="301" t="s">
        <v>206</v>
      </c>
      <c r="AA141" s="304" t="s">
        <v>16</v>
      </c>
      <c r="AB141" s="544" t="s">
        <v>23</v>
      </c>
      <c r="AC141" s="1993" t="s">
        <v>178</v>
      </c>
      <c r="AD141" s="1994"/>
      <c r="AE141" s="538"/>
      <c r="AF141" s="538"/>
      <c r="AG141" s="538"/>
      <c r="AH141" s="538"/>
      <c r="AI141" s="538"/>
      <c r="AJ141" s="538"/>
      <c r="AK141" s="538"/>
      <c r="AL141" s="538"/>
      <c r="AM141" s="538"/>
      <c r="AN141" s="538"/>
      <c r="AO141" s="538"/>
      <c r="AP141" s="538"/>
      <c r="AQ141" s="538"/>
      <c r="AR141" s="538"/>
      <c r="AS141" s="545"/>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69"/>
      <c r="BO141" s="233"/>
      <c r="BP141" s="233"/>
      <c r="BQ141" s="222"/>
      <c r="BR141" s="233"/>
      <c r="BS141" s="222"/>
      <c r="BT141" s="211"/>
      <c r="BU141" s="222"/>
      <c r="BV141" s="222"/>
      <c r="BW141" s="225"/>
      <c r="BX141" s="225"/>
      <c r="BY141" s="225"/>
      <c r="BZ141" s="225"/>
      <c r="CA141" s="225"/>
      <c r="CB141" s="300"/>
      <c r="CC141" s="300"/>
      <c r="CD141" s="300"/>
      <c r="CE141" s="522"/>
      <c r="CF141" s="522"/>
      <c r="CG141" s="522"/>
    </row>
    <row r="142" spans="1:90" s="212" customFormat="1" ht="19.5" customHeight="1" thickBot="1" x14ac:dyDescent="0.3">
      <c r="A142" s="308"/>
      <c r="B142" s="308"/>
      <c r="C142" s="546"/>
      <c r="D142" s="313" t="s">
        <v>383</v>
      </c>
      <c r="E142" s="313" t="s">
        <v>384</v>
      </c>
      <c r="F142" s="313" t="s">
        <v>385</v>
      </c>
      <c r="G142" s="541" t="s">
        <v>28</v>
      </c>
      <c r="H142" s="312" t="s">
        <v>528</v>
      </c>
      <c r="I142" s="542" t="s">
        <v>2</v>
      </c>
      <c r="J142" s="547" t="s">
        <v>61</v>
      </c>
      <c r="K142" s="541" t="s">
        <v>3</v>
      </c>
      <c r="L142" s="547" t="s">
        <v>22</v>
      </c>
      <c r="M142" s="1999"/>
      <c r="N142" s="314" t="s">
        <v>207</v>
      </c>
      <c r="O142" s="315" t="s">
        <v>174</v>
      </c>
      <c r="P142" s="1999"/>
      <c r="Q142" s="314" t="s">
        <v>207</v>
      </c>
      <c r="R142" s="315" t="s">
        <v>174</v>
      </c>
      <c r="S142" s="1999"/>
      <c r="T142" s="314" t="s">
        <v>207</v>
      </c>
      <c r="U142" s="315" t="s">
        <v>174</v>
      </c>
      <c r="V142" s="1999"/>
      <c r="W142" s="314" t="s">
        <v>207</v>
      </c>
      <c r="X142" s="315" t="s">
        <v>174</v>
      </c>
      <c r="Y142" s="1999"/>
      <c r="Z142" s="314" t="s">
        <v>207</v>
      </c>
      <c r="AA142" s="178" t="s">
        <v>174</v>
      </c>
      <c r="AB142" s="548" t="s">
        <v>173</v>
      </c>
      <c r="AC142" s="679" t="s">
        <v>173</v>
      </c>
      <c r="AD142" s="550" t="s">
        <v>166</v>
      </c>
      <c r="AE142" s="538"/>
      <c r="AF142" s="538"/>
      <c r="AG142" s="538"/>
      <c r="AH142" s="538"/>
      <c r="AI142" s="551"/>
      <c r="AJ142" s="538"/>
      <c r="AK142" s="538"/>
      <c r="AL142" s="538"/>
      <c r="AM142" s="538"/>
      <c r="AN142" s="538"/>
      <c r="AO142" s="538"/>
      <c r="AP142" s="538"/>
      <c r="AQ142" s="538"/>
      <c r="AR142" s="538"/>
      <c r="AS142" s="538"/>
      <c r="AT142" s="538"/>
      <c r="AU142" s="538"/>
      <c r="AV142" s="538"/>
      <c r="AW142" s="538"/>
      <c r="AX142" s="545"/>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69"/>
      <c r="BT142" s="233"/>
      <c r="BU142" s="233"/>
      <c r="BV142" s="222"/>
      <c r="BW142" s="233"/>
      <c r="BX142" s="222"/>
      <c r="BY142" s="211"/>
      <c r="BZ142" s="222"/>
      <c r="CA142" s="222"/>
      <c r="CB142" s="225"/>
      <c r="CC142" s="225"/>
      <c r="CD142" s="225"/>
      <c r="CE142" s="225"/>
      <c r="CF142" s="225"/>
      <c r="CG142" s="300"/>
      <c r="CH142" s="300"/>
      <c r="CI142" s="300"/>
      <c r="CJ142" s="522"/>
      <c r="CK142" s="522"/>
      <c r="CL142" s="522"/>
    </row>
    <row r="143" spans="1:90" s="212" customFormat="1" ht="19.5" hidden="1" customHeight="1" thickBot="1" x14ac:dyDescent="0.3">
      <c r="A143" s="694"/>
      <c r="B143" s="694"/>
      <c r="C143" s="584"/>
      <c r="D143" s="695"/>
      <c r="E143" s="695"/>
      <c r="F143" s="695"/>
      <c r="G143" s="722"/>
      <c r="H143" s="694"/>
      <c r="I143" s="723"/>
      <c r="J143" s="724"/>
      <c r="K143" s="722"/>
      <c r="L143" s="724"/>
      <c r="M143" s="695"/>
      <c r="N143" s="97"/>
      <c r="O143" s="58"/>
      <c r="P143" s="695"/>
      <c r="Q143" s="97"/>
      <c r="R143" s="58"/>
      <c r="S143" s="695"/>
      <c r="T143" s="97"/>
      <c r="U143" s="58"/>
      <c r="V143" s="695"/>
      <c r="W143" s="97"/>
      <c r="X143" s="58"/>
      <c r="Y143" s="695"/>
      <c r="Z143" s="97"/>
      <c r="AA143" s="90"/>
      <c r="AB143" s="319"/>
      <c r="AC143" s="320"/>
      <c r="AD143" s="321"/>
      <c r="AE143" s="538"/>
      <c r="AF143" s="538"/>
      <c r="AG143" s="538"/>
      <c r="AH143" s="538"/>
      <c r="AI143" s="551"/>
      <c r="AJ143" s="538"/>
      <c r="AK143" s="538"/>
      <c r="AL143" s="538"/>
      <c r="AM143" s="538"/>
      <c r="AN143" s="538"/>
      <c r="AO143" s="538"/>
      <c r="AP143" s="538"/>
      <c r="AQ143" s="538"/>
      <c r="AR143" s="538"/>
      <c r="AS143" s="538"/>
      <c r="AT143" s="538"/>
      <c r="AU143" s="538"/>
      <c r="AV143" s="538"/>
      <c r="AW143" s="538"/>
      <c r="AX143" s="545"/>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69"/>
      <c r="BT143" s="233"/>
      <c r="BU143" s="233"/>
      <c r="BV143" s="222"/>
      <c r="BW143" s="233"/>
      <c r="BX143" s="222"/>
      <c r="BY143" s="211"/>
      <c r="BZ143" s="222"/>
      <c r="CA143" s="222"/>
      <c r="CB143" s="225"/>
      <c r="CC143" s="225"/>
      <c r="CD143" s="225"/>
      <c r="CE143" s="225"/>
      <c r="CF143" s="225"/>
      <c r="CG143" s="300"/>
      <c r="CH143" s="300"/>
      <c r="CI143" s="300"/>
      <c r="CJ143" s="522"/>
      <c r="CK143" s="522"/>
      <c r="CL143" s="522"/>
    </row>
    <row r="144" spans="1:90" s="212" customFormat="1" ht="30" customHeight="1" x14ac:dyDescent="0.25">
      <c r="A144" s="552"/>
      <c r="B144" s="322"/>
      <c r="C144" s="323" t="s">
        <v>569</v>
      </c>
      <c r="D144" s="1836">
        <v>1</v>
      </c>
      <c r="E144" s="89"/>
      <c r="F144" s="89"/>
      <c r="G144" s="89"/>
      <c r="H144" s="1836">
        <v>0.25</v>
      </c>
      <c r="I144" s="1836">
        <v>250</v>
      </c>
      <c r="J144" s="1836">
        <v>0</v>
      </c>
      <c r="K144" s="1836">
        <v>0</v>
      </c>
      <c r="L144" s="1836">
        <v>0</v>
      </c>
      <c r="M144" s="91">
        <f>IF($I144=0,0,1+($I144-$C$21)/$C$22)+$J144/$C$23+$K144/$C$24+$L144/$C$25</f>
        <v>7.4545454545454541</v>
      </c>
      <c r="N144" s="92">
        <f t="shared" ref="N144:N162" si="17">10^(-M144)</f>
        <v>3.5111917342151263E-8</v>
      </c>
      <c r="O144" s="93">
        <f>$C$7*$C$14*$C$8*$H144/$D144^2*N144*10^6</f>
        <v>7.022383468430253E-2</v>
      </c>
      <c r="P144" s="91">
        <f>IF($I144=0,0,1+($I144-$D$21)/$D$22)+$J144/$D$23+$K144/$D$24+$L144/$D$25</f>
        <v>6.6486486486486482</v>
      </c>
      <c r="Q144" s="92">
        <f t="shared" ref="Q144:Q162" si="18">10^(-P144)</f>
        <v>2.2456979955397711E-7</v>
      </c>
      <c r="R144" s="93">
        <f>$C$7*$D$14*$D$8*$H144/$D144^2*$Q144*10^6</f>
        <v>0.4491395991079542</v>
      </c>
      <c r="S144" s="93">
        <f>IF($I144=0,0,1+(I144-$E$21)/$E$22)+$J144/$E$23+K144/$E$24+$L144/$E$25</f>
        <v>5.7674418604651159</v>
      </c>
      <c r="T144" s="92">
        <f t="shared" ref="T144:T162" si="19">10^(-S144)</f>
        <v>1.7082763938087111E-6</v>
      </c>
      <c r="U144" s="93">
        <f>$C$7*$E$14*$E$8*$H144/$D144^2*$T144*10^6</f>
        <v>3.4165527876174222</v>
      </c>
      <c r="V144" s="93">
        <f>IF($I144=0,0,1+(I144-$F$21)/$F$22)+$J144/$F$23+K144/$F$24+$L144/$F$25</f>
        <v>9.1481481481481488</v>
      </c>
      <c r="W144" s="92">
        <f t="shared" ref="W144:W162" si="20">10^(-V144)</f>
        <v>7.1097094323124171E-10</v>
      </c>
      <c r="X144" s="93">
        <f>$C$7*$F$14*$F$8*$H144/$D144^2*$W144*10^6</f>
        <v>1.4219418864624834E-3</v>
      </c>
      <c r="Y144" s="93">
        <f>IF($I144=0,0,1+(I144-$G$21)/$G$22)+$J144/$G$23+K144/$G$24+$L144/$G$25</f>
        <v>6.9444444444444446</v>
      </c>
      <c r="Z144" s="92">
        <f t="shared" ref="Z144:Z162" si="21">10^(-Y144)</f>
        <v>1.136463666385722E-7</v>
      </c>
      <c r="AA144" s="94">
        <f>$C$7*$G$14*$G$8*$H144/$D144^2*$Z144*10^6</f>
        <v>0.22729273327714439</v>
      </c>
      <c r="AB144" s="553">
        <f>SUM(O144,R144,U144,X144,AA144)</f>
        <v>4.1646308965732857</v>
      </c>
      <c r="AC144" s="554"/>
      <c r="AD144" s="555"/>
      <c r="AE144" s="538"/>
      <c r="AF144" s="538"/>
      <c r="AG144" s="538"/>
      <c r="AH144" s="556"/>
      <c r="AI144" s="551"/>
      <c r="AJ144" s="551"/>
      <c r="AK144" s="551"/>
      <c r="AL144" s="538"/>
      <c r="AM144" s="538"/>
      <c r="AN144" s="538"/>
      <c r="AO144" s="538"/>
      <c r="AP144" s="538"/>
      <c r="AQ144" s="538"/>
      <c r="AR144" s="538"/>
      <c r="AS144" s="538"/>
      <c r="AT144" s="538"/>
      <c r="AU144" s="538"/>
      <c r="AV144" s="538"/>
      <c r="AW144" s="538"/>
      <c r="AX144" s="545"/>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69"/>
      <c r="BT144" s="233"/>
      <c r="BU144" s="233"/>
      <c r="BV144" s="222"/>
      <c r="BW144" s="222"/>
      <c r="BX144" s="222"/>
      <c r="BY144" s="211"/>
      <c r="BZ144" s="222"/>
      <c r="CA144" s="222"/>
      <c r="CB144" s="225"/>
      <c r="CC144" s="225"/>
      <c r="CD144" s="225"/>
      <c r="CE144" s="225"/>
      <c r="CF144" s="225"/>
      <c r="CG144" s="300"/>
      <c r="CH144" s="300"/>
      <c r="CI144" s="300"/>
      <c r="CJ144" s="522"/>
      <c r="CK144" s="522"/>
      <c r="CL144" s="522"/>
    </row>
    <row r="145" spans="1:90" s="212" customFormat="1" ht="30" customHeight="1" x14ac:dyDescent="0.25">
      <c r="A145" s="557" t="str">
        <f>Samenvatting!A332</f>
        <v>T1</v>
      </c>
      <c r="B145" s="558" t="str">
        <f>Samenvatting!B332</f>
        <v>terreingrens 1</v>
      </c>
      <c r="C145" s="331" t="s">
        <v>568</v>
      </c>
      <c r="D145" s="1836">
        <v>25</v>
      </c>
      <c r="E145" s="89"/>
      <c r="F145" s="89"/>
      <c r="G145" s="89"/>
      <c r="H145" s="559"/>
      <c r="I145" s="1836">
        <v>250</v>
      </c>
      <c r="J145" s="1836">
        <v>0</v>
      </c>
      <c r="K145" s="1836">
        <v>0</v>
      </c>
      <c r="L145" s="1836">
        <v>0</v>
      </c>
      <c r="M145" s="93">
        <f>$I145/$C$27+$J145/$C$28+K145/$C$29+$L145/$C$30</f>
        <v>7.3529411764705879</v>
      </c>
      <c r="N145" s="92">
        <f t="shared" si="17"/>
        <v>4.4366873309786093E-8</v>
      </c>
      <c r="O145" s="93">
        <f>$C$7*$C$15*$C$8*($C$9+$C$10*$C$11)/$D145^2*$N145*10^6</f>
        <v>4.2592198377394652E-5</v>
      </c>
      <c r="P145" s="93">
        <f>$I145/$D$27+$J145/$D$28+K145/$D$29+$L145/$D$30</f>
        <v>6.5789473684210522</v>
      </c>
      <c r="Q145" s="92">
        <f t="shared" si="18"/>
        <v>2.636650898730358E-7</v>
      </c>
      <c r="R145" s="93">
        <f>$C$7*$C$15*$D$8*($D$9+$D$10*$D$11)/$D145^2*$Q145*10^6</f>
        <v>2.5311848627811444E-4</v>
      </c>
      <c r="S145" s="93">
        <f>$I145/$E$27+$J145/$E$28+K145/$E$29+$L145/$E$30</f>
        <v>5.6818181818181817</v>
      </c>
      <c r="T145" s="92">
        <f t="shared" si="19"/>
        <v>2.0805675382171676E-6</v>
      </c>
      <c r="U145" s="93">
        <f>$C$7*$C$15*$E$8*($E$9+$E$10*$E$11)/$D145^2*$T145*10^6</f>
        <v>1.9973448366884814E-3</v>
      </c>
      <c r="V145" s="93">
        <f>$I145/$F$27+$J145/$F$28+K145/$F$29+$L145/$F$30</f>
        <v>8.1967213114754092</v>
      </c>
      <c r="W145" s="92">
        <f t="shared" si="20"/>
        <v>6.3573875711648393E-9</v>
      </c>
      <c r="X145" s="93">
        <f>$C$7*$C$15*$F$8*($F$9+$F$10*$F$11)/$D145^2*$W145*10^6</f>
        <v>6.1030920683182469E-6</v>
      </c>
      <c r="Y145" s="93">
        <f>$I145/$G$27+$J145/$G$28+K145/$G$29+$L145/$G$30</f>
        <v>7.0224719101123592</v>
      </c>
      <c r="Z145" s="92">
        <f t="shared" si="21"/>
        <v>9.4957241494880226E-8</v>
      </c>
      <c r="AA145" s="94">
        <f>$C$7*$C$15*$G$8*($G$9+$G$10*$G$11)/$D145^2*$Z145*10^6</f>
        <v>9.1158951835085031E-5</v>
      </c>
      <c r="AB145" s="560">
        <f>SUM(O145,R145,U145,X145,AA145)</f>
        <v>2.3903175652473939E-3</v>
      </c>
      <c r="AC145" s="561">
        <f>SUM(AB143:AB148)</f>
        <v>4.1670929152189826</v>
      </c>
      <c r="AD145" s="562">
        <f>AC145*52/10^3</f>
        <v>0.2166888315913871</v>
      </c>
      <c r="AE145" s="538"/>
      <c r="AF145" s="538"/>
      <c r="AG145" s="538"/>
      <c r="AH145" s="556"/>
      <c r="AI145" s="563"/>
      <c r="AJ145" s="551"/>
      <c r="AK145" s="551"/>
      <c r="AL145" s="538"/>
      <c r="AM145" s="538"/>
      <c r="AN145" s="538"/>
      <c r="AO145" s="538"/>
      <c r="AP145" s="538"/>
      <c r="AQ145" s="538"/>
      <c r="AR145" s="538"/>
      <c r="AS145" s="538"/>
      <c r="AT145" s="538"/>
      <c r="AU145" s="538"/>
      <c r="AV145" s="538"/>
      <c r="AW145" s="538"/>
      <c r="AX145" s="545"/>
      <c r="AY145" s="545"/>
      <c r="AZ145" s="545"/>
      <c r="BA145" s="545"/>
      <c r="BB145" s="328"/>
      <c r="BC145" s="328"/>
      <c r="BD145" s="328"/>
      <c r="BE145" s="328"/>
      <c r="BF145" s="328"/>
      <c r="BG145" s="328"/>
      <c r="BH145" s="328"/>
      <c r="BI145" s="328"/>
      <c r="BJ145" s="328"/>
      <c r="BK145" s="328"/>
      <c r="BL145" s="328"/>
      <c r="BM145" s="328"/>
      <c r="BN145" s="328"/>
      <c r="BO145" s="328"/>
      <c r="BP145" s="328"/>
      <c r="BQ145" s="328"/>
      <c r="BR145" s="328"/>
      <c r="BS145" s="369"/>
      <c r="BT145" s="233"/>
      <c r="BU145" s="233"/>
      <c r="BV145" s="222"/>
      <c r="BW145" s="222"/>
      <c r="BX145" s="222"/>
      <c r="BY145" s="211"/>
      <c r="BZ145" s="222"/>
      <c r="CA145" s="222"/>
      <c r="CB145" s="225"/>
      <c r="CC145" s="225"/>
      <c r="CD145" s="225"/>
      <c r="CE145" s="225"/>
      <c r="CF145" s="225"/>
      <c r="CG145" s="300"/>
      <c r="CH145" s="300"/>
      <c r="CI145" s="300"/>
      <c r="CJ145" s="522"/>
      <c r="CK145" s="522"/>
      <c r="CL145" s="522"/>
    </row>
    <row r="146" spans="1:90" s="212" customFormat="1" ht="30" customHeight="1" x14ac:dyDescent="0.25">
      <c r="A146" s="557"/>
      <c r="B146" s="558"/>
      <c r="C146" s="331" t="s">
        <v>26</v>
      </c>
      <c r="D146" s="564"/>
      <c r="E146" s="1836">
        <v>11</v>
      </c>
      <c r="F146" s="89">
        <f>D145</f>
        <v>25</v>
      </c>
      <c r="G146" s="1836">
        <v>15</v>
      </c>
      <c r="H146" s="1836">
        <v>0.25</v>
      </c>
      <c r="I146" s="1836">
        <v>210</v>
      </c>
      <c r="J146" s="1836">
        <v>0</v>
      </c>
      <c r="K146" s="1836">
        <v>0</v>
      </c>
      <c r="L146" s="1836">
        <v>0</v>
      </c>
      <c r="M146" s="93">
        <f>IF($I146=0,0,1+(I146-$C$21)/$C$22)+$J146/$C$23+K146/$C$24+$L146/$C$25</f>
        <v>6.2424242424242422</v>
      </c>
      <c r="N146" s="92">
        <f t="shared" si="17"/>
        <v>5.722367659350211E-7</v>
      </c>
      <c r="O146" s="95">
        <f>2.5*0.01*$C$7*$C$14*$C$8*$H146*(2*PI()*(1-COS($G146/180*PI())))^1.3/$E146^2/$F146^2*N146*10^6</f>
        <v>5.101138747051231E-8</v>
      </c>
      <c r="P146" s="91">
        <f>IF($I146=0,0,1+($I146-$D$21)/$D$22)+$J146/$D$23+$K146/$D$24+$L146/$D$25</f>
        <v>5.5675675675675675</v>
      </c>
      <c r="Q146" s="92">
        <f t="shared" si="18"/>
        <v>2.7066520700332395E-6</v>
      </c>
      <c r="R146" s="95">
        <f>2.5*0.01*$C$7*$D$14*$D$8*$H146*(2*PI()*(1-COS($G146/180*PI())))^1.3/$E146^2/$F146^2*Q146*10^6</f>
        <v>2.4128138160910826E-7</v>
      </c>
      <c r="S146" s="93">
        <f>IF($I146=0,0,1+(I146-$E$21)/$E$22)+$J146/$E$23+K146/$E$24+$L146/$E$25</f>
        <v>4.8372093023255811</v>
      </c>
      <c r="T146" s="92">
        <f t="shared" si="19"/>
        <v>1.4547578108480478E-5</v>
      </c>
      <c r="U146" s="95">
        <f>2.5*0.01*$C$7*$E$14*$E$8*$H146*(2*PI()*(1-COS($G146/180*PI())))^1.3/$E146^2/$F146^2*T146*10^6</f>
        <v>1.2968270964496306E-6</v>
      </c>
      <c r="V146" s="93">
        <f>IF($I146=0,0,1+(I146-$F$21)/$F$22)+$J146/$F$23+K146/$F$24+$L146/$F$25</f>
        <v>7.666666666666667</v>
      </c>
      <c r="W146" s="92">
        <f t="shared" si="20"/>
        <v>2.1544346900318783E-8</v>
      </c>
      <c r="X146" s="95">
        <f>2.5*0.01*$C$7*$F$14*$F$8*$H146*(2*PI()*(1-COS($G146/180*PI())))^1.3/$E146^2/$F146^2*W146*10^6</f>
        <v>1.920545992418962E-9</v>
      </c>
      <c r="Y146" s="93">
        <f>IF($I146=0,0,1+(I146-$G$21)/$G$22)+$J146/$G$23+K146/$G$24+$L146/$G$25</f>
        <v>5.833333333333333</v>
      </c>
      <c r="Z146" s="92">
        <f t="shared" si="21"/>
        <v>1.4677992676220696E-6</v>
      </c>
      <c r="AA146" s="96">
        <f>2.5*0.01*$C$7*$G$14*$G$8*$H146*(2*PI()*(1-COS($G146/180*PI())))^1.3/$E146^2/$F146^2*Z146*10^6</f>
        <v>1.3084527528960935E-7</v>
      </c>
      <c r="AB146" s="560">
        <f>SUM(O146,R146,U146,X146,AA146)</f>
        <v>1.7218856868112794E-6</v>
      </c>
      <c r="AC146" s="565"/>
      <c r="AD146" s="566"/>
      <c r="AE146" s="538"/>
      <c r="AF146" s="538"/>
      <c r="AG146" s="567"/>
      <c r="AH146" s="538"/>
      <c r="AI146" s="563"/>
      <c r="AJ146" s="545"/>
      <c r="AK146" s="545"/>
      <c r="AL146" s="538"/>
      <c r="AM146" s="538"/>
      <c r="AN146" s="538"/>
      <c r="AO146" s="538"/>
      <c r="AP146" s="538"/>
      <c r="AQ146" s="538"/>
      <c r="AR146" s="538"/>
      <c r="AS146" s="538"/>
      <c r="AT146" s="538"/>
      <c r="AU146" s="538"/>
      <c r="AV146" s="538"/>
      <c r="AW146" s="538"/>
      <c r="AX146" s="545"/>
      <c r="AY146" s="545"/>
      <c r="AZ146" s="545"/>
      <c r="BA146" s="545"/>
      <c r="BB146" s="328"/>
      <c r="BC146" s="328"/>
      <c r="BD146" s="328"/>
      <c r="BE146" s="328"/>
      <c r="BF146" s="328"/>
      <c r="BG146" s="328"/>
      <c r="BH146" s="328"/>
      <c r="BI146" s="328"/>
      <c r="BJ146" s="328"/>
      <c r="BK146" s="328"/>
      <c r="BL146" s="328"/>
      <c r="BM146" s="328"/>
      <c r="BN146" s="328"/>
      <c r="BO146" s="328"/>
      <c r="BP146" s="328"/>
      <c r="BQ146" s="328"/>
      <c r="BR146" s="328"/>
      <c r="BS146" s="369"/>
      <c r="BT146" s="233"/>
      <c r="BU146" s="233"/>
      <c r="BV146" s="222"/>
      <c r="BW146" s="222"/>
      <c r="BX146" s="222"/>
      <c r="BY146" s="211"/>
      <c r="BZ146" s="222"/>
      <c r="CA146" s="222"/>
      <c r="CB146" s="225"/>
      <c r="CC146" s="225"/>
      <c r="CD146" s="225"/>
      <c r="CE146" s="225"/>
      <c r="CF146" s="225"/>
      <c r="CG146" s="300"/>
      <c r="CH146" s="300"/>
      <c r="CI146" s="300"/>
      <c r="CJ146" s="522"/>
      <c r="CK146" s="522"/>
      <c r="CL146" s="522"/>
    </row>
    <row r="147" spans="1:90" s="538" customFormat="1" ht="30" customHeight="1" thickBot="1" x14ac:dyDescent="0.3">
      <c r="A147" s="557"/>
      <c r="B147" s="558"/>
      <c r="C147" s="331" t="s">
        <v>27</v>
      </c>
      <c r="D147" s="89"/>
      <c r="E147" s="1836">
        <v>10</v>
      </c>
      <c r="F147" s="89"/>
      <c r="G147" s="1836">
        <v>60</v>
      </c>
      <c r="H147" s="568"/>
      <c r="I147" s="1836">
        <v>190</v>
      </c>
      <c r="J147" s="1836">
        <v>0</v>
      </c>
      <c r="K147" s="1836">
        <v>0</v>
      </c>
      <c r="L147" s="1836">
        <v>0</v>
      </c>
      <c r="M147" s="93">
        <f>$I147/$C$27+$J147/$C$28+K147/$C$29+$L147/$C$30</f>
        <v>5.5882352941176467</v>
      </c>
      <c r="N147" s="92">
        <f t="shared" si="17"/>
        <v>2.580861540418073E-6</v>
      </c>
      <c r="O147" s="95">
        <f>2.5*0.01*$C$7*$C$15*$C$8*($C$9+$C$10*$C$11)*(2*PI()*(1-COS($G147/180*PI())))^1.3/E$147^2/$F146^2*N147*10^6</f>
        <v>2.7432840731901286E-6</v>
      </c>
      <c r="P147" s="93">
        <f>$I147/$D$27+$J147/$D$28+K147/$D$29+$L147/$D$30</f>
        <v>5</v>
      </c>
      <c r="Q147" s="92">
        <f t="shared" si="18"/>
        <v>1.0000000000000001E-5</v>
      </c>
      <c r="R147" s="95">
        <f>2.5*0.01*$C$7*$C$15*$D$8*($D$9+$D$10*$D$11)*(2*PI()*(1-COS($G147/180*PI())))^1.3/$E147^2/$F146^2*Q147*10^6</f>
        <v>1.0629334546733355E-5</v>
      </c>
      <c r="S147" s="93">
        <f>$I147/$E$27+$J147/$E$28+K147/$E$29+$L147/$E$30</f>
        <v>4.3181818181818183</v>
      </c>
      <c r="T147" s="92">
        <f t="shared" si="19"/>
        <v>4.8063808630643867E-5</v>
      </c>
      <c r="U147" s="95">
        <f>2.5*0.01*$C$7*$C$15*$E$8*($E$9+$E$10*$E$11)*(2*PI()*(1-COS($G147/180*PI())))^1.3/$E147^2/$F146^2*T147*10^6</f>
        <v>5.1088630152528366E-5</v>
      </c>
      <c r="V147" s="93">
        <f>$I147/$F$27+$J147/$F$28+K147/$F$29+$L147/$F$30</f>
        <v>6.2295081967213113</v>
      </c>
      <c r="W147" s="92">
        <f t="shared" si="20"/>
        <v>5.8951085074002664E-7</v>
      </c>
      <c r="X147" s="95">
        <f>2.5*0.01*$C$7*$C$15*$F$8*($F$9+$F$10*$F$11)*(2*PI()*(1-COS($G147/180*PI())))^1.3/$E147^2/$F146^2*W147*10^6</f>
        <v>6.2661080514451354E-7</v>
      </c>
      <c r="Y147" s="93">
        <f>$I147/$G$27+$J147/$G$28+K147/$G$29+$L147/$G$30</f>
        <v>5.3370786516853927</v>
      </c>
      <c r="Z147" s="92">
        <f t="shared" si="21"/>
        <v>4.6017322765137984E-6</v>
      </c>
      <c r="AA147" s="96">
        <f>2.5*0.01*$C$7*$C$15*$G$8*($G$9+$G$10*$G$11)*(2*PI()*(1-COS($G147/180*PI())))^1.3/$E147^2/$F146^2*Z147*10^6</f>
        <v>4.891335186156605E-6</v>
      </c>
      <c r="AB147" s="569">
        <f>SUM(O147,R147,U147,X147,AA147)</f>
        <v>6.9979194763752965E-5</v>
      </c>
      <c r="AC147" s="570"/>
      <c r="AD147" s="571"/>
      <c r="AH147" s="572"/>
      <c r="AI147" s="573"/>
      <c r="AJ147" s="563"/>
      <c r="AK147" s="551"/>
      <c r="AX147" s="545"/>
      <c r="AY147" s="545"/>
      <c r="AZ147" s="545"/>
      <c r="BA147" s="545"/>
      <c r="BB147" s="545"/>
      <c r="BC147" s="545"/>
      <c r="BD147" s="545"/>
      <c r="BE147" s="545"/>
      <c r="BF147" s="545"/>
      <c r="BG147" s="545"/>
      <c r="BH147" s="545"/>
      <c r="BI147" s="545"/>
      <c r="BJ147" s="545"/>
      <c r="BK147" s="545"/>
      <c r="BL147" s="545"/>
      <c r="BM147" s="545"/>
      <c r="BN147" s="545"/>
      <c r="BO147" s="545"/>
      <c r="BP147" s="545"/>
      <c r="BQ147" s="545"/>
      <c r="BR147" s="545"/>
      <c r="BS147" s="545"/>
      <c r="BT147" s="545"/>
      <c r="BU147" s="545"/>
      <c r="BV147" s="545"/>
      <c r="BW147" s="545"/>
      <c r="BX147" s="545"/>
      <c r="BY147" s="545"/>
      <c r="BZ147" s="545"/>
    </row>
    <row r="148" spans="1:90" s="212" customFormat="1" ht="30" hidden="1" customHeight="1" thickBot="1" x14ac:dyDescent="0.3">
      <c r="A148" s="574"/>
      <c r="B148" s="575"/>
      <c r="C148" s="576"/>
      <c r="D148" s="89"/>
      <c r="E148" s="89"/>
      <c r="F148" s="89"/>
      <c r="G148" s="89"/>
      <c r="H148" s="1837"/>
      <c r="I148" s="1837"/>
      <c r="J148" s="1837"/>
      <c r="K148" s="1837"/>
      <c r="L148" s="1837"/>
      <c r="M148" s="91"/>
      <c r="N148" s="97"/>
      <c r="O148" s="98"/>
      <c r="P148" s="91"/>
      <c r="Q148" s="97"/>
      <c r="R148" s="98"/>
      <c r="S148" s="91"/>
      <c r="T148" s="97"/>
      <c r="U148" s="98"/>
      <c r="V148" s="91"/>
      <c r="W148" s="97"/>
      <c r="X148" s="98"/>
      <c r="Y148" s="91"/>
      <c r="Z148" s="97"/>
      <c r="AA148" s="99"/>
      <c r="AB148" s="577"/>
      <c r="AC148" s="578"/>
      <c r="AD148" s="579"/>
      <c r="AH148" s="580"/>
      <c r="AI148" s="581"/>
      <c r="AJ148" s="282"/>
      <c r="AK148" s="300"/>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row>
    <row r="149" spans="1:90" s="212" customFormat="1" ht="30" customHeight="1" x14ac:dyDescent="0.25">
      <c r="A149" s="552"/>
      <c r="B149" s="322"/>
      <c r="C149" s="323" t="s">
        <v>569</v>
      </c>
      <c r="D149" s="1836">
        <v>1</v>
      </c>
      <c r="E149" s="89"/>
      <c r="F149" s="89"/>
      <c r="G149" s="89"/>
      <c r="H149" s="1836">
        <v>0.25</v>
      </c>
      <c r="I149" s="1836">
        <v>250</v>
      </c>
      <c r="J149" s="1836">
        <v>0</v>
      </c>
      <c r="K149" s="1836">
        <v>0</v>
      </c>
      <c r="L149" s="1836">
        <v>0</v>
      </c>
      <c r="M149" s="91">
        <f>IF($I149=0,0,1+($I149-$C$21)/$C$22)+$J149/$C$23+$K149/$C$24+$L149/$C$25</f>
        <v>7.4545454545454541</v>
      </c>
      <c r="N149" s="92">
        <f t="shared" si="17"/>
        <v>3.5111917342151263E-8</v>
      </c>
      <c r="O149" s="93">
        <f>$C$7*$C$14*$C$8*$H149/$D149^2*N149*10^6</f>
        <v>7.022383468430253E-2</v>
      </c>
      <c r="P149" s="91">
        <f>IF($I149=0,0,1+($I149-$D$21)/$D$22)+$J149/$D$23+$K149/$D$24+$L149/$D$25</f>
        <v>6.6486486486486482</v>
      </c>
      <c r="Q149" s="92">
        <f t="shared" si="18"/>
        <v>2.2456979955397711E-7</v>
      </c>
      <c r="R149" s="93">
        <f>$C$7*$D$14*$D$8*$H149/$D149^2*$Q149*10^6</f>
        <v>0.4491395991079542</v>
      </c>
      <c r="S149" s="93">
        <f>IF($I149=0,0,1+(I149-$E$21)/$E$22)+$J149/$E$23+K149/$E$24+$L149/$E$25</f>
        <v>5.7674418604651159</v>
      </c>
      <c r="T149" s="92">
        <f t="shared" si="19"/>
        <v>1.7082763938087111E-6</v>
      </c>
      <c r="U149" s="93">
        <f>$C$7*$E$14*$E$8*$H149/$D149^2*$T149*10^6</f>
        <v>3.4165527876174222</v>
      </c>
      <c r="V149" s="93">
        <f>IF($I149=0,0,1+(I149-$F$21)/$F$22)+$J149/$F$23+K149/$F$24+$L149/$F$25</f>
        <v>9.1481481481481488</v>
      </c>
      <c r="W149" s="92">
        <f t="shared" si="20"/>
        <v>7.1097094323124171E-10</v>
      </c>
      <c r="X149" s="93">
        <f>$C$7*$F$14*$F$8*$H149/$D149^2*$W149*10^6</f>
        <v>1.4219418864624834E-3</v>
      </c>
      <c r="Y149" s="93">
        <f>IF($I149=0,0,1+(I149-$G$21)/$G$22)+$J149/$G$23+K149/$G$24+$L149/$G$25</f>
        <v>6.9444444444444446</v>
      </c>
      <c r="Z149" s="92">
        <f t="shared" si="21"/>
        <v>1.136463666385722E-7</v>
      </c>
      <c r="AA149" s="94">
        <f>$C$7*$G$14*$G$8*$H149/$D149^2*$Z149*10^6</f>
        <v>0.22729273327714439</v>
      </c>
      <c r="AB149" s="553">
        <f>SUM(O149,R149,U149,X149,AA149)</f>
        <v>4.1646308965732857</v>
      </c>
      <c r="AC149" s="554"/>
      <c r="AD149" s="555"/>
      <c r="AE149" s="538"/>
      <c r="AF149" s="538"/>
      <c r="AG149" s="538"/>
      <c r="AH149" s="556"/>
      <c r="AI149" s="551"/>
      <c r="AJ149" s="551"/>
      <c r="AK149" s="551"/>
      <c r="AL149" s="538"/>
      <c r="AM149" s="538"/>
      <c r="AN149" s="538"/>
      <c r="AO149" s="538"/>
      <c r="AP149" s="538"/>
      <c r="AQ149" s="538"/>
      <c r="AR149" s="538"/>
      <c r="AS149" s="538"/>
      <c r="AT149" s="538"/>
      <c r="AU149" s="538"/>
      <c r="AV149" s="538"/>
      <c r="AW149" s="538"/>
      <c r="AX149" s="545"/>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69"/>
      <c r="BT149" s="233"/>
      <c r="BU149" s="233"/>
      <c r="BV149" s="222"/>
      <c r="BW149" s="222"/>
      <c r="BX149" s="222"/>
      <c r="BY149" s="211"/>
      <c r="BZ149" s="222"/>
      <c r="CA149" s="222"/>
      <c r="CB149" s="225"/>
      <c r="CC149" s="225"/>
      <c r="CD149" s="225"/>
      <c r="CE149" s="225"/>
      <c r="CF149" s="225"/>
      <c r="CG149" s="300"/>
      <c r="CH149" s="300"/>
      <c r="CI149" s="300"/>
      <c r="CJ149" s="522"/>
      <c r="CK149" s="522"/>
      <c r="CL149" s="522"/>
    </row>
    <row r="150" spans="1:90" s="212" customFormat="1" ht="30" customHeight="1" x14ac:dyDescent="0.25">
      <c r="A150" s="557" t="str">
        <f>Samenvatting!A343</f>
        <v>T2</v>
      </c>
      <c r="B150" s="558" t="str">
        <f>Samenvatting!B343</f>
        <v>terreingrens 2</v>
      </c>
      <c r="C150" s="331" t="s">
        <v>568</v>
      </c>
      <c r="D150" s="1836">
        <v>25</v>
      </c>
      <c r="E150" s="89"/>
      <c r="F150" s="89"/>
      <c r="G150" s="89"/>
      <c r="H150" s="559"/>
      <c r="I150" s="1836">
        <v>250</v>
      </c>
      <c r="J150" s="1836">
        <v>0</v>
      </c>
      <c r="K150" s="1836">
        <v>0</v>
      </c>
      <c r="L150" s="1836">
        <v>0</v>
      </c>
      <c r="M150" s="93">
        <f>$I150/$C$27+$J150/$C$28+K150/$C$29+$L150/$C$30</f>
        <v>7.3529411764705879</v>
      </c>
      <c r="N150" s="92">
        <f t="shared" si="17"/>
        <v>4.4366873309786093E-8</v>
      </c>
      <c r="O150" s="93">
        <f>$C$7*$C$15*$C$8*($C$9+$C$10*$C$11)/$D150^2*$N150*10^6</f>
        <v>4.2592198377394652E-5</v>
      </c>
      <c r="P150" s="93">
        <f>$I150/$D$27+$J150/$D$28+K150/$D$29+$L150/$D$30</f>
        <v>6.5789473684210522</v>
      </c>
      <c r="Q150" s="92">
        <f t="shared" si="18"/>
        <v>2.636650898730358E-7</v>
      </c>
      <c r="R150" s="93">
        <f>$C$7*$C$15*$D$8*($D$9+$D$10*$D$11)/$D150^2*$Q150*10^6</f>
        <v>2.5311848627811444E-4</v>
      </c>
      <c r="S150" s="93">
        <f>$I150/$E$27+$J150/$E$28+K150/$E$29+$L150/$E$30</f>
        <v>5.6818181818181817</v>
      </c>
      <c r="T150" s="92">
        <f t="shared" si="19"/>
        <v>2.0805675382171676E-6</v>
      </c>
      <c r="U150" s="93">
        <f>$C$7*$C$15*$E$8*($E$9+$E$10*$E$11)/$D150^2*$T150*10^6</f>
        <v>1.9973448366884814E-3</v>
      </c>
      <c r="V150" s="93">
        <f>$I150/$F$27+$J150/$F$28+K150/$F$29+$L150/$F$30</f>
        <v>8.1967213114754092</v>
      </c>
      <c r="W150" s="92">
        <f t="shared" si="20"/>
        <v>6.3573875711648393E-9</v>
      </c>
      <c r="X150" s="93">
        <f>$C$7*$C$15*$F$8*($F$9+$F$10*$F$11)/$D150^2*$W150*10^6</f>
        <v>6.1030920683182469E-6</v>
      </c>
      <c r="Y150" s="93">
        <f>$I150/$G$27+$J150/$G$28+K150/$G$29+$L150/$G$30</f>
        <v>7.0224719101123592</v>
      </c>
      <c r="Z150" s="92">
        <f t="shared" si="21"/>
        <v>9.4957241494880226E-8</v>
      </c>
      <c r="AA150" s="94">
        <f>$C$7*$C$15*$G$8*($G$9+$G$10*$G$11)/$D150^2*$Z150*10^6</f>
        <v>9.1158951835085031E-5</v>
      </c>
      <c r="AB150" s="560">
        <f>SUM(O150,R150,U150,X150,AA150)</f>
        <v>2.3903175652473939E-3</v>
      </c>
      <c r="AC150" s="561">
        <f>SUM(AB148:AB153)</f>
        <v>4.1670929152189826</v>
      </c>
      <c r="AD150" s="562">
        <f>AC150*52/10^3</f>
        <v>0.2166888315913871</v>
      </c>
      <c r="AE150" s="538"/>
      <c r="AF150" s="538"/>
      <c r="AG150" s="538"/>
      <c r="AH150" s="556"/>
      <c r="AI150" s="563"/>
      <c r="AJ150" s="551"/>
      <c r="AK150" s="551"/>
      <c r="AL150" s="538"/>
      <c r="AM150" s="538"/>
      <c r="AN150" s="538"/>
      <c r="AO150" s="538"/>
      <c r="AP150" s="538"/>
      <c r="AQ150" s="538"/>
      <c r="AR150" s="538"/>
      <c r="AS150" s="538"/>
      <c r="AT150" s="538"/>
      <c r="AU150" s="538"/>
      <c r="AV150" s="538"/>
      <c r="AW150" s="538"/>
      <c r="AX150" s="545"/>
      <c r="AY150" s="545"/>
      <c r="AZ150" s="545"/>
      <c r="BA150" s="545"/>
      <c r="BB150" s="328"/>
      <c r="BC150" s="328"/>
      <c r="BD150" s="328"/>
      <c r="BE150" s="328"/>
      <c r="BF150" s="328"/>
      <c r="BG150" s="328"/>
      <c r="BH150" s="328"/>
      <c r="BI150" s="328"/>
      <c r="BJ150" s="328"/>
      <c r="BK150" s="328"/>
      <c r="BL150" s="328"/>
      <c r="BM150" s="328"/>
      <c r="BN150" s="328"/>
      <c r="BO150" s="328"/>
      <c r="BP150" s="328"/>
      <c r="BQ150" s="328"/>
      <c r="BR150" s="328"/>
      <c r="BS150" s="369"/>
      <c r="BT150" s="233"/>
      <c r="BU150" s="233"/>
      <c r="BV150" s="222"/>
      <c r="BW150" s="222"/>
      <c r="BX150" s="222"/>
      <c r="BY150" s="211"/>
      <c r="BZ150" s="222"/>
      <c r="CA150" s="222"/>
      <c r="CB150" s="225"/>
      <c r="CC150" s="225"/>
      <c r="CD150" s="225"/>
      <c r="CE150" s="225"/>
      <c r="CF150" s="225"/>
      <c r="CG150" s="300"/>
      <c r="CH150" s="300"/>
      <c r="CI150" s="300"/>
      <c r="CJ150" s="522"/>
      <c r="CK150" s="522"/>
      <c r="CL150" s="522"/>
    </row>
    <row r="151" spans="1:90" s="212" customFormat="1" ht="30" customHeight="1" x14ac:dyDescent="0.25">
      <c r="A151" s="557"/>
      <c r="B151" s="558"/>
      <c r="C151" s="331" t="s">
        <v>26</v>
      </c>
      <c r="D151" s="564"/>
      <c r="E151" s="89">
        <f>E146</f>
        <v>11</v>
      </c>
      <c r="F151" s="89">
        <f>D150</f>
        <v>25</v>
      </c>
      <c r="G151" s="1836">
        <v>15</v>
      </c>
      <c r="H151" s="1836">
        <v>0.25</v>
      </c>
      <c r="I151" s="1836">
        <v>210</v>
      </c>
      <c r="J151" s="1836">
        <v>0</v>
      </c>
      <c r="K151" s="1836">
        <v>0</v>
      </c>
      <c r="L151" s="1836">
        <v>0</v>
      </c>
      <c r="M151" s="93">
        <f>IF($I151=0,0,1+(I151-$C$21)/$C$22)+$J151/$C$23+K151/$C$24+$L151/$C$25</f>
        <v>6.2424242424242422</v>
      </c>
      <c r="N151" s="92">
        <f t="shared" si="17"/>
        <v>5.722367659350211E-7</v>
      </c>
      <c r="O151" s="95">
        <f>2.5*0.01*$C$7*$C$14*$C$8*$H151*(2*PI()*(1-COS($G151/180*PI())))^1.3/$E151^2/$F151^2*N151*10^6</f>
        <v>5.101138747051231E-8</v>
      </c>
      <c r="P151" s="91">
        <f>IF($I151=0,0,1+($I151-$D$21)/$D$22)+$J151/$D$23+$K151/$D$24+$L151/$D$25</f>
        <v>5.5675675675675675</v>
      </c>
      <c r="Q151" s="92">
        <f t="shared" si="18"/>
        <v>2.7066520700332395E-6</v>
      </c>
      <c r="R151" s="95">
        <f>2.5*0.01*$C$7*$D$14*$D$8*$H151*(2*PI()*(1-COS($G151/180*PI())))^1.3/$E151^2/$F151^2*Q151*10^6</f>
        <v>2.4128138160910826E-7</v>
      </c>
      <c r="S151" s="93">
        <f>IF($I151=0,0,1+(I151-$E$21)/$E$22)+$J151/$E$23+K151/$E$24+$L151/$E$25</f>
        <v>4.8372093023255811</v>
      </c>
      <c r="T151" s="92">
        <f t="shared" si="19"/>
        <v>1.4547578108480478E-5</v>
      </c>
      <c r="U151" s="95">
        <f>2.5*0.01*$C$7*$E$14*$E$8*$H151*(2*PI()*(1-COS($G151/180*PI())))^1.3/$E151^2/$F151^2*T151*10^6</f>
        <v>1.2968270964496306E-6</v>
      </c>
      <c r="V151" s="93">
        <f>IF($I151=0,0,1+(I151-$F$21)/$F$22)+$J151/$F$23+K151/$F$24+$L151/$F$25</f>
        <v>7.666666666666667</v>
      </c>
      <c r="W151" s="92">
        <f t="shared" si="20"/>
        <v>2.1544346900318783E-8</v>
      </c>
      <c r="X151" s="95">
        <f>2.5*0.01*$C$7*$F$14*$F$8*$H151*(2*PI()*(1-COS($G151/180*PI())))^1.3/$E151^2/$F151^2*W151*10^6</f>
        <v>1.920545992418962E-9</v>
      </c>
      <c r="Y151" s="93">
        <f>IF($I151=0,0,1+(I151-$G$21)/$G$22)+$J151/$G$23+K151/$G$24+$L151/$G$25</f>
        <v>5.833333333333333</v>
      </c>
      <c r="Z151" s="92">
        <f t="shared" si="21"/>
        <v>1.4677992676220696E-6</v>
      </c>
      <c r="AA151" s="96">
        <f>2.5*0.01*$C$7*$G$14*$G$8*$H151*(2*PI()*(1-COS($G151/180*PI())))^1.3/$E151^2/$F151^2*Z151*10^6</f>
        <v>1.3084527528960935E-7</v>
      </c>
      <c r="AB151" s="560">
        <f>SUM(O151,R151,U151,X151,AA151)</f>
        <v>1.7218856868112794E-6</v>
      </c>
      <c r="AC151" s="565"/>
      <c r="AD151" s="566"/>
      <c r="AE151" s="538"/>
      <c r="AF151" s="538"/>
      <c r="AG151" s="567"/>
      <c r="AH151" s="538"/>
      <c r="AI151" s="563"/>
      <c r="AJ151" s="545"/>
      <c r="AK151" s="545"/>
      <c r="AL151" s="538"/>
      <c r="AM151" s="538"/>
      <c r="AN151" s="538"/>
      <c r="AO151" s="538"/>
      <c r="AP151" s="538"/>
      <c r="AQ151" s="538"/>
      <c r="AR151" s="538"/>
      <c r="AS151" s="538"/>
      <c r="AT151" s="538"/>
      <c r="AU151" s="538"/>
      <c r="AV151" s="538"/>
      <c r="AW151" s="538"/>
      <c r="AX151" s="545"/>
      <c r="AY151" s="545"/>
      <c r="AZ151" s="545"/>
      <c r="BA151" s="545"/>
      <c r="BB151" s="328"/>
      <c r="BC151" s="328"/>
      <c r="BD151" s="328"/>
      <c r="BE151" s="328"/>
      <c r="BF151" s="328"/>
      <c r="BG151" s="328"/>
      <c r="BH151" s="328"/>
      <c r="BI151" s="328"/>
      <c r="BJ151" s="328"/>
      <c r="BK151" s="328"/>
      <c r="BL151" s="328"/>
      <c r="BM151" s="328"/>
      <c r="BN151" s="328"/>
      <c r="BO151" s="328"/>
      <c r="BP151" s="328"/>
      <c r="BQ151" s="328"/>
      <c r="BR151" s="328"/>
      <c r="BS151" s="369"/>
      <c r="BT151" s="233"/>
      <c r="BU151" s="233"/>
      <c r="BV151" s="222"/>
      <c r="BW151" s="222"/>
      <c r="BX151" s="222"/>
      <c r="BY151" s="211"/>
      <c r="BZ151" s="222"/>
      <c r="CA151" s="222"/>
      <c r="CB151" s="225"/>
      <c r="CC151" s="225"/>
      <c r="CD151" s="225"/>
      <c r="CE151" s="225"/>
      <c r="CF151" s="225"/>
      <c r="CG151" s="300"/>
      <c r="CH151" s="300"/>
      <c r="CI151" s="300"/>
      <c r="CJ151" s="522"/>
      <c r="CK151" s="522"/>
      <c r="CL151" s="522"/>
    </row>
    <row r="152" spans="1:90" s="538" customFormat="1" ht="30" customHeight="1" thickBot="1" x14ac:dyDescent="0.3">
      <c r="A152" s="557"/>
      <c r="B152" s="558"/>
      <c r="C152" s="331" t="s">
        <v>27</v>
      </c>
      <c r="D152" s="89"/>
      <c r="E152" s="89">
        <f>E147</f>
        <v>10</v>
      </c>
      <c r="F152" s="89"/>
      <c r="G152" s="1836">
        <v>60</v>
      </c>
      <c r="H152" s="568"/>
      <c r="I152" s="1836">
        <v>190</v>
      </c>
      <c r="J152" s="1836">
        <v>0</v>
      </c>
      <c r="K152" s="1836">
        <v>0</v>
      </c>
      <c r="L152" s="1836">
        <v>0</v>
      </c>
      <c r="M152" s="93">
        <f>$I152/$C$27+$J152/$C$28+K152/$C$29+$L152/$C$30</f>
        <v>5.5882352941176467</v>
      </c>
      <c r="N152" s="92">
        <f t="shared" si="17"/>
        <v>2.580861540418073E-6</v>
      </c>
      <c r="O152" s="95">
        <f>2.5*0.01*$C$7*$C$15*$C$8*($C$9+$C$10*$C$11)*(2*PI()*(1-COS($G152/180*PI())))^1.3/E$147^2/$F151^2*N152*10^6</f>
        <v>2.7432840731901286E-6</v>
      </c>
      <c r="P152" s="93">
        <f>$I152/$D$27+$J152/$D$28+K152/$D$29+$L152/$D$30</f>
        <v>5</v>
      </c>
      <c r="Q152" s="92">
        <f t="shared" si="18"/>
        <v>1.0000000000000001E-5</v>
      </c>
      <c r="R152" s="95">
        <f>2.5*0.01*$C$7*$C$15*$D$8*($D$9+$D$10*$D$11)*(2*PI()*(1-COS($G152/180*PI())))^1.3/$E152^2/$F151^2*Q152*10^6</f>
        <v>1.0629334546733355E-5</v>
      </c>
      <c r="S152" s="93">
        <f>$I152/$E$27+$J152/$E$28+K152/$E$29+$L152/$E$30</f>
        <v>4.3181818181818183</v>
      </c>
      <c r="T152" s="92">
        <f t="shared" si="19"/>
        <v>4.8063808630643867E-5</v>
      </c>
      <c r="U152" s="95">
        <f>2.5*0.01*$C$7*$C$15*$E$8*($E$9+$E$10*$E$11)*(2*PI()*(1-COS($G152/180*PI())))^1.3/$E152^2/$F151^2*T152*10^6</f>
        <v>5.1088630152528366E-5</v>
      </c>
      <c r="V152" s="93">
        <f>$I152/$F$27+$J152/$F$28+K152/$F$29+$L152/$F$30</f>
        <v>6.2295081967213113</v>
      </c>
      <c r="W152" s="92">
        <f t="shared" si="20"/>
        <v>5.8951085074002664E-7</v>
      </c>
      <c r="X152" s="95">
        <f>2.5*0.01*$C$7*$C$15*$F$8*($F$9+$F$10*$F$11)*(2*PI()*(1-COS($G152/180*PI())))^1.3/$E152^2/$F151^2*W152*10^6</f>
        <v>6.2661080514451354E-7</v>
      </c>
      <c r="Y152" s="93">
        <f>$I152/$G$27+$J152/$G$28+K152/$G$29+$L152/$G$30</f>
        <v>5.3370786516853927</v>
      </c>
      <c r="Z152" s="92">
        <f t="shared" si="21"/>
        <v>4.6017322765137984E-6</v>
      </c>
      <c r="AA152" s="96">
        <f>2.5*0.01*$C$7*$C$15*$G$8*($G$9+$G$10*$G$11)*(2*PI()*(1-COS($G152/180*PI())))^1.3/$E152^2/$F151^2*Z152*10^6</f>
        <v>4.891335186156605E-6</v>
      </c>
      <c r="AB152" s="569">
        <f>SUM(O152,R152,U152,X152,AA152)</f>
        <v>6.9979194763752965E-5</v>
      </c>
      <c r="AC152" s="570"/>
      <c r="AD152" s="571"/>
      <c r="AH152" s="572"/>
      <c r="AI152" s="573"/>
      <c r="AJ152" s="563"/>
      <c r="AK152" s="551"/>
      <c r="AX152" s="545"/>
      <c r="AY152" s="545"/>
      <c r="AZ152" s="545"/>
      <c r="BA152" s="545"/>
      <c r="BB152" s="545"/>
      <c r="BC152" s="545"/>
      <c r="BD152" s="545"/>
      <c r="BE152" s="545"/>
      <c r="BF152" s="545"/>
      <c r="BG152" s="545"/>
      <c r="BH152" s="545"/>
      <c r="BI152" s="545"/>
      <c r="BJ152" s="545"/>
      <c r="BK152" s="545"/>
      <c r="BL152" s="545"/>
      <c r="BM152" s="545"/>
      <c r="BN152" s="545"/>
      <c r="BO152" s="545"/>
      <c r="BP152" s="545"/>
      <c r="BQ152" s="545"/>
      <c r="BR152" s="545"/>
      <c r="BS152" s="545"/>
      <c r="BT152" s="545"/>
      <c r="BU152" s="545"/>
      <c r="BV152" s="545"/>
      <c r="BW152" s="545"/>
      <c r="BX152" s="545"/>
      <c r="BY152" s="545"/>
      <c r="BZ152" s="545"/>
    </row>
    <row r="153" spans="1:90" s="212" customFormat="1" ht="30" hidden="1" customHeight="1" thickBot="1" x14ac:dyDescent="0.3">
      <c r="A153" s="574"/>
      <c r="B153" s="575"/>
      <c r="C153" s="576"/>
      <c r="D153" s="89"/>
      <c r="E153" s="89"/>
      <c r="F153" s="89"/>
      <c r="G153" s="89"/>
      <c r="H153" s="1837"/>
      <c r="I153" s="1837"/>
      <c r="J153" s="1837"/>
      <c r="K153" s="1837"/>
      <c r="L153" s="1837"/>
      <c r="M153" s="91"/>
      <c r="N153" s="97"/>
      <c r="O153" s="98"/>
      <c r="P153" s="91"/>
      <c r="Q153" s="97"/>
      <c r="R153" s="98"/>
      <c r="S153" s="91"/>
      <c r="T153" s="97"/>
      <c r="U153" s="98"/>
      <c r="V153" s="91"/>
      <c r="W153" s="97"/>
      <c r="X153" s="98"/>
      <c r="Y153" s="91"/>
      <c r="Z153" s="97"/>
      <c r="AA153" s="99"/>
      <c r="AB153" s="577"/>
      <c r="AC153" s="578"/>
      <c r="AD153" s="579"/>
      <c r="AH153" s="580"/>
      <c r="AI153" s="581"/>
      <c r="AJ153" s="282"/>
      <c r="AK153" s="300"/>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row>
    <row r="154" spans="1:90" s="212" customFormat="1" ht="30" customHeight="1" x14ac:dyDescent="0.25">
      <c r="A154" s="552"/>
      <c r="B154" s="322"/>
      <c r="C154" s="323" t="s">
        <v>569</v>
      </c>
      <c r="D154" s="1836">
        <v>1</v>
      </c>
      <c r="E154" s="89"/>
      <c r="F154" s="89"/>
      <c r="G154" s="89"/>
      <c r="H154" s="1836">
        <v>0.25</v>
      </c>
      <c r="I154" s="1836">
        <v>250</v>
      </c>
      <c r="J154" s="1836">
        <v>0</v>
      </c>
      <c r="K154" s="1836">
        <v>0</v>
      </c>
      <c r="L154" s="1836">
        <v>0</v>
      </c>
      <c r="M154" s="91">
        <f>IF($I154=0,0,1+($I154-$C$21)/$C$22)+$J154/$C$23+$K154/$C$24+$L154/$C$25</f>
        <v>7.4545454545454541</v>
      </c>
      <c r="N154" s="92">
        <f t="shared" si="17"/>
        <v>3.5111917342151263E-8</v>
      </c>
      <c r="O154" s="93">
        <f>$C$7*$C$14*$C$8*$H154/$D154^2*N154*10^6</f>
        <v>7.022383468430253E-2</v>
      </c>
      <c r="P154" s="91">
        <f>IF($I154=0,0,1+($I154-$D$21)/$D$22)+$J154/$D$23+$K154/$D$24+$L154/$D$25</f>
        <v>6.6486486486486482</v>
      </c>
      <c r="Q154" s="92">
        <f t="shared" si="18"/>
        <v>2.2456979955397711E-7</v>
      </c>
      <c r="R154" s="93">
        <f>$C$7*$D$14*$D$8*$H154/$D154^2*$Q154*10^6</f>
        <v>0.4491395991079542</v>
      </c>
      <c r="S154" s="93">
        <f>IF($I154=0,0,1+(I154-$E$21)/$E$22)+$J154/$E$23+K154/$E$24+$L154/$E$25</f>
        <v>5.7674418604651159</v>
      </c>
      <c r="T154" s="92">
        <f t="shared" si="19"/>
        <v>1.7082763938087111E-6</v>
      </c>
      <c r="U154" s="93">
        <f>$C$7*$E$14*$E$8*$H154/$D154^2*$T154*10^6</f>
        <v>3.4165527876174222</v>
      </c>
      <c r="V154" s="93">
        <f>IF($I154=0,0,1+(I154-$F$21)/$F$22)+$J154/$F$23+K154/$F$24+$L154/$F$25</f>
        <v>9.1481481481481488</v>
      </c>
      <c r="W154" s="92">
        <f t="shared" si="20"/>
        <v>7.1097094323124171E-10</v>
      </c>
      <c r="X154" s="93">
        <f>$C$7*$F$14*$F$8*$H154/$D154^2*$W154*10^6</f>
        <v>1.4219418864624834E-3</v>
      </c>
      <c r="Y154" s="93">
        <f>IF($I154=0,0,1+(I154-$G$21)/$G$22)+$J154/$G$23+K154/$G$24+$L154/$G$25</f>
        <v>6.9444444444444446</v>
      </c>
      <c r="Z154" s="92">
        <f t="shared" si="21"/>
        <v>1.136463666385722E-7</v>
      </c>
      <c r="AA154" s="94">
        <f>$C$7*$G$14*$G$8*$H154/$D154^2*$Z154*10^6</f>
        <v>0.22729273327714439</v>
      </c>
      <c r="AB154" s="553">
        <f>SUM(O154,R154,U154,X154,AA154)</f>
        <v>4.1646308965732857</v>
      </c>
      <c r="AC154" s="554"/>
      <c r="AD154" s="555"/>
      <c r="AE154" s="538"/>
      <c r="AF154" s="538"/>
      <c r="AG154" s="538"/>
      <c r="AH154" s="556"/>
      <c r="AI154" s="551"/>
      <c r="AJ154" s="551"/>
      <c r="AK154" s="551"/>
      <c r="AL154" s="538"/>
      <c r="AM154" s="538"/>
      <c r="AN154" s="538"/>
      <c r="AO154" s="538"/>
      <c r="AP154" s="538"/>
      <c r="AQ154" s="538"/>
      <c r="AR154" s="538"/>
      <c r="AS154" s="538"/>
      <c r="AT154" s="538"/>
      <c r="AU154" s="538"/>
      <c r="AV154" s="538"/>
      <c r="AW154" s="538"/>
      <c r="AX154" s="545"/>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69"/>
      <c r="BT154" s="233"/>
      <c r="BU154" s="233"/>
      <c r="BV154" s="222"/>
      <c r="BW154" s="222"/>
      <c r="BX154" s="222"/>
      <c r="BY154" s="211"/>
      <c r="BZ154" s="222"/>
      <c r="CA154" s="222"/>
      <c r="CB154" s="225"/>
      <c r="CC154" s="225"/>
      <c r="CD154" s="225"/>
      <c r="CE154" s="225"/>
      <c r="CF154" s="225"/>
      <c r="CG154" s="300"/>
      <c r="CH154" s="300"/>
      <c r="CI154" s="300"/>
      <c r="CJ154" s="522"/>
      <c r="CK154" s="522"/>
      <c r="CL154" s="522"/>
    </row>
    <row r="155" spans="1:90" s="212" customFormat="1" ht="30" customHeight="1" x14ac:dyDescent="0.25">
      <c r="A155" s="557" t="str">
        <f>Samenvatting!A354</f>
        <v>T3</v>
      </c>
      <c r="B155" s="558" t="str">
        <f>Samenvatting!B354</f>
        <v>terreingrens 3</v>
      </c>
      <c r="C155" s="331" t="s">
        <v>568</v>
      </c>
      <c r="D155" s="1836">
        <v>25</v>
      </c>
      <c r="E155" s="89"/>
      <c r="F155" s="89"/>
      <c r="G155" s="89"/>
      <c r="H155" s="559"/>
      <c r="I155" s="1836">
        <v>250</v>
      </c>
      <c r="J155" s="1836">
        <v>0</v>
      </c>
      <c r="K155" s="1836">
        <v>0</v>
      </c>
      <c r="L155" s="1836">
        <v>0</v>
      </c>
      <c r="M155" s="93">
        <f>$I155/$C$27+$J155/$C$28+K155/$C$29+$L155/$C$30</f>
        <v>7.3529411764705879</v>
      </c>
      <c r="N155" s="92">
        <f t="shared" si="17"/>
        <v>4.4366873309786093E-8</v>
      </c>
      <c r="O155" s="93">
        <f>$C$7*$C$15*$C$8*($C$9+$C$10*$C$11)/$D155^2*$N155*10^6</f>
        <v>4.2592198377394652E-5</v>
      </c>
      <c r="P155" s="93">
        <f>$I155/$D$27+$J155/$D$28+K155/$D$29+$L155/$D$30</f>
        <v>6.5789473684210522</v>
      </c>
      <c r="Q155" s="92">
        <f t="shared" si="18"/>
        <v>2.636650898730358E-7</v>
      </c>
      <c r="R155" s="93">
        <f>$C$7*$C$15*$D$8*($D$9+$D$10*$D$11)/$D155^2*$Q155*10^6</f>
        <v>2.5311848627811444E-4</v>
      </c>
      <c r="S155" s="93">
        <f>$I155/$E$27+$J155/$E$28+K155/$E$29+$L155/$E$30</f>
        <v>5.6818181818181817</v>
      </c>
      <c r="T155" s="92">
        <f t="shared" si="19"/>
        <v>2.0805675382171676E-6</v>
      </c>
      <c r="U155" s="93">
        <f>$C$7*$C$15*$E$8*($E$9+$E$10*$E$11)/$D155^2*$T155*10^6</f>
        <v>1.9973448366884814E-3</v>
      </c>
      <c r="V155" s="93">
        <f>$I155/$F$27+$J155/$F$28+K155/$F$29+$L155/$F$30</f>
        <v>8.1967213114754092</v>
      </c>
      <c r="W155" s="92">
        <f t="shared" si="20"/>
        <v>6.3573875711648393E-9</v>
      </c>
      <c r="X155" s="93">
        <f>$C$7*$C$15*$F$8*($F$9+$F$10*$F$11)/$D155^2*$W155*10^6</f>
        <v>6.1030920683182469E-6</v>
      </c>
      <c r="Y155" s="93">
        <f>$I155/$G$27+$J155/$G$28+K155/$G$29+$L155/$G$30</f>
        <v>7.0224719101123592</v>
      </c>
      <c r="Z155" s="92">
        <f t="shared" si="21"/>
        <v>9.4957241494880226E-8</v>
      </c>
      <c r="AA155" s="94">
        <f>$C$7*$C$15*$G$8*($G$9+$G$10*$G$11)/$D155^2*$Z155*10^6</f>
        <v>9.1158951835085031E-5</v>
      </c>
      <c r="AB155" s="560">
        <f>SUM(O155,R155,U155,X155,AA155)</f>
        <v>2.3903175652473939E-3</v>
      </c>
      <c r="AC155" s="561">
        <f>SUM(AB153:AB158)</f>
        <v>4.1670929152189826</v>
      </c>
      <c r="AD155" s="562">
        <f>AC155*52/10^3</f>
        <v>0.2166888315913871</v>
      </c>
      <c r="AE155" s="538"/>
      <c r="AF155" s="538"/>
      <c r="AG155" s="538"/>
      <c r="AH155" s="556"/>
      <c r="AI155" s="563"/>
      <c r="AJ155" s="551"/>
      <c r="AK155" s="551"/>
      <c r="AL155" s="538"/>
      <c r="AM155" s="538"/>
      <c r="AN155" s="538"/>
      <c r="AO155" s="538"/>
      <c r="AP155" s="538"/>
      <c r="AQ155" s="538"/>
      <c r="AR155" s="538"/>
      <c r="AS155" s="538"/>
      <c r="AT155" s="538"/>
      <c r="AU155" s="538"/>
      <c r="AV155" s="538"/>
      <c r="AW155" s="538"/>
      <c r="AX155" s="545"/>
      <c r="AY155" s="545"/>
      <c r="AZ155" s="545"/>
      <c r="BA155" s="545"/>
      <c r="BB155" s="328"/>
      <c r="BC155" s="328"/>
      <c r="BD155" s="328"/>
      <c r="BE155" s="328"/>
      <c r="BF155" s="328"/>
      <c r="BG155" s="328"/>
      <c r="BH155" s="328"/>
      <c r="BI155" s="328"/>
      <c r="BJ155" s="328"/>
      <c r="BK155" s="328"/>
      <c r="BL155" s="328"/>
      <c r="BM155" s="328"/>
      <c r="BN155" s="328"/>
      <c r="BO155" s="328"/>
      <c r="BP155" s="328"/>
      <c r="BQ155" s="328"/>
      <c r="BR155" s="328"/>
      <c r="BS155" s="369"/>
      <c r="BT155" s="233"/>
      <c r="BU155" s="233"/>
      <c r="BV155" s="222"/>
      <c r="BW155" s="222"/>
      <c r="BX155" s="222"/>
      <c r="BY155" s="211"/>
      <c r="BZ155" s="222"/>
      <c r="CA155" s="222"/>
      <c r="CB155" s="225"/>
      <c r="CC155" s="225"/>
      <c r="CD155" s="225"/>
      <c r="CE155" s="225"/>
      <c r="CF155" s="225"/>
      <c r="CG155" s="300"/>
      <c r="CH155" s="300"/>
      <c r="CI155" s="300"/>
      <c r="CJ155" s="522"/>
      <c r="CK155" s="522"/>
      <c r="CL155" s="522"/>
    </row>
    <row r="156" spans="1:90" s="212" customFormat="1" ht="30" customHeight="1" x14ac:dyDescent="0.25">
      <c r="A156" s="557"/>
      <c r="B156" s="558"/>
      <c r="C156" s="331" t="s">
        <v>26</v>
      </c>
      <c r="D156" s="564"/>
      <c r="E156" s="89">
        <f>E146</f>
        <v>11</v>
      </c>
      <c r="F156" s="89">
        <f>D155</f>
        <v>25</v>
      </c>
      <c r="G156" s="1836">
        <v>15</v>
      </c>
      <c r="H156" s="1836">
        <v>0.25</v>
      </c>
      <c r="I156" s="1836">
        <v>210</v>
      </c>
      <c r="J156" s="1836">
        <v>0</v>
      </c>
      <c r="K156" s="1836">
        <v>0</v>
      </c>
      <c r="L156" s="1836">
        <v>0</v>
      </c>
      <c r="M156" s="93">
        <f>IF($I156=0,0,1+(I156-$C$21)/$C$22)+$J156/$C$23+K156/$C$24+$L156/$C$25</f>
        <v>6.2424242424242422</v>
      </c>
      <c r="N156" s="92">
        <f t="shared" si="17"/>
        <v>5.722367659350211E-7</v>
      </c>
      <c r="O156" s="95">
        <f>2.5*0.01*$C$7*$C$14*$C$8*$H156*(2*PI()*(1-COS($G156/180*PI())))^1.3/$E156^2/$F156^2*N156*10^6</f>
        <v>5.101138747051231E-8</v>
      </c>
      <c r="P156" s="91">
        <f>IF($I156=0,0,1+($I156-$D$21)/$D$22)+$J156/$D$23+$K156/$D$24+$L156/$D$25</f>
        <v>5.5675675675675675</v>
      </c>
      <c r="Q156" s="92">
        <f t="shared" si="18"/>
        <v>2.7066520700332395E-6</v>
      </c>
      <c r="R156" s="95">
        <f>2.5*0.01*$C$7*$D$14*$D$8*$H156*(2*PI()*(1-COS($G156/180*PI())))^1.3/$E156^2/$F156^2*Q156*10^6</f>
        <v>2.4128138160910826E-7</v>
      </c>
      <c r="S156" s="93">
        <f>IF($I156=0,0,1+(I156-$E$21)/$E$22)+$J156/$E$23+K156/$E$24+$L156/$E$25</f>
        <v>4.8372093023255811</v>
      </c>
      <c r="T156" s="92">
        <f t="shared" si="19"/>
        <v>1.4547578108480478E-5</v>
      </c>
      <c r="U156" s="95">
        <f>2.5*0.01*$C$7*$E$14*$E$8*$H156*(2*PI()*(1-COS($G156/180*PI())))^1.3/$E156^2/$F156^2*T156*10^6</f>
        <v>1.2968270964496306E-6</v>
      </c>
      <c r="V156" s="93">
        <f>IF($I156=0,0,1+(I156-$F$21)/$F$22)+$J156/$F$23+K156/$F$24+$L156/$F$25</f>
        <v>7.666666666666667</v>
      </c>
      <c r="W156" s="92">
        <f t="shared" si="20"/>
        <v>2.1544346900318783E-8</v>
      </c>
      <c r="X156" s="95">
        <f>2.5*0.01*$C$7*$F$14*$F$8*$H156*(2*PI()*(1-COS($G156/180*PI())))^1.3/$E156^2/$F156^2*W156*10^6</f>
        <v>1.920545992418962E-9</v>
      </c>
      <c r="Y156" s="93">
        <f>IF($I156=0,0,1+(I156-$G$21)/$G$22)+$J156/$G$23+K156/$G$24+$L156/$G$25</f>
        <v>5.833333333333333</v>
      </c>
      <c r="Z156" s="92">
        <f t="shared" si="21"/>
        <v>1.4677992676220696E-6</v>
      </c>
      <c r="AA156" s="96">
        <f>2.5*0.01*$C$7*$G$14*$G$8*$H156*(2*PI()*(1-COS($G156/180*PI())))^1.3/$E156^2/$F156^2*Z156*10^6</f>
        <v>1.3084527528960935E-7</v>
      </c>
      <c r="AB156" s="560">
        <f>SUM(O156,R156,U156,X156,AA156)</f>
        <v>1.7218856868112794E-6</v>
      </c>
      <c r="AC156" s="565"/>
      <c r="AD156" s="566"/>
      <c r="AE156" s="538"/>
      <c r="AF156" s="538"/>
      <c r="AG156" s="567"/>
      <c r="AH156" s="538"/>
      <c r="AI156" s="563"/>
      <c r="AJ156" s="545"/>
      <c r="AK156" s="545"/>
      <c r="AL156" s="538"/>
      <c r="AM156" s="538"/>
      <c r="AN156" s="538"/>
      <c r="AO156" s="538"/>
      <c r="AP156" s="538"/>
      <c r="AQ156" s="538"/>
      <c r="AR156" s="538"/>
      <c r="AS156" s="538"/>
      <c r="AT156" s="538"/>
      <c r="AU156" s="538"/>
      <c r="AV156" s="538"/>
      <c r="AW156" s="538"/>
      <c r="AX156" s="545"/>
      <c r="AY156" s="545"/>
      <c r="AZ156" s="545"/>
      <c r="BA156" s="545"/>
      <c r="BB156" s="328"/>
      <c r="BC156" s="328"/>
      <c r="BD156" s="328"/>
      <c r="BE156" s="328"/>
      <c r="BF156" s="328"/>
      <c r="BG156" s="328"/>
      <c r="BH156" s="328"/>
      <c r="BI156" s="328"/>
      <c r="BJ156" s="328"/>
      <c r="BK156" s="328"/>
      <c r="BL156" s="328"/>
      <c r="BM156" s="328"/>
      <c r="BN156" s="328"/>
      <c r="BO156" s="328"/>
      <c r="BP156" s="328"/>
      <c r="BQ156" s="328"/>
      <c r="BR156" s="328"/>
      <c r="BS156" s="369"/>
      <c r="BT156" s="233"/>
      <c r="BU156" s="233"/>
      <c r="BV156" s="222"/>
      <c r="BW156" s="222"/>
      <c r="BX156" s="222"/>
      <c r="BY156" s="211"/>
      <c r="BZ156" s="222"/>
      <c r="CA156" s="222"/>
      <c r="CB156" s="225"/>
      <c r="CC156" s="225"/>
      <c r="CD156" s="225"/>
      <c r="CE156" s="225"/>
      <c r="CF156" s="225"/>
      <c r="CG156" s="300"/>
      <c r="CH156" s="300"/>
      <c r="CI156" s="300"/>
      <c r="CJ156" s="522"/>
      <c r="CK156" s="522"/>
      <c r="CL156" s="522"/>
    </row>
    <row r="157" spans="1:90" s="538" customFormat="1" ht="30" customHeight="1" thickBot="1" x14ac:dyDescent="0.3">
      <c r="A157" s="557"/>
      <c r="B157" s="558"/>
      <c r="C157" s="331" t="s">
        <v>27</v>
      </c>
      <c r="D157" s="89"/>
      <c r="E157" s="89">
        <f>E147</f>
        <v>10</v>
      </c>
      <c r="F157" s="89"/>
      <c r="G157" s="1836">
        <v>60</v>
      </c>
      <c r="H157" s="568"/>
      <c r="I157" s="1836">
        <v>190</v>
      </c>
      <c r="J157" s="1836">
        <v>0</v>
      </c>
      <c r="K157" s="1836">
        <v>0</v>
      </c>
      <c r="L157" s="1836">
        <v>0</v>
      </c>
      <c r="M157" s="93">
        <f>$I157/$C$27+$J157/$C$28+K157/$C$29+$L157/$C$30</f>
        <v>5.5882352941176467</v>
      </c>
      <c r="N157" s="92">
        <f t="shared" si="17"/>
        <v>2.580861540418073E-6</v>
      </c>
      <c r="O157" s="95">
        <f>2.5*0.01*$C$7*$C$15*$C$8*($C$9+$C$10*$C$11)*(2*PI()*(1-COS($G157/180*PI())))^1.3/E$147^2/$F156^2*N157*10^6</f>
        <v>2.7432840731901286E-6</v>
      </c>
      <c r="P157" s="93">
        <f>$I157/$D$27+$J157/$D$28+K157/$D$29+$L157/$D$30</f>
        <v>5</v>
      </c>
      <c r="Q157" s="92">
        <f t="shared" si="18"/>
        <v>1.0000000000000001E-5</v>
      </c>
      <c r="R157" s="95">
        <f>2.5*0.01*$C$7*$C$15*$D$8*($D$9+$D$10*$D$11)*(2*PI()*(1-COS($G157/180*PI())))^1.3/$E157^2/$F156^2*Q157*10^6</f>
        <v>1.0629334546733355E-5</v>
      </c>
      <c r="S157" s="93">
        <f>$I157/$E$27+$J157/$E$28+K157/$E$29+$L157/$E$30</f>
        <v>4.3181818181818183</v>
      </c>
      <c r="T157" s="92">
        <f t="shared" si="19"/>
        <v>4.8063808630643867E-5</v>
      </c>
      <c r="U157" s="95">
        <f>2.5*0.01*$C$7*$C$15*$E$8*($E$9+$E$10*$E$11)*(2*PI()*(1-COS($G157/180*PI())))^1.3/$E157^2/$F156^2*T157*10^6</f>
        <v>5.1088630152528366E-5</v>
      </c>
      <c r="V157" s="93">
        <f>$I157/$F$27+$J157/$F$28+K157/$F$29+$L157/$F$30</f>
        <v>6.2295081967213113</v>
      </c>
      <c r="W157" s="92">
        <f t="shared" si="20"/>
        <v>5.8951085074002664E-7</v>
      </c>
      <c r="X157" s="95">
        <f>2.5*0.01*$C$7*$C$15*$F$8*($F$9+$F$10*$F$11)*(2*PI()*(1-COS($G157/180*PI())))^1.3/$E157^2/$F156^2*W157*10^6</f>
        <v>6.2661080514451354E-7</v>
      </c>
      <c r="Y157" s="93">
        <f>$I157/$G$27+$J157/$G$28+K157/$G$29+$L157/$G$30</f>
        <v>5.3370786516853927</v>
      </c>
      <c r="Z157" s="92">
        <f t="shared" si="21"/>
        <v>4.6017322765137984E-6</v>
      </c>
      <c r="AA157" s="96">
        <f>2.5*0.01*$C$7*$C$15*$G$8*($G$9+$G$10*$G$11)*(2*PI()*(1-COS($G157/180*PI())))^1.3/$E157^2/$F156^2*Z157*10^6</f>
        <v>4.891335186156605E-6</v>
      </c>
      <c r="AB157" s="569">
        <f>SUM(O157,R157,U157,X157,AA157)</f>
        <v>6.9979194763752965E-5</v>
      </c>
      <c r="AC157" s="570"/>
      <c r="AD157" s="571"/>
      <c r="AH157" s="572"/>
      <c r="AI157" s="573"/>
      <c r="AJ157" s="563"/>
      <c r="AK157" s="551"/>
      <c r="AX157" s="545"/>
      <c r="AY157" s="545"/>
      <c r="AZ157" s="545"/>
      <c r="BA157" s="545"/>
      <c r="BB157" s="545"/>
      <c r="BC157" s="545"/>
      <c r="BD157" s="545"/>
      <c r="BE157" s="545"/>
      <c r="BF157" s="545"/>
      <c r="BG157" s="545"/>
      <c r="BH157" s="545"/>
      <c r="BI157" s="545"/>
      <c r="BJ157" s="545"/>
      <c r="BK157" s="545"/>
      <c r="BL157" s="545"/>
      <c r="BM157" s="545"/>
      <c r="BN157" s="545"/>
      <c r="BO157" s="545"/>
      <c r="BP157" s="545"/>
      <c r="BQ157" s="545"/>
      <c r="BR157" s="545"/>
      <c r="BS157" s="545"/>
      <c r="BT157" s="545"/>
      <c r="BU157" s="545"/>
      <c r="BV157" s="545"/>
      <c r="BW157" s="545"/>
      <c r="BX157" s="545"/>
      <c r="BY157" s="545"/>
      <c r="BZ157" s="545"/>
    </row>
    <row r="158" spans="1:90" s="212" customFormat="1" ht="30" hidden="1" customHeight="1" thickBot="1" x14ac:dyDescent="0.3">
      <c r="A158" s="574"/>
      <c r="B158" s="575"/>
      <c r="C158" s="576"/>
      <c r="D158" s="89"/>
      <c r="E158" s="89"/>
      <c r="F158" s="89"/>
      <c r="G158" s="89"/>
      <c r="H158" s="1837"/>
      <c r="I158" s="1837"/>
      <c r="J158" s="1837"/>
      <c r="K158" s="1837"/>
      <c r="L158" s="1837"/>
      <c r="M158" s="91"/>
      <c r="N158" s="97"/>
      <c r="O158" s="98"/>
      <c r="P158" s="91"/>
      <c r="Q158" s="97"/>
      <c r="R158" s="98"/>
      <c r="S158" s="91"/>
      <c r="T158" s="97"/>
      <c r="U158" s="98"/>
      <c r="V158" s="91"/>
      <c r="W158" s="97"/>
      <c r="X158" s="98"/>
      <c r="Y158" s="91"/>
      <c r="Z158" s="97"/>
      <c r="AA158" s="99"/>
      <c r="AB158" s="577"/>
      <c r="AC158" s="578"/>
      <c r="AD158" s="579"/>
      <c r="AH158" s="580"/>
      <c r="AI158" s="581"/>
      <c r="AJ158" s="282"/>
      <c r="AK158" s="300"/>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row>
    <row r="159" spans="1:90" s="212" customFormat="1" ht="30" customHeight="1" x14ac:dyDescent="0.25">
      <c r="A159" s="552"/>
      <c r="B159" s="322"/>
      <c r="C159" s="323" t="s">
        <v>569</v>
      </c>
      <c r="D159" s="1836">
        <v>1</v>
      </c>
      <c r="E159" s="89"/>
      <c r="F159" s="89"/>
      <c r="G159" s="89"/>
      <c r="H159" s="1836">
        <v>0.25</v>
      </c>
      <c r="I159" s="1836">
        <v>250</v>
      </c>
      <c r="J159" s="1836">
        <v>0</v>
      </c>
      <c r="K159" s="1836">
        <v>0</v>
      </c>
      <c r="L159" s="1836">
        <v>0</v>
      </c>
      <c r="M159" s="91">
        <f>IF($I159=0,0,1+($I159-$C$21)/$C$22)+$J159/$C$23+$K159/$C$24+$L159/$C$25</f>
        <v>7.4545454545454541</v>
      </c>
      <c r="N159" s="92">
        <f t="shared" si="17"/>
        <v>3.5111917342151263E-8</v>
      </c>
      <c r="O159" s="93">
        <f>$C$7*$C$14*$C$8*$H159/$D159^2*N159*10^6</f>
        <v>7.022383468430253E-2</v>
      </c>
      <c r="P159" s="91">
        <f>IF($I159=0,0,1+($I159-$D$21)/$D$22)+$J159/$D$23+$K159/$D$24+$L159/$D$25</f>
        <v>6.6486486486486482</v>
      </c>
      <c r="Q159" s="92">
        <f t="shared" si="18"/>
        <v>2.2456979955397711E-7</v>
      </c>
      <c r="R159" s="93">
        <f>$C$7*$D$14*$D$8*$H159/$D159^2*$Q159*10^6</f>
        <v>0.4491395991079542</v>
      </c>
      <c r="S159" s="93">
        <f>IF($I159=0,0,1+(I159-$E$21)/$E$22)+$J159/$E$23+K159/$E$24+$L159/$E$25</f>
        <v>5.7674418604651159</v>
      </c>
      <c r="T159" s="92">
        <f t="shared" si="19"/>
        <v>1.7082763938087111E-6</v>
      </c>
      <c r="U159" s="93">
        <f>$C$7*$E$14*$E$8*$H159/$D159^2*$T159*10^6</f>
        <v>3.4165527876174222</v>
      </c>
      <c r="V159" s="93">
        <f>IF($I159=0,0,1+(I159-$F$21)/$F$22)+$J159/$F$23+K159/$F$24+$L159/$F$25</f>
        <v>9.1481481481481488</v>
      </c>
      <c r="W159" s="92">
        <f t="shared" si="20"/>
        <v>7.1097094323124171E-10</v>
      </c>
      <c r="X159" s="93">
        <f>$C$7*$F$14*$F$8*$H159/$D159^2*$W159*10^6</f>
        <v>1.4219418864624834E-3</v>
      </c>
      <c r="Y159" s="93">
        <f>IF($I159=0,0,1+(I159-$G$21)/$G$22)+$J159/$G$23+K159/$G$24+$L159/$G$25</f>
        <v>6.9444444444444446</v>
      </c>
      <c r="Z159" s="92">
        <f t="shared" si="21"/>
        <v>1.136463666385722E-7</v>
      </c>
      <c r="AA159" s="94">
        <f>$C$7*$G$14*$G$8*$H159/$D159^2*$Z159*10^6</f>
        <v>0.22729273327714439</v>
      </c>
      <c r="AB159" s="553">
        <f>SUM(O159,R159,U159,X159,AA159)</f>
        <v>4.1646308965732857</v>
      </c>
      <c r="AC159" s="554"/>
      <c r="AD159" s="555"/>
      <c r="AE159" s="538"/>
      <c r="AF159" s="538"/>
      <c r="AG159" s="538"/>
      <c r="AH159" s="556"/>
      <c r="AI159" s="551"/>
      <c r="AJ159" s="551"/>
      <c r="AK159" s="551"/>
      <c r="AL159" s="538"/>
      <c r="AM159" s="538"/>
      <c r="AN159" s="538"/>
      <c r="AO159" s="538"/>
      <c r="AP159" s="538"/>
      <c r="AQ159" s="538"/>
      <c r="AR159" s="538"/>
      <c r="AS159" s="538"/>
      <c r="AT159" s="538"/>
      <c r="AU159" s="538"/>
      <c r="AV159" s="538"/>
      <c r="AW159" s="538"/>
      <c r="AX159" s="545"/>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69"/>
      <c r="BT159" s="233"/>
      <c r="BU159" s="233"/>
      <c r="BV159" s="222"/>
      <c r="BW159" s="222"/>
      <c r="BX159" s="222"/>
      <c r="BY159" s="211"/>
      <c r="BZ159" s="222"/>
      <c r="CA159" s="222"/>
      <c r="CB159" s="225"/>
      <c r="CC159" s="225"/>
      <c r="CD159" s="225"/>
      <c r="CE159" s="225"/>
      <c r="CF159" s="225"/>
      <c r="CG159" s="300"/>
      <c r="CH159" s="300"/>
      <c r="CI159" s="300"/>
      <c r="CJ159" s="522"/>
      <c r="CK159" s="522"/>
      <c r="CL159" s="522"/>
    </row>
    <row r="160" spans="1:90" s="212" customFormat="1" ht="30" customHeight="1" x14ac:dyDescent="0.25">
      <c r="A160" s="557" t="str">
        <f>Samenvatting!A365</f>
        <v>T4</v>
      </c>
      <c r="B160" s="558" t="str">
        <f>Samenvatting!B365</f>
        <v>terreingrens 4</v>
      </c>
      <c r="C160" s="331" t="s">
        <v>568</v>
      </c>
      <c r="D160" s="1836">
        <v>25</v>
      </c>
      <c r="E160" s="89"/>
      <c r="F160" s="89"/>
      <c r="G160" s="89"/>
      <c r="H160" s="559"/>
      <c r="I160" s="1836">
        <v>250</v>
      </c>
      <c r="J160" s="1836">
        <v>0</v>
      </c>
      <c r="K160" s="1836">
        <v>0</v>
      </c>
      <c r="L160" s="1836">
        <v>0</v>
      </c>
      <c r="M160" s="93">
        <f>$I160/$C$27+$J160/$C$28+K160/$C$29+$L160/$C$30</f>
        <v>7.3529411764705879</v>
      </c>
      <c r="N160" s="92">
        <f t="shared" si="17"/>
        <v>4.4366873309786093E-8</v>
      </c>
      <c r="O160" s="93">
        <f>$C$7*$C$15*$C$8*($C$9+$C$10*$C$11)/$D160^2*$N160*10^6</f>
        <v>4.2592198377394652E-5</v>
      </c>
      <c r="P160" s="93">
        <f>$I160/$D$27+$J160/$D$28+$K160/$D$29+$L160/$D$30</f>
        <v>6.5789473684210522</v>
      </c>
      <c r="Q160" s="92">
        <f t="shared" si="18"/>
        <v>2.636650898730358E-7</v>
      </c>
      <c r="R160" s="93">
        <f>$C$7*$C$15*$D$8*($D$9+$D$10*$D$11)/$D160^2*$Q160*10^6</f>
        <v>2.5311848627811444E-4</v>
      </c>
      <c r="S160" s="93">
        <f>$I160/$E$27+$J160/$E$28+K160/$E$29+$L160/$E$30</f>
        <v>5.6818181818181817</v>
      </c>
      <c r="T160" s="92">
        <f t="shared" si="19"/>
        <v>2.0805675382171676E-6</v>
      </c>
      <c r="U160" s="93">
        <f>$C$7*$C$15*$E$8*($E$9+$E$10*$E$11)/$D160^2*$T160*10^6</f>
        <v>1.9973448366884814E-3</v>
      </c>
      <c r="V160" s="93">
        <f>$I160/$F$27+$J160/$F$28+K160/$F$29+$L160/$F$30</f>
        <v>8.1967213114754092</v>
      </c>
      <c r="W160" s="92">
        <f t="shared" si="20"/>
        <v>6.3573875711648393E-9</v>
      </c>
      <c r="X160" s="93">
        <f>$C$7*$C$15*$F$8*($F$9+$F$10*$F$11)/$D160^2*$W160*10^6</f>
        <v>6.1030920683182469E-6</v>
      </c>
      <c r="Y160" s="93">
        <f>$I160/$G$27+$J160/$G$28+K160/$G$29+$L160/$G$30</f>
        <v>7.0224719101123592</v>
      </c>
      <c r="Z160" s="92">
        <f t="shared" si="21"/>
        <v>9.4957241494880226E-8</v>
      </c>
      <c r="AA160" s="94">
        <f>$C$7*$C$15*$G$8*($G$9+$G$10*$G$11)/$D160^2*$Z160*10^6</f>
        <v>9.1158951835085031E-5</v>
      </c>
      <c r="AB160" s="560">
        <f>SUM(O160,R160,U160,X160,AA160)</f>
        <v>2.3903175652473939E-3</v>
      </c>
      <c r="AC160" s="561">
        <f>SUM(AB158:AB163)</f>
        <v>4.1670929152189826</v>
      </c>
      <c r="AD160" s="562">
        <f>AC160*52/10^3</f>
        <v>0.2166888315913871</v>
      </c>
      <c r="AE160" s="538"/>
      <c r="AF160" s="538"/>
      <c r="AG160" s="538"/>
      <c r="AH160" s="556"/>
      <c r="AI160" s="563"/>
      <c r="AJ160" s="551"/>
      <c r="AK160" s="551"/>
      <c r="AL160" s="538"/>
      <c r="AM160" s="538"/>
      <c r="AN160" s="538"/>
      <c r="AO160" s="538"/>
      <c r="AP160" s="538"/>
      <c r="AQ160" s="538"/>
      <c r="AR160" s="538"/>
      <c r="AS160" s="538"/>
      <c r="AT160" s="538"/>
      <c r="AU160" s="538"/>
      <c r="AV160" s="538"/>
      <c r="AW160" s="538"/>
      <c r="AX160" s="545"/>
      <c r="AY160" s="545"/>
      <c r="AZ160" s="545"/>
      <c r="BA160" s="545"/>
      <c r="BB160" s="328"/>
      <c r="BC160" s="328"/>
      <c r="BD160" s="328"/>
      <c r="BE160" s="328"/>
      <c r="BF160" s="328"/>
      <c r="BG160" s="328"/>
      <c r="BH160" s="328"/>
      <c r="BI160" s="328"/>
      <c r="BJ160" s="328"/>
      <c r="BK160" s="328"/>
      <c r="BL160" s="328"/>
      <c r="BM160" s="328"/>
      <c r="BN160" s="328"/>
      <c r="BO160" s="328"/>
      <c r="BP160" s="328"/>
      <c r="BQ160" s="328"/>
      <c r="BR160" s="328"/>
      <c r="BS160" s="369"/>
      <c r="BT160" s="233"/>
      <c r="BU160" s="233"/>
      <c r="BV160" s="222"/>
      <c r="BW160" s="222"/>
      <c r="BX160" s="222"/>
      <c r="BY160" s="211"/>
      <c r="BZ160" s="222"/>
      <c r="CA160" s="222"/>
      <c r="CB160" s="225"/>
      <c r="CC160" s="225"/>
      <c r="CD160" s="225"/>
      <c r="CE160" s="225"/>
      <c r="CF160" s="225"/>
      <c r="CG160" s="300"/>
      <c r="CH160" s="300"/>
      <c r="CI160" s="300"/>
      <c r="CJ160" s="522"/>
      <c r="CK160" s="522"/>
      <c r="CL160" s="522"/>
    </row>
    <row r="161" spans="1:90" s="212" customFormat="1" ht="30" customHeight="1" x14ac:dyDescent="0.25">
      <c r="A161" s="557"/>
      <c r="B161" s="558"/>
      <c r="C161" s="331" t="s">
        <v>26</v>
      </c>
      <c r="D161" s="564"/>
      <c r="E161" s="89">
        <f>E146</f>
        <v>11</v>
      </c>
      <c r="F161" s="89">
        <f>D160</f>
        <v>25</v>
      </c>
      <c r="G161" s="1836">
        <v>15</v>
      </c>
      <c r="H161" s="1836">
        <v>0.25</v>
      </c>
      <c r="I161" s="1836">
        <v>210</v>
      </c>
      <c r="J161" s="1836">
        <v>0</v>
      </c>
      <c r="K161" s="1836">
        <v>0</v>
      </c>
      <c r="L161" s="1836">
        <v>0</v>
      </c>
      <c r="M161" s="93">
        <f>IF($I161=0,0,1+(I161-$C$21)/$C$22)+$J161/$C$23+K161/$C$24+$L161/$C$25</f>
        <v>6.2424242424242422</v>
      </c>
      <c r="N161" s="92">
        <f t="shared" si="17"/>
        <v>5.722367659350211E-7</v>
      </c>
      <c r="O161" s="95">
        <f>2.5*0.01*$C$7*$C$14*$C$8*$H161*(2*PI()*(1-COS($G161/180*PI())))^1.3/$E161^2/$F161^2*N161*10^6</f>
        <v>5.101138747051231E-8</v>
      </c>
      <c r="P161" s="91">
        <f>IF($I161=0,0,1+($I161-$D$21)/$D$22)+$J161/$D$23+$K161/$D$24+$L161/$D$25</f>
        <v>5.5675675675675675</v>
      </c>
      <c r="Q161" s="92">
        <f t="shared" si="18"/>
        <v>2.7066520700332395E-6</v>
      </c>
      <c r="R161" s="95">
        <f>2.5*0.01*$C$7*$D$14*$D$8*$H161*(2*PI()*(1-COS($G161/180*PI())))^1.3/$E161^2/$F161^2*Q161*10^6</f>
        <v>2.4128138160910826E-7</v>
      </c>
      <c r="S161" s="93">
        <f>IF($I161=0,0,1+(I161-$E$21)/$E$22)+$J161/$E$23+K161/$E$24+$L161/$E$25</f>
        <v>4.8372093023255811</v>
      </c>
      <c r="T161" s="92">
        <f t="shared" si="19"/>
        <v>1.4547578108480478E-5</v>
      </c>
      <c r="U161" s="95">
        <f>2.5*0.01*$C$7*$E$14*$E$8*$H161*(2*PI()*(1-COS($G161/180*PI())))^1.3/$E161^2/$F161^2*T161*10^6</f>
        <v>1.2968270964496306E-6</v>
      </c>
      <c r="V161" s="93">
        <f>IF($I161=0,0,1+(I161-$F$21)/$F$22)+$J161/$F$23+K161/$F$24+$L161/$F$25</f>
        <v>7.666666666666667</v>
      </c>
      <c r="W161" s="92">
        <f t="shared" si="20"/>
        <v>2.1544346900318783E-8</v>
      </c>
      <c r="X161" s="95">
        <f>2.5*0.01*$C$7*$F$14*$F$8*$H161*(2*PI()*(1-COS($G161/180*PI())))^1.3/$E161^2/$F161^2*W161*10^6</f>
        <v>1.920545992418962E-9</v>
      </c>
      <c r="Y161" s="93">
        <f>IF($I161=0,0,1+(I161-$G$21)/$G$22)+$J161/$G$23+K161/$G$24+$L161/$G$25</f>
        <v>5.833333333333333</v>
      </c>
      <c r="Z161" s="92">
        <f t="shared" si="21"/>
        <v>1.4677992676220696E-6</v>
      </c>
      <c r="AA161" s="96">
        <f>2.5*0.01*$C$7*$G$14*$G$8*$H161*(2*PI()*(1-COS($G161/180*PI())))^1.3/$E161^2/$F161^2*Z161*10^6</f>
        <v>1.3084527528960935E-7</v>
      </c>
      <c r="AB161" s="560">
        <f>SUM(O161,R161,U161,X161,AA161)</f>
        <v>1.7218856868112794E-6</v>
      </c>
      <c r="AC161" s="565"/>
      <c r="AD161" s="566"/>
      <c r="AE161" s="538"/>
      <c r="AF161" s="538"/>
      <c r="AG161" s="567"/>
      <c r="AH161" s="538"/>
      <c r="AI161" s="563"/>
      <c r="AJ161" s="545"/>
      <c r="AK161" s="545"/>
      <c r="AL161" s="538"/>
      <c r="AM161" s="538"/>
      <c r="AN161" s="538"/>
      <c r="AO161" s="538"/>
      <c r="AP161" s="538"/>
      <c r="AQ161" s="538"/>
      <c r="AR161" s="538"/>
      <c r="AS161" s="538"/>
      <c r="AT161" s="538"/>
      <c r="AU161" s="538"/>
      <c r="AV161" s="538"/>
      <c r="AW161" s="538"/>
      <c r="AX161" s="545"/>
      <c r="AY161" s="545"/>
      <c r="AZ161" s="545"/>
      <c r="BA161" s="545"/>
      <c r="BB161" s="328"/>
      <c r="BC161" s="328"/>
      <c r="BD161" s="328"/>
      <c r="BE161" s="328"/>
      <c r="BF161" s="328"/>
      <c r="BG161" s="328"/>
      <c r="BH161" s="328"/>
      <c r="BI161" s="328"/>
      <c r="BJ161" s="328"/>
      <c r="BK161" s="328"/>
      <c r="BL161" s="328"/>
      <c r="BM161" s="328"/>
      <c r="BN161" s="328"/>
      <c r="BO161" s="328"/>
      <c r="BP161" s="328"/>
      <c r="BQ161" s="328"/>
      <c r="BR161" s="328"/>
      <c r="BS161" s="369"/>
      <c r="BT161" s="233"/>
      <c r="BU161" s="233"/>
      <c r="BV161" s="222"/>
      <c r="BW161" s="222"/>
      <c r="BX161" s="222"/>
      <c r="BY161" s="211"/>
      <c r="BZ161" s="222"/>
      <c r="CA161" s="222"/>
      <c r="CB161" s="225"/>
      <c r="CC161" s="225"/>
      <c r="CD161" s="225"/>
      <c r="CE161" s="225"/>
      <c r="CF161" s="225"/>
      <c r="CG161" s="300"/>
      <c r="CH161" s="300"/>
      <c r="CI161" s="300"/>
      <c r="CJ161" s="522"/>
      <c r="CK161" s="522"/>
      <c r="CL161" s="522"/>
    </row>
    <row r="162" spans="1:90" s="538" customFormat="1" ht="30" customHeight="1" thickBot="1" x14ac:dyDescent="0.3">
      <c r="A162" s="582"/>
      <c r="B162" s="583"/>
      <c r="C162" s="584" t="s">
        <v>27</v>
      </c>
      <c r="D162" s="58"/>
      <c r="E162" s="58">
        <f>E147</f>
        <v>10</v>
      </c>
      <c r="F162" s="58"/>
      <c r="G162" s="1859">
        <v>60</v>
      </c>
      <c r="H162" s="56"/>
      <c r="I162" s="1859">
        <v>190</v>
      </c>
      <c r="J162" s="1859">
        <v>0</v>
      </c>
      <c r="K162" s="1859">
        <v>0</v>
      </c>
      <c r="L162" s="1859">
        <v>0</v>
      </c>
      <c r="M162" s="100">
        <f>$I162/$C$27+$J162/$C$28+K162/$C$29+$L162/$C$30</f>
        <v>5.5882352941176467</v>
      </c>
      <c r="N162" s="101">
        <f t="shared" si="17"/>
        <v>2.580861540418073E-6</v>
      </c>
      <c r="O162" s="102">
        <f>2.5*0.01*$C$7*$C$15*$C$8*($C$9+$C$10*$C$11)*(2*PI()*(1-COS($G162/180*PI())))^1.3/E$147^2/$F161^2*N162*10^6</f>
        <v>2.7432840731901286E-6</v>
      </c>
      <c r="P162" s="100">
        <f>$I162/$D$27+$J162/$D$28+$K162/$D$29+$L162/$D$30</f>
        <v>5</v>
      </c>
      <c r="Q162" s="101">
        <f t="shared" si="18"/>
        <v>1.0000000000000001E-5</v>
      </c>
      <c r="R162" s="102">
        <f>2.5*0.01*$C$7*$C$15*$D$8*($D$9+$D$10*$D$11)*(2*PI()*(1-COS($G162/180*PI())))^1.3/$E162^2/$F161^2*Q162*10^6</f>
        <v>1.0629334546733355E-5</v>
      </c>
      <c r="S162" s="100">
        <f>$I162/$E$27+$J162/$E$28+K162/$E$29+$L162/$E$30</f>
        <v>4.3181818181818183</v>
      </c>
      <c r="T162" s="101">
        <f t="shared" si="19"/>
        <v>4.8063808630643867E-5</v>
      </c>
      <c r="U162" s="102">
        <f>2.5*0.01*$C$7*$C$15*$E$8*($E$9+$E$10*$E$11)*(2*PI()*(1-COS($G162/180*PI())))^1.3/$E162^2/$F161^2*T162*10^6</f>
        <v>5.1088630152528366E-5</v>
      </c>
      <c r="V162" s="100">
        <f>$I162/$F$27+$J162/$F$28+K162/$F$29+$L162/$F$30</f>
        <v>6.2295081967213113</v>
      </c>
      <c r="W162" s="101">
        <f t="shared" si="20"/>
        <v>5.8951085074002664E-7</v>
      </c>
      <c r="X162" s="102">
        <f>2.5*0.01*$C$7*$C$15*$F$8*($F$9+$F$10*$F$11)*(2*PI()*(1-COS($G162/180*PI())))^1.3/$E162^2/$F161^2*W162*10^6</f>
        <v>6.2661080514451354E-7</v>
      </c>
      <c r="Y162" s="100">
        <f>$I162/$G$27+$J162/$G$28+K162/$G$29+$L162/$G$30</f>
        <v>5.3370786516853927</v>
      </c>
      <c r="Z162" s="101">
        <f t="shared" si="21"/>
        <v>4.6017322765137984E-6</v>
      </c>
      <c r="AA162" s="103">
        <f>2.5*0.01*$C$7*$C$15*$G$8*($G$9+$G$10*$G$11)*(2*PI()*(1-COS($G162/180*PI())))^1.3/$E162^2/$F161^2*Z162*10^6</f>
        <v>4.891335186156605E-6</v>
      </c>
      <c r="AB162" s="569">
        <f>SUM(O162,R162,U162,X162,AA162)</f>
        <v>6.9979194763752965E-5</v>
      </c>
      <c r="AC162" s="570"/>
      <c r="AD162" s="571"/>
      <c r="AH162" s="572"/>
      <c r="AI162" s="573"/>
      <c r="AJ162" s="563"/>
      <c r="AK162" s="551"/>
      <c r="AX162" s="545"/>
      <c r="AY162" s="545"/>
      <c r="AZ162" s="545"/>
      <c r="BA162" s="545"/>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row>
    <row r="163" spans="1:90" s="212" customFormat="1" ht="30" hidden="1" customHeight="1" x14ac:dyDescent="0.25">
      <c r="A163" s="57"/>
      <c r="B163" s="220"/>
      <c r="C163" s="310"/>
      <c r="D163" s="57"/>
      <c r="E163" s="57"/>
      <c r="F163" s="57"/>
      <c r="G163" s="57"/>
      <c r="H163" s="57"/>
      <c r="I163" s="57"/>
      <c r="J163" s="57"/>
      <c r="K163" s="57"/>
      <c r="L163" s="57"/>
      <c r="M163" s="369"/>
      <c r="N163" s="328"/>
      <c r="O163" s="586"/>
      <c r="P163" s="369"/>
      <c r="Q163" s="328"/>
      <c r="R163" s="586"/>
      <c r="S163" s="369"/>
      <c r="T163" s="328"/>
      <c r="U163" s="586"/>
      <c r="V163" s="369"/>
      <c r="W163" s="328"/>
      <c r="X163" s="586"/>
      <c r="Y163" s="369"/>
      <c r="Z163" s="328"/>
      <c r="AA163" s="586"/>
      <c r="AB163" s="328"/>
      <c r="AC163" s="587"/>
      <c r="AD163" s="225"/>
      <c r="AH163" s="580"/>
      <c r="AI163" s="581"/>
      <c r="AJ163" s="282"/>
      <c r="AK163" s="300"/>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row>
    <row r="164" spans="1:90" s="538" customFormat="1" ht="19.5" customHeight="1" x14ac:dyDescent="0.25">
      <c r="A164" s="517"/>
      <c r="B164" s="222"/>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189"/>
      <c r="Y164" s="189"/>
      <c r="Z164" s="189"/>
      <c r="AA164" s="189"/>
      <c r="AB164" s="189"/>
      <c r="AC164" s="189"/>
      <c r="AD164" s="202"/>
      <c r="AE164" s="202"/>
      <c r="AF164" s="202"/>
      <c r="AG164" s="202"/>
    </row>
    <row r="165" spans="1:90" s="212" customFormat="1" ht="19.5" customHeight="1" x14ac:dyDescent="0.25">
      <c r="A165" s="222"/>
      <c r="B165" s="222"/>
      <c r="C165" s="222"/>
      <c r="D165" s="222"/>
      <c r="E165" s="222"/>
      <c r="F165" s="222"/>
      <c r="G165" s="222"/>
      <c r="H165" s="222"/>
      <c r="I165" s="272"/>
      <c r="J165" s="588"/>
      <c r="K165" s="589"/>
      <c r="L165" s="288"/>
      <c r="M165" s="590"/>
      <c r="N165" s="591"/>
      <c r="O165" s="590"/>
      <c r="P165" s="592"/>
      <c r="Q165" s="201"/>
      <c r="R165" s="201"/>
      <c r="S165" s="201"/>
      <c r="T165" s="201"/>
      <c r="U165" s="201"/>
      <c r="V165" s="189"/>
      <c r="W165" s="593"/>
      <c r="X165" s="593"/>
      <c r="Y165" s="594"/>
      <c r="Z165" s="189"/>
      <c r="AA165" s="189"/>
      <c r="AB165" s="551"/>
      <c r="AC165" s="551"/>
      <c r="AD165" s="538"/>
      <c r="AE165" s="538"/>
      <c r="AF165" s="189"/>
      <c r="AG165" s="222"/>
      <c r="AH165" s="211"/>
      <c r="AI165" s="222"/>
      <c r="AJ165" s="222"/>
      <c r="AK165" s="225"/>
      <c r="AL165" s="225"/>
      <c r="AM165" s="225"/>
      <c r="AN165" s="225"/>
      <c r="AO165" s="225"/>
      <c r="AP165" s="300"/>
      <c r="AQ165" s="300"/>
      <c r="AR165" s="300"/>
      <c r="AS165" s="300"/>
      <c r="AT165" s="300"/>
      <c r="AU165" s="300"/>
      <c r="AV165" s="225"/>
      <c r="AW165" s="225"/>
      <c r="AX165" s="225"/>
      <c r="AY165" s="225"/>
      <c r="AZ165" s="225"/>
      <c r="BA165" s="225"/>
      <c r="BB165" s="225"/>
      <c r="BC165" s="225"/>
      <c r="BD165" s="225"/>
      <c r="BE165" s="225"/>
      <c r="BF165" s="225"/>
      <c r="BG165" s="225"/>
      <c r="BH165" s="225"/>
      <c r="BI165" s="225"/>
      <c r="BJ165" s="225"/>
    </row>
    <row r="166" spans="1:90" s="212" customFormat="1" ht="19.5" customHeight="1" x14ac:dyDescent="0.25">
      <c r="A166" s="595" t="s">
        <v>418</v>
      </c>
      <c r="B166" s="595"/>
      <c r="C166" s="596"/>
      <c r="D166" s="288"/>
      <c r="E166" s="288"/>
      <c r="F166" s="288"/>
      <c r="G166" s="288"/>
      <c r="H166" s="288"/>
      <c r="I166" s="288"/>
      <c r="J166" s="288"/>
      <c r="K166" s="288"/>
      <c r="L166" s="288"/>
      <c r="M166" s="288"/>
      <c r="N166" s="288"/>
      <c r="O166" s="288"/>
      <c r="P166" s="288"/>
      <c r="Q166" s="288"/>
      <c r="R166" s="288"/>
      <c r="S166" s="288"/>
      <c r="T166" s="288"/>
      <c r="U166" s="288"/>
      <c r="V166" s="222"/>
      <c r="W166" s="222"/>
      <c r="X166" s="222"/>
      <c r="Y166" s="222"/>
      <c r="Z166" s="222"/>
      <c r="AA166" s="222"/>
      <c r="AB166" s="187"/>
      <c r="AC166" s="187"/>
      <c r="AD166" s="187"/>
      <c r="AE166" s="187"/>
      <c r="AF166" s="222"/>
      <c r="AG166" s="587"/>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row>
    <row r="167" spans="1:90" s="604" customFormat="1" ht="19.5" customHeight="1" x14ac:dyDescent="0.25">
      <c r="A167" s="597"/>
      <c r="B167" s="598"/>
      <c r="C167" s="599"/>
      <c r="D167" s="599"/>
      <c r="E167" s="599"/>
      <c r="F167" s="600"/>
      <c r="G167" s="600"/>
      <c r="H167" s="600"/>
      <c r="I167" s="601"/>
      <c r="J167" s="600"/>
      <c r="K167" s="602"/>
      <c r="L167" s="603"/>
      <c r="M167" s="603"/>
    </row>
    <row r="168" spans="1:90" s="212" customFormat="1" ht="19.5" customHeight="1" x14ac:dyDescent="0.25">
      <c r="A168" s="605" t="s">
        <v>322</v>
      </c>
      <c r="C168" s="288"/>
      <c r="D168" s="288"/>
      <c r="E168" s="288"/>
      <c r="F168" s="288"/>
      <c r="G168" s="288"/>
      <c r="H168" s="288"/>
      <c r="I168" s="288"/>
      <c r="J168" s="288"/>
      <c r="K168" s="288"/>
      <c r="L168" s="288"/>
      <c r="M168" s="288"/>
      <c r="N168" s="288"/>
      <c r="O168" s="288"/>
      <c r="P168" s="288"/>
      <c r="Q168" s="288"/>
      <c r="R168" s="288"/>
      <c r="S168" s="288"/>
      <c r="T168" s="288"/>
      <c r="U168" s="288"/>
      <c r="V168" s="222"/>
      <c r="W168" s="222"/>
      <c r="X168" s="222"/>
      <c r="Y168" s="222"/>
      <c r="Z168" s="222"/>
      <c r="AA168" s="222"/>
      <c r="AB168" s="222"/>
      <c r="AC168" s="222"/>
      <c r="AD168" s="222"/>
      <c r="AE168" s="222"/>
      <c r="AF168" s="538"/>
      <c r="AG168" s="538"/>
      <c r="AH168" s="538"/>
      <c r="AI168" s="538"/>
      <c r="AJ168" s="538"/>
      <c r="AK168" s="538"/>
      <c r="AL168" s="538"/>
      <c r="AM168" s="538"/>
      <c r="AN168" s="538"/>
      <c r="AO168" s="538"/>
      <c r="AP168" s="545"/>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69"/>
      <c r="BL168" s="233"/>
      <c r="BM168" s="233"/>
      <c r="BN168" s="222"/>
      <c r="BO168" s="233"/>
      <c r="BP168" s="222"/>
      <c r="BQ168" s="211"/>
      <c r="BR168" s="222"/>
      <c r="BS168" s="222"/>
      <c r="BT168" s="225"/>
      <c r="BU168" s="225"/>
      <c r="BV168" s="225"/>
      <c r="BW168" s="225"/>
      <c r="BX168" s="225"/>
      <c r="BY168" s="300"/>
      <c r="BZ168" s="300"/>
      <c r="CA168" s="300"/>
      <c r="CB168" s="522"/>
      <c r="CC168" s="522"/>
      <c r="CD168" s="522"/>
    </row>
    <row r="169" spans="1:90" s="222" customFormat="1" ht="19.5" customHeight="1" x14ac:dyDescent="0.25">
      <c r="A169" s="301"/>
      <c r="B169" s="305"/>
      <c r="C169" s="302"/>
      <c r="D169" s="606" t="s">
        <v>261</v>
      </c>
      <c r="E169" s="607" t="s">
        <v>323</v>
      </c>
      <c r="F169" s="608"/>
      <c r="G169" s="609" t="s">
        <v>224</v>
      </c>
      <c r="H169" s="608" t="s">
        <v>329</v>
      </c>
      <c r="I169" s="2014" t="s">
        <v>260</v>
      </c>
      <c r="J169" s="2015"/>
      <c r="K169" s="607" t="s">
        <v>260</v>
      </c>
      <c r="L169" s="288"/>
      <c r="M169" s="288"/>
      <c r="N169" s="288"/>
      <c r="O169" s="288"/>
      <c r="P169" s="610"/>
      <c r="Q169" s="288"/>
      <c r="R169" s="288"/>
      <c r="S169" s="610"/>
      <c r="T169" s="288"/>
      <c r="U169" s="288"/>
      <c r="V169" s="610"/>
      <c r="W169" s="288"/>
      <c r="X169" s="288"/>
      <c r="Y169" s="288"/>
      <c r="Z169" s="288"/>
      <c r="AB169" s="288"/>
      <c r="AC169" s="288"/>
    </row>
    <row r="170" spans="1:90" s="222" customFormat="1" ht="19.5" customHeight="1" x14ac:dyDescent="0.25">
      <c r="A170" s="308" t="s">
        <v>50</v>
      </c>
      <c r="B170" s="611" t="s">
        <v>15</v>
      </c>
      <c r="C170" s="498" t="s">
        <v>25</v>
      </c>
      <c r="D170" s="612" t="s">
        <v>356</v>
      </c>
      <c r="E170" s="613" t="s">
        <v>324</v>
      </c>
      <c r="F170" s="613" t="s">
        <v>4</v>
      </c>
      <c r="G170" s="299" t="s">
        <v>259</v>
      </c>
      <c r="H170" s="613" t="s">
        <v>87</v>
      </c>
      <c r="I170" s="614"/>
      <c r="J170" s="614" t="s">
        <v>11</v>
      </c>
      <c r="K170" s="614" t="s">
        <v>11</v>
      </c>
      <c r="L170" s="288"/>
      <c r="M170" s="288"/>
      <c r="N170" s="288"/>
      <c r="O170" s="288"/>
      <c r="P170" s="610"/>
      <c r="Q170" s="288"/>
      <c r="R170" s="288"/>
      <c r="S170" s="610"/>
      <c r="T170" s="288"/>
      <c r="U170" s="288"/>
      <c r="V170" s="610"/>
      <c r="W170" s="288"/>
      <c r="X170" s="288"/>
      <c r="Y170" s="288"/>
      <c r="Z170" s="288"/>
      <c r="AB170" s="288"/>
      <c r="AC170" s="288"/>
    </row>
    <row r="171" spans="1:90" s="222" customFormat="1" ht="19.5" customHeight="1" x14ac:dyDescent="0.25">
      <c r="A171" s="615"/>
      <c r="B171" s="616"/>
      <c r="C171" s="499"/>
      <c r="D171" s="612" t="s">
        <v>357</v>
      </c>
      <c r="E171" s="617" t="s">
        <v>325</v>
      </c>
      <c r="F171" s="617" t="s">
        <v>78</v>
      </c>
      <c r="G171" s="299" t="s">
        <v>258</v>
      </c>
      <c r="H171" s="617"/>
      <c r="I171" s="614" t="s">
        <v>337</v>
      </c>
      <c r="J171" s="614" t="s">
        <v>337</v>
      </c>
      <c r="K171" s="614" t="s">
        <v>166</v>
      </c>
      <c r="L171" s="288"/>
      <c r="M171" s="288"/>
      <c r="N171" s="288"/>
      <c r="O171" s="288"/>
      <c r="P171" s="610"/>
      <c r="Q171" s="288"/>
      <c r="R171" s="288"/>
      <c r="S171" s="610"/>
      <c r="T171" s="288"/>
      <c r="U171" s="288"/>
      <c r="V171" s="610"/>
      <c r="W171" s="288"/>
      <c r="X171" s="288"/>
      <c r="Y171" s="288"/>
      <c r="Z171" s="288"/>
      <c r="AB171" s="288"/>
      <c r="AC171" s="288"/>
    </row>
    <row r="172" spans="1:90" s="222" customFormat="1" ht="30" customHeight="1" thickBot="1" x14ac:dyDescent="0.3">
      <c r="A172" s="684"/>
      <c r="B172" s="2031" t="str">
        <f>Samenvatting!A265</f>
        <v>achterblijven in bestralingsruimte tijdens bestraling</v>
      </c>
      <c r="C172" s="619" t="s">
        <v>0</v>
      </c>
      <c r="D172" s="1860">
        <v>550</v>
      </c>
      <c r="E172" s="620"/>
      <c r="F172" s="1861">
        <v>2</v>
      </c>
      <c r="G172" s="1862">
        <v>30</v>
      </c>
      <c r="H172" s="1860">
        <v>1</v>
      </c>
      <c r="I172" s="621">
        <f>D172*$C$15/F172^2*G172/60*10</f>
        <v>0.6875</v>
      </c>
      <c r="J172" s="622">
        <f>SUM(I172:I173)</f>
        <v>2.0625</v>
      </c>
      <c r="K172" s="622">
        <f>J172*H172</f>
        <v>2.0625</v>
      </c>
      <c r="N172" s="288"/>
      <c r="O172" s="288"/>
      <c r="P172" s="288"/>
      <c r="Q172" s="288"/>
      <c r="R172" s="288"/>
      <c r="S172" s="288"/>
      <c r="T172" s="288"/>
      <c r="U172" s="288"/>
      <c r="V172" s="288"/>
      <c r="W172" s="288"/>
      <c r="X172" s="288"/>
      <c r="Y172" s="288"/>
      <c r="Z172" s="288"/>
      <c r="AA172" s="288"/>
      <c r="AB172" s="288"/>
    </row>
    <row r="173" spans="1:90" s="222" customFormat="1" ht="30" customHeight="1" thickBot="1" x14ac:dyDescent="0.3">
      <c r="A173" s="623"/>
      <c r="B173" s="2032"/>
      <c r="C173" s="619" t="s">
        <v>33</v>
      </c>
      <c r="D173" s="624"/>
      <c r="E173" s="1852">
        <f>0.01*20</f>
        <v>0.2</v>
      </c>
      <c r="F173" s="625">
        <f>F172</f>
        <v>2</v>
      </c>
      <c r="G173" s="626">
        <f>G172</f>
        <v>30</v>
      </c>
      <c r="H173" s="629"/>
      <c r="I173" s="621">
        <f>D172*E173/100/F173^2*G173/60*10</f>
        <v>1.375</v>
      </c>
      <c r="J173" s="627"/>
      <c r="K173" s="627"/>
      <c r="N173" s="288"/>
      <c r="O173" s="288"/>
      <c r="P173" s="288"/>
      <c r="Q173" s="288"/>
      <c r="R173" s="288"/>
      <c r="S173" s="288"/>
      <c r="T173" s="288"/>
      <c r="U173" s="288"/>
      <c r="V173" s="288"/>
      <c r="W173" s="288"/>
      <c r="X173" s="288"/>
      <c r="Y173" s="288"/>
      <c r="Z173" s="288"/>
      <c r="AA173" s="288"/>
      <c r="AB173" s="288"/>
    </row>
    <row r="174" spans="1:90" s="222" customFormat="1" ht="19.5" customHeight="1" x14ac:dyDescent="0.25">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189"/>
      <c r="W174" s="189"/>
      <c r="X174" s="189"/>
      <c r="Y174" s="189"/>
      <c r="Z174" s="189"/>
      <c r="AA174" s="189"/>
      <c r="AB174" s="202"/>
      <c r="AC174" s="202"/>
      <c r="AD174" s="202"/>
      <c r="AE174" s="202"/>
      <c r="AK174" s="299"/>
      <c r="AL174" s="299"/>
      <c r="AM174" s="299"/>
      <c r="AN174" s="299"/>
      <c r="AO174" s="299"/>
      <c r="AP174" s="299"/>
      <c r="AU174" s="211"/>
      <c r="AV174" s="266"/>
      <c r="BC174" s="211"/>
      <c r="BD174" s="211"/>
    </row>
    <row r="175" spans="1:90" x14ac:dyDescent="0.25">
      <c r="A175" s="605" t="s">
        <v>339</v>
      </c>
      <c r="B175" s="202"/>
      <c r="C175" s="288"/>
      <c r="D175" s="288"/>
      <c r="E175" s="288"/>
      <c r="F175" s="288"/>
      <c r="G175" s="288"/>
      <c r="H175" s="288"/>
      <c r="I175" s="288"/>
      <c r="J175" s="288"/>
      <c r="K175" s="288"/>
      <c r="L175" s="288"/>
      <c r="M175" s="288"/>
      <c r="N175" s="288"/>
      <c r="O175" s="288"/>
      <c r="P175" s="288"/>
      <c r="Q175" s="288"/>
      <c r="R175" s="288"/>
      <c r="S175" s="288"/>
      <c r="T175" s="288"/>
      <c r="U175" s="288"/>
      <c r="V175" s="222"/>
      <c r="W175" s="222"/>
      <c r="X175" s="222"/>
      <c r="Y175" s="222"/>
      <c r="Z175" s="222"/>
      <c r="AA175" s="222"/>
      <c r="AB175" s="222"/>
      <c r="AC175" s="222"/>
      <c r="AD175" s="222"/>
      <c r="AE175" s="222"/>
    </row>
    <row r="176" spans="1:90" s="187" customFormat="1" ht="19.5" customHeight="1" x14ac:dyDescent="0.25">
      <c r="A176" s="2020" t="s">
        <v>50</v>
      </c>
      <c r="B176" s="2023" t="s">
        <v>15</v>
      </c>
      <c r="C176" s="606" t="s">
        <v>261</v>
      </c>
      <c r="D176" s="607" t="s">
        <v>224</v>
      </c>
      <c r="E176" s="608" t="s">
        <v>329</v>
      </c>
      <c r="F176" s="607" t="s">
        <v>260</v>
      </c>
      <c r="G176" s="607" t="s">
        <v>260</v>
      </c>
      <c r="H176" s="628"/>
      <c r="I176" s="222"/>
      <c r="J176" s="288"/>
      <c r="K176" s="288"/>
      <c r="L176" s="288"/>
      <c r="M176" s="288"/>
      <c r="N176" s="288"/>
      <c r="O176" s="610"/>
      <c r="P176" s="288"/>
      <c r="Q176" s="288"/>
      <c r="R176" s="610"/>
      <c r="S176" s="288"/>
      <c r="T176" s="288"/>
      <c r="U176" s="610"/>
      <c r="V176" s="288"/>
      <c r="W176" s="288"/>
      <c r="X176" s="288"/>
      <c r="Y176" s="288"/>
      <c r="Z176" s="222"/>
      <c r="AA176" s="288"/>
      <c r="AB176" s="288"/>
      <c r="AC176" s="222"/>
      <c r="AD176" s="222"/>
      <c r="AE176" s="222"/>
    </row>
    <row r="177" spans="1:52" s="222" customFormat="1" ht="19.5" customHeight="1" x14ac:dyDescent="0.25">
      <c r="A177" s="2021"/>
      <c r="B177" s="2024"/>
      <c r="C177" s="2026" t="s">
        <v>340</v>
      </c>
      <c r="D177" s="613" t="s">
        <v>328</v>
      </c>
      <c r="E177" s="613" t="s">
        <v>87</v>
      </c>
      <c r="F177" s="613"/>
      <c r="G177" s="614" t="s">
        <v>11</v>
      </c>
      <c r="H177" s="628"/>
      <c r="J177" s="288"/>
      <c r="K177" s="288"/>
      <c r="L177" s="288"/>
      <c r="M177" s="288"/>
      <c r="N177" s="288"/>
      <c r="O177" s="610"/>
      <c r="P177" s="288"/>
      <c r="Q177" s="288"/>
      <c r="R177" s="610"/>
      <c r="S177" s="288"/>
      <c r="T177" s="288"/>
      <c r="U177" s="610"/>
      <c r="V177" s="288"/>
      <c r="W177" s="288"/>
      <c r="X177" s="288"/>
      <c r="Y177" s="288"/>
      <c r="AA177" s="288"/>
      <c r="AB177" s="288"/>
    </row>
    <row r="178" spans="1:52" s="222" customFormat="1" ht="19.5" customHeight="1" x14ac:dyDescent="0.25">
      <c r="A178" s="2022"/>
      <c r="B178" s="2025"/>
      <c r="C178" s="2027"/>
      <c r="D178" s="617" t="s">
        <v>229</v>
      </c>
      <c r="E178" s="617"/>
      <c r="F178" s="614" t="s">
        <v>337</v>
      </c>
      <c r="G178" s="614" t="s">
        <v>166</v>
      </c>
      <c r="H178" s="628"/>
      <c r="J178" s="288"/>
      <c r="K178" s="288"/>
      <c r="L178" s="288"/>
      <c r="M178" s="288"/>
      <c r="N178" s="288"/>
      <c r="O178" s="610"/>
      <c r="P178" s="288"/>
      <c r="Q178" s="288"/>
      <c r="R178" s="610"/>
      <c r="S178" s="288"/>
      <c r="T178" s="288"/>
      <c r="U178" s="610"/>
      <c r="V178" s="288"/>
      <c r="W178" s="288"/>
      <c r="X178" s="288"/>
      <c r="Y178" s="288"/>
      <c r="AA178" s="288"/>
      <c r="AB178" s="288"/>
    </row>
    <row r="179" spans="1:52" s="222" customFormat="1" ht="30" customHeight="1" x14ac:dyDescent="0.25">
      <c r="A179" s="630"/>
      <c r="B179" s="631" t="str">
        <f>Samenvatting!A276</f>
        <v>werken in nabijheid geactiveerde target</v>
      </c>
      <c r="C179" s="1861">
        <v>25</v>
      </c>
      <c r="D179" s="1861">
        <v>0.5</v>
      </c>
      <c r="E179" s="1861">
        <v>4</v>
      </c>
      <c r="F179" s="632">
        <f>C179*D179/10^3</f>
        <v>1.2500000000000001E-2</v>
      </c>
      <c r="G179" s="621">
        <f>F179*E179</f>
        <v>0.05</v>
      </c>
      <c r="H179" s="633"/>
      <c r="M179" s="288"/>
      <c r="N179" s="288"/>
      <c r="O179" s="288"/>
      <c r="P179" s="288"/>
      <c r="Q179" s="288"/>
      <c r="R179" s="288"/>
      <c r="S179" s="288"/>
      <c r="T179" s="288"/>
      <c r="U179" s="288"/>
      <c r="V179" s="288"/>
      <c r="W179" s="288"/>
      <c r="X179" s="288"/>
      <c r="Y179" s="288"/>
      <c r="Z179" s="288"/>
      <c r="AA179" s="288"/>
    </row>
    <row r="180" spans="1:52" s="222" customFormat="1" ht="19.5" customHeight="1" x14ac:dyDescent="0.25">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189"/>
      <c r="W180" s="189"/>
      <c r="X180" s="189"/>
      <c r="Y180" s="189"/>
      <c r="Z180" s="189"/>
      <c r="AA180" s="189"/>
      <c r="AB180" s="202"/>
      <c r="AC180" s="202"/>
      <c r="AD180" s="202"/>
      <c r="AE180" s="202"/>
    </row>
    <row r="181" spans="1:52" s="225" customFormat="1" ht="19.5" customHeight="1" x14ac:dyDescent="0.25">
      <c r="A181" s="634" t="s">
        <v>327</v>
      </c>
      <c r="C181" s="288"/>
      <c r="D181" s="288"/>
      <c r="E181" s="288"/>
      <c r="F181" s="288"/>
      <c r="G181" s="288"/>
      <c r="H181" s="288"/>
      <c r="I181" s="288"/>
      <c r="J181" s="288"/>
      <c r="K181" s="288"/>
      <c r="L181" s="288"/>
      <c r="M181" s="288"/>
      <c r="N181" s="288"/>
      <c r="O181" s="288"/>
      <c r="P181" s="288"/>
      <c r="Q181" s="288"/>
      <c r="R181" s="288"/>
      <c r="S181" s="288"/>
      <c r="T181" s="288"/>
      <c r="U181" s="288"/>
      <c r="V181" s="222"/>
      <c r="W181" s="222"/>
      <c r="X181" s="222"/>
      <c r="Y181" s="222"/>
      <c r="Z181" s="222"/>
      <c r="AA181" s="222"/>
      <c r="AB181" s="222"/>
      <c r="AC181" s="222"/>
      <c r="AD181" s="222"/>
      <c r="AE181" s="222"/>
      <c r="AG181" s="328"/>
      <c r="AI181" s="328"/>
      <c r="AJ181" s="328"/>
      <c r="AK181" s="328"/>
      <c r="AL181" s="328"/>
      <c r="AP181" s="222"/>
      <c r="AQ181" s="211"/>
      <c r="AR181" s="222"/>
      <c r="AS181" s="222"/>
      <c r="AY181" s="300"/>
      <c r="AZ181" s="300"/>
    </row>
    <row r="182" spans="1:52" s="187" customFormat="1" ht="19.5" customHeight="1" x14ac:dyDescent="0.25">
      <c r="A182" s="2020" t="s">
        <v>50</v>
      </c>
      <c r="B182" s="2023" t="s">
        <v>15</v>
      </c>
      <c r="C182" s="606" t="s">
        <v>261</v>
      </c>
      <c r="D182" s="607" t="s">
        <v>224</v>
      </c>
      <c r="E182" s="608" t="s">
        <v>329</v>
      </c>
      <c r="F182" s="607" t="s">
        <v>260</v>
      </c>
      <c r="G182" s="607" t="s">
        <v>260</v>
      </c>
      <c r="H182" s="628"/>
      <c r="I182" s="222"/>
      <c r="J182" s="288"/>
      <c r="K182" s="288"/>
      <c r="L182" s="288"/>
      <c r="M182" s="288"/>
      <c r="N182" s="288"/>
      <c r="O182" s="610"/>
      <c r="P182" s="288"/>
      <c r="Q182" s="288"/>
      <c r="R182" s="610"/>
      <c r="S182" s="288"/>
      <c r="T182" s="288"/>
      <c r="U182" s="610"/>
      <c r="V182" s="288"/>
      <c r="W182" s="288"/>
      <c r="X182" s="288"/>
      <c r="Y182" s="288"/>
      <c r="Z182" s="222"/>
      <c r="AA182" s="288"/>
      <c r="AB182" s="288"/>
      <c r="AC182" s="222"/>
      <c r="AD182" s="222"/>
      <c r="AE182" s="222"/>
    </row>
    <row r="183" spans="1:52" s="222" customFormat="1" ht="19.5" customHeight="1" x14ac:dyDescent="0.25">
      <c r="A183" s="2021"/>
      <c r="B183" s="2024"/>
      <c r="C183" s="2026" t="s">
        <v>340</v>
      </c>
      <c r="D183" s="613" t="s">
        <v>328</v>
      </c>
      <c r="E183" s="613" t="s">
        <v>87</v>
      </c>
      <c r="F183" s="613"/>
      <c r="G183" s="614" t="s">
        <v>11</v>
      </c>
      <c r="H183" s="628"/>
      <c r="J183" s="288"/>
      <c r="K183" s="288"/>
      <c r="L183" s="288"/>
      <c r="M183" s="288"/>
      <c r="N183" s="288"/>
      <c r="O183" s="610"/>
      <c r="P183" s="288"/>
      <c r="Q183" s="288"/>
      <c r="R183" s="610"/>
      <c r="S183" s="288"/>
      <c r="T183" s="288"/>
      <c r="U183" s="610"/>
      <c r="V183" s="288"/>
      <c r="W183" s="288"/>
      <c r="X183" s="288"/>
      <c r="Y183" s="288"/>
      <c r="AA183" s="288"/>
      <c r="AB183" s="288"/>
    </row>
    <row r="184" spans="1:52" s="222" customFormat="1" ht="19.5" customHeight="1" x14ac:dyDescent="0.25">
      <c r="A184" s="2022"/>
      <c r="B184" s="2025"/>
      <c r="C184" s="2027"/>
      <c r="D184" s="617" t="s">
        <v>229</v>
      </c>
      <c r="E184" s="617"/>
      <c r="F184" s="614" t="s">
        <v>337</v>
      </c>
      <c r="G184" s="614" t="s">
        <v>166</v>
      </c>
      <c r="H184" s="628"/>
      <c r="J184" s="288"/>
      <c r="K184" s="288"/>
      <c r="L184" s="288"/>
      <c r="M184" s="288"/>
      <c r="N184" s="288"/>
      <c r="O184" s="610"/>
      <c r="P184" s="288"/>
      <c r="Q184" s="288"/>
      <c r="R184" s="610"/>
      <c r="S184" s="288"/>
      <c r="T184" s="288"/>
      <c r="U184" s="610"/>
      <c r="V184" s="288"/>
      <c r="W184" s="288"/>
      <c r="X184" s="288"/>
      <c r="Y184" s="288"/>
      <c r="AA184" s="288"/>
      <c r="AB184" s="288"/>
    </row>
    <row r="185" spans="1:52" s="222" customFormat="1" ht="30" customHeight="1" x14ac:dyDescent="0.25">
      <c r="A185" s="623"/>
      <c r="B185" s="631" t="str">
        <f>Samenvatting!A287</f>
        <v>werken in nabijheid geactiveerde onderdelen</v>
      </c>
      <c r="C185" s="1861">
        <v>1.5</v>
      </c>
      <c r="D185" s="1861">
        <v>2</v>
      </c>
      <c r="E185" s="1861">
        <v>24</v>
      </c>
      <c r="F185" s="632">
        <f>C185*D185/10^3</f>
        <v>3.0000000000000001E-3</v>
      </c>
      <c r="G185" s="621">
        <f>F185*E185</f>
        <v>7.2000000000000008E-2</v>
      </c>
      <c r="H185" s="635"/>
      <c r="M185" s="288"/>
      <c r="N185" s="288"/>
      <c r="O185" s="288"/>
      <c r="P185" s="288"/>
      <c r="Q185" s="288"/>
      <c r="R185" s="288"/>
      <c r="S185" s="288"/>
      <c r="T185" s="288"/>
      <c r="U185" s="288"/>
      <c r="V185" s="288"/>
      <c r="W185" s="288"/>
      <c r="X185" s="288"/>
      <c r="Y185" s="288"/>
      <c r="Z185" s="288"/>
      <c r="AA185" s="288"/>
    </row>
    <row r="186" spans="1:52" s="222" customFormat="1" ht="30" customHeight="1" x14ac:dyDescent="0.25">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189"/>
      <c r="W186" s="189"/>
      <c r="X186" s="189"/>
      <c r="Y186" s="189"/>
      <c r="Z186" s="189"/>
      <c r="AA186" s="189"/>
      <c r="AB186" s="202"/>
      <c r="AC186" s="202"/>
      <c r="AD186" s="202"/>
      <c r="AE186" s="202"/>
    </row>
    <row r="187" spans="1:52" s="225" customFormat="1" ht="19.5" customHeight="1" thickBot="1" x14ac:dyDescent="0.3">
      <c r="A187" s="288" t="s">
        <v>326</v>
      </c>
      <c r="C187" s="636"/>
      <c r="D187" s="265"/>
      <c r="E187" s="265"/>
      <c r="F187" s="265"/>
      <c r="G187" s="265"/>
      <c r="H187" s="265"/>
      <c r="I187" s="233"/>
      <c r="J187" s="242"/>
      <c r="K187" s="233"/>
      <c r="L187" s="233"/>
      <c r="M187" s="242"/>
      <c r="N187" s="369"/>
      <c r="O187" s="222"/>
      <c r="P187" s="222"/>
      <c r="Q187" s="222"/>
      <c r="R187" s="222"/>
      <c r="T187" s="328"/>
      <c r="V187" s="328"/>
      <c r="W187" s="328"/>
      <c r="X187" s="328"/>
      <c r="Y187" s="328"/>
      <c r="AC187" s="222"/>
      <c r="AD187" s="211"/>
      <c r="AE187" s="222"/>
      <c r="AF187" s="222"/>
      <c r="AL187" s="300"/>
      <c r="AM187" s="300"/>
    </row>
    <row r="188" spans="1:52" s="225" customFormat="1" ht="19.5" customHeight="1" thickBot="1" x14ac:dyDescent="0.3">
      <c r="A188" s="2020" t="s">
        <v>50</v>
      </c>
      <c r="B188" s="2023" t="s">
        <v>15</v>
      </c>
      <c r="C188" s="1998" t="s">
        <v>25</v>
      </c>
      <c r="D188" s="1998" t="s">
        <v>158</v>
      </c>
      <c r="E188" s="2012" t="s">
        <v>527</v>
      </c>
      <c r="F188" s="304" t="s">
        <v>77</v>
      </c>
      <c r="G188" s="637"/>
      <c r="H188" s="305"/>
      <c r="I188" s="607" t="s">
        <v>224</v>
      </c>
      <c r="J188" s="608" t="s">
        <v>329</v>
      </c>
      <c r="K188" s="2016">
        <v>18</v>
      </c>
      <c r="L188" s="2017"/>
      <c r="M188" s="2018"/>
      <c r="N188" s="2003" t="s">
        <v>16</v>
      </c>
      <c r="O188" s="2004"/>
      <c r="P188" s="222"/>
      <c r="Q188" s="222"/>
      <c r="R188" s="222"/>
      <c r="T188" s="328"/>
      <c r="V188" s="328"/>
      <c r="W188" s="328"/>
      <c r="X188" s="328"/>
      <c r="Y188" s="328"/>
      <c r="AC188" s="222"/>
      <c r="AD188" s="211"/>
      <c r="AE188" s="222"/>
      <c r="AF188" s="222"/>
      <c r="AL188" s="300"/>
      <c r="AM188" s="300"/>
    </row>
    <row r="189" spans="1:52" s="222" customFormat="1" ht="19.5" customHeight="1" x14ac:dyDescent="0.25">
      <c r="A189" s="2021"/>
      <c r="B189" s="2024"/>
      <c r="C189" s="2010"/>
      <c r="D189" s="2010"/>
      <c r="E189" s="2010"/>
      <c r="F189" s="639"/>
      <c r="G189" s="211"/>
      <c r="H189" s="611"/>
      <c r="I189" s="614" t="s">
        <v>328</v>
      </c>
      <c r="J189" s="613" t="s">
        <v>87</v>
      </c>
      <c r="K189" s="312" t="s">
        <v>86</v>
      </c>
      <c r="L189" s="312" t="s">
        <v>206</v>
      </c>
      <c r="M189" s="312" t="s">
        <v>260</v>
      </c>
      <c r="N189" s="613"/>
      <c r="O189" s="614" t="s">
        <v>11</v>
      </c>
      <c r="T189" s="328"/>
      <c r="V189" s="328"/>
      <c r="W189" s="328"/>
      <c r="X189" s="328"/>
      <c r="Y189" s="328"/>
      <c r="AD189" s="211"/>
      <c r="AL189" s="211"/>
      <c r="AM189" s="211"/>
    </row>
    <row r="190" spans="1:52" s="222" customFormat="1" ht="19.5" customHeight="1" thickBot="1" x14ac:dyDescent="0.3">
      <c r="A190" s="2022"/>
      <c r="B190" s="2025"/>
      <c r="C190" s="2011"/>
      <c r="D190" s="2011"/>
      <c r="E190" s="2013"/>
      <c r="F190" s="615" t="s">
        <v>1</v>
      </c>
      <c r="G190" s="615" t="s">
        <v>61</v>
      </c>
      <c r="H190" s="615" t="s">
        <v>3</v>
      </c>
      <c r="I190" s="179" t="s">
        <v>229</v>
      </c>
      <c r="J190" s="179"/>
      <c r="K190" s="505" t="s">
        <v>208</v>
      </c>
      <c r="L190" s="505" t="s">
        <v>207</v>
      </c>
      <c r="M190" s="506" t="s">
        <v>341</v>
      </c>
      <c r="N190" s="614" t="s">
        <v>337</v>
      </c>
      <c r="O190" s="614" t="s">
        <v>166</v>
      </c>
      <c r="U190" s="328"/>
      <c r="W190" s="328"/>
      <c r="X190" s="328"/>
      <c r="Y190" s="328"/>
      <c r="Z190" s="328"/>
      <c r="AE190" s="211"/>
      <c r="AM190" s="211"/>
      <c r="AN190" s="211"/>
    </row>
    <row r="191" spans="1:52" s="222" customFormat="1" ht="30" customHeight="1" x14ac:dyDescent="0.25">
      <c r="A191" s="301"/>
      <c r="B191" s="2008" t="str">
        <f>Samenvatting!A298</f>
        <v>werkzaamheden uitvoeren in gecontroleerde ruimte (buiten de bestralingsruimte) terwijl er gestraald word: bv dak wegens reparaties</v>
      </c>
      <c r="C191" s="323" t="s">
        <v>569</v>
      </c>
      <c r="D191" s="1840">
        <v>6</v>
      </c>
      <c r="E191" s="1863">
        <v>0.25</v>
      </c>
      <c r="F191" s="1834">
        <v>250</v>
      </c>
      <c r="G191" s="1834">
        <v>0</v>
      </c>
      <c r="H191" s="1834">
        <v>0</v>
      </c>
      <c r="I191" s="640"/>
      <c r="J191" s="641"/>
      <c r="K191" s="686">
        <f>IF(K188=C4,IF($F191=0,0,1+($F191-$C$21)/$C$22)+$G191/$C$23+$H191/$C$24,IF(K188=D4,(IF($F191=0,0,1+($F191-$D$21)/$D$22)+$G191/$D$23+$H191/$D$24),IF(K188=E4,IF($F191=0,0,1+($F191-$E$21)/$E$22)+$G191/$E$23+$H191/$E$24,IF(K188=F4,IF($F191=0,0,1+($F191-$F$21)/$F$22)+$G191/$F$23+$H191/$F$24,IF(K188=G4,IF($F191=0,0,1+($F191-$G$21)/$G$22)+$G191/$G$23+$H191/$G$24,2)))))</f>
        <v>5.7674418604651159</v>
      </c>
      <c r="L191" s="72">
        <f>10^(-K191)</f>
        <v>1.7082763938087111E-6</v>
      </c>
      <c r="M191" s="71">
        <f>($C$7*$C$14*I192/40*$E191/$D191^2*L191*10^6)</f>
        <v>1.1863030512560492E-2</v>
      </c>
      <c r="N191" s="642">
        <f>M191+M192</f>
        <v>1.8104733127211996E-2</v>
      </c>
      <c r="O191" s="643">
        <f>N191*J192</f>
        <v>1.8104733127211996E-2</v>
      </c>
      <c r="U191" s="328"/>
      <c r="V191" s="328"/>
      <c r="W191" s="328"/>
      <c r="X191" s="328"/>
      <c r="Y191" s="328"/>
      <c r="Z191" s="328"/>
      <c r="AE191" s="211"/>
      <c r="AM191" s="211"/>
      <c r="AN191" s="211"/>
    </row>
    <row r="192" spans="1:52" s="222" customFormat="1" ht="30" customHeight="1" thickBot="1" x14ac:dyDescent="0.3">
      <c r="A192" s="623"/>
      <c r="B192" s="2019"/>
      <c r="C192" s="331" t="s">
        <v>568</v>
      </c>
      <c r="D192" s="1864">
        <v>5</v>
      </c>
      <c r="E192" s="644"/>
      <c r="F192" s="1865">
        <v>250</v>
      </c>
      <c r="G192" s="1865">
        <v>0</v>
      </c>
      <c r="H192" s="1865">
        <v>0</v>
      </c>
      <c r="I192" s="1866">
        <v>1</v>
      </c>
      <c r="J192" s="1867">
        <v>1</v>
      </c>
      <c r="K192" s="105">
        <f>IF(K188=$C$4,$F192/$C$27+$G192/$C$28+$H192/$C$29,IF(K188=$D$4,$F192/$D$27+$G192/$D$28+$H192/$D$29,IF(K188=$E$4,$F192/$E$27+$G192/$E$28+$H192/$E$29,IF(K188=$F$4,$F192/$F$27+$G192/$F$28+$H192/$F$29,IF(K188=$G$4,$F192/$G$27+$G192/$G$28+$H192/$G$29, )))))</f>
        <v>5.6818181818181817</v>
      </c>
      <c r="L192" s="106">
        <f>10^(-K192)</f>
        <v>2.0805675382171676E-6</v>
      </c>
      <c r="M192" s="105">
        <f>($C$7*I192/40*$C$15*($C$9+$C$10*$C$11)/$D192^2*L192*10^6)</f>
        <v>6.2417026146515033E-3</v>
      </c>
      <c r="N192" s="645"/>
      <c r="O192" s="646"/>
      <c r="U192" s="328"/>
      <c r="V192" s="328"/>
      <c r="W192" s="328"/>
      <c r="X192" s="328"/>
      <c r="Y192" s="328"/>
      <c r="Z192" s="328"/>
      <c r="AE192" s="211"/>
      <c r="AM192" s="211"/>
      <c r="AN192" s="211"/>
    </row>
    <row r="193" spans="1:31" s="222" customFormat="1" ht="30" customHeight="1" x14ac:dyDescent="0.25">
      <c r="A193" s="201"/>
      <c r="B193" s="201"/>
      <c r="C193" s="201"/>
      <c r="D193" s="201"/>
      <c r="E193" s="201"/>
      <c r="F193" s="201"/>
      <c r="G193" s="201"/>
      <c r="H193" s="201"/>
      <c r="I193" s="201"/>
      <c r="J193" s="201"/>
      <c r="K193" s="201"/>
      <c r="L193" s="201"/>
      <c r="M193" s="201"/>
      <c r="N193" s="189"/>
      <c r="O193" s="202"/>
      <c r="P193" s="202"/>
      <c r="Q193" s="202"/>
      <c r="R193" s="202"/>
    </row>
    <row r="194" spans="1:31" s="222" customFormat="1" ht="19.5" customHeight="1" x14ac:dyDescent="0.25">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189"/>
      <c r="W194" s="189"/>
      <c r="X194" s="189"/>
      <c r="Y194" s="189"/>
      <c r="Z194" s="189"/>
      <c r="AA194" s="189"/>
      <c r="AB194" s="202"/>
      <c r="AC194" s="202"/>
      <c r="AD194" s="202"/>
      <c r="AE194" s="202"/>
    </row>
    <row r="195" spans="1:31" ht="19.5" customHeight="1" x14ac:dyDescent="0.25">
      <c r="C195" s="279"/>
      <c r="D195" s="280"/>
      <c r="L195" s="647"/>
      <c r="M195" s="647"/>
      <c r="S195" s="648"/>
      <c r="U195" s="189"/>
      <c r="V195" s="190"/>
      <c r="AA195" s="202"/>
      <c r="AB195" s="538"/>
      <c r="AC195" s="538"/>
      <c r="AD195" s="538"/>
      <c r="AE195" s="538"/>
    </row>
    <row r="196" spans="1:31" ht="19.5" customHeight="1" x14ac:dyDescent="0.25"/>
    <row r="197" spans="1:31" ht="19.5" customHeight="1" x14ac:dyDescent="0.25"/>
  </sheetData>
  <sheetProtection algorithmName="SHA-512" hashValue="mqFzjTfiNKCAod5LlXpul3N24La+qDl+zG4GZrxPM4iDIQXAZ0EStHkU/Nf+OaypZSGQ8Y41WGfjqNUF7KATlg==" saltValue="rFrNp+T1WEuvQUlHIo4+fA==" spinCount="100000" sheet="1" objects="1" scenarios="1"/>
  <mergeCells count="37">
    <mergeCell ref="B191:B192"/>
    <mergeCell ref="P140:R140"/>
    <mergeCell ref="S140:U140"/>
    <mergeCell ref="V140:X140"/>
    <mergeCell ref="Y140:AA140"/>
    <mergeCell ref="N188:O188"/>
    <mergeCell ref="K188:M188"/>
    <mergeCell ref="X128:Z128"/>
    <mergeCell ref="A182:A184"/>
    <mergeCell ref="B182:B184"/>
    <mergeCell ref="C183:C184"/>
    <mergeCell ref="M141:M142"/>
    <mergeCell ref="P141:P142"/>
    <mergeCell ref="B172:B173"/>
    <mergeCell ref="I169:J169"/>
    <mergeCell ref="A176:A178"/>
    <mergeCell ref="B176:B178"/>
    <mergeCell ref="C177:C178"/>
    <mergeCell ref="S141:S142"/>
    <mergeCell ref="V141:V142"/>
    <mergeCell ref="Y141:Y142"/>
    <mergeCell ref="Q132:Q133"/>
    <mergeCell ref="R132:R133"/>
    <mergeCell ref="AB130:AB135"/>
    <mergeCell ref="AC130:AC135"/>
    <mergeCell ref="A188:A190"/>
    <mergeCell ref="B188:B190"/>
    <mergeCell ref="C188:C190"/>
    <mergeCell ref="D188:D190"/>
    <mergeCell ref="E188:E190"/>
    <mergeCell ref="AB140:AD140"/>
    <mergeCell ref="AC141:AD141"/>
    <mergeCell ref="L134:L135"/>
    <mergeCell ref="M134:M135"/>
    <mergeCell ref="F132:F133"/>
    <mergeCell ref="J132:J133"/>
    <mergeCell ref="K130:K133"/>
  </mergeCells>
  <dataValidations disablePrompts="1" count="21">
    <dataValidation allowBlank="1" showInputMessage="1" showErrorMessage="1" prompt="Als labyrint 1 bocht heeft dan dan is er geen A5: 1 invullen_x000a_" sqref="E116:E117"/>
    <dataValidation allowBlank="1" showInputMessage="1" showErrorMessage="1" promptTitle="let op" prompt="Als labyrint 1 bocht heeft dan dan is er geen A5: 1 invullen" sqref="R130:R132"/>
    <dataValidation allowBlank="1" showInputMessage="1" showErrorMessage="1" prompt="als versneller parallel aan het labyrint draait is er geen A2_x000a_: 1 invullen" sqref="O131"/>
    <dataValidation allowBlank="1" showInputMessage="1" showErrorMessage="1" promptTitle="let op" prompt="als versneller parallel aan het labyrint draait is er geen dz2:_x000a_ 1 invullen" sqref="H131:J131"/>
    <dataValidation allowBlank="1" showInputMessage="1" showErrorMessage="1" promptTitle="let op" prompt="is 1 las versneller parallel aan het labyrint draait" sqref="R15:R16"/>
    <dataValidation type="list" allowBlank="1" showInputMessage="1" showErrorMessage="1" sqref="G106">
      <formula1>"parallel,loodrecht"</formula1>
    </dataValidation>
    <dataValidation type="list" allowBlank="1" showInputMessage="1" showErrorMessage="1" sqref="G107:G108">
      <formula1>"1,2"</formula1>
    </dataValidation>
    <dataValidation allowBlank="1" showInputMessage="1" showErrorMessage="1" promptTitle="let op" prompt="als er geen afstand dp is: 1 invullen_x000a_Bij de voorbeeld plattegronden is er alleen een afstand dp in fig 6. " sqref="P17"/>
    <dataValidation allowBlank="1" showInputMessage="1" showErrorMessage="1" promptTitle="let op" prompt="Alleen van belang als E &gt; 10 MV (neutronenproduktie)" sqref="G125:G126"/>
    <dataValidation allowBlank="1" showInputMessage="1" showErrorMessage="1" prompt="Fr richting  opp A1_x000a_" sqref="W130"/>
    <dataValidation allowBlank="1" showInputMessage="1" showErrorMessage="1" promptTitle="let op" prompt="Fr richting opp A2._x000a_Als versneller parallel aan labyrint draait dan is er geen A2: fr is dan 0" sqref="W131"/>
    <dataValidation allowBlank="1" showInputMessage="1" showErrorMessage="1" promptTitle="let op" prompt="als versneller parallel aan het labyrint draait is er geen dp2: 1 invullen" sqref="E131:G131"/>
    <dataValidation allowBlank="1" showInputMessage="1" showErrorMessage="1" promptTitle="let op" prompt="Als labyrint 1 bocht heeft dan dan is er geen dz5: 1 invullen_x000a_" sqref="S131:V131 P131:Q131 K130 L131:N131"/>
    <dataValidation allowBlank="1" showInputMessage="1" showErrorMessage="1" prompt="Fr voor gantry  90 graden als versneller parallel aan labyrint draait of Fr voor gantry 270 graden als versneller loodrecht op labyrint draait _x000a_" sqref="W133"/>
    <dataValidation allowBlank="1" showInputMessage="1" showErrorMessage="1" prompt="binnenmuur labyrint" sqref="X131:AA131"/>
    <dataValidation allowBlank="1" showInputMessage="1" showErrorMessage="1" prompt="Als kort labyrint (&lt; 5m) gebruik dan 6,1 cm" sqref="O115"/>
    <dataValidation type="list" allowBlank="1" showInputMessage="1" showErrorMessage="1" prompt="Zie handleiding voor verwijzing naar literatuur._x000a_" sqref="Q111">
      <formula1>"1,5,7E-16,6,9E-16"</formula1>
    </dataValidation>
    <dataValidation type="list" allowBlank="1" showInputMessage="1" showErrorMessage="1" prompt="Zie handleiding voor verwijzing naar literatuur._x000a_" sqref="Q113">
      <formula1>"1,3,9,5,4,6,2"</formula1>
    </dataValidation>
    <dataValidation type="list" allowBlank="1" showInputMessage="1" showErrorMessage="1" sqref="K188:M188">
      <formula1>$C$4:$H$4</formula1>
    </dataValidation>
    <dataValidation allowBlank="1" showInputMessage="1" showErrorMessage="1" prompt="Stralingsweegfactor, WR = 20" sqref="E173"/>
    <dataValidation type="list" allowBlank="1" showInputMessage="1" showErrorMessage="1" prompt="als head shielding van wolfraam dan 0,85, als van lood dan 1_x000a_als geen neutronen dan ook 1" sqref="C16">
      <formula1>"0,85,1"</formula1>
    </dataValidation>
  </dataValidations>
  <pageMargins left="0.70866141732283472" right="0.70866141732283472" top="0.74803149606299213" bottom="0.74803149606299213" header="0.31496062992125984" footer="0.31496062992125984"/>
  <pageSetup paperSize="8" scale="30" orientation="landscape" r:id="rId1"/>
  <headerFooter>
    <oddFooter>&amp;C&amp;F &amp;A</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CL197"/>
  <sheetViews>
    <sheetView showGridLines="0" topLeftCell="A154" zoomScale="55" zoomScaleNormal="55" workbookViewId="0">
      <selection activeCell="D191" sqref="D191:J192"/>
    </sheetView>
  </sheetViews>
  <sheetFormatPr defaultRowHeight="15" x14ac:dyDescent="0.25"/>
  <cols>
    <col min="1" max="1" width="6.7109375" style="201" customWidth="1"/>
    <col min="2" max="2" width="20.7109375" style="201" customWidth="1"/>
    <col min="3" max="21" width="12.7109375" style="201" customWidth="1"/>
    <col min="22" max="27" width="12.7109375" style="189" customWidth="1"/>
    <col min="28" max="36" width="12.7109375" style="202" customWidth="1"/>
    <col min="37" max="37" width="10" style="202" bestFit="1" customWidth="1"/>
    <col min="38" max="38" width="12.7109375" style="202" customWidth="1"/>
    <col min="39" max="39" width="10" style="202" bestFit="1" customWidth="1"/>
    <col min="40" max="45" width="12.7109375" style="202" customWidth="1"/>
    <col min="46" max="48" width="10.140625" style="202" bestFit="1" customWidth="1"/>
    <col min="49" max="55" width="12.140625" style="202" customWidth="1"/>
    <col min="56" max="60" width="10.140625" style="202" bestFit="1" customWidth="1"/>
    <col min="61" max="16384" width="9.140625" style="202"/>
  </cols>
  <sheetData>
    <row r="1" spans="1:31" s="187" customFormat="1" ht="26.25" customHeight="1" thickBot="1" x14ac:dyDescent="0.3">
      <c r="A1" s="181" t="s">
        <v>51</v>
      </c>
      <c r="B1" s="182"/>
      <c r="C1" s="183"/>
      <c r="D1" s="182"/>
      <c r="E1" s="182"/>
      <c r="F1" s="182"/>
      <c r="G1" s="182"/>
      <c r="H1" s="182"/>
      <c r="I1" s="182"/>
      <c r="J1" s="182"/>
      <c r="K1" s="182"/>
      <c r="L1" s="182"/>
      <c r="M1" s="182"/>
      <c r="N1" s="182"/>
      <c r="O1" s="182"/>
      <c r="P1" s="182"/>
      <c r="Q1" s="182"/>
      <c r="R1" s="182"/>
      <c r="S1" s="182"/>
      <c r="T1" s="182"/>
      <c r="U1" s="182"/>
      <c r="V1" s="184"/>
      <c r="W1" s="184"/>
      <c r="X1" s="184"/>
      <c r="Y1" s="184"/>
      <c r="Z1" s="184"/>
      <c r="AA1" s="184"/>
      <c r="AB1" s="185"/>
      <c r="AC1" s="185"/>
      <c r="AD1" s="185"/>
      <c r="AE1" s="186"/>
    </row>
    <row r="2" spans="1:31" s="189" customFormat="1" ht="18.75" customHeight="1" thickBot="1" x14ac:dyDescent="0.3">
      <c r="A2" s="188"/>
      <c r="F2" s="190"/>
      <c r="G2" s="190"/>
      <c r="H2" s="190"/>
    </row>
    <row r="3" spans="1:31" s="189" customFormat="1" ht="26.25" customHeight="1" thickBot="1" x14ac:dyDescent="0.3">
      <c r="A3" s="687" t="s">
        <v>314</v>
      </c>
      <c r="B3" s="688"/>
      <c r="C3" s="1868" t="s">
        <v>437</v>
      </c>
      <c r="D3" s="1868"/>
      <c r="E3" s="1868"/>
      <c r="F3" s="1869"/>
      <c r="G3" s="1870"/>
      <c r="H3" s="190"/>
      <c r="L3" s="193"/>
      <c r="M3" s="194" t="s">
        <v>420</v>
      </c>
      <c r="N3" s="195"/>
      <c r="O3" s="195"/>
      <c r="P3" s="195"/>
      <c r="Q3" s="195"/>
      <c r="R3" s="195"/>
      <c r="S3" s="195"/>
      <c r="T3" s="195"/>
    </row>
    <row r="4" spans="1:31" s="212" customFormat="1" ht="19.5" customHeight="1" thickBot="1" x14ac:dyDescent="0.3">
      <c r="A4" s="689" t="s">
        <v>55</v>
      </c>
      <c r="B4" s="690"/>
      <c r="C4" s="691">
        <v>6</v>
      </c>
      <c r="D4" s="691">
        <v>10</v>
      </c>
      <c r="E4" s="692">
        <v>18</v>
      </c>
      <c r="F4" s="691" t="s">
        <v>188</v>
      </c>
      <c r="G4" s="693" t="s">
        <v>189</v>
      </c>
      <c r="H4" s="207"/>
      <c r="I4" s="207"/>
      <c r="L4" s="195"/>
      <c r="M4" s="194"/>
      <c r="N4" s="195"/>
      <c r="O4" s="195"/>
      <c r="P4" s="195"/>
      <c r="Q4" s="195"/>
      <c r="R4" s="195"/>
      <c r="S4" s="195"/>
      <c r="T4" s="195"/>
      <c r="AD4" s="189"/>
    </row>
    <row r="5" spans="1:31" ht="22.5" customHeight="1" x14ac:dyDescent="0.25">
      <c r="A5" s="188"/>
      <c r="C5" s="205"/>
      <c r="D5" s="205"/>
      <c r="E5" s="205"/>
      <c r="F5" s="205"/>
      <c r="G5" s="205"/>
      <c r="L5" s="210"/>
      <c r="M5" s="194" t="s">
        <v>421</v>
      </c>
      <c r="N5" s="195"/>
      <c r="O5" s="195"/>
      <c r="P5" s="195"/>
      <c r="Q5" s="195"/>
      <c r="R5" s="195"/>
      <c r="S5" s="195"/>
      <c r="T5" s="195"/>
      <c r="U5" s="189"/>
      <c r="Z5" s="202"/>
      <c r="AA5" s="202"/>
    </row>
    <row r="6" spans="1:31" ht="19.5" customHeight="1" thickBot="1" x14ac:dyDescent="0.3">
      <c r="A6" s="188" t="s">
        <v>532</v>
      </c>
      <c r="B6" s="203"/>
      <c r="C6" s="650"/>
      <c r="D6" s="651"/>
      <c r="E6" s="651"/>
      <c r="F6" s="652"/>
      <c r="G6" s="652"/>
      <c r="H6" s="207"/>
      <c r="I6" s="207"/>
      <c r="J6" s="208"/>
      <c r="K6" s="209"/>
      <c r="L6" s="214"/>
      <c r="M6" s="194"/>
      <c r="N6" s="195"/>
      <c r="O6" s="195"/>
      <c r="P6" s="195"/>
      <c r="Q6" s="195"/>
      <c r="R6" s="195"/>
      <c r="S6" s="195"/>
      <c r="T6" s="195"/>
      <c r="AD6" s="211"/>
    </row>
    <row r="7" spans="1:31" s="212" customFormat="1" ht="19.5" customHeight="1" thickBot="1" x14ac:dyDescent="0.3">
      <c r="A7" s="215" t="s">
        <v>240</v>
      </c>
      <c r="B7" s="216"/>
      <c r="C7" s="1815">
        <f>10^3</f>
        <v>1000</v>
      </c>
      <c r="D7" s="217"/>
      <c r="E7" s="217"/>
      <c r="F7" s="217"/>
      <c r="G7" s="218"/>
      <c r="H7" s="189"/>
      <c r="I7" s="189"/>
      <c r="L7" s="219"/>
      <c r="M7" s="194" t="s">
        <v>651</v>
      </c>
      <c r="N7" s="195"/>
      <c r="O7" s="195"/>
      <c r="P7" s="195"/>
      <c r="Q7" s="195"/>
      <c r="R7" s="195"/>
      <c r="S7" s="195"/>
      <c r="T7" s="195"/>
    </row>
    <row r="8" spans="1:31" s="212" customFormat="1" ht="19.5" customHeight="1" x14ac:dyDescent="0.25">
      <c r="A8" s="215" t="s">
        <v>122</v>
      </c>
      <c r="B8" s="216"/>
      <c r="C8" s="1816">
        <v>0.2</v>
      </c>
      <c r="D8" s="1816">
        <v>0.2</v>
      </c>
      <c r="E8" s="1818">
        <v>0.2</v>
      </c>
      <c r="F8" s="1816">
        <v>0.2</v>
      </c>
      <c r="G8" s="1819">
        <v>0.2</v>
      </c>
      <c r="J8" s="220"/>
      <c r="K8" s="220"/>
      <c r="L8" s="195"/>
      <c r="M8" s="194"/>
      <c r="N8" s="195"/>
      <c r="O8" s="195"/>
      <c r="P8" s="195"/>
      <c r="Q8" s="195"/>
      <c r="R8" s="195"/>
      <c r="S8" s="195"/>
      <c r="T8" s="195"/>
    </row>
    <row r="9" spans="1:31" s="212" customFormat="1" ht="19.5" customHeight="1" x14ac:dyDescent="0.25">
      <c r="A9" s="221" t="s">
        <v>123</v>
      </c>
      <c r="B9" s="222"/>
      <c r="C9" s="1817">
        <v>0.5</v>
      </c>
      <c r="D9" s="1817">
        <v>0.5</v>
      </c>
      <c r="E9" s="1820">
        <v>0.5</v>
      </c>
      <c r="F9" s="1817">
        <v>0.5</v>
      </c>
      <c r="G9" s="1821">
        <v>0.5</v>
      </c>
      <c r="H9" s="189"/>
      <c r="I9" s="189"/>
      <c r="J9" s="220"/>
      <c r="K9" s="220"/>
      <c r="L9" s="223"/>
      <c r="M9" s="194" t="s">
        <v>422</v>
      </c>
      <c r="N9" s="195"/>
      <c r="O9" s="195"/>
      <c r="P9" s="195"/>
      <c r="Q9" s="195"/>
      <c r="R9" s="195"/>
      <c r="S9" s="195"/>
      <c r="T9" s="195"/>
    </row>
    <row r="10" spans="1:31" s="212" customFormat="1" ht="19.5" customHeight="1" x14ac:dyDescent="0.25">
      <c r="A10" s="221" t="s">
        <v>124</v>
      </c>
      <c r="B10" s="222"/>
      <c r="C10" s="178">
        <f>1-C9</f>
        <v>0.5</v>
      </c>
      <c r="D10" s="178">
        <f>1-D9</f>
        <v>0.5</v>
      </c>
      <c r="E10" s="179">
        <f>1-E9</f>
        <v>0.5</v>
      </c>
      <c r="F10" s="178">
        <f>1-F9</f>
        <v>0.5</v>
      </c>
      <c r="G10" s="180">
        <f>1-G9</f>
        <v>0.5</v>
      </c>
      <c r="H10" s="189"/>
      <c r="I10" s="189"/>
      <c r="J10" s="220"/>
      <c r="K10" s="220"/>
      <c r="L10" s="195"/>
      <c r="M10" s="195"/>
      <c r="N10" s="195"/>
      <c r="O10" s="195"/>
      <c r="P10" s="195"/>
      <c r="Q10" s="195"/>
      <c r="R10" s="195"/>
      <c r="S10" s="195"/>
      <c r="T10" s="195"/>
      <c r="U10" s="222"/>
      <c r="V10" s="225"/>
      <c r="W10" s="225"/>
      <c r="X10" s="225"/>
      <c r="Y10" s="225"/>
      <c r="Z10" s="225"/>
      <c r="AA10" s="225"/>
      <c r="AB10" s="225"/>
      <c r="AC10" s="225"/>
    </row>
    <row r="11" spans="1:31" s="212" customFormat="1" ht="19.5" customHeight="1" thickBot="1" x14ac:dyDescent="0.3">
      <c r="A11" s="226" t="s">
        <v>125</v>
      </c>
      <c r="B11" s="227"/>
      <c r="C11" s="1822">
        <v>5</v>
      </c>
      <c r="D11" s="1822">
        <v>5</v>
      </c>
      <c r="E11" s="1823">
        <v>5</v>
      </c>
      <c r="F11" s="1822">
        <v>5</v>
      </c>
      <c r="G11" s="1824">
        <v>5</v>
      </c>
      <c r="H11" s="189"/>
      <c r="I11" s="189"/>
      <c r="J11" s="220"/>
      <c r="K11" s="220"/>
      <c r="L11" s="228"/>
      <c r="M11" s="194" t="s">
        <v>650</v>
      </c>
      <c r="N11" s="195"/>
      <c r="O11" s="195"/>
      <c r="P11" s="195"/>
      <c r="Q11" s="195"/>
      <c r="R11" s="195"/>
      <c r="S11" s="195"/>
      <c r="T11" s="195"/>
      <c r="U11" s="222"/>
      <c r="V11" s="225"/>
      <c r="W11" s="225"/>
      <c r="X11" s="225"/>
      <c r="Y11" s="225"/>
      <c r="Z11" s="225"/>
      <c r="AA11" s="225"/>
      <c r="AB11" s="225"/>
      <c r="AC11" s="225"/>
    </row>
    <row r="12" spans="1:31" s="212" customFormat="1" ht="22.5" customHeight="1" x14ac:dyDescent="0.25">
      <c r="A12" s="222"/>
      <c r="B12" s="222"/>
      <c r="C12" s="229"/>
      <c r="D12" s="229"/>
      <c r="E12" s="229"/>
      <c r="F12" s="229"/>
      <c r="G12" s="229"/>
      <c r="H12" s="189"/>
      <c r="I12" s="189"/>
      <c r="J12" s="220"/>
      <c r="K12" s="220"/>
      <c r="L12" s="195"/>
      <c r="M12" s="194"/>
      <c r="N12" s="195"/>
      <c r="O12" s="195"/>
      <c r="P12" s="195"/>
      <c r="Q12" s="195"/>
      <c r="R12" s="195"/>
      <c r="S12" s="195"/>
      <c r="T12" s="195"/>
      <c r="U12" s="222"/>
      <c r="V12" s="225"/>
      <c r="W12" s="225"/>
      <c r="X12" s="225"/>
      <c r="Y12" s="225"/>
      <c r="Z12" s="225"/>
      <c r="AA12" s="225"/>
      <c r="AB12" s="225"/>
      <c r="AC12" s="225"/>
    </row>
    <row r="13" spans="1:31" s="212" customFormat="1" ht="19.5" customHeight="1" thickBot="1" x14ac:dyDescent="0.3">
      <c r="A13" s="230" t="s">
        <v>429</v>
      </c>
      <c r="B13" s="222"/>
      <c r="C13" s="231"/>
      <c r="D13" s="231"/>
      <c r="E13" s="231"/>
      <c r="F13" s="231"/>
      <c r="G13" s="231"/>
      <c r="H13" s="189"/>
      <c r="I13" s="189"/>
      <c r="J13" s="220"/>
      <c r="K13" s="220"/>
      <c r="L13" s="232"/>
      <c r="M13" s="194" t="s">
        <v>649</v>
      </c>
      <c r="N13" s="222"/>
      <c r="O13" s="222"/>
      <c r="P13" s="225"/>
      <c r="Q13" s="222"/>
      <c r="R13" s="222"/>
      <c r="S13" s="222"/>
      <c r="T13" s="233"/>
      <c r="U13" s="222"/>
      <c r="V13" s="225"/>
      <c r="W13" s="225"/>
      <c r="X13" s="225"/>
      <c r="Y13" s="225"/>
      <c r="Z13" s="225"/>
      <c r="AA13" s="225"/>
      <c r="AB13" s="225"/>
      <c r="AC13" s="225"/>
    </row>
    <row r="14" spans="1:31" s="212" customFormat="1" ht="19.5" customHeight="1" x14ac:dyDescent="0.2">
      <c r="A14" s="215" t="s">
        <v>417</v>
      </c>
      <c r="B14" s="234"/>
      <c r="C14" s="1825">
        <v>0.04</v>
      </c>
      <c r="D14" s="1825">
        <v>0.04</v>
      </c>
      <c r="E14" s="1825">
        <v>0.04</v>
      </c>
      <c r="F14" s="1825">
        <v>0.04</v>
      </c>
      <c r="G14" s="1826">
        <v>0.04</v>
      </c>
      <c r="H14" s="189"/>
      <c r="I14" s="189"/>
      <c r="L14" s="235"/>
      <c r="M14" s="194"/>
    </row>
    <row r="15" spans="1:31" s="212" customFormat="1" ht="19.5" customHeight="1" thickBot="1" x14ac:dyDescent="0.25">
      <c r="A15" s="236" t="s">
        <v>121</v>
      </c>
      <c r="B15" s="237"/>
      <c r="C15" s="1827">
        <v>1E-3</v>
      </c>
      <c r="D15" s="238"/>
      <c r="E15" s="238"/>
      <c r="F15" s="238"/>
      <c r="G15" s="239"/>
      <c r="H15" s="189"/>
      <c r="I15" s="189"/>
      <c r="J15" s="240"/>
      <c r="K15" s="225"/>
      <c r="L15" s="241"/>
      <c r="M15" s="194" t="s">
        <v>423</v>
      </c>
      <c r="N15" s="225"/>
      <c r="O15" s="225"/>
      <c r="P15" s="225"/>
      <c r="AD15" s="242"/>
    </row>
    <row r="16" spans="1:31" s="212" customFormat="1" ht="19.5" customHeight="1" thickBot="1" x14ac:dyDescent="0.25">
      <c r="A16" s="226" t="s">
        <v>652</v>
      </c>
      <c r="B16" s="227"/>
      <c r="C16" s="1828">
        <v>0.85</v>
      </c>
      <c r="D16" s="243"/>
      <c r="E16" s="243"/>
      <c r="F16" s="243"/>
      <c r="G16" s="244"/>
      <c r="H16" s="189"/>
      <c r="I16" s="189"/>
      <c r="J16" s="240"/>
      <c r="K16" s="225"/>
      <c r="L16" s="235"/>
      <c r="M16" s="194"/>
      <c r="N16" s="225"/>
      <c r="O16" s="225"/>
      <c r="P16" s="225"/>
      <c r="AD16" s="242"/>
    </row>
    <row r="17" spans="1:29" s="212" customFormat="1" ht="19.5" customHeight="1" thickBot="1" x14ac:dyDescent="0.3">
      <c r="A17" s="245" t="s">
        <v>210</v>
      </c>
      <c r="B17" s="246"/>
      <c r="C17" s="1829">
        <v>1</v>
      </c>
      <c r="D17" s="1830">
        <v>1</v>
      </c>
      <c r="E17" s="1831">
        <v>1</v>
      </c>
      <c r="F17" s="1832">
        <v>1</v>
      </c>
      <c r="G17" s="1833">
        <v>1</v>
      </c>
      <c r="J17" s="220"/>
      <c r="K17" s="220"/>
      <c r="L17" s="222"/>
      <c r="M17" s="222"/>
      <c r="N17" s="222"/>
      <c r="O17" s="222"/>
      <c r="P17" s="57"/>
      <c r="Q17" s="222"/>
    </row>
    <row r="18" spans="1:29" s="212" customFormat="1" ht="22.5" customHeight="1" x14ac:dyDescent="0.25">
      <c r="A18" s="222"/>
      <c r="B18" s="222"/>
      <c r="C18" s="229"/>
      <c r="D18" s="229"/>
      <c r="E18" s="229"/>
      <c r="F18" s="229"/>
      <c r="G18" s="229"/>
      <c r="H18" s="189"/>
      <c r="I18" s="189"/>
      <c r="J18" s="220"/>
      <c r="K18" s="220"/>
      <c r="L18" s="222"/>
      <c r="M18" s="222"/>
      <c r="N18" s="222"/>
      <c r="O18" s="222"/>
      <c r="P18" s="225"/>
      <c r="Q18" s="222"/>
      <c r="R18" s="222"/>
      <c r="S18" s="222"/>
      <c r="T18" s="233"/>
      <c r="U18" s="222"/>
      <c r="V18" s="225"/>
      <c r="W18" s="225"/>
      <c r="X18" s="225"/>
      <c r="Y18" s="225"/>
      <c r="Z18" s="225"/>
      <c r="AA18" s="225"/>
      <c r="AB18" s="225"/>
      <c r="AC18" s="225"/>
    </row>
    <row r="19" spans="1:29" s="212" customFormat="1" ht="19.5" customHeight="1" thickBot="1" x14ac:dyDescent="0.3">
      <c r="A19" s="247" t="s">
        <v>419</v>
      </c>
      <c r="B19" s="222"/>
      <c r="C19" s="231"/>
      <c r="D19" s="231"/>
      <c r="E19" s="231"/>
      <c r="F19" s="231"/>
      <c r="G19" s="231"/>
      <c r="H19" s="189"/>
      <c r="I19" s="189"/>
      <c r="J19" s="220"/>
      <c r="K19" s="220"/>
      <c r="L19" s="222"/>
      <c r="M19" s="222"/>
      <c r="N19" s="222"/>
      <c r="O19" s="222"/>
      <c r="P19" s="225"/>
      <c r="Q19" s="222"/>
      <c r="R19" s="222"/>
      <c r="S19" s="222"/>
      <c r="T19" s="233"/>
      <c r="U19" s="222"/>
      <c r="V19" s="225"/>
      <c r="W19" s="225"/>
      <c r="X19" s="225"/>
      <c r="Y19" s="225"/>
      <c r="Z19" s="225"/>
      <c r="AA19" s="225"/>
      <c r="AB19" s="225"/>
      <c r="AC19" s="225"/>
    </row>
    <row r="20" spans="1:29" s="212" customFormat="1" ht="19.5" customHeight="1" x14ac:dyDescent="0.25">
      <c r="A20" s="248"/>
      <c r="B20" s="249"/>
      <c r="C20" s="250" t="s">
        <v>20</v>
      </c>
      <c r="D20" s="251"/>
      <c r="E20" s="251"/>
      <c r="F20" s="251"/>
      <c r="G20" s="252"/>
      <c r="H20" s="221"/>
      <c r="I20" s="222"/>
      <c r="J20" s="220"/>
      <c r="K20" s="220"/>
      <c r="L20" s="222"/>
      <c r="M20" s="222"/>
      <c r="N20" s="222"/>
      <c r="O20" s="222"/>
      <c r="P20" s="225"/>
      <c r="Q20" s="222"/>
      <c r="R20" s="222"/>
      <c r="S20" s="222"/>
      <c r="T20" s="233"/>
      <c r="U20" s="222"/>
      <c r="V20" s="225"/>
      <c r="W20" s="225"/>
      <c r="X20" s="225"/>
      <c r="Y20" s="225"/>
      <c r="Z20" s="225"/>
      <c r="AA20" s="225"/>
      <c r="AB20" s="225"/>
      <c r="AC20" s="225"/>
    </row>
    <row r="21" spans="1:29" s="212" customFormat="1" ht="19.5" customHeight="1" x14ac:dyDescent="0.25">
      <c r="A21" s="221"/>
      <c r="B21" s="253" t="s">
        <v>266</v>
      </c>
      <c r="C21" s="254">
        <f>VLOOKUP($C$4,'TVT''s afscherming'!$A$10:$J$23,2)</f>
        <v>37</v>
      </c>
      <c r="D21" s="255">
        <f>VLOOKUP($D$4,'TVT''s afscherming'!$A$10:$J$23,2)</f>
        <v>41</v>
      </c>
      <c r="E21" s="255">
        <f>VLOOKUP($E$4,'TVT''s afscherming'!$A$10:$J$23,2)</f>
        <v>45</v>
      </c>
      <c r="F21" s="255">
        <f>VLOOKUP($F$4,'TVT''s afscherming'!$A$10:$J$23,2)</f>
        <v>30</v>
      </c>
      <c r="G21" s="256">
        <f>VLOOKUP($G$4,'TVT''s afscherming'!$A$10:$J$23,2)</f>
        <v>36</v>
      </c>
      <c r="H21" s="221"/>
      <c r="I21" s="225"/>
      <c r="J21" s="220"/>
      <c r="K21" s="220"/>
      <c r="L21" s="222"/>
      <c r="M21" s="222"/>
      <c r="N21" s="222"/>
      <c r="O21" s="222"/>
      <c r="P21" s="225"/>
      <c r="Q21" s="222"/>
      <c r="R21" s="222"/>
      <c r="S21" s="222"/>
      <c r="T21" s="233"/>
      <c r="U21" s="222"/>
      <c r="V21" s="225"/>
      <c r="W21" s="225"/>
      <c r="X21" s="225"/>
      <c r="Y21" s="225"/>
      <c r="Z21" s="225"/>
      <c r="AA21" s="225"/>
      <c r="AB21" s="225"/>
      <c r="AC21" s="225"/>
    </row>
    <row r="22" spans="1:29" s="262" customFormat="1" ht="19.5" customHeight="1" x14ac:dyDescent="0.25">
      <c r="A22" s="257"/>
      <c r="B22" s="222" t="s">
        <v>267</v>
      </c>
      <c r="C22" s="258">
        <f>VLOOKUP($C$4,'TVT''s afscherming'!$A$10:$J$23,3)</f>
        <v>33</v>
      </c>
      <c r="D22" s="258">
        <f>VLOOKUP($D$4,'TVT''s afscherming'!$A$10:$J$23,3)</f>
        <v>37</v>
      </c>
      <c r="E22" s="258">
        <f>VLOOKUP($E$4,'TVT''s afscherming'!$A$10:$J$23,3)</f>
        <v>43</v>
      </c>
      <c r="F22" s="258">
        <f>VLOOKUP($F$4,'TVT''s afscherming'!$A$10:$J$23,3)</f>
        <v>27</v>
      </c>
      <c r="G22" s="259">
        <f>VLOOKUP($G$4,'TVT''s afscherming'!$A$10:$J$23,3)</f>
        <v>36</v>
      </c>
      <c r="H22" s="260"/>
      <c r="I22" s="261"/>
      <c r="J22" s="220"/>
      <c r="K22" s="220"/>
      <c r="L22" s="222"/>
      <c r="M22" s="222"/>
      <c r="N22" s="222"/>
      <c r="O22" s="222"/>
      <c r="P22" s="261"/>
      <c r="Q22" s="222"/>
      <c r="R22" s="222"/>
      <c r="S22" s="222"/>
      <c r="U22" s="222"/>
      <c r="V22" s="222"/>
      <c r="W22" s="222"/>
      <c r="X22" s="261"/>
      <c r="Y22" s="261"/>
      <c r="Z22" s="225"/>
      <c r="AA22" s="225"/>
      <c r="AB22" s="225"/>
      <c r="AC22" s="225"/>
    </row>
    <row r="23" spans="1:29" s="262" customFormat="1" ht="19.5" customHeight="1" x14ac:dyDescent="0.25">
      <c r="A23" s="221"/>
      <c r="B23" s="211" t="s">
        <v>61</v>
      </c>
      <c r="C23" s="263">
        <f>VLOOKUP($C$4,'TVT''s afscherming'!$A$10:$J$23,4)</f>
        <v>24.2</v>
      </c>
      <c r="D23" s="258">
        <f>VLOOKUP($D$4,'TVT''s afscherming'!$A$10:$J$23,4)</f>
        <v>27</v>
      </c>
      <c r="E23" s="258">
        <f>VLOOKUP($E$4,'TVT''s afscherming'!$A$10:$J$23,4)</f>
        <v>27</v>
      </c>
      <c r="F23" s="258">
        <f>VLOOKUP($F$4,'TVT''s afscherming'!$A$10:$J$23,4)</f>
        <v>19.7</v>
      </c>
      <c r="G23" s="259">
        <f>VLOOKUP($G$4,'TVT''s afscherming'!$A$10:$J$23,4)</f>
        <v>23.6</v>
      </c>
      <c r="H23" s="264"/>
      <c r="I23" s="261"/>
      <c r="J23" s="220"/>
      <c r="K23" s="220"/>
      <c r="L23" s="222"/>
      <c r="M23" s="222"/>
      <c r="N23" s="222"/>
      <c r="O23" s="222"/>
      <c r="P23" s="261"/>
      <c r="Q23" s="222"/>
      <c r="R23" s="222"/>
      <c r="S23" s="222"/>
      <c r="U23" s="222"/>
      <c r="V23" s="222"/>
      <c r="W23" s="222"/>
      <c r="X23" s="261"/>
      <c r="Y23" s="261"/>
      <c r="Z23" s="261"/>
      <c r="AA23" s="225"/>
      <c r="AB23" s="225"/>
      <c r="AC23" s="225"/>
    </row>
    <row r="24" spans="1:29" s="212" customFormat="1" ht="19.5" customHeight="1" x14ac:dyDescent="0.25">
      <c r="A24" s="221"/>
      <c r="B24" s="211" t="s">
        <v>3</v>
      </c>
      <c r="C24" s="263">
        <f>VLOOKUP($C$4,'TVT''s afscherming'!$A$10:$J$23,5)</f>
        <v>9.9</v>
      </c>
      <c r="D24" s="258">
        <f>VLOOKUP($D$4,'TVT''s afscherming'!$A$10:$J$23,5)</f>
        <v>10</v>
      </c>
      <c r="E24" s="258">
        <f>VLOOKUP($E$4,'TVT''s afscherming'!$A$10:$J$23,5)</f>
        <v>11</v>
      </c>
      <c r="F24" s="258">
        <f>VLOOKUP($F$4,'TVT''s afscherming'!$A$10:$J$23,5)</f>
        <v>10.199999999999999</v>
      </c>
      <c r="G24" s="259">
        <f>VLOOKUP($G$4,'TVT''s afscherming'!$A$10:$J$23,5)</f>
        <v>10.199999999999999</v>
      </c>
      <c r="H24" s="257"/>
      <c r="I24" s="225"/>
      <c r="J24" s="220"/>
      <c r="K24" s="220"/>
      <c r="L24" s="222"/>
      <c r="M24" s="222"/>
      <c r="N24" s="222"/>
      <c r="O24" s="261"/>
      <c r="P24" s="225"/>
      <c r="Q24" s="262"/>
      <c r="R24" s="262"/>
      <c r="S24" s="262"/>
      <c r="T24" s="233"/>
      <c r="U24" s="222"/>
      <c r="V24" s="265"/>
      <c r="W24" s="266"/>
      <c r="X24" s="225"/>
      <c r="Y24" s="225"/>
      <c r="Z24" s="261"/>
      <c r="AA24" s="225"/>
      <c r="AB24" s="225"/>
      <c r="AC24" s="225"/>
    </row>
    <row r="25" spans="1:29" s="212" customFormat="1" ht="19.5" customHeight="1" x14ac:dyDescent="0.25">
      <c r="A25" s="221"/>
      <c r="B25" s="211" t="s">
        <v>22</v>
      </c>
      <c r="C25" s="263">
        <f>VLOOKUP($C$4,'TVT''s afscherming'!$A$10:$J$23,6)</f>
        <v>5.7</v>
      </c>
      <c r="D25" s="258">
        <f>VLOOKUP($D$4,'TVT''s afscherming'!$A$10:$J$23,6)</f>
        <v>5.7</v>
      </c>
      <c r="E25" s="258">
        <f>VLOOKUP($E$4,'TVT''s afscherming'!$A$10:$J$23,6)</f>
        <v>5.6</v>
      </c>
      <c r="F25" s="258">
        <f>VLOOKUP($F$4,'TVT''s afscherming'!$A$10:$J$23,6)</f>
        <v>5.7</v>
      </c>
      <c r="G25" s="259">
        <f>VLOOKUP($G$4,'TVT''s afscherming'!$A$10:$J$23,6)</f>
        <v>5.7</v>
      </c>
      <c r="H25" s="257"/>
      <c r="I25" s="225"/>
      <c r="J25" s="267"/>
      <c r="K25" s="267"/>
      <c r="L25" s="222"/>
      <c r="M25" s="222"/>
      <c r="N25" s="222"/>
      <c r="O25" s="261"/>
      <c r="P25" s="225"/>
      <c r="Q25" s="262"/>
      <c r="R25" s="262"/>
      <c r="S25" s="262"/>
      <c r="U25" s="222"/>
      <c r="V25" s="222"/>
      <c r="W25" s="222"/>
      <c r="X25" s="225"/>
      <c r="Y25" s="225"/>
      <c r="Z25" s="225"/>
      <c r="AA25" s="225"/>
      <c r="AB25" s="225"/>
      <c r="AC25" s="225"/>
    </row>
    <row r="26" spans="1:29" s="212" customFormat="1" ht="19.5" customHeight="1" x14ac:dyDescent="0.25">
      <c r="A26" s="257"/>
      <c r="B26" s="268"/>
      <c r="C26" s="269" t="s">
        <v>139</v>
      </c>
      <c r="D26" s="270"/>
      <c r="E26" s="270"/>
      <c r="F26" s="270"/>
      <c r="G26" s="271"/>
      <c r="H26" s="257"/>
      <c r="I26" s="225"/>
      <c r="J26" s="240"/>
      <c r="K26" s="225"/>
      <c r="L26" s="225"/>
      <c r="M26" s="225"/>
      <c r="N26" s="225"/>
      <c r="O26" s="225"/>
      <c r="P26" s="225"/>
      <c r="Q26" s="225"/>
      <c r="S26" s="222"/>
      <c r="U26" s="222"/>
      <c r="V26" s="222"/>
      <c r="W26" s="222"/>
      <c r="X26" s="225"/>
      <c r="Y26" s="225"/>
      <c r="Z26" s="225"/>
      <c r="AA26" s="225"/>
      <c r="AB26" s="225"/>
      <c r="AC26" s="225"/>
    </row>
    <row r="27" spans="1:29" s="212" customFormat="1" ht="19.5" customHeight="1" x14ac:dyDescent="0.25">
      <c r="A27" s="257"/>
      <c r="B27" s="253" t="s">
        <v>2</v>
      </c>
      <c r="C27" s="254">
        <f>VLOOKUP($C$4,'TVT''s afscherming'!$A$10:$J$23,7)</f>
        <v>34</v>
      </c>
      <c r="D27" s="254">
        <f>VLOOKUP($D$4,'TVT''s afscherming'!$A$10:$J$23,7)</f>
        <v>38</v>
      </c>
      <c r="E27" s="255">
        <f>VLOOKUP($E$4,'TVT''s afscherming'!$A$10:$J$23,7)</f>
        <v>44</v>
      </c>
      <c r="F27" s="254">
        <f>VLOOKUP($F$4,'TVT''s afscherming'!$A$10:$J$23,7)</f>
        <v>30.5</v>
      </c>
      <c r="G27" s="256">
        <f>VLOOKUP($G$4,'TVT''s afscherming'!$A$10:$J$23,7)</f>
        <v>35.6</v>
      </c>
      <c r="H27" s="257"/>
      <c r="I27" s="225"/>
      <c r="J27" s="272"/>
      <c r="K27" s="272"/>
      <c r="L27" s="222"/>
      <c r="M27" s="222"/>
      <c r="N27" s="222"/>
      <c r="O27" s="222"/>
      <c r="P27" s="225"/>
      <c r="Q27" s="222"/>
      <c r="U27" s="222"/>
      <c r="V27" s="225"/>
      <c r="W27" s="225"/>
      <c r="X27" s="225"/>
      <c r="Y27" s="225"/>
      <c r="Z27" s="225"/>
      <c r="AA27" s="261"/>
      <c r="AB27" s="261"/>
      <c r="AC27" s="261"/>
    </row>
    <row r="28" spans="1:29" s="212" customFormat="1" ht="19.5" customHeight="1" x14ac:dyDescent="0.25">
      <c r="A28" s="257"/>
      <c r="B28" s="211" t="s">
        <v>61</v>
      </c>
      <c r="C28" s="263">
        <f>VLOOKUP($C$4,'TVT''s afscherming'!$A$10:$J$23,8)</f>
        <v>20</v>
      </c>
      <c r="D28" s="263">
        <f>VLOOKUP($D$4,'TVT''s afscherming'!$A$10:$J$23,8)</f>
        <v>24</v>
      </c>
      <c r="E28" s="258">
        <f>VLOOKUP($E$4,'TVT''s afscherming'!$A$10:$J$23,8)</f>
        <v>26.8</v>
      </c>
      <c r="F28" s="263">
        <f>VLOOKUP($F$4,'TVT''s afscherming'!$A$10:$J$23,8)</f>
        <v>20.3</v>
      </c>
      <c r="G28" s="259">
        <f>VLOOKUP($G$4,'TVT''s afscherming'!$A$10:$J$23,8)</f>
        <v>23.7</v>
      </c>
      <c r="J28" s="272"/>
      <c r="K28" s="272"/>
      <c r="L28" s="222"/>
      <c r="M28" s="222"/>
      <c r="N28" s="222"/>
      <c r="O28" s="222"/>
      <c r="P28" s="225"/>
      <c r="Q28" s="222"/>
      <c r="U28" s="222"/>
      <c r="V28" s="222"/>
      <c r="W28" s="222"/>
      <c r="X28" s="222"/>
    </row>
    <row r="29" spans="1:29" s="212" customFormat="1" ht="19.5" customHeight="1" x14ac:dyDescent="0.25">
      <c r="A29" s="257"/>
      <c r="B29" s="211" t="s">
        <v>3</v>
      </c>
      <c r="C29" s="263">
        <f>VLOOKUP($C$4,'TVT''s afscherming'!$A$10:$J$23,9)</f>
        <v>9.9</v>
      </c>
      <c r="D29" s="263">
        <f>VLOOKUP($D$4,'TVT''s afscherming'!$A$10:$J$23,9)</f>
        <v>10</v>
      </c>
      <c r="E29" s="258">
        <f>VLOOKUP($E$4,'TVT''s afscherming'!$A$10:$J$23,9)</f>
        <v>11</v>
      </c>
      <c r="F29" s="263">
        <f>VLOOKUP($F$4,'TVT''s afscherming'!$A$10:$J$23,9)</f>
        <v>10.199999999999999</v>
      </c>
      <c r="G29" s="259">
        <f>VLOOKUP($G$4,'TVT''s afscherming'!$A$10:$J$23,9)</f>
        <v>10.7</v>
      </c>
      <c r="I29" s="211"/>
      <c r="J29" s="272"/>
      <c r="K29" s="272"/>
      <c r="L29" s="222"/>
      <c r="M29" s="222"/>
      <c r="N29" s="222"/>
      <c r="O29" s="222"/>
      <c r="P29" s="225"/>
      <c r="Q29" s="222"/>
      <c r="U29" s="222"/>
      <c r="V29" s="222"/>
      <c r="W29" s="222"/>
      <c r="X29" s="222"/>
    </row>
    <row r="30" spans="1:29" s="212" customFormat="1" ht="19.5" customHeight="1" thickBot="1" x14ac:dyDescent="0.3">
      <c r="A30" s="273"/>
      <c r="B30" s="274" t="s">
        <v>22</v>
      </c>
      <c r="C30" s="275">
        <f>VLOOKUP($C$4,'TVT''s afscherming'!$A$10:$J$23,10)</f>
        <v>5.7</v>
      </c>
      <c r="D30" s="275">
        <f>VLOOKUP($D$4,'TVT''s afscherming'!$A$10:$J$23,10)</f>
        <v>5.7</v>
      </c>
      <c r="E30" s="276">
        <f>VLOOKUP($E$4,'TVT''s afscherming'!$A$10:$J$23,10)</f>
        <v>5.6</v>
      </c>
      <c r="F30" s="275">
        <f>VLOOKUP($F$4,'TVT''s afscherming'!$A$10:$J$23,10)</f>
        <v>5</v>
      </c>
      <c r="G30" s="277">
        <f>VLOOKUP($G$4,'TVT''s afscherming'!$A$10:$J$23,10)</f>
        <v>5.7</v>
      </c>
      <c r="J30" s="272"/>
      <c r="K30" s="272"/>
      <c r="L30" s="222"/>
      <c r="M30" s="222"/>
      <c r="N30" s="222"/>
      <c r="O30" s="222"/>
      <c r="P30" s="225"/>
      <c r="Q30" s="222"/>
      <c r="T30" s="222"/>
      <c r="U30" s="242"/>
      <c r="V30" s="222"/>
      <c r="W30" s="222"/>
      <c r="X30" s="222"/>
      <c r="Y30" s="222"/>
    </row>
    <row r="31" spans="1:29" s="212" customFormat="1" ht="19.5" customHeight="1" x14ac:dyDescent="0.25">
      <c r="A31" s="222"/>
      <c r="J31" s="272"/>
      <c r="K31" s="272"/>
      <c r="L31" s="222"/>
      <c r="M31" s="222"/>
      <c r="N31" s="222"/>
      <c r="O31" s="222"/>
      <c r="P31" s="225"/>
      <c r="Q31" s="222"/>
      <c r="T31" s="222"/>
      <c r="U31" s="242"/>
      <c r="V31" s="222"/>
      <c r="W31" s="222"/>
      <c r="X31" s="222"/>
      <c r="Y31" s="222"/>
    </row>
    <row r="32" spans="1:29" s="212" customFormat="1" ht="22.5" customHeight="1" x14ac:dyDescent="0.25">
      <c r="T32" s="222"/>
      <c r="U32" s="233"/>
      <c r="V32" s="233"/>
      <c r="W32" s="222"/>
      <c r="X32" s="222"/>
      <c r="Y32" s="222"/>
    </row>
    <row r="33" spans="1:52" s="212" customFormat="1" ht="22.5" customHeight="1" x14ac:dyDescent="0.25">
      <c r="I33" s="189"/>
      <c r="T33" s="222"/>
      <c r="U33" s="233"/>
      <c r="V33" s="233"/>
      <c r="W33" s="222"/>
      <c r="X33" s="222"/>
      <c r="Y33" s="222"/>
    </row>
    <row r="34" spans="1:52" ht="19.5" customHeight="1" thickBot="1" x14ac:dyDescent="0.3">
      <c r="A34" s="283" t="s">
        <v>506</v>
      </c>
      <c r="B34" s="284"/>
      <c r="C34" s="284"/>
      <c r="D34" s="280"/>
      <c r="L34" s="289"/>
      <c r="M34" s="290"/>
      <c r="N34" s="290"/>
      <c r="O34" s="290"/>
      <c r="P34" s="290"/>
      <c r="Q34" s="290"/>
      <c r="R34" s="290"/>
      <c r="S34" s="290"/>
      <c r="T34" s="290"/>
      <c r="U34" s="290"/>
      <c r="V34" s="290"/>
      <c r="W34" s="290"/>
      <c r="X34" s="290"/>
      <c r="AB34" s="189"/>
      <c r="AF34" s="281"/>
      <c r="AG34" s="281"/>
      <c r="AH34" s="282"/>
      <c r="AI34" s="282"/>
    </row>
    <row r="35" spans="1:52" s="212" customFormat="1" ht="19.5" customHeight="1" x14ac:dyDescent="0.25">
      <c r="J35" s="653"/>
      <c r="K35" s="292">
        <f>$C$4</f>
        <v>6</v>
      </c>
      <c r="L35" s="293"/>
      <c r="M35" s="294"/>
      <c r="N35" s="292">
        <f>$D$4</f>
        <v>10</v>
      </c>
      <c r="O35" s="293"/>
      <c r="P35" s="294"/>
      <c r="Q35" s="292">
        <f>$E$4</f>
        <v>18</v>
      </c>
      <c r="R35" s="293"/>
      <c r="S35" s="294"/>
      <c r="T35" s="292" t="str">
        <f>$F$4</f>
        <v>6 FFF</v>
      </c>
      <c r="U35" s="293"/>
      <c r="V35" s="294"/>
      <c r="W35" s="292" t="str">
        <f>$G$4</f>
        <v>10 FFF</v>
      </c>
      <c r="X35" s="295"/>
      <c r="Y35" s="296"/>
      <c r="Z35" s="297" t="s">
        <v>16</v>
      </c>
      <c r="AA35" s="298"/>
      <c r="AB35" s="257"/>
      <c r="AC35" s="225"/>
      <c r="AG35" s="299"/>
      <c r="AH35" s="299"/>
      <c r="AI35" s="299"/>
      <c r="AJ35" s="299"/>
      <c r="AK35" s="299"/>
      <c r="AL35" s="299"/>
      <c r="AP35" s="222"/>
      <c r="AQ35" s="211"/>
      <c r="AR35" s="266"/>
      <c r="AS35" s="222"/>
      <c r="AT35" s="187"/>
      <c r="AU35" s="187"/>
      <c r="AV35" s="187"/>
      <c r="AW35" s="187"/>
      <c r="AX35" s="187"/>
      <c r="AY35" s="300"/>
      <c r="AZ35" s="300"/>
    </row>
    <row r="36" spans="1:52" s="212" customFormat="1" ht="19.5" customHeight="1" x14ac:dyDescent="0.25">
      <c r="A36" s="301" t="s">
        <v>50</v>
      </c>
      <c r="B36" s="301" t="s">
        <v>15</v>
      </c>
      <c r="C36" s="302" t="s">
        <v>25</v>
      </c>
      <c r="D36" s="302" t="s">
        <v>158</v>
      </c>
      <c r="E36" s="301" t="s">
        <v>524</v>
      </c>
      <c r="F36" s="303"/>
      <c r="G36" s="304" t="s">
        <v>77</v>
      </c>
      <c r="H36" s="305"/>
      <c r="I36" s="306"/>
      <c r="J36" s="301" t="s">
        <v>86</v>
      </c>
      <c r="K36" s="301" t="s">
        <v>206</v>
      </c>
      <c r="L36" s="301" t="s">
        <v>16</v>
      </c>
      <c r="M36" s="301" t="s">
        <v>86</v>
      </c>
      <c r="N36" s="301" t="s">
        <v>206</v>
      </c>
      <c r="O36" s="301" t="s">
        <v>16</v>
      </c>
      <c r="P36" s="301" t="s">
        <v>86</v>
      </c>
      <c r="Q36" s="301" t="s">
        <v>206</v>
      </c>
      <c r="R36" s="301" t="s">
        <v>16</v>
      </c>
      <c r="S36" s="301" t="s">
        <v>86</v>
      </c>
      <c r="T36" s="301" t="s">
        <v>206</v>
      </c>
      <c r="U36" s="301" t="s">
        <v>16</v>
      </c>
      <c r="V36" s="301" t="s">
        <v>86</v>
      </c>
      <c r="W36" s="301" t="s">
        <v>206</v>
      </c>
      <c r="X36" s="301" t="s">
        <v>16</v>
      </c>
      <c r="Y36" s="307" t="s">
        <v>23</v>
      </c>
      <c r="Z36" s="308" t="s">
        <v>11</v>
      </c>
      <c r="AA36" s="309" t="s">
        <v>11</v>
      </c>
      <c r="AG36" s="310"/>
      <c r="AH36" s="310"/>
      <c r="AI36" s="310"/>
      <c r="AJ36" s="310"/>
      <c r="AK36" s="310"/>
      <c r="AL36" s="310"/>
      <c r="AP36" s="222"/>
      <c r="AQ36" s="211"/>
      <c r="AR36" s="242"/>
      <c r="AS36" s="222"/>
      <c r="AT36" s="225"/>
      <c r="AU36" s="225"/>
      <c r="AV36" s="311"/>
      <c r="AW36" s="225"/>
      <c r="AX36" s="225"/>
      <c r="AY36" s="300"/>
      <c r="AZ36" s="300"/>
    </row>
    <row r="37" spans="1:52" s="212" customFormat="1" ht="19.5" customHeight="1" thickBot="1" x14ac:dyDescent="0.3">
      <c r="A37" s="308"/>
      <c r="B37" s="308"/>
      <c r="C37" s="313"/>
      <c r="D37" s="313" t="s">
        <v>383</v>
      </c>
      <c r="E37" s="312" t="s">
        <v>528</v>
      </c>
      <c r="F37" s="312" t="s">
        <v>1</v>
      </c>
      <c r="G37" s="312" t="s">
        <v>61</v>
      </c>
      <c r="H37" s="312" t="s">
        <v>3</v>
      </c>
      <c r="I37" s="312" t="s">
        <v>22</v>
      </c>
      <c r="J37" s="314" t="s">
        <v>208</v>
      </c>
      <c r="K37" s="314" t="s">
        <v>207</v>
      </c>
      <c r="L37" s="315" t="s">
        <v>174</v>
      </c>
      <c r="M37" s="314" t="s">
        <v>208</v>
      </c>
      <c r="N37" s="314" t="s">
        <v>207</v>
      </c>
      <c r="O37" s="315" t="s">
        <v>174</v>
      </c>
      <c r="P37" s="314" t="s">
        <v>208</v>
      </c>
      <c r="Q37" s="314" t="s">
        <v>207</v>
      </c>
      <c r="R37" s="315" t="s">
        <v>174</v>
      </c>
      <c r="S37" s="314" t="s">
        <v>208</v>
      </c>
      <c r="T37" s="314" t="s">
        <v>207</v>
      </c>
      <c r="U37" s="315" t="s">
        <v>174</v>
      </c>
      <c r="V37" s="314" t="s">
        <v>208</v>
      </c>
      <c r="W37" s="314" t="s">
        <v>207</v>
      </c>
      <c r="X37" s="315" t="s">
        <v>174</v>
      </c>
      <c r="Y37" s="316" t="s">
        <v>173</v>
      </c>
      <c r="Z37" s="179" t="s">
        <v>173</v>
      </c>
      <c r="AA37" s="309" t="s">
        <v>166</v>
      </c>
      <c r="AG37" s="310"/>
      <c r="AH37" s="310"/>
      <c r="AI37" s="310"/>
      <c r="AJ37" s="310"/>
      <c r="AK37" s="310"/>
      <c r="AL37" s="310"/>
      <c r="AP37" s="222"/>
      <c r="AQ37" s="211"/>
      <c r="AR37" s="222"/>
      <c r="AS37" s="222"/>
      <c r="AT37" s="225"/>
      <c r="AU37" s="225"/>
      <c r="AV37" s="225"/>
      <c r="AW37" s="225"/>
      <c r="AX37" s="225"/>
      <c r="AY37" s="300"/>
      <c r="AZ37" s="300"/>
    </row>
    <row r="38" spans="1:52" s="212" customFormat="1" ht="19.5" hidden="1" customHeight="1" thickBot="1" x14ac:dyDescent="0.3">
      <c r="A38" s="694"/>
      <c r="B38" s="694"/>
      <c r="C38" s="695"/>
      <c r="D38" s="695"/>
      <c r="E38" s="694"/>
      <c r="F38" s="694"/>
      <c r="G38" s="694"/>
      <c r="H38" s="694"/>
      <c r="I38" s="694"/>
      <c r="J38" s="97"/>
      <c r="K38" s="97"/>
      <c r="L38" s="58"/>
      <c r="M38" s="97"/>
      <c r="N38" s="97"/>
      <c r="O38" s="58"/>
      <c r="P38" s="97"/>
      <c r="Q38" s="97"/>
      <c r="R38" s="58"/>
      <c r="S38" s="97"/>
      <c r="T38" s="97"/>
      <c r="U38" s="58"/>
      <c r="V38" s="97"/>
      <c r="W38" s="97"/>
      <c r="X38" s="90"/>
      <c r="Y38" s="319"/>
      <c r="Z38" s="320"/>
      <c r="AA38" s="321"/>
      <c r="AG38" s="310"/>
      <c r="AH38" s="310"/>
      <c r="AI38" s="310"/>
      <c r="AJ38" s="310"/>
      <c r="AK38" s="310"/>
      <c r="AL38" s="310"/>
      <c r="AP38" s="222"/>
      <c r="AQ38" s="211"/>
      <c r="AR38" s="222"/>
      <c r="AS38" s="222"/>
      <c r="AT38" s="225"/>
      <c r="AU38" s="225"/>
      <c r="AV38" s="225"/>
      <c r="AW38" s="225"/>
      <c r="AX38" s="225"/>
      <c r="AY38" s="300"/>
      <c r="AZ38" s="300"/>
    </row>
    <row r="39" spans="1:52" s="212" customFormat="1" ht="30" customHeight="1" x14ac:dyDescent="0.25">
      <c r="A39" s="322"/>
      <c r="B39" s="322"/>
      <c r="C39" s="323" t="s">
        <v>569</v>
      </c>
      <c r="D39" s="1834">
        <v>6</v>
      </c>
      <c r="E39" s="1834">
        <v>1</v>
      </c>
      <c r="F39" s="1834">
        <v>250</v>
      </c>
      <c r="G39" s="1834">
        <v>0</v>
      </c>
      <c r="H39" s="1834">
        <v>0</v>
      </c>
      <c r="I39" s="1835">
        <v>0</v>
      </c>
      <c r="J39" s="91">
        <f>IF($F39=0,0,1+($F39-$C$21)/$C$22)+$G39/$C$23+$H39/$C$24+$I39/$C$25</f>
        <v>7.4545454545454541</v>
      </c>
      <c r="K39" s="97">
        <f t="shared" ref="K39:K88" si="0">10^(-J39)</f>
        <v>3.5111917342151263E-8</v>
      </c>
      <c r="L39" s="91">
        <f>($C$7*$C$14*$C$8*$E39/$D39^2*K39*10^6)</f>
        <v>7.8026482982558355E-3</v>
      </c>
      <c r="M39" s="91">
        <f>IF($F39=0,0,1+($F39-$D$21)/$D$22)+$G39/$D$23+$H39/$D$24+$I39/$D$25</f>
        <v>6.6486486486486482</v>
      </c>
      <c r="N39" s="97">
        <f t="shared" ref="N39:N88" si="1">10^(-M39)</f>
        <v>2.2456979955397711E-7</v>
      </c>
      <c r="O39" s="91">
        <f>($C$7*$D$14*$D$8*$E39/$D39^2*N39*10^6)</f>
        <v>4.99043999008838E-2</v>
      </c>
      <c r="P39" s="91">
        <f>IF($F39=0,0,1+($F39-$E$21)/$E$22)+$G39/$E$23+$H39/$E$24+$I39/$E$25</f>
        <v>5.7674418604651159</v>
      </c>
      <c r="Q39" s="97">
        <f t="shared" ref="Q39:Q88" si="2">10^(-P39)</f>
        <v>1.7082763938087111E-6</v>
      </c>
      <c r="R39" s="91">
        <f>($C$7*$E$14*$E$8*$E39/$D39^2*Q39*10^6)</f>
        <v>0.37961697640193576</v>
      </c>
      <c r="S39" s="91">
        <f>IF($F39=0,0,1+($F39-$F$21)/$F$22)+$G39/$F$23+$H39/$F$24+$I39/$F$25</f>
        <v>9.1481481481481488</v>
      </c>
      <c r="T39" s="97">
        <f t="shared" ref="T39:T88" si="3">10^(-S39)</f>
        <v>7.1097094323124171E-10</v>
      </c>
      <c r="U39" s="91">
        <f>($C$7*$F$14*$F$8*$E39/$D39^2*T39*10^6)</f>
        <v>1.5799354294027593E-4</v>
      </c>
      <c r="V39" s="91">
        <f>IF($F39=0,0,1+($F39-$G$21)/$G$22)+$G39/$G$23+$H39/$G$24+$I39/$G$25</f>
        <v>6.9444444444444446</v>
      </c>
      <c r="W39" s="97">
        <f t="shared" ref="W39:W88" si="4">10^(-V39)</f>
        <v>1.136463666385722E-7</v>
      </c>
      <c r="X39" s="76">
        <f>($C$7*$G$14*$G$8*$E39/$D39^2*W39*10^6)</f>
        <v>2.5254748141904933E-2</v>
      </c>
      <c r="Y39" s="654">
        <f t="shared" ref="Y39:Y49" si="5">SUM(L39,O39,R39,U39,X39)</f>
        <v>0.46273676628592059</v>
      </c>
      <c r="Z39" s="325"/>
      <c r="AA39" s="326"/>
      <c r="AG39" s="328"/>
      <c r="AI39" s="328"/>
      <c r="AJ39" s="328"/>
      <c r="AK39" s="328"/>
      <c r="AL39" s="328"/>
      <c r="AP39" s="222"/>
      <c r="AQ39" s="211"/>
      <c r="AR39" s="222"/>
      <c r="AS39" s="222"/>
      <c r="AT39" s="225"/>
      <c r="AU39" s="225"/>
      <c r="AV39" s="225"/>
      <c r="AW39" s="225"/>
      <c r="AX39" s="225"/>
      <c r="AY39" s="300"/>
      <c r="AZ39" s="300"/>
    </row>
    <row r="40" spans="1:52" s="212" customFormat="1" ht="30" customHeight="1" thickBot="1" x14ac:dyDescent="0.3">
      <c r="A40" s="329" t="str">
        <f>Samenvatting!A13</f>
        <v>B1</v>
      </c>
      <c r="B40" s="330" t="str">
        <f>Samenvatting!B13</f>
        <v>bedieningsruimte Linac 1</v>
      </c>
      <c r="C40" s="331" t="s">
        <v>568</v>
      </c>
      <c r="D40" s="1836">
        <v>5</v>
      </c>
      <c r="E40" s="89"/>
      <c r="F40" s="1834">
        <v>250</v>
      </c>
      <c r="G40" s="1834">
        <v>0</v>
      </c>
      <c r="H40" s="1834">
        <v>0</v>
      </c>
      <c r="I40" s="1835">
        <v>0</v>
      </c>
      <c r="J40" s="91">
        <f>$F40/$C$27+$G40/$C$28+$H40/$C$29+$I40/$C$30</f>
        <v>7.3529411764705879</v>
      </c>
      <c r="K40" s="97">
        <f t="shared" si="0"/>
        <v>4.4366873309786093E-8</v>
      </c>
      <c r="L40" s="91">
        <f>($C$7*$C$15*$C$8*($C$9+$C$10*$C$11)/$D40^2*K40*10^6)</f>
        <v>1.0648049594348663E-3</v>
      </c>
      <c r="M40" s="91">
        <f>$F40/$D$27+$G40/$D$28+$H40/$D$29+$I40/$D$30</f>
        <v>6.5789473684210522</v>
      </c>
      <c r="N40" s="97">
        <f t="shared" si="1"/>
        <v>2.636650898730358E-7</v>
      </c>
      <c r="O40" s="91">
        <f>($C$7*$C$15*$D$8*($D$9+$D$10*$D$11)/$D40^2*N40*10^6)</f>
        <v>6.3279621569528599E-3</v>
      </c>
      <c r="P40" s="91">
        <f>$F40/$E$27+$G40/$E$28+$H40/$E$29+$I40/$E$30</f>
        <v>5.6818181818181817</v>
      </c>
      <c r="Q40" s="97">
        <f t="shared" si="2"/>
        <v>2.0805675382171676E-6</v>
      </c>
      <c r="R40" s="91">
        <f>($C$7*$C$15*$E$8*($E$9+$E$10*$E$11)/$D40^2*Q40*10^6)</f>
        <v>4.9933620917212027E-2</v>
      </c>
      <c r="S40" s="91">
        <f>$F40/$F$27+$G40/$F$28+$H40/$F$29+$I40/$F$30</f>
        <v>8.1967213114754092</v>
      </c>
      <c r="T40" s="97">
        <f t="shared" si="3"/>
        <v>6.3573875711648393E-9</v>
      </c>
      <c r="U40" s="91">
        <f>($C$7*$C$15*$F$8*($F$9+$F$10*$F$11)/$D40^2*T40*10^6)</f>
        <v>1.5257730170795616E-4</v>
      </c>
      <c r="V40" s="91">
        <f>$F40/$G$27+$G40/$G$28+$H40/$G$29+$I40/$G$30</f>
        <v>7.0224719101123592</v>
      </c>
      <c r="W40" s="97">
        <f t="shared" si="4"/>
        <v>9.4957241494880226E-8</v>
      </c>
      <c r="X40" s="76">
        <f>($C$7*$C$15*$G$8*($G$9+$G$10*$G$11)/$D40^2*W40*10^6)</f>
        <v>2.278973795877126E-3</v>
      </c>
      <c r="Y40" s="655">
        <f t="shared" si="5"/>
        <v>5.9757939131184837E-2</v>
      </c>
      <c r="Z40" s="333">
        <f>SUM(Y38:Y41)</f>
        <v>0.52249470541710541</v>
      </c>
      <c r="AA40" s="334">
        <f>Z40*52/10^3</f>
        <v>2.7169724681689482E-2</v>
      </c>
      <c r="AG40" s="328"/>
      <c r="AH40" s="328"/>
      <c r="AI40" s="328"/>
      <c r="AJ40" s="328"/>
      <c r="AK40" s="328"/>
      <c r="AL40" s="328"/>
      <c r="AP40" s="222"/>
      <c r="AQ40" s="211"/>
      <c r="AR40" s="222"/>
      <c r="AS40" s="222"/>
      <c r="AT40" s="225"/>
      <c r="AU40" s="225"/>
      <c r="AV40" s="225"/>
      <c r="AW40" s="225"/>
      <c r="AX40" s="225"/>
      <c r="AY40" s="300"/>
      <c r="AZ40" s="300"/>
    </row>
    <row r="41" spans="1:52" s="212" customFormat="1" ht="30" hidden="1" customHeight="1" thickBot="1" x14ac:dyDescent="0.3">
      <c r="A41" s="317"/>
      <c r="B41" s="317"/>
      <c r="C41" s="318"/>
      <c r="D41" s="1838"/>
      <c r="E41" s="1839"/>
      <c r="F41" s="1839"/>
      <c r="G41" s="1839"/>
      <c r="H41" s="1839"/>
      <c r="I41" s="1839"/>
      <c r="J41" s="91"/>
      <c r="K41" s="97"/>
      <c r="L41" s="91"/>
      <c r="M41" s="91"/>
      <c r="N41" s="97"/>
      <c r="O41" s="91"/>
      <c r="P41" s="91"/>
      <c r="Q41" s="97"/>
      <c r="R41" s="91"/>
      <c r="S41" s="91"/>
      <c r="T41" s="97"/>
      <c r="U41" s="91"/>
      <c r="V41" s="91"/>
      <c r="W41" s="97"/>
      <c r="X41" s="76"/>
      <c r="Y41" s="335"/>
      <c r="Z41" s="336"/>
      <c r="AA41" s="309"/>
      <c r="AG41" s="328"/>
      <c r="AH41" s="328"/>
      <c r="AI41" s="328"/>
      <c r="AJ41" s="328"/>
      <c r="AK41" s="328"/>
      <c r="AL41" s="328"/>
      <c r="AP41" s="222"/>
      <c r="AQ41" s="211"/>
      <c r="AR41" s="222"/>
      <c r="AS41" s="222"/>
      <c r="AT41" s="225"/>
      <c r="AU41" s="225"/>
      <c r="AV41" s="225"/>
      <c r="AW41" s="225"/>
      <c r="AX41" s="225"/>
      <c r="AY41" s="300"/>
      <c r="AZ41" s="300"/>
    </row>
    <row r="42" spans="1:52" s="212" customFormat="1" ht="30" customHeight="1" x14ac:dyDescent="0.25">
      <c r="A42" s="322"/>
      <c r="B42" s="322"/>
      <c r="C42" s="323" t="s">
        <v>569</v>
      </c>
      <c r="D42" s="1840">
        <v>6</v>
      </c>
      <c r="E42" s="1840">
        <v>1</v>
      </c>
      <c r="F42" s="1834">
        <v>250</v>
      </c>
      <c r="G42" s="1834">
        <v>0</v>
      </c>
      <c r="H42" s="1834">
        <v>0</v>
      </c>
      <c r="I42" s="1835">
        <v>0</v>
      </c>
      <c r="J42" s="91">
        <f>IF($F42=0,0,1+($F42-$C$21)/$C$22)+$G42/$C$23+$H42/$C$24+$I42/$C$25</f>
        <v>7.4545454545454541</v>
      </c>
      <c r="K42" s="97">
        <f t="shared" si="0"/>
        <v>3.5111917342151263E-8</v>
      </c>
      <c r="L42" s="91">
        <f>($C$7*$C$14*$C$8*$E42/$D42^2*K42*10^6)</f>
        <v>7.8026482982558355E-3</v>
      </c>
      <c r="M42" s="91">
        <f>IF($F42=0,0,1+($F42-$D$21)/$D$22)+$G42/$D$23+$H42/$D$24+$I42/$D$25</f>
        <v>6.6486486486486482</v>
      </c>
      <c r="N42" s="97">
        <f t="shared" si="1"/>
        <v>2.2456979955397711E-7</v>
      </c>
      <c r="O42" s="91">
        <f>($C$7*$D$14*$D$8*$E42/$D42^2*N42*10^6)</f>
        <v>4.99043999008838E-2</v>
      </c>
      <c r="P42" s="91">
        <f>IF($F42=0,0,1+($F42-$E$21)/$E$22)+$G42/$E$23+$H42/$E$24+$I42/$E$25</f>
        <v>5.7674418604651159</v>
      </c>
      <c r="Q42" s="97">
        <f t="shared" si="2"/>
        <v>1.7082763938087111E-6</v>
      </c>
      <c r="R42" s="91">
        <f>($C$7*$E$14*$E$8*$E42/$D42^2*Q42*10^6)</f>
        <v>0.37961697640193576</v>
      </c>
      <c r="S42" s="91">
        <f>IF($F42=0,0,1+($F42-$F$21)/$F$22)+$G42/$F$23+$H42/$F$24+$I42/$F$25</f>
        <v>9.1481481481481488</v>
      </c>
      <c r="T42" s="97">
        <f t="shared" si="3"/>
        <v>7.1097094323124171E-10</v>
      </c>
      <c r="U42" s="91">
        <f>($C$7*$F$14*$F$8*$E42/$D42^2*T42*10^6)</f>
        <v>1.5799354294027593E-4</v>
      </c>
      <c r="V42" s="91">
        <f>IF($F42=0,0,1+($F42-$G$21)/$G$22)+$G42/$G$23+$H42/$G$24+$I42/$G$25</f>
        <v>6.9444444444444446</v>
      </c>
      <c r="W42" s="97">
        <f t="shared" si="4"/>
        <v>1.136463666385722E-7</v>
      </c>
      <c r="X42" s="76">
        <f>($C$7*$G$14*$G$8*$E42/$D42^2*W42*10^6)</f>
        <v>2.5254748141904933E-2</v>
      </c>
      <c r="Y42" s="324">
        <f t="shared" si="5"/>
        <v>0.46273676628592059</v>
      </c>
      <c r="Z42" s="325"/>
      <c r="AA42" s="326"/>
      <c r="AG42" s="328"/>
      <c r="AI42" s="328"/>
      <c r="AJ42" s="328"/>
      <c r="AK42" s="328"/>
      <c r="AL42" s="328"/>
      <c r="AP42" s="222"/>
      <c r="AQ42" s="211"/>
      <c r="AR42" s="222"/>
      <c r="AS42" s="222"/>
      <c r="AT42" s="225"/>
      <c r="AU42" s="225"/>
      <c r="AV42" s="225"/>
      <c r="AW42" s="225"/>
      <c r="AX42" s="225"/>
      <c r="AY42" s="300"/>
      <c r="AZ42" s="300"/>
    </row>
    <row r="43" spans="1:52" s="212" customFormat="1" ht="30" customHeight="1" thickBot="1" x14ac:dyDescent="0.3">
      <c r="A43" s="337" t="str">
        <f>Samenvatting!A25</f>
        <v>B2</v>
      </c>
      <c r="B43" s="338" t="str">
        <f>Samenvatting!B25</f>
        <v>bedieningsruimte Linac 2</v>
      </c>
      <c r="C43" s="331" t="s">
        <v>568</v>
      </c>
      <c r="D43" s="1836">
        <v>5</v>
      </c>
      <c r="E43" s="89"/>
      <c r="F43" s="1834">
        <v>250</v>
      </c>
      <c r="G43" s="1834">
        <v>0</v>
      </c>
      <c r="H43" s="1834">
        <v>0</v>
      </c>
      <c r="I43" s="1835">
        <v>0</v>
      </c>
      <c r="J43" s="91">
        <f>$F43/$C$27+$G43/$C$28+$H43/$C$29+$I43/$C$30</f>
        <v>7.3529411764705879</v>
      </c>
      <c r="K43" s="97">
        <f t="shared" si="0"/>
        <v>4.4366873309786093E-8</v>
      </c>
      <c r="L43" s="91">
        <f>($C$7*$C$15*$C$8*($C$9+$C$10*$C$11)/$D43^2*K43*10^6)</f>
        <v>1.0648049594348663E-3</v>
      </c>
      <c r="M43" s="91">
        <f>$F43/$D$27+$G43/$D$28+$H43/$D$29+$I43/$D$30</f>
        <v>6.5789473684210522</v>
      </c>
      <c r="N43" s="97">
        <f t="shared" si="1"/>
        <v>2.636650898730358E-7</v>
      </c>
      <c r="O43" s="91">
        <f>($C$7*$C$15*$D$8*($D$9+$D$10*$D$11)/$D43^2*N43*10^6)</f>
        <v>6.3279621569528599E-3</v>
      </c>
      <c r="P43" s="91">
        <f>$F43/$E$27+$G43/$E$28+$H43/$E$29+$I43/$E$30</f>
        <v>5.6818181818181817</v>
      </c>
      <c r="Q43" s="97">
        <f t="shared" si="2"/>
        <v>2.0805675382171676E-6</v>
      </c>
      <c r="R43" s="91">
        <f>($C$7*$C$15*$E$8*($E$9+$E$10*$E$11)/$D43^2*Q43*10^6)</f>
        <v>4.9933620917212027E-2</v>
      </c>
      <c r="S43" s="91">
        <f>$F43/$F$27+$G43/$F$28+$H43/$F$29+$I43/$F$30</f>
        <v>8.1967213114754092</v>
      </c>
      <c r="T43" s="97">
        <f t="shared" si="3"/>
        <v>6.3573875711648393E-9</v>
      </c>
      <c r="U43" s="91">
        <f>($C$7*$C$15*$F$8*($F$9+$F$10*$F$11)/$D43^2*T43*10^6)</f>
        <v>1.5257730170795616E-4</v>
      </c>
      <c r="V43" s="91">
        <f>$F43/$G$27+$G43/$G$28+$H43/$G$29+$I43/$G$30</f>
        <v>7.0224719101123592</v>
      </c>
      <c r="W43" s="97">
        <f t="shared" si="4"/>
        <v>9.4957241494880226E-8</v>
      </c>
      <c r="X43" s="76">
        <f>($C$7*$C$15*$G$8*($G$9+$G$10*$G$11)/$D43^2*W43*10^6)</f>
        <v>2.278973795877126E-3</v>
      </c>
      <c r="Y43" s="339">
        <f t="shared" si="5"/>
        <v>5.9757939131184837E-2</v>
      </c>
      <c r="Z43" s="333">
        <f>SUM(Y41:Y44)</f>
        <v>0.52249470541710541</v>
      </c>
      <c r="AA43" s="334">
        <f>Z43*52/10^3</f>
        <v>2.7169724681689482E-2</v>
      </c>
      <c r="AG43" s="328"/>
      <c r="AH43" s="328"/>
      <c r="AI43" s="328"/>
      <c r="AJ43" s="328"/>
      <c r="AK43" s="328"/>
      <c r="AL43" s="328"/>
      <c r="AP43" s="222"/>
      <c r="AQ43" s="211"/>
      <c r="AR43" s="222"/>
      <c r="AS43" s="222"/>
      <c r="AT43" s="225"/>
      <c r="AU43" s="225"/>
      <c r="AV43" s="225"/>
      <c r="AW43" s="225"/>
      <c r="AX43" s="225"/>
      <c r="AY43" s="300"/>
      <c r="AZ43" s="300"/>
    </row>
    <row r="44" spans="1:52" s="212" customFormat="1" ht="30" hidden="1" customHeight="1" thickBot="1" x14ac:dyDescent="0.3">
      <c r="A44" s="317"/>
      <c r="B44" s="317"/>
      <c r="C44" s="341"/>
      <c r="D44" s="1841"/>
      <c r="E44" s="1842"/>
      <c r="F44" s="1842"/>
      <c r="G44" s="1842"/>
      <c r="H44" s="1842"/>
      <c r="I44" s="1842"/>
      <c r="J44" s="91"/>
      <c r="K44" s="97"/>
      <c r="L44" s="91"/>
      <c r="M44" s="91"/>
      <c r="N44" s="97"/>
      <c r="O44" s="91"/>
      <c r="P44" s="91"/>
      <c r="Q44" s="97"/>
      <c r="R44" s="91"/>
      <c r="S44" s="91"/>
      <c r="T44" s="97"/>
      <c r="U44" s="91"/>
      <c r="V44" s="91"/>
      <c r="W44" s="97"/>
      <c r="X44" s="76"/>
      <c r="Y44" s="316"/>
      <c r="Z44" s="344"/>
      <c r="AA44" s="345"/>
      <c r="AG44" s="328"/>
      <c r="AH44" s="328"/>
      <c r="AI44" s="328"/>
      <c r="AJ44" s="328"/>
      <c r="AK44" s="328"/>
      <c r="AL44" s="328"/>
      <c r="AP44" s="222"/>
      <c r="AQ44" s="211"/>
      <c r="AR44" s="222"/>
      <c r="AS44" s="222"/>
      <c r="AT44" s="225"/>
      <c r="AU44" s="225"/>
      <c r="AV44" s="225"/>
      <c r="AW44" s="225"/>
      <c r="AX44" s="225"/>
      <c r="AY44" s="300"/>
      <c r="AZ44" s="300"/>
    </row>
    <row r="45" spans="1:52" s="212" customFormat="1" ht="30" customHeight="1" x14ac:dyDescent="0.25">
      <c r="A45" s="322"/>
      <c r="B45" s="322"/>
      <c r="C45" s="323" t="s">
        <v>569</v>
      </c>
      <c r="D45" s="1840">
        <v>6</v>
      </c>
      <c r="E45" s="1840">
        <v>1</v>
      </c>
      <c r="F45" s="1834">
        <v>250</v>
      </c>
      <c r="G45" s="1834">
        <v>0</v>
      </c>
      <c r="H45" s="1834">
        <v>0</v>
      </c>
      <c r="I45" s="1835">
        <v>0</v>
      </c>
      <c r="J45" s="91">
        <f>IF($F45=0,0,1+($F45-$C$21)/$C$22)+$G45/$C$23+$H45/$C$24+$I45/$C$25</f>
        <v>7.4545454545454541</v>
      </c>
      <c r="K45" s="97">
        <f t="shared" si="0"/>
        <v>3.5111917342151263E-8</v>
      </c>
      <c r="L45" s="91">
        <f>($C$7*$C$14*$C$8*$E45/$D45^2*K45*10^6)</f>
        <v>7.8026482982558355E-3</v>
      </c>
      <c r="M45" s="91">
        <f>IF($F45=0,0,1+($F45-$D$21)/$D$22)+$G45/$D$23+$H45/$D$24+$I45/$D$25</f>
        <v>6.6486486486486482</v>
      </c>
      <c r="N45" s="97">
        <f t="shared" si="1"/>
        <v>2.2456979955397711E-7</v>
      </c>
      <c r="O45" s="91">
        <f>($C$7*$E$14*$D$8*$E45/$D45^2*N45*10^6)</f>
        <v>4.99043999008838E-2</v>
      </c>
      <c r="P45" s="91">
        <f>IF($F45=0,0,1+($F45-$E$21)/$E$22)+$G45/$E$23+$H45/$E$24+$I45/$E$25</f>
        <v>5.7674418604651159</v>
      </c>
      <c r="Q45" s="97">
        <f t="shared" si="2"/>
        <v>1.7082763938087111E-6</v>
      </c>
      <c r="R45" s="91">
        <f>($C$7*$E$14*$E$8*$E45/$D45^2*Q45*10^6)</f>
        <v>0.37961697640193576</v>
      </c>
      <c r="S45" s="91">
        <f>IF($F45=0,0,1+($F45-$F$21)/$F$22)+$G45/$F$23+$H45/$F$24+$I45/$F$25</f>
        <v>9.1481481481481488</v>
      </c>
      <c r="T45" s="97">
        <f t="shared" si="3"/>
        <v>7.1097094323124171E-10</v>
      </c>
      <c r="U45" s="91">
        <f>($C$7*$F$14*$F$8*$E45/$D45^2*T45*10^6)</f>
        <v>1.5799354294027593E-4</v>
      </c>
      <c r="V45" s="91">
        <f>IF($F45=0,0,1+($F45-$G$21)/$G$22)+$G45/$G$23+$H45/$G$24+$I45/$G$25</f>
        <v>6.9444444444444446</v>
      </c>
      <c r="W45" s="97">
        <f t="shared" si="4"/>
        <v>1.136463666385722E-7</v>
      </c>
      <c r="X45" s="76">
        <f>($C$7*$G$14*$G$8*$E45/$D45^2*W45*10^6)</f>
        <v>2.5254748141904933E-2</v>
      </c>
      <c r="Y45" s="324">
        <f t="shared" si="5"/>
        <v>0.46273676628592059</v>
      </c>
      <c r="Z45" s="325"/>
      <c r="AA45" s="326"/>
      <c r="AG45" s="328"/>
      <c r="AI45" s="328"/>
      <c r="AJ45" s="328"/>
      <c r="AK45" s="328"/>
      <c r="AL45" s="328"/>
      <c r="AP45" s="222"/>
      <c r="AQ45" s="211"/>
      <c r="AR45" s="222"/>
      <c r="AS45" s="222"/>
      <c r="AT45" s="225"/>
      <c r="AU45" s="225"/>
      <c r="AV45" s="225"/>
      <c r="AW45" s="225"/>
      <c r="AX45" s="225"/>
      <c r="AY45" s="300"/>
      <c r="AZ45" s="300"/>
    </row>
    <row r="46" spans="1:52" s="212" customFormat="1" ht="30" customHeight="1" thickBot="1" x14ac:dyDescent="0.3">
      <c r="A46" s="343" t="str">
        <f>Samenvatting!A37</f>
        <v>B3</v>
      </c>
      <c r="B46" s="338" t="str">
        <f>Samenvatting!B37</f>
        <v>bedieningsruimte Linac 3</v>
      </c>
      <c r="C46" s="331" t="s">
        <v>568</v>
      </c>
      <c r="D46" s="1836">
        <v>5</v>
      </c>
      <c r="E46" s="89"/>
      <c r="F46" s="1834">
        <v>250</v>
      </c>
      <c r="G46" s="1834">
        <v>0</v>
      </c>
      <c r="H46" s="1834">
        <v>0</v>
      </c>
      <c r="I46" s="1835">
        <v>0</v>
      </c>
      <c r="J46" s="91">
        <f>$F46/$C$27+$G46/$C$28+$H46/$C$29+$I46/$C$30</f>
        <v>7.3529411764705879</v>
      </c>
      <c r="K46" s="97">
        <f t="shared" si="0"/>
        <v>4.4366873309786093E-8</v>
      </c>
      <c r="L46" s="91">
        <f>($C$7*$C$15*$C$8*($C$9+$C$10*$C$11)/$D46^2*K46*10^6)</f>
        <v>1.0648049594348663E-3</v>
      </c>
      <c r="M46" s="91">
        <f>$F46/$D$27+$G46/$D$28+$H46/$D$29+$I46/$D$30</f>
        <v>6.5789473684210522</v>
      </c>
      <c r="N46" s="97">
        <f t="shared" si="1"/>
        <v>2.636650898730358E-7</v>
      </c>
      <c r="O46" s="91">
        <f>($C$7*$C$15*$D$8*($D$9+$D$10*$D$11)/$D46^2*N46*10^6)</f>
        <v>6.3279621569528599E-3</v>
      </c>
      <c r="P46" s="91">
        <f>$F46/$E$27+$G46/$E$28+$H46/$E$29+$I46/$E$30</f>
        <v>5.6818181818181817</v>
      </c>
      <c r="Q46" s="97">
        <f t="shared" si="2"/>
        <v>2.0805675382171676E-6</v>
      </c>
      <c r="R46" s="91">
        <f>($C$7*$C$15*$E$8*($E$9+$E$10*$E$11)/$D46^2*Q46*10^6)</f>
        <v>4.9933620917212027E-2</v>
      </c>
      <c r="S46" s="91">
        <f>$F46/$F$27+$G46/$F$28+$H46/$F$29+$I46/$F$30</f>
        <v>8.1967213114754092</v>
      </c>
      <c r="T46" s="97">
        <f t="shared" si="3"/>
        <v>6.3573875711648393E-9</v>
      </c>
      <c r="U46" s="91">
        <f>($C$7*$C$15*$F$8*($F$9+$F$10*$F$11)/$D46^2*T46*10^6)</f>
        <v>1.5257730170795616E-4</v>
      </c>
      <c r="V46" s="91">
        <f>$F46/$G$27+$G46/$G$28+$H46/$G$29+$I46/$G$30</f>
        <v>7.0224719101123592</v>
      </c>
      <c r="W46" s="97">
        <f t="shared" si="4"/>
        <v>9.4957241494880226E-8</v>
      </c>
      <c r="X46" s="76">
        <f>($C$7*$C$15*$G$8*($G$9+$G$10*$G$11)/$D46^2*W46*10^6)</f>
        <v>2.278973795877126E-3</v>
      </c>
      <c r="Y46" s="339">
        <f t="shared" si="5"/>
        <v>5.9757939131184837E-2</v>
      </c>
      <c r="Z46" s="333">
        <f>SUM(Y44:Y47)</f>
        <v>0.52249470541710541</v>
      </c>
      <c r="AA46" s="334">
        <f>Z46*52/10^3</f>
        <v>2.7169724681689482E-2</v>
      </c>
      <c r="AG46" s="328"/>
      <c r="AH46" s="328"/>
      <c r="AI46" s="328"/>
      <c r="AJ46" s="328"/>
      <c r="AK46" s="328"/>
      <c r="AL46" s="328"/>
      <c r="AP46" s="222"/>
      <c r="AQ46" s="211"/>
      <c r="AR46" s="222"/>
      <c r="AS46" s="222"/>
      <c r="AT46" s="225"/>
      <c r="AU46" s="225"/>
      <c r="AV46" s="225"/>
      <c r="AW46" s="225"/>
      <c r="AX46" s="225"/>
      <c r="AY46" s="300"/>
      <c r="AZ46" s="300"/>
    </row>
    <row r="47" spans="1:52" s="212" customFormat="1" ht="30" hidden="1" customHeight="1" thickBot="1" x14ac:dyDescent="0.3">
      <c r="A47" s="317"/>
      <c r="B47" s="317"/>
      <c r="C47" s="318"/>
      <c r="D47" s="1838"/>
      <c r="E47" s="1839"/>
      <c r="F47" s="1839"/>
      <c r="G47" s="1839"/>
      <c r="H47" s="1839"/>
      <c r="I47" s="1839"/>
      <c r="J47" s="91"/>
      <c r="K47" s="97"/>
      <c r="L47" s="91"/>
      <c r="M47" s="91"/>
      <c r="N47" s="97"/>
      <c r="O47" s="91"/>
      <c r="P47" s="91"/>
      <c r="Q47" s="97"/>
      <c r="R47" s="91"/>
      <c r="S47" s="91"/>
      <c r="T47" s="97"/>
      <c r="U47" s="91"/>
      <c r="V47" s="91"/>
      <c r="W47" s="97"/>
      <c r="X47" s="76"/>
      <c r="Y47" s="335"/>
      <c r="Z47" s="344"/>
      <c r="AA47" s="345"/>
      <c r="AG47" s="328"/>
      <c r="AH47" s="328"/>
      <c r="AI47" s="328"/>
      <c r="AJ47" s="328"/>
      <c r="AK47" s="328"/>
      <c r="AL47" s="328"/>
      <c r="AP47" s="222"/>
      <c r="AQ47" s="211"/>
      <c r="AR47" s="222"/>
      <c r="AS47" s="222"/>
      <c r="AT47" s="225"/>
      <c r="AU47" s="225"/>
      <c r="AV47" s="225"/>
      <c r="AW47" s="225"/>
      <c r="AX47" s="225"/>
      <c r="AY47" s="300"/>
      <c r="AZ47" s="300"/>
    </row>
    <row r="48" spans="1:52" s="212" customFormat="1" ht="30" customHeight="1" x14ac:dyDescent="0.25">
      <c r="A48" s="322"/>
      <c r="B48" s="322"/>
      <c r="C48" s="323" t="s">
        <v>569</v>
      </c>
      <c r="D48" s="1840">
        <v>6</v>
      </c>
      <c r="E48" s="1840">
        <v>1</v>
      </c>
      <c r="F48" s="1834">
        <v>250</v>
      </c>
      <c r="G48" s="1834">
        <v>0</v>
      </c>
      <c r="H48" s="1834">
        <v>0</v>
      </c>
      <c r="I48" s="1835">
        <v>0</v>
      </c>
      <c r="J48" s="91">
        <f>IF($F48=0,0,1+($F48-$C$21)/$C$22)+$G48/$C$23+$H48/$C$24+$I48/$C$25</f>
        <v>7.4545454545454541</v>
      </c>
      <c r="K48" s="97">
        <f t="shared" si="0"/>
        <v>3.5111917342151263E-8</v>
      </c>
      <c r="L48" s="91">
        <f>($C$7*$C$14*$C$8*$E48/$D48^2*K48*10^6)</f>
        <v>7.8026482982558355E-3</v>
      </c>
      <c r="M48" s="91">
        <f>IF($F48=0,0,1+($F48-$D$21)/$D$22)+$G48/$D$23+$H48/$D$24+$I48/$D$25</f>
        <v>6.6486486486486482</v>
      </c>
      <c r="N48" s="97">
        <f t="shared" si="1"/>
        <v>2.2456979955397711E-7</v>
      </c>
      <c r="O48" s="91">
        <f>($C$7*$D$14*$D$8*$E48/$D48^2*N48*10^6)</f>
        <v>4.99043999008838E-2</v>
      </c>
      <c r="P48" s="91">
        <f>IF($F48=0,0,1+($F48-$E$21)/$E$22)+$G48/$E$23+$H48/$E$24+$I48/$E$25</f>
        <v>5.7674418604651159</v>
      </c>
      <c r="Q48" s="97">
        <f t="shared" si="2"/>
        <v>1.7082763938087111E-6</v>
      </c>
      <c r="R48" s="91">
        <f>($C$7*$E$14*$E$8*$E48/$D48^2*Q48*10^6)</f>
        <v>0.37961697640193576</v>
      </c>
      <c r="S48" s="91">
        <f>IF($F48=0,0,1+($F48-$F$21)/$F$22)+$G48/$F$23+$H48/$F$24+$I48/$F$25</f>
        <v>9.1481481481481488</v>
      </c>
      <c r="T48" s="97">
        <f t="shared" si="3"/>
        <v>7.1097094323124171E-10</v>
      </c>
      <c r="U48" s="91">
        <f>($C$7*$F$14*$F$8*$E48/$D48^2*T48*10^6)</f>
        <v>1.5799354294027593E-4</v>
      </c>
      <c r="V48" s="91">
        <f>IF($F48=0,0,1+($F48-$G$21)/$G$22)+$G48/$G$23+$H48/$G$24+$I48/$G$25</f>
        <v>6.9444444444444446</v>
      </c>
      <c r="W48" s="97">
        <f t="shared" si="4"/>
        <v>1.136463666385722E-7</v>
      </c>
      <c r="X48" s="76">
        <f>($C$7*$G$14*$G$8*$E48/$D48^2*W48*10^6)</f>
        <v>2.5254748141904933E-2</v>
      </c>
      <c r="Y48" s="324">
        <f t="shared" si="5"/>
        <v>0.46273676628592059</v>
      </c>
      <c r="Z48" s="325"/>
      <c r="AA48" s="326"/>
      <c r="AG48" s="328"/>
      <c r="AI48" s="328"/>
      <c r="AJ48" s="328"/>
      <c r="AK48" s="328"/>
      <c r="AL48" s="328"/>
      <c r="AP48" s="222"/>
      <c r="AQ48" s="211"/>
      <c r="AR48" s="222"/>
      <c r="AS48" s="222"/>
      <c r="AT48" s="225"/>
      <c r="AU48" s="225"/>
      <c r="AV48" s="225"/>
      <c r="AW48" s="225"/>
      <c r="AX48" s="225"/>
      <c r="AY48" s="300"/>
      <c r="AZ48" s="300"/>
    </row>
    <row r="49" spans="1:52" s="212" customFormat="1" ht="30" customHeight="1" thickBot="1" x14ac:dyDescent="0.3">
      <c r="A49" s="343" t="str">
        <f>Samenvatting!A49</f>
        <v>B4</v>
      </c>
      <c r="B49" s="338" t="str">
        <f>Samenvatting!B49</f>
        <v>bedieningsruimte Linac 4</v>
      </c>
      <c r="C49" s="331" t="s">
        <v>568</v>
      </c>
      <c r="D49" s="1836">
        <v>5</v>
      </c>
      <c r="E49" s="89"/>
      <c r="F49" s="1834">
        <v>250</v>
      </c>
      <c r="G49" s="1834">
        <v>0</v>
      </c>
      <c r="H49" s="1834">
        <v>0</v>
      </c>
      <c r="I49" s="1835">
        <v>0</v>
      </c>
      <c r="J49" s="91">
        <f>$F49/$C$27+$G49/$C$28+$H49/$C$29+$I49/$C$30</f>
        <v>7.3529411764705879</v>
      </c>
      <c r="K49" s="97">
        <f t="shared" si="0"/>
        <v>4.4366873309786093E-8</v>
      </c>
      <c r="L49" s="91">
        <f>($C$7*$C$15*$C$8*($C$9+$C$10*$C$11)/$D49^2*K49*10^6)</f>
        <v>1.0648049594348663E-3</v>
      </c>
      <c r="M49" s="91">
        <f>$F49/$D$27+$G49/$D$28+$H49/$D$29+$I49/$D$30</f>
        <v>6.5789473684210522</v>
      </c>
      <c r="N49" s="97">
        <f t="shared" si="1"/>
        <v>2.636650898730358E-7</v>
      </c>
      <c r="O49" s="91">
        <f>($C$7*$C$15*$D$8*($D$9+$D$10*$D$11)/$D49^2*N49*10^6)</f>
        <v>6.3279621569528599E-3</v>
      </c>
      <c r="P49" s="91">
        <f>$F49/$E$27+$G49/$E$28+$H49/$E$29+$I49/$E$30</f>
        <v>5.6818181818181817</v>
      </c>
      <c r="Q49" s="97">
        <f t="shared" si="2"/>
        <v>2.0805675382171676E-6</v>
      </c>
      <c r="R49" s="91">
        <f>($C$7*$C$15*$E$8*($E$9+$E$10*$E$11)/$D49^2*Q49*10^6)</f>
        <v>4.9933620917212027E-2</v>
      </c>
      <c r="S49" s="91">
        <f>$F49/$F$27+$G49/$F$28+$H49/$F$29+$I49/$F$30</f>
        <v>8.1967213114754092</v>
      </c>
      <c r="T49" s="97">
        <f t="shared" si="3"/>
        <v>6.3573875711648393E-9</v>
      </c>
      <c r="U49" s="91">
        <f>($C$7*$C$15*$F$8*($F$9+$F$10*$F$11)/$D49^2*T49*10^6)</f>
        <v>1.5257730170795616E-4</v>
      </c>
      <c r="V49" s="91">
        <f>$F49/$G$27+$G49/$G$28+$H49/$G$29+$I49/$G$30</f>
        <v>7.0224719101123592</v>
      </c>
      <c r="W49" s="97">
        <f t="shared" si="4"/>
        <v>9.4957241494880226E-8</v>
      </c>
      <c r="X49" s="76">
        <f>($C$7*$C$15*$G$8*($G$9+$G$10*$G$11)/$D49^2*W49*10^6)</f>
        <v>2.278973795877126E-3</v>
      </c>
      <c r="Y49" s="339">
        <f t="shared" si="5"/>
        <v>5.9757939131184837E-2</v>
      </c>
      <c r="Z49" s="333">
        <f>SUM(Y47:Y50)</f>
        <v>0.52249470541710541</v>
      </c>
      <c r="AA49" s="334">
        <f>Z49*52/10^3</f>
        <v>2.7169724681689482E-2</v>
      </c>
      <c r="AG49" s="328"/>
      <c r="AH49" s="328"/>
      <c r="AI49" s="328"/>
      <c r="AJ49" s="328"/>
      <c r="AK49" s="328"/>
      <c r="AL49" s="328"/>
      <c r="AP49" s="222"/>
      <c r="AQ49" s="211"/>
      <c r="AR49" s="222"/>
      <c r="AS49" s="222"/>
      <c r="AT49" s="225"/>
      <c r="AU49" s="225"/>
      <c r="AV49" s="225"/>
      <c r="AW49" s="225"/>
      <c r="AX49" s="225"/>
      <c r="AY49" s="300"/>
      <c r="AZ49" s="300"/>
    </row>
    <row r="50" spans="1:52" s="212" customFormat="1" ht="30" hidden="1" customHeight="1" thickBot="1" x14ac:dyDescent="0.3">
      <c r="A50" s="317"/>
      <c r="B50" s="317"/>
      <c r="C50" s="318"/>
      <c r="D50" s="1838"/>
      <c r="E50" s="1839"/>
      <c r="F50" s="1839"/>
      <c r="G50" s="1839"/>
      <c r="H50" s="1839"/>
      <c r="I50" s="1839"/>
      <c r="J50" s="91"/>
      <c r="K50" s="97"/>
      <c r="L50" s="91"/>
      <c r="M50" s="91"/>
      <c r="N50" s="97"/>
      <c r="O50" s="91"/>
      <c r="P50" s="91"/>
      <c r="Q50" s="97"/>
      <c r="R50" s="91"/>
      <c r="S50" s="91"/>
      <c r="T50" s="97"/>
      <c r="U50" s="91"/>
      <c r="V50" s="91"/>
      <c r="W50" s="97"/>
      <c r="X50" s="76"/>
      <c r="Y50" s="316"/>
      <c r="Z50" s="344"/>
      <c r="AA50" s="345"/>
      <c r="AG50" s="328"/>
      <c r="AH50" s="328"/>
      <c r="AI50" s="328"/>
      <c r="AJ50" s="328"/>
      <c r="AK50" s="328"/>
      <c r="AL50" s="328"/>
      <c r="AP50" s="222"/>
      <c r="AQ50" s="211"/>
      <c r="AR50" s="222"/>
      <c r="AS50" s="222"/>
      <c r="AT50" s="225"/>
      <c r="AU50" s="225"/>
      <c r="AV50" s="225"/>
      <c r="AW50" s="225"/>
      <c r="AX50" s="225"/>
      <c r="AY50" s="300"/>
      <c r="AZ50" s="300"/>
    </row>
    <row r="51" spans="1:52" s="212" customFormat="1" ht="30" customHeight="1" x14ac:dyDescent="0.25">
      <c r="A51" s="322"/>
      <c r="B51" s="322"/>
      <c r="C51" s="323" t="s">
        <v>569</v>
      </c>
      <c r="D51" s="1840">
        <v>6</v>
      </c>
      <c r="E51" s="1840">
        <v>1</v>
      </c>
      <c r="F51" s="1834">
        <v>250</v>
      </c>
      <c r="G51" s="1834">
        <v>0</v>
      </c>
      <c r="H51" s="1834">
        <v>0</v>
      </c>
      <c r="I51" s="1835">
        <v>0</v>
      </c>
      <c r="J51" s="91">
        <f>IF($F51=0,0,1+($F51-$C$21)/$C$22)+$G51/$C$23+$H51/$C$24+$I51/$C$25</f>
        <v>7.4545454545454541</v>
      </c>
      <c r="K51" s="97">
        <f t="shared" si="0"/>
        <v>3.5111917342151263E-8</v>
      </c>
      <c r="L51" s="91">
        <f>($C$7*$C$14*$C$8*$E51/$D51^2*K51*10^6)</f>
        <v>7.8026482982558355E-3</v>
      </c>
      <c r="M51" s="91">
        <f>IF($F51=0,0,1+($F51-$D$21)/$D$22)+$G51/$D$23+$H51/$D$24+$I51/$D$25</f>
        <v>6.6486486486486482</v>
      </c>
      <c r="N51" s="97">
        <f t="shared" si="1"/>
        <v>2.2456979955397711E-7</v>
      </c>
      <c r="O51" s="91">
        <f>($C$7*$D$14*$D$8*$E51/$D51^2*N51*10^6)</f>
        <v>4.99043999008838E-2</v>
      </c>
      <c r="P51" s="91">
        <f>IF($F51=0,0,1+($F51-$E$21)/$E$22)+$G51/$E$23+$H51/$E$24+$I51/$E$25</f>
        <v>5.7674418604651159</v>
      </c>
      <c r="Q51" s="97">
        <f t="shared" si="2"/>
        <v>1.7082763938087111E-6</v>
      </c>
      <c r="R51" s="91">
        <f>($C$7*$E$14*$E$8*$E51/$D51^2*Q51*10^6)</f>
        <v>0.37961697640193576</v>
      </c>
      <c r="S51" s="91">
        <f>IF($F51=0,0,1+($F51-$F$21)/$F$22)+$G51/$F$23+$H51/$F$24+$I51/$F$25</f>
        <v>9.1481481481481488</v>
      </c>
      <c r="T51" s="97">
        <f t="shared" si="3"/>
        <v>7.1097094323124171E-10</v>
      </c>
      <c r="U51" s="91">
        <f>($C$7*$F$14*$F$8*$E51/$D51^2*T51*10^6)</f>
        <v>1.5799354294027593E-4</v>
      </c>
      <c r="V51" s="91">
        <f>IF($F51=0,0,1+($F51-$G$21)/$G$22)+$G51/$G$23+$H51/$G$24+$I51/$G$25</f>
        <v>6.9444444444444446</v>
      </c>
      <c r="W51" s="97">
        <f t="shared" si="4"/>
        <v>1.136463666385722E-7</v>
      </c>
      <c r="X51" s="76">
        <f>($C$7*$G$14*$G$8*$E51/$D51^2*W51*10^6)</f>
        <v>2.5254748141904933E-2</v>
      </c>
      <c r="Y51" s="324">
        <f>SUM(L51,O51,R51,U51,X51)</f>
        <v>0.46273676628592059</v>
      </c>
      <c r="Z51" s="325"/>
      <c r="AA51" s="326"/>
      <c r="AG51" s="328"/>
      <c r="AI51" s="328"/>
      <c r="AJ51" s="328"/>
      <c r="AK51" s="328"/>
      <c r="AL51" s="328"/>
      <c r="AP51" s="222"/>
      <c r="AQ51" s="211"/>
      <c r="AR51" s="222"/>
      <c r="AS51" s="222"/>
      <c r="AT51" s="225"/>
      <c r="AU51" s="225"/>
      <c r="AV51" s="225"/>
      <c r="AW51" s="225"/>
      <c r="AX51" s="225"/>
      <c r="AY51" s="300"/>
      <c r="AZ51" s="300"/>
    </row>
    <row r="52" spans="1:52" s="212" customFormat="1" ht="30" customHeight="1" thickBot="1" x14ac:dyDescent="0.3">
      <c r="A52" s="343" t="str">
        <f>Samenvatting!A61</f>
        <v>B5</v>
      </c>
      <c r="B52" s="346" t="str">
        <f>Samenvatting!B61</f>
        <v>bedieningsruimte Linac 5</v>
      </c>
      <c r="C52" s="331" t="s">
        <v>568</v>
      </c>
      <c r="D52" s="1843">
        <v>5</v>
      </c>
      <c r="E52" s="347"/>
      <c r="F52" s="1834">
        <v>250</v>
      </c>
      <c r="G52" s="1834">
        <v>0</v>
      </c>
      <c r="H52" s="1834">
        <v>0</v>
      </c>
      <c r="I52" s="1835">
        <v>0</v>
      </c>
      <c r="J52" s="91">
        <f>$F52/$C$27+$G52/$C$28+$H52/$C$29+$I52/$C$30</f>
        <v>7.3529411764705879</v>
      </c>
      <c r="K52" s="97">
        <f t="shared" si="0"/>
        <v>4.4366873309786093E-8</v>
      </c>
      <c r="L52" s="91">
        <f>($C$7*$C$15*$C$8*($C$9+$C$10*$C$11)/$D52^2*K52*10^6)</f>
        <v>1.0648049594348663E-3</v>
      </c>
      <c r="M52" s="91">
        <f>$F52/$D$27+$G52/$D$28+$H52/$D$29+$I52/$D$30</f>
        <v>6.5789473684210522</v>
      </c>
      <c r="N52" s="97">
        <f t="shared" si="1"/>
        <v>2.636650898730358E-7</v>
      </c>
      <c r="O52" s="91">
        <f>($C$7*$C$15*$D$8*($D$9+$D$10*$D$11)/$D52^2*N52*10^6)</f>
        <v>6.3279621569528599E-3</v>
      </c>
      <c r="P52" s="91">
        <f>$F52/$E$27+$G52/$E$28+$H52/$E$29+$I52/$E$30</f>
        <v>5.6818181818181817</v>
      </c>
      <c r="Q52" s="97">
        <f t="shared" si="2"/>
        <v>2.0805675382171676E-6</v>
      </c>
      <c r="R52" s="91">
        <f>($C$7*$C$15*$E$8*($E$9+$E$10*$E$11)/$D52^2*Q52*10^6)</f>
        <v>4.9933620917212027E-2</v>
      </c>
      <c r="S52" s="91">
        <f>$F52/$F$27+$G52/$F$28+$H52/$F$29+$I52/$F$30</f>
        <v>8.1967213114754092</v>
      </c>
      <c r="T52" s="97">
        <f t="shared" si="3"/>
        <v>6.3573875711648393E-9</v>
      </c>
      <c r="U52" s="91">
        <f>($C$7*$C$15*$F$8*($F$9+$F$10*$F$11)/$D52^2*T52*10^6)</f>
        <v>1.5257730170795616E-4</v>
      </c>
      <c r="V52" s="91">
        <f>$F52/$G$27+$G52/$G$28+$H52/$G$29+$I52/$G$30</f>
        <v>7.0224719101123592</v>
      </c>
      <c r="W52" s="97">
        <f t="shared" si="4"/>
        <v>9.4957241494880226E-8</v>
      </c>
      <c r="X52" s="76">
        <f>($C$7*$C$15*$G$8*($G$9+$G$10*$G$11)/$D52^2*W52*10^6)</f>
        <v>2.278973795877126E-3</v>
      </c>
      <c r="Y52" s="339">
        <f>SUM(L52,O52,R52,U52,X52)</f>
        <v>5.9757939131184837E-2</v>
      </c>
      <c r="Z52" s="333">
        <f>SUM(Y50:Y53)</f>
        <v>0.52249470541710541</v>
      </c>
      <c r="AA52" s="334">
        <f>Z52*52/10^3</f>
        <v>2.7169724681689482E-2</v>
      </c>
      <c r="AG52" s="328"/>
      <c r="AH52" s="328"/>
      <c r="AI52" s="328"/>
      <c r="AJ52" s="328"/>
      <c r="AK52" s="328"/>
      <c r="AL52" s="328"/>
      <c r="AP52" s="222"/>
      <c r="AQ52" s="211"/>
      <c r="AR52" s="222"/>
      <c r="AS52" s="222"/>
      <c r="AT52" s="225"/>
      <c r="AU52" s="225"/>
      <c r="AV52" s="225"/>
      <c r="AW52" s="225"/>
      <c r="AX52" s="225"/>
      <c r="AY52" s="300"/>
      <c r="AZ52" s="300"/>
    </row>
    <row r="53" spans="1:52" s="212" customFormat="1" ht="30" hidden="1" customHeight="1" thickBot="1" x14ac:dyDescent="0.3">
      <c r="A53" s="317"/>
      <c r="B53" s="317"/>
      <c r="C53" s="318"/>
      <c r="D53" s="1838"/>
      <c r="E53" s="1839"/>
      <c r="F53" s="1839"/>
      <c r="G53" s="1839"/>
      <c r="H53" s="1839"/>
      <c r="I53" s="1839"/>
      <c r="J53" s="91"/>
      <c r="K53" s="97"/>
      <c r="L53" s="91"/>
      <c r="M53" s="91"/>
      <c r="N53" s="97"/>
      <c r="O53" s="91"/>
      <c r="P53" s="91"/>
      <c r="Q53" s="97"/>
      <c r="R53" s="91"/>
      <c r="S53" s="91"/>
      <c r="T53" s="97"/>
      <c r="U53" s="91"/>
      <c r="V53" s="91"/>
      <c r="W53" s="97"/>
      <c r="X53" s="76"/>
      <c r="Y53" s="316"/>
      <c r="Z53" s="344"/>
      <c r="AA53" s="345"/>
      <c r="AG53" s="328"/>
      <c r="AH53" s="328"/>
      <c r="AI53" s="328"/>
      <c r="AJ53" s="328"/>
      <c r="AK53" s="328"/>
      <c r="AL53" s="328"/>
      <c r="AP53" s="222"/>
      <c r="AQ53" s="211"/>
      <c r="AR53" s="222"/>
      <c r="AS53" s="222"/>
      <c r="AT53" s="225"/>
      <c r="AU53" s="225"/>
      <c r="AV53" s="225"/>
      <c r="AW53" s="225"/>
      <c r="AX53" s="225"/>
      <c r="AY53" s="300"/>
      <c r="AZ53" s="300"/>
    </row>
    <row r="54" spans="1:52" s="212" customFormat="1" ht="30" customHeight="1" x14ac:dyDescent="0.25">
      <c r="A54" s="322"/>
      <c r="B54" s="322"/>
      <c r="C54" s="323" t="s">
        <v>569</v>
      </c>
      <c r="D54" s="1840">
        <v>6</v>
      </c>
      <c r="E54" s="1840">
        <v>1</v>
      </c>
      <c r="F54" s="1834">
        <v>250</v>
      </c>
      <c r="G54" s="1834">
        <v>0</v>
      </c>
      <c r="H54" s="1834">
        <v>0</v>
      </c>
      <c r="I54" s="1835">
        <v>0</v>
      </c>
      <c r="J54" s="91">
        <f>IF($F54=0,0,1+($F54-$C$21)/$C$22)+$G54/$C$23+$H54/$C$24+$I54/$C$25</f>
        <v>7.4545454545454541</v>
      </c>
      <c r="K54" s="97">
        <f t="shared" si="0"/>
        <v>3.5111917342151263E-8</v>
      </c>
      <c r="L54" s="91">
        <f>($C$7*$C$14*$C$8*$E54/$D54^2*K54*10^6)</f>
        <v>7.8026482982558355E-3</v>
      </c>
      <c r="M54" s="91">
        <f>IF($F54=0,0,1+($F54-$D$21)/$D$22)+$G54/$D$23+$H54/$D$24+$I54/$D$25</f>
        <v>6.6486486486486482</v>
      </c>
      <c r="N54" s="97">
        <f t="shared" si="1"/>
        <v>2.2456979955397711E-7</v>
      </c>
      <c r="O54" s="91">
        <f>($C$7*$D$14*$D$8*$E54/$D54^2*N54*10^6)</f>
        <v>4.99043999008838E-2</v>
      </c>
      <c r="P54" s="91">
        <f>IF($F54=0,0,1+($F54-$E$21)/$E$22)+$G54/$E$23+$H54/$E$24+$I54/$E$25</f>
        <v>5.7674418604651159</v>
      </c>
      <c r="Q54" s="97">
        <f t="shared" si="2"/>
        <v>1.7082763938087111E-6</v>
      </c>
      <c r="R54" s="91">
        <f>($C$7*$E$14*$E$8*$E54/$D54^2*Q54*10^6)</f>
        <v>0.37961697640193576</v>
      </c>
      <c r="S54" s="91">
        <f>IF($F54=0,0,1+($F54-$F$21)/$F$22)+$G54/$F$23+$H54/$F$24+$I54/$F$25</f>
        <v>9.1481481481481488</v>
      </c>
      <c r="T54" s="97">
        <f t="shared" si="3"/>
        <v>7.1097094323124171E-10</v>
      </c>
      <c r="U54" s="91">
        <f>($C$7*$F$14*$F$8*$E54/$D54^2*T54*10^6)</f>
        <v>1.5799354294027593E-4</v>
      </c>
      <c r="V54" s="91">
        <f>IF($F54=0,0,1+($F54-$G$21)/$G$22)+$G54/$G$23+$H54/$G$24+$I54/$G$25</f>
        <v>6.9444444444444446</v>
      </c>
      <c r="W54" s="97">
        <f t="shared" si="4"/>
        <v>1.136463666385722E-7</v>
      </c>
      <c r="X54" s="76">
        <f>($C$7*$G$14*$G$8*$E54/$D54^2*W54*10^6)</f>
        <v>2.5254748141904933E-2</v>
      </c>
      <c r="Y54" s="324">
        <f>SUM(L54,O54,R54,U54,X54)</f>
        <v>0.46273676628592059</v>
      </c>
      <c r="Z54" s="325"/>
      <c r="AA54" s="326"/>
      <c r="AG54" s="328"/>
      <c r="AI54" s="328"/>
      <c r="AJ54" s="328"/>
      <c r="AK54" s="328"/>
      <c r="AL54" s="328"/>
      <c r="AP54" s="222"/>
      <c r="AQ54" s="211"/>
      <c r="AR54" s="222"/>
      <c r="AS54" s="222"/>
      <c r="AT54" s="225"/>
      <c r="AU54" s="225"/>
      <c r="AV54" s="225"/>
      <c r="AW54" s="225"/>
      <c r="AX54" s="225"/>
      <c r="AY54" s="300"/>
      <c r="AZ54" s="300"/>
    </row>
    <row r="55" spans="1:52" s="212" customFormat="1" ht="30" customHeight="1" thickBot="1" x14ac:dyDescent="0.3">
      <c r="A55" s="343" t="str">
        <f>Samenvatting!A73</f>
        <v>B6</v>
      </c>
      <c r="B55" s="338" t="str">
        <f>Samenvatting!B73</f>
        <v>bedieningsruimte Linac 6</v>
      </c>
      <c r="C55" s="331" t="s">
        <v>568</v>
      </c>
      <c r="D55" s="1836">
        <v>5</v>
      </c>
      <c r="E55" s="89"/>
      <c r="F55" s="1834">
        <v>250</v>
      </c>
      <c r="G55" s="1834">
        <v>0</v>
      </c>
      <c r="H55" s="1834">
        <v>0</v>
      </c>
      <c r="I55" s="1835">
        <v>0</v>
      </c>
      <c r="J55" s="91">
        <f>$F55/$C$27+$G55/$C$28+$H55/$C$29+$I55/$C$30</f>
        <v>7.3529411764705879</v>
      </c>
      <c r="K55" s="97">
        <f t="shared" si="0"/>
        <v>4.4366873309786093E-8</v>
      </c>
      <c r="L55" s="91">
        <f>($C$7*$C$15*$C$8*($C$9+$C$10*$C$11)/$D55^2*K55*10^6)</f>
        <v>1.0648049594348663E-3</v>
      </c>
      <c r="M55" s="91">
        <f>$F55/$D$27+$G55/$D$28+$H55/$D$29+$I55/$D$30</f>
        <v>6.5789473684210522</v>
      </c>
      <c r="N55" s="97">
        <f t="shared" si="1"/>
        <v>2.636650898730358E-7</v>
      </c>
      <c r="O55" s="91">
        <f>($C$7*$C$15*$D$8*($D$9+$D$10*$D$11)/$D55^2*N55*10^6)</f>
        <v>6.3279621569528599E-3</v>
      </c>
      <c r="P55" s="91">
        <f>$F55/$E$27+$G55/$E$28+$H55/$E$29+$I55/$E$30</f>
        <v>5.6818181818181817</v>
      </c>
      <c r="Q55" s="97">
        <f t="shared" si="2"/>
        <v>2.0805675382171676E-6</v>
      </c>
      <c r="R55" s="91">
        <f>($C$7*$C$15*$E$8*($E$9+$E$10*$E$11)/$D55^2*Q55*10^6)</f>
        <v>4.9933620917212027E-2</v>
      </c>
      <c r="S55" s="91">
        <f>$F55/$F$27+$G55/$F$28+$H55/$F$29+$I55/$F$30</f>
        <v>8.1967213114754092</v>
      </c>
      <c r="T55" s="97">
        <f t="shared" si="3"/>
        <v>6.3573875711648393E-9</v>
      </c>
      <c r="U55" s="91">
        <f>($C$7*$C$15*$F$8*($F$9+$F$10*$F$11)/$D55^2*T55*10^6)</f>
        <v>1.5257730170795616E-4</v>
      </c>
      <c r="V55" s="91">
        <f>$F55/$G$27+$G55/$G$28+$H55/$G$29+$I55/$G$30</f>
        <v>7.0224719101123592</v>
      </c>
      <c r="W55" s="97">
        <f t="shared" si="4"/>
        <v>9.4957241494880226E-8</v>
      </c>
      <c r="X55" s="76">
        <f>($C$7*$C$15*$G$8*($G$9+$G$10*$G$11)/$D55^2*W55*10^6)</f>
        <v>2.278973795877126E-3</v>
      </c>
      <c r="Y55" s="339">
        <f>SUM(L55,O55,R55,U55,X55)</f>
        <v>5.9757939131184837E-2</v>
      </c>
      <c r="Z55" s="333">
        <f>SUM(Y53:Y56)</f>
        <v>0.52249470541710541</v>
      </c>
      <c r="AA55" s="334">
        <f>Z55*52/10^3</f>
        <v>2.7169724681689482E-2</v>
      </c>
      <c r="AG55" s="328"/>
      <c r="AH55" s="328"/>
      <c r="AI55" s="328"/>
      <c r="AJ55" s="328"/>
      <c r="AK55" s="328"/>
      <c r="AL55" s="328"/>
      <c r="AP55" s="222"/>
      <c r="AQ55" s="211"/>
      <c r="AR55" s="222"/>
      <c r="AS55" s="222"/>
      <c r="AT55" s="225"/>
      <c r="AU55" s="225"/>
      <c r="AV55" s="225"/>
      <c r="AW55" s="225"/>
      <c r="AX55" s="225"/>
      <c r="AY55" s="300"/>
      <c r="AZ55" s="300"/>
    </row>
    <row r="56" spans="1:52" s="212" customFormat="1" ht="30" hidden="1" customHeight="1" thickBot="1" x14ac:dyDescent="0.3">
      <c r="A56" s="317"/>
      <c r="B56" s="317"/>
      <c r="C56" s="318"/>
      <c r="D56" s="1838"/>
      <c r="E56" s="1839"/>
      <c r="F56" s="1839"/>
      <c r="G56" s="1839"/>
      <c r="H56" s="1839"/>
      <c r="I56" s="1839"/>
      <c r="J56" s="91"/>
      <c r="K56" s="97"/>
      <c r="L56" s="91"/>
      <c r="M56" s="91"/>
      <c r="N56" s="97"/>
      <c r="O56" s="91"/>
      <c r="P56" s="91"/>
      <c r="Q56" s="97"/>
      <c r="R56" s="91"/>
      <c r="S56" s="91"/>
      <c r="T56" s="97"/>
      <c r="U56" s="91"/>
      <c r="V56" s="91"/>
      <c r="W56" s="97"/>
      <c r="X56" s="76"/>
      <c r="Y56" s="316"/>
      <c r="Z56" s="344"/>
      <c r="AA56" s="345"/>
      <c r="AG56" s="328"/>
      <c r="AH56" s="328"/>
      <c r="AI56" s="328"/>
      <c r="AJ56" s="328"/>
      <c r="AK56" s="328"/>
      <c r="AL56" s="328"/>
      <c r="AP56" s="222"/>
      <c r="AQ56" s="211"/>
      <c r="AR56" s="222"/>
      <c r="AS56" s="222"/>
      <c r="AT56" s="225"/>
      <c r="AU56" s="225"/>
      <c r="AV56" s="225"/>
      <c r="AW56" s="225"/>
      <c r="AX56" s="225"/>
      <c r="AY56" s="300"/>
      <c r="AZ56" s="300"/>
    </row>
    <row r="57" spans="1:52" s="212" customFormat="1" ht="30" customHeight="1" x14ac:dyDescent="0.25">
      <c r="A57" s="322"/>
      <c r="B57" s="322"/>
      <c r="C57" s="323" t="s">
        <v>569</v>
      </c>
      <c r="D57" s="1840">
        <v>6</v>
      </c>
      <c r="E57" s="1840">
        <v>1</v>
      </c>
      <c r="F57" s="1834">
        <v>250</v>
      </c>
      <c r="G57" s="1834">
        <v>0</v>
      </c>
      <c r="H57" s="1834">
        <v>0</v>
      </c>
      <c r="I57" s="1835">
        <v>0</v>
      </c>
      <c r="J57" s="91">
        <f>IF($F57=0,0,1+($F57-$C$21)/$C$22)+$G57/$C$23+$H57/$C$24+$I57/$C$25</f>
        <v>7.4545454545454541</v>
      </c>
      <c r="K57" s="97">
        <f t="shared" si="0"/>
        <v>3.5111917342151263E-8</v>
      </c>
      <c r="L57" s="91">
        <f>($C$7*$C$14*$C$8*$E57/$D57^2*K57*10^6)</f>
        <v>7.8026482982558355E-3</v>
      </c>
      <c r="M57" s="91">
        <f>IF($F57=0,0,1+($F57-$D$21)/$D$22)+$G57/$D$23+$H57/$D$24+$I57/$D$25</f>
        <v>6.6486486486486482</v>
      </c>
      <c r="N57" s="97">
        <f t="shared" si="1"/>
        <v>2.2456979955397711E-7</v>
      </c>
      <c r="O57" s="91">
        <f>($C$7*$D$14*$D$8*$E57/$D57^2*N57*10^6)</f>
        <v>4.99043999008838E-2</v>
      </c>
      <c r="P57" s="91">
        <f>IF($F57=0,0,1+($F57-$E$21)/$E$22)+$G57/$E$23+$H57/$E$24+$I57/$E$25</f>
        <v>5.7674418604651159</v>
      </c>
      <c r="Q57" s="97">
        <f t="shared" si="2"/>
        <v>1.7082763938087111E-6</v>
      </c>
      <c r="R57" s="91">
        <f>($C$7*$E$14*$E$8*$E57/$D57^2*Q57*10^6)</f>
        <v>0.37961697640193576</v>
      </c>
      <c r="S57" s="91">
        <f>IF($F57=0,0,1+($F57-$F$21)/$F$22)+$G57/$F$23+$H57/$F$24+$I57/$F$25</f>
        <v>9.1481481481481488</v>
      </c>
      <c r="T57" s="97">
        <f t="shared" si="3"/>
        <v>7.1097094323124171E-10</v>
      </c>
      <c r="U57" s="91">
        <f>($C$7*$F$14*$F$8*$E57/$D57^2*T57*10^6)</f>
        <v>1.5799354294027593E-4</v>
      </c>
      <c r="V57" s="91">
        <f>IF($F57=0,0,1+($F57-$G$21)/$G$22)+$G57/$G$23+$H57/$G$24+$I57/$G$25</f>
        <v>6.9444444444444446</v>
      </c>
      <c r="W57" s="97">
        <f t="shared" si="4"/>
        <v>1.136463666385722E-7</v>
      </c>
      <c r="X57" s="76">
        <f>($C$7*$G$14*$G$8*$E57/$D57^2*W57*10^6)</f>
        <v>2.5254748141904933E-2</v>
      </c>
      <c r="Y57" s="324">
        <f>SUM(L57,O57,R57,U57,X57)</f>
        <v>0.46273676628592059</v>
      </c>
      <c r="Z57" s="325"/>
      <c r="AA57" s="326"/>
      <c r="AG57" s="328"/>
      <c r="AI57" s="328"/>
      <c r="AJ57" s="328"/>
      <c r="AK57" s="328"/>
      <c r="AL57" s="328"/>
      <c r="AP57" s="222"/>
      <c r="AQ57" s="211"/>
      <c r="AR57" s="222"/>
      <c r="AS57" s="222"/>
      <c r="AT57" s="225"/>
      <c r="AU57" s="225"/>
      <c r="AV57" s="225"/>
      <c r="AW57" s="225"/>
      <c r="AX57" s="225"/>
      <c r="AY57" s="300"/>
      <c r="AZ57" s="300"/>
    </row>
    <row r="58" spans="1:52" s="212" customFormat="1" ht="30" customHeight="1" thickBot="1" x14ac:dyDescent="0.3">
      <c r="A58" s="343" t="str">
        <f>Samenvatting!A85</f>
        <v>B7</v>
      </c>
      <c r="B58" s="338" t="str">
        <f>Samenvatting!B85</f>
        <v>bedieningsruimte Linac 7</v>
      </c>
      <c r="C58" s="331" t="s">
        <v>568</v>
      </c>
      <c r="D58" s="1836">
        <v>5</v>
      </c>
      <c r="E58" s="89"/>
      <c r="F58" s="1834">
        <v>250</v>
      </c>
      <c r="G58" s="1834">
        <v>0</v>
      </c>
      <c r="H58" s="1834">
        <v>0</v>
      </c>
      <c r="I58" s="1835">
        <v>0</v>
      </c>
      <c r="J58" s="91">
        <f>$F58/$C$27+$G58/$C$28+$H58/$C$29+$I58/$C$30</f>
        <v>7.3529411764705879</v>
      </c>
      <c r="K58" s="97">
        <f t="shared" si="0"/>
        <v>4.4366873309786093E-8</v>
      </c>
      <c r="L58" s="91">
        <f>($C$7*$C$15*$C$8*($C$9+$C$10*$C$11)/$D58^2*K58*10^6)</f>
        <v>1.0648049594348663E-3</v>
      </c>
      <c r="M58" s="91">
        <f>$F58/$D$27+$G58/$D$28+$H58/$D$29+$I58/$D$30</f>
        <v>6.5789473684210522</v>
      </c>
      <c r="N58" s="97">
        <f t="shared" si="1"/>
        <v>2.636650898730358E-7</v>
      </c>
      <c r="O58" s="91">
        <f>($C$7*$C$15*$D$8*($D$9+$D$10*$D$11)/$D58^2*N58*10^6)</f>
        <v>6.3279621569528599E-3</v>
      </c>
      <c r="P58" s="91">
        <f>$F58/$E$27+$G58/$E$28+$H58/$E$29+$I58/$E$30</f>
        <v>5.6818181818181817</v>
      </c>
      <c r="Q58" s="97">
        <f t="shared" si="2"/>
        <v>2.0805675382171676E-6</v>
      </c>
      <c r="R58" s="91">
        <f>($C$7*$C$15*$E$8*($E$9+$E$10*$E$11)/$D58^2*Q58*10^6)</f>
        <v>4.9933620917212027E-2</v>
      </c>
      <c r="S58" s="91">
        <f>$F58/$F$27+$G58/$F$28+$H58/$F$29+$I58/$F$30</f>
        <v>8.1967213114754092</v>
      </c>
      <c r="T58" s="97">
        <f t="shared" si="3"/>
        <v>6.3573875711648393E-9</v>
      </c>
      <c r="U58" s="91">
        <f>($C$7*$C$15*$F$8*($F$9+$F$10*$F$11)/$D58^2*T58*10^6)</f>
        <v>1.5257730170795616E-4</v>
      </c>
      <c r="V58" s="91">
        <f>$F58/$G$27+$G58/$G$28+$H58/$G$29+$I58/$G$30</f>
        <v>7.0224719101123592</v>
      </c>
      <c r="W58" s="97">
        <f t="shared" si="4"/>
        <v>9.4957241494880226E-8</v>
      </c>
      <c r="X58" s="76">
        <f>($C$7*$C$15*$G$8*($G$9+$G$10*$G$11)/$D58^2*W58*10^6)</f>
        <v>2.278973795877126E-3</v>
      </c>
      <c r="Y58" s="339">
        <f>SUM(L58,O58,R58,U58,X58)</f>
        <v>5.9757939131184837E-2</v>
      </c>
      <c r="Z58" s="333">
        <f>SUM(Y56:Y59)</f>
        <v>0.52249470541710541</v>
      </c>
      <c r="AA58" s="334">
        <f>Z58*52/10^3</f>
        <v>2.7169724681689482E-2</v>
      </c>
      <c r="AG58" s="328"/>
      <c r="AH58" s="328"/>
      <c r="AI58" s="328"/>
      <c r="AJ58" s="328"/>
      <c r="AK58" s="328"/>
      <c r="AL58" s="328"/>
      <c r="AP58" s="222"/>
      <c r="AQ58" s="211"/>
      <c r="AR58" s="222"/>
      <c r="AS58" s="222"/>
      <c r="AT58" s="225"/>
      <c r="AU58" s="225"/>
      <c r="AV58" s="225"/>
      <c r="AW58" s="225"/>
      <c r="AX58" s="225"/>
      <c r="AY58" s="300"/>
      <c r="AZ58" s="300"/>
    </row>
    <row r="59" spans="1:52" s="212" customFormat="1" ht="30" hidden="1" customHeight="1" thickBot="1" x14ac:dyDescent="0.3">
      <c r="A59" s="317"/>
      <c r="B59" s="317"/>
      <c r="C59" s="318"/>
      <c r="D59" s="1838"/>
      <c r="E59" s="1839"/>
      <c r="F59" s="1839"/>
      <c r="G59" s="1839"/>
      <c r="H59" s="1839"/>
      <c r="I59" s="1839"/>
      <c r="J59" s="91"/>
      <c r="K59" s="97"/>
      <c r="L59" s="91"/>
      <c r="M59" s="91"/>
      <c r="N59" s="97"/>
      <c r="O59" s="91"/>
      <c r="P59" s="91"/>
      <c r="Q59" s="97"/>
      <c r="R59" s="91"/>
      <c r="S59" s="91"/>
      <c r="T59" s="97"/>
      <c r="U59" s="91"/>
      <c r="V59" s="91"/>
      <c r="W59" s="97"/>
      <c r="X59" s="76"/>
      <c r="Y59" s="316"/>
      <c r="Z59" s="344"/>
      <c r="AA59" s="345"/>
      <c r="AG59" s="328"/>
      <c r="AH59" s="328"/>
      <c r="AI59" s="328"/>
      <c r="AJ59" s="328"/>
      <c r="AK59" s="328"/>
      <c r="AL59" s="328"/>
      <c r="AP59" s="222"/>
      <c r="AQ59" s="211"/>
      <c r="AR59" s="222"/>
      <c r="AS59" s="222"/>
      <c r="AT59" s="225"/>
      <c r="AU59" s="225"/>
      <c r="AV59" s="225"/>
      <c r="AW59" s="225"/>
      <c r="AX59" s="225"/>
      <c r="AY59" s="300"/>
      <c r="AZ59" s="300"/>
    </row>
    <row r="60" spans="1:52" s="212" customFormat="1" ht="30" customHeight="1" x14ac:dyDescent="0.25">
      <c r="A60" s="322"/>
      <c r="B60" s="322"/>
      <c r="C60" s="323" t="s">
        <v>569</v>
      </c>
      <c r="D60" s="1840">
        <v>6</v>
      </c>
      <c r="E60" s="1840">
        <v>1</v>
      </c>
      <c r="F60" s="1834">
        <v>250</v>
      </c>
      <c r="G60" s="1834">
        <v>0</v>
      </c>
      <c r="H60" s="1834">
        <v>0</v>
      </c>
      <c r="I60" s="1835">
        <v>0</v>
      </c>
      <c r="J60" s="91">
        <f>IF($F60=0,0,1+($F60-$C$21)/$C$22)+$G60/$C$23+$H60/$C$24+$I60/$C$25</f>
        <v>7.4545454545454541</v>
      </c>
      <c r="K60" s="97">
        <f t="shared" si="0"/>
        <v>3.5111917342151263E-8</v>
      </c>
      <c r="L60" s="91">
        <f>($C$7*$C$14*$C$8*$E60/$D60^2*K60*10^6)</f>
        <v>7.8026482982558355E-3</v>
      </c>
      <c r="M60" s="91">
        <f>IF($F60=0,0,1+($F60-$D$21)/$D$22)+$G60/$D$23+$H60/$D$24+$I60/$D$25</f>
        <v>6.6486486486486482</v>
      </c>
      <c r="N60" s="97">
        <f t="shared" si="1"/>
        <v>2.2456979955397711E-7</v>
      </c>
      <c r="O60" s="91">
        <f>($C$7*$D$14*$D$8*$E60/$D60^2*N60*10^6)</f>
        <v>4.99043999008838E-2</v>
      </c>
      <c r="P60" s="91">
        <f>IF($F60=0,0,1+($F60-$E$21)/$E$22)+$G60/$E$23+$H60/$E$24+$I60/$E$25</f>
        <v>5.7674418604651159</v>
      </c>
      <c r="Q60" s="97">
        <f t="shared" si="2"/>
        <v>1.7082763938087111E-6</v>
      </c>
      <c r="R60" s="91">
        <f>($C$7*$E$14*$E$8*$E60/$D60^2*Q60*10^6)</f>
        <v>0.37961697640193576</v>
      </c>
      <c r="S60" s="91">
        <f>IF($F60=0,0,1+($F60-$F$21)/$F$22)+$G60/$F$23+$H60/$F$24+$I60/$F$25</f>
        <v>9.1481481481481488</v>
      </c>
      <c r="T60" s="97">
        <f t="shared" si="3"/>
        <v>7.1097094323124171E-10</v>
      </c>
      <c r="U60" s="91">
        <f>($C$7*$F$14*$F$8*$E60/$D60^2*T60*10^6)</f>
        <v>1.5799354294027593E-4</v>
      </c>
      <c r="V60" s="91">
        <f>IF($F60=0,0,1+($F60-$G$21)/$G$22)+$G60/$G$23+$H60/$G$24+$I60/$G$25</f>
        <v>6.9444444444444446</v>
      </c>
      <c r="W60" s="97">
        <f t="shared" si="4"/>
        <v>1.136463666385722E-7</v>
      </c>
      <c r="X60" s="76">
        <f>($C$7*$G$14*$G$8*$E60/$D60^2*W60*10^6)</f>
        <v>2.5254748141904933E-2</v>
      </c>
      <c r="Y60" s="324">
        <f>SUM(L60,O60,R60,U60,X60)</f>
        <v>0.46273676628592059</v>
      </c>
      <c r="Z60" s="325"/>
      <c r="AA60" s="326"/>
      <c r="AG60" s="328"/>
      <c r="AI60" s="328"/>
      <c r="AJ60" s="328"/>
      <c r="AK60" s="328"/>
      <c r="AL60" s="328"/>
      <c r="AP60" s="222"/>
      <c r="AQ60" s="211"/>
      <c r="AR60" s="222"/>
      <c r="AS60" s="222"/>
      <c r="AT60" s="225"/>
      <c r="AU60" s="225"/>
      <c r="AV60" s="225"/>
      <c r="AW60" s="225"/>
      <c r="AX60" s="225"/>
      <c r="AY60" s="300"/>
      <c r="AZ60" s="300"/>
    </row>
    <row r="61" spans="1:52" s="212" customFormat="1" ht="30" customHeight="1" thickBot="1" x14ac:dyDescent="0.3">
      <c r="A61" s="343" t="str">
        <f>Samenvatting!A97</f>
        <v>B8</v>
      </c>
      <c r="B61" s="338" t="str">
        <f>Samenvatting!B97</f>
        <v>bedieningsruimte Linac 8</v>
      </c>
      <c r="C61" s="331" t="s">
        <v>568</v>
      </c>
      <c r="D61" s="1836">
        <v>5</v>
      </c>
      <c r="E61" s="89"/>
      <c r="F61" s="1834">
        <v>250</v>
      </c>
      <c r="G61" s="1834">
        <v>0</v>
      </c>
      <c r="H61" s="1834">
        <v>0</v>
      </c>
      <c r="I61" s="1835">
        <v>0</v>
      </c>
      <c r="J61" s="91">
        <f>$F61/$C$27+$G61/$C$28+$H61/$C$29+$I61/$C$30</f>
        <v>7.3529411764705879</v>
      </c>
      <c r="K61" s="97">
        <f t="shared" si="0"/>
        <v>4.4366873309786093E-8</v>
      </c>
      <c r="L61" s="91">
        <f>($C$7*$C$15*$C$8*($C$9+$C$10*$C$11)/$D61^2*K61*10^6)</f>
        <v>1.0648049594348663E-3</v>
      </c>
      <c r="M61" s="91">
        <f>$F61/$D$27+$G61/$D$28+$H61/$D$29+$I61/$D$30</f>
        <v>6.5789473684210522</v>
      </c>
      <c r="N61" s="97">
        <f t="shared" si="1"/>
        <v>2.636650898730358E-7</v>
      </c>
      <c r="O61" s="91">
        <f>($C$7*$C$15*$D$8*($D$9+$D$10*$D$11)/$D61^2*N61*10^6)</f>
        <v>6.3279621569528599E-3</v>
      </c>
      <c r="P61" s="91">
        <f>$F61/$E$27+$G61/$E$28+$H61/$E$29+$I61/$E$30</f>
        <v>5.6818181818181817</v>
      </c>
      <c r="Q61" s="97">
        <f t="shared" si="2"/>
        <v>2.0805675382171676E-6</v>
      </c>
      <c r="R61" s="91">
        <f>($C$7*$C$15*$E$8*($E$9+$E$10*$E$11)/$D61^2*Q61*10^6)</f>
        <v>4.9933620917212027E-2</v>
      </c>
      <c r="S61" s="91">
        <f>$F61/$F$27+$G61/$F$28+$H61/$F$29+$I61/$F$30</f>
        <v>8.1967213114754092</v>
      </c>
      <c r="T61" s="97">
        <f t="shared" si="3"/>
        <v>6.3573875711648393E-9</v>
      </c>
      <c r="U61" s="91">
        <f>($C$7*$C$15*$F$8*($F$9+$F$10*$F$11)/$D61^2*T61*10^6)</f>
        <v>1.5257730170795616E-4</v>
      </c>
      <c r="V61" s="91">
        <f>$F61/$G$27+$G61/$G$28+$H61/$G$29+$I61/$G$30</f>
        <v>7.0224719101123592</v>
      </c>
      <c r="W61" s="97">
        <f t="shared" si="4"/>
        <v>9.4957241494880226E-8</v>
      </c>
      <c r="X61" s="76">
        <f>($C$7*$C$15*$G$8*($G$9+$G$10*$G$11)/$D61^2*W61*10^6)</f>
        <v>2.278973795877126E-3</v>
      </c>
      <c r="Y61" s="339">
        <f>SUM(L61,O61,R61,U61,X61)</f>
        <v>5.9757939131184837E-2</v>
      </c>
      <c r="Z61" s="333">
        <f>SUM(Y59:Y62)</f>
        <v>0.52249470541710541</v>
      </c>
      <c r="AA61" s="334">
        <f>Z61*52/10^3</f>
        <v>2.7169724681689482E-2</v>
      </c>
      <c r="AG61" s="328"/>
      <c r="AH61" s="328"/>
      <c r="AI61" s="328"/>
      <c r="AJ61" s="328"/>
      <c r="AK61" s="328"/>
      <c r="AL61" s="328"/>
      <c r="AP61" s="222"/>
      <c r="AQ61" s="211"/>
      <c r="AR61" s="222"/>
      <c r="AS61" s="222"/>
      <c r="AT61" s="225"/>
      <c r="AU61" s="225"/>
      <c r="AV61" s="225"/>
      <c r="AW61" s="225"/>
      <c r="AX61" s="225"/>
      <c r="AY61" s="300"/>
      <c r="AZ61" s="300"/>
    </row>
    <row r="62" spans="1:52" s="212" customFormat="1" ht="30" hidden="1" customHeight="1" thickBot="1" x14ac:dyDescent="0.3">
      <c r="A62" s="317"/>
      <c r="B62" s="317"/>
      <c r="C62" s="318"/>
      <c r="D62" s="1838"/>
      <c r="E62" s="1839"/>
      <c r="F62" s="1839"/>
      <c r="G62" s="1839"/>
      <c r="H62" s="1839"/>
      <c r="I62" s="1839"/>
      <c r="J62" s="91"/>
      <c r="K62" s="97"/>
      <c r="L62" s="91"/>
      <c r="M62" s="91"/>
      <c r="N62" s="97"/>
      <c r="O62" s="91"/>
      <c r="P62" s="91"/>
      <c r="Q62" s="97"/>
      <c r="R62" s="91"/>
      <c r="S62" s="91"/>
      <c r="T62" s="97"/>
      <c r="U62" s="91"/>
      <c r="V62" s="91"/>
      <c r="W62" s="97"/>
      <c r="X62" s="76"/>
      <c r="Y62" s="316"/>
      <c r="Z62" s="344"/>
      <c r="AA62" s="345"/>
      <c r="AG62" s="328"/>
      <c r="AH62" s="328"/>
      <c r="AI62" s="328"/>
      <c r="AJ62" s="328"/>
      <c r="AK62" s="328"/>
      <c r="AL62" s="328"/>
      <c r="AP62" s="222"/>
      <c r="AQ62" s="211"/>
      <c r="AR62" s="222"/>
      <c r="AS62" s="222"/>
      <c r="AT62" s="225"/>
      <c r="AU62" s="225"/>
      <c r="AV62" s="225"/>
      <c r="AW62" s="225"/>
      <c r="AX62" s="225"/>
      <c r="AY62" s="300"/>
      <c r="AZ62" s="300"/>
    </row>
    <row r="63" spans="1:52" s="212" customFormat="1" ht="30" customHeight="1" x14ac:dyDescent="0.25">
      <c r="A63" s="322"/>
      <c r="B63" s="322"/>
      <c r="C63" s="323" t="s">
        <v>569</v>
      </c>
      <c r="D63" s="1840">
        <v>6</v>
      </c>
      <c r="E63" s="1840">
        <v>1</v>
      </c>
      <c r="F63" s="1834">
        <v>250</v>
      </c>
      <c r="G63" s="1834">
        <v>0</v>
      </c>
      <c r="H63" s="1834">
        <v>0</v>
      </c>
      <c r="I63" s="1835">
        <v>0</v>
      </c>
      <c r="J63" s="91">
        <f>IF($F63=0,0,1+($F63-$C$21)/$C$22)+$G63/$C$23+$H63/$C$24+$I63/$C$25</f>
        <v>7.4545454545454541</v>
      </c>
      <c r="K63" s="97">
        <f t="shared" si="0"/>
        <v>3.5111917342151263E-8</v>
      </c>
      <c r="L63" s="91">
        <f>($C$7*$C$14*$C$8*$E63/$D63^2*K63*10^6)</f>
        <v>7.8026482982558355E-3</v>
      </c>
      <c r="M63" s="91">
        <f>IF($F63=0,0,1+($F63-$D$21)/$D$22)+$G63/$D$23+$H63/$D$24+$I63/$D$25</f>
        <v>6.6486486486486482</v>
      </c>
      <c r="N63" s="97">
        <f t="shared" si="1"/>
        <v>2.2456979955397711E-7</v>
      </c>
      <c r="O63" s="91">
        <f>($C$7*$D$14*$D$8*$E63/$D63^2*N63*10^6)</f>
        <v>4.99043999008838E-2</v>
      </c>
      <c r="P63" s="91">
        <f>IF($F63=0,0,1+($F63-$E$21)/$E$22)+$G63/$E$23+$H63/$E$24+$I63/$E$25</f>
        <v>5.7674418604651159</v>
      </c>
      <c r="Q63" s="97">
        <f t="shared" si="2"/>
        <v>1.7082763938087111E-6</v>
      </c>
      <c r="R63" s="91">
        <f>($C$7*$E$14*$E$8*$E63/$D63^2*Q63*10^6)</f>
        <v>0.37961697640193576</v>
      </c>
      <c r="S63" s="91">
        <f>IF($F63=0,0,1+($F63-$F$21)/$F$22)+$G63/$F$23+$H63/$F$24+$I63/$F$25</f>
        <v>9.1481481481481488</v>
      </c>
      <c r="T63" s="97">
        <f t="shared" si="3"/>
        <v>7.1097094323124171E-10</v>
      </c>
      <c r="U63" s="91">
        <f>($C$7*$F$14*$F$8*$E63/$D63^2*T63*10^6)</f>
        <v>1.5799354294027593E-4</v>
      </c>
      <c r="V63" s="91">
        <f>IF($F63=0,0,1+($F63-$G$21)/$G$22)+$G63/$G$23+$H63/$G$24+$I63/$G$25</f>
        <v>6.9444444444444446</v>
      </c>
      <c r="W63" s="97">
        <f t="shared" si="4"/>
        <v>1.136463666385722E-7</v>
      </c>
      <c r="X63" s="76">
        <f>($C$7*$G$14*$G$8*$E63/$D63^2*W63*10^6)</f>
        <v>2.5254748141904933E-2</v>
      </c>
      <c r="Y63" s="324">
        <f>SUM(L63,O63,R63,U63,X63)</f>
        <v>0.46273676628592059</v>
      </c>
      <c r="Z63" s="325"/>
      <c r="AA63" s="326"/>
      <c r="AG63" s="328"/>
      <c r="AI63" s="328"/>
      <c r="AJ63" s="328"/>
      <c r="AK63" s="328"/>
      <c r="AL63" s="328"/>
      <c r="AP63" s="222"/>
      <c r="AQ63" s="211"/>
      <c r="AR63" s="222"/>
      <c r="AS63" s="222"/>
      <c r="AT63" s="225"/>
      <c r="AU63" s="225"/>
      <c r="AV63" s="225"/>
      <c r="AW63" s="225"/>
      <c r="AX63" s="225"/>
      <c r="AY63" s="300"/>
      <c r="AZ63" s="300"/>
    </row>
    <row r="64" spans="1:52" s="212" customFormat="1" ht="30" customHeight="1" thickBot="1" x14ac:dyDescent="0.3">
      <c r="A64" s="343" t="str">
        <f>Samenvatting!A109</f>
        <v>B9</v>
      </c>
      <c r="B64" s="338" t="str">
        <f>Samenvatting!B109</f>
        <v>bedieningsruimte Linac 9</v>
      </c>
      <c r="C64" s="331" t="s">
        <v>568</v>
      </c>
      <c r="D64" s="1843">
        <v>5</v>
      </c>
      <c r="E64" s="347"/>
      <c r="F64" s="1834">
        <v>250</v>
      </c>
      <c r="G64" s="1834">
        <v>0</v>
      </c>
      <c r="H64" s="1834">
        <v>0</v>
      </c>
      <c r="I64" s="1835">
        <v>0</v>
      </c>
      <c r="J64" s="91">
        <f>$F64/$C$27+$G64/$C$28+$H64/$C$29+$I64/$C$30</f>
        <v>7.3529411764705879</v>
      </c>
      <c r="K64" s="97">
        <f t="shared" si="0"/>
        <v>4.4366873309786093E-8</v>
      </c>
      <c r="L64" s="91">
        <f>($C$7*$C$15*$C$8*($C$9+$C$10*$C$11)/$D64^2*K64*10^6)</f>
        <v>1.0648049594348663E-3</v>
      </c>
      <c r="M64" s="91">
        <f>$F64/$D$27+$G64/$D$28+$H64/$D$29+$I64/$D$30</f>
        <v>6.5789473684210522</v>
      </c>
      <c r="N64" s="97">
        <f t="shared" si="1"/>
        <v>2.636650898730358E-7</v>
      </c>
      <c r="O64" s="91">
        <f>($C$7*$C$15*$D$8*($D$9+$D$10*$D$11)/$D64^2*N64*10^6)</f>
        <v>6.3279621569528599E-3</v>
      </c>
      <c r="P64" s="91">
        <f>$F64/$E$27+$G64/$E$28+$H64/$E$29+$I64/$E$30</f>
        <v>5.6818181818181817</v>
      </c>
      <c r="Q64" s="97">
        <f t="shared" si="2"/>
        <v>2.0805675382171676E-6</v>
      </c>
      <c r="R64" s="91">
        <f>($C$7*$C$15*$E$8*($E$9+$E$10*$E$11)/$D64^2*Q64*10^6)</f>
        <v>4.9933620917212027E-2</v>
      </c>
      <c r="S64" s="91">
        <f>$F64/$F$27+$G64/$F$28+$H64/$F$29+$I64/$F$30</f>
        <v>8.1967213114754092</v>
      </c>
      <c r="T64" s="97">
        <f t="shared" si="3"/>
        <v>6.3573875711648393E-9</v>
      </c>
      <c r="U64" s="91">
        <f>($C$7*$C$15*$F$8*($F$9+$F$10*$F$11)/$D64^2*T64*10^6)</f>
        <v>1.5257730170795616E-4</v>
      </c>
      <c r="V64" s="91">
        <f>$F64/$G$27+$G64/$G$28+$H64/$G$29+$I64/$G$30</f>
        <v>7.0224719101123592</v>
      </c>
      <c r="W64" s="97">
        <f t="shared" si="4"/>
        <v>9.4957241494880226E-8</v>
      </c>
      <c r="X64" s="76">
        <f>($C$7*$C$15*$G$8*($G$9+$G$10*$G$11)/$D64^2*W64*10^6)</f>
        <v>2.278973795877126E-3</v>
      </c>
      <c r="Y64" s="339">
        <f>SUM(L64,O64,R64,U64,X64)</f>
        <v>5.9757939131184837E-2</v>
      </c>
      <c r="Z64" s="333">
        <f>SUM(Y62:Y65)</f>
        <v>0.52249470541710541</v>
      </c>
      <c r="AA64" s="334">
        <f>Z64*52/10^3</f>
        <v>2.7169724681689482E-2</v>
      </c>
      <c r="AG64" s="328"/>
      <c r="AH64" s="328"/>
      <c r="AI64" s="328"/>
      <c r="AJ64" s="328"/>
      <c r="AK64" s="328"/>
      <c r="AL64" s="328"/>
      <c r="AP64" s="222"/>
      <c r="AQ64" s="211"/>
      <c r="AR64" s="222"/>
      <c r="AS64" s="222"/>
      <c r="AT64" s="225"/>
      <c r="AU64" s="225"/>
      <c r="AV64" s="225"/>
      <c r="AW64" s="225"/>
      <c r="AX64" s="225"/>
      <c r="AY64" s="300"/>
      <c r="AZ64" s="300"/>
    </row>
    <row r="65" spans="1:52" s="212" customFormat="1" ht="30" hidden="1" customHeight="1" thickBot="1" x14ac:dyDescent="0.3">
      <c r="A65" s="317"/>
      <c r="B65" s="317"/>
      <c r="C65" s="318"/>
      <c r="D65" s="1838"/>
      <c r="E65" s="1839"/>
      <c r="F65" s="1839"/>
      <c r="G65" s="1839"/>
      <c r="H65" s="1839"/>
      <c r="I65" s="1839"/>
      <c r="J65" s="91"/>
      <c r="K65" s="97"/>
      <c r="L65" s="91"/>
      <c r="M65" s="91"/>
      <c r="N65" s="97"/>
      <c r="O65" s="91"/>
      <c r="P65" s="91"/>
      <c r="Q65" s="97"/>
      <c r="R65" s="91"/>
      <c r="S65" s="91"/>
      <c r="T65" s="97"/>
      <c r="U65" s="91"/>
      <c r="V65" s="91"/>
      <c r="W65" s="97"/>
      <c r="X65" s="76"/>
      <c r="Y65" s="316"/>
      <c r="Z65" s="344"/>
      <c r="AA65" s="345"/>
      <c r="AG65" s="328"/>
      <c r="AH65" s="328"/>
      <c r="AI65" s="328"/>
      <c r="AJ65" s="328"/>
      <c r="AK65" s="328"/>
      <c r="AL65" s="328"/>
      <c r="AP65" s="222"/>
      <c r="AQ65" s="211"/>
      <c r="AR65" s="222"/>
      <c r="AS65" s="222"/>
      <c r="AT65" s="225"/>
      <c r="AU65" s="225"/>
      <c r="AV65" s="225"/>
      <c r="AW65" s="225"/>
      <c r="AX65" s="225"/>
      <c r="AY65" s="300"/>
      <c r="AZ65" s="300"/>
    </row>
    <row r="66" spans="1:52" s="212" customFormat="1" ht="30" customHeight="1" x14ac:dyDescent="0.25">
      <c r="A66" s="322"/>
      <c r="B66" s="322"/>
      <c r="C66" s="323" t="s">
        <v>569</v>
      </c>
      <c r="D66" s="1840">
        <v>6</v>
      </c>
      <c r="E66" s="1840">
        <v>1</v>
      </c>
      <c r="F66" s="1834">
        <v>250</v>
      </c>
      <c r="G66" s="1834">
        <v>0</v>
      </c>
      <c r="H66" s="1834">
        <v>0</v>
      </c>
      <c r="I66" s="1835">
        <v>0</v>
      </c>
      <c r="J66" s="91">
        <f>IF($F66=0,0,1+($F66-$C$21)/$C$22)+$G66/$C$23+$H66/$C$24+$I66/$C$25</f>
        <v>7.4545454545454541</v>
      </c>
      <c r="K66" s="97">
        <f t="shared" si="0"/>
        <v>3.5111917342151263E-8</v>
      </c>
      <c r="L66" s="91">
        <f>($C$7*$C$14*$C$8*$E66/$D66^2*K66*10^6)</f>
        <v>7.8026482982558355E-3</v>
      </c>
      <c r="M66" s="91">
        <f>IF($F66=0,0,1+($F66-$D$21)/$D$22)+$G66/$D$23+$H66/$D$24+$I66/$D$25</f>
        <v>6.6486486486486482</v>
      </c>
      <c r="N66" s="97">
        <f t="shared" si="1"/>
        <v>2.2456979955397711E-7</v>
      </c>
      <c r="O66" s="91">
        <f>($C$7*$D$14*$D$8*$E66/$D66^2*N66*10^6)</f>
        <v>4.99043999008838E-2</v>
      </c>
      <c r="P66" s="91">
        <f>IF($F66=0,0,1+($F66-$E$21)/$E$22)+$G66/$E$23+$H66/$E$24+$I66/$E$25</f>
        <v>5.7674418604651159</v>
      </c>
      <c r="Q66" s="97">
        <f t="shared" si="2"/>
        <v>1.7082763938087111E-6</v>
      </c>
      <c r="R66" s="91">
        <f>($C$7*$E$14*$E$8*$E66/$D66^2*Q66*10^6)</f>
        <v>0.37961697640193576</v>
      </c>
      <c r="S66" s="91">
        <f>IF($F66=0,0,1+($F66-$F$21)/$F$22)+$G66/$F$23+$H66/$F$24+$I66/$F$25</f>
        <v>9.1481481481481488</v>
      </c>
      <c r="T66" s="97">
        <f t="shared" si="3"/>
        <v>7.1097094323124171E-10</v>
      </c>
      <c r="U66" s="91">
        <f>($C$7*$F$14*$F$8*$E66/$D66^2*T66*10^6)</f>
        <v>1.5799354294027593E-4</v>
      </c>
      <c r="V66" s="91">
        <f>IF($F66=0,0,1+($F66-$G$21)/$G$22)+$G66/$G$23+$H66/$G$24+$I66/$G$25</f>
        <v>6.9444444444444446</v>
      </c>
      <c r="W66" s="97">
        <f t="shared" si="4"/>
        <v>1.136463666385722E-7</v>
      </c>
      <c r="X66" s="76">
        <f>($C$7*$G$14*$G$8*$E66/$D66^2*W66*10^6)</f>
        <v>2.5254748141904933E-2</v>
      </c>
      <c r="Y66" s="324">
        <f>SUM(L66,O66,R66,U66,X66)</f>
        <v>0.46273676628592059</v>
      </c>
      <c r="Z66" s="325"/>
      <c r="AA66" s="326"/>
      <c r="AG66" s="328"/>
      <c r="AI66" s="328"/>
      <c r="AJ66" s="328"/>
      <c r="AK66" s="328"/>
      <c r="AL66" s="328"/>
      <c r="AP66" s="222"/>
      <c r="AQ66" s="211"/>
      <c r="AR66" s="222"/>
      <c r="AS66" s="222"/>
      <c r="AT66" s="225"/>
      <c r="AU66" s="225"/>
      <c r="AV66" s="225"/>
      <c r="AW66" s="225"/>
      <c r="AX66" s="225"/>
      <c r="AY66" s="300"/>
      <c r="AZ66" s="300"/>
    </row>
    <row r="67" spans="1:52" s="212" customFormat="1" ht="30" customHeight="1" thickBot="1" x14ac:dyDescent="0.3">
      <c r="A67" s="343" t="str">
        <f>Samenvatting!A121</f>
        <v>B10</v>
      </c>
      <c r="B67" s="656" t="str">
        <f>Samenvatting!B121</f>
        <v>bedieningsruimte Linac 10</v>
      </c>
      <c r="C67" s="331" t="s">
        <v>568</v>
      </c>
      <c r="D67" s="1836">
        <v>5</v>
      </c>
      <c r="E67" s="89"/>
      <c r="F67" s="1834">
        <v>250</v>
      </c>
      <c r="G67" s="1834">
        <v>0</v>
      </c>
      <c r="H67" s="1834">
        <v>0</v>
      </c>
      <c r="I67" s="1835">
        <v>0</v>
      </c>
      <c r="J67" s="91">
        <f>$F67/$C$27+$G67/$C$28+$H67/$C$29+$I67/$C$30</f>
        <v>7.3529411764705879</v>
      </c>
      <c r="K67" s="97">
        <f t="shared" si="0"/>
        <v>4.4366873309786093E-8</v>
      </c>
      <c r="L67" s="91">
        <f>($C$7*$C$15*$C$8*($C$9+$C$10*$C$11)/$D67^2*K67*10^6)</f>
        <v>1.0648049594348663E-3</v>
      </c>
      <c r="M67" s="91">
        <f>$F67/$D$27+$G67/$D$28+$H67/$D$29+$I67/$D$30</f>
        <v>6.5789473684210522</v>
      </c>
      <c r="N67" s="97">
        <f t="shared" si="1"/>
        <v>2.636650898730358E-7</v>
      </c>
      <c r="O67" s="91">
        <f>($C$7*$C$15*$D$8*($D$9+$D$10*$D$11)/$D67^2*N67*10^6)</f>
        <v>6.3279621569528599E-3</v>
      </c>
      <c r="P67" s="91">
        <f>$F67/$E$27+$G67/$E$28+$H67/$E$29+$I67/$E$30</f>
        <v>5.6818181818181817</v>
      </c>
      <c r="Q67" s="97">
        <f t="shared" si="2"/>
        <v>2.0805675382171676E-6</v>
      </c>
      <c r="R67" s="91">
        <f>($C$7*$C$15*$E$8*($E$9+$E$10*$E$11)/$D67^2*Q67*10^6)</f>
        <v>4.9933620917212027E-2</v>
      </c>
      <c r="S67" s="91">
        <f>$F67/$F$27+$G67/$F$28+$H67/$F$29+$I67/$F$30</f>
        <v>8.1967213114754092</v>
      </c>
      <c r="T67" s="97">
        <f t="shared" si="3"/>
        <v>6.3573875711648393E-9</v>
      </c>
      <c r="U67" s="91">
        <f>($C$7*$C$15*$F$8*($F$9+$F$10*$F$11)/$D67^2*T67*10^6)</f>
        <v>1.5257730170795616E-4</v>
      </c>
      <c r="V67" s="91">
        <f>$F67/$G$27+$G67/$G$28+$H67/$G$29+$I67/$G$30</f>
        <v>7.0224719101123592</v>
      </c>
      <c r="W67" s="97">
        <f t="shared" si="4"/>
        <v>9.4957241494880226E-8</v>
      </c>
      <c r="X67" s="76">
        <f>($C$7*$C$15*$G$8*($G$9+$G$10*$G$11)/$D67^2*W67*10^6)</f>
        <v>2.278973795877126E-3</v>
      </c>
      <c r="Y67" s="339">
        <f>SUM(L67,O67,R67,U67,X67)</f>
        <v>5.9757939131184837E-2</v>
      </c>
      <c r="Z67" s="333">
        <f>SUM(Y65:Y68)</f>
        <v>0.52249470541710541</v>
      </c>
      <c r="AA67" s="334">
        <f>Z67*52/10^3</f>
        <v>2.7169724681689482E-2</v>
      </c>
      <c r="AG67" s="328"/>
      <c r="AH67" s="328"/>
      <c r="AI67" s="328"/>
      <c r="AJ67" s="328"/>
      <c r="AK67" s="328"/>
      <c r="AL67" s="328"/>
      <c r="AP67" s="222"/>
      <c r="AQ67" s="211"/>
      <c r="AR67" s="222"/>
      <c r="AS67" s="222"/>
      <c r="AT67" s="225"/>
      <c r="AU67" s="225"/>
      <c r="AV67" s="225"/>
      <c r="AW67" s="225"/>
      <c r="AX67" s="225"/>
      <c r="AY67" s="300"/>
      <c r="AZ67" s="300"/>
    </row>
    <row r="68" spans="1:52" s="212" customFormat="1" ht="30" hidden="1" customHeight="1" thickBot="1" x14ac:dyDescent="0.3">
      <c r="A68" s="312"/>
      <c r="B68" s="450"/>
      <c r="C68" s="318"/>
      <c r="D68" s="58"/>
      <c r="E68" s="58"/>
      <c r="F68" s="58"/>
      <c r="G68" s="58"/>
      <c r="H68" s="58"/>
      <c r="I68" s="58"/>
      <c r="J68" s="91"/>
      <c r="K68" s="97"/>
      <c r="L68" s="91"/>
      <c r="M68" s="91"/>
      <c r="N68" s="97"/>
      <c r="O68" s="91"/>
      <c r="P68" s="91"/>
      <c r="Q68" s="97"/>
      <c r="R68" s="91"/>
      <c r="S68" s="91"/>
      <c r="T68" s="97"/>
      <c r="U68" s="91"/>
      <c r="V68" s="91"/>
      <c r="W68" s="97"/>
      <c r="X68" s="76"/>
      <c r="Y68" s="335"/>
      <c r="Z68" s="344"/>
      <c r="AA68" s="345"/>
      <c r="AG68" s="328"/>
      <c r="AH68" s="328"/>
      <c r="AI68" s="328"/>
      <c r="AJ68" s="328"/>
      <c r="AK68" s="328"/>
      <c r="AL68" s="328"/>
      <c r="AP68" s="222"/>
      <c r="AQ68" s="211"/>
      <c r="AR68" s="222"/>
      <c r="AS68" s="222"/>
      <c r="AT68" s="225"/>
      <c r="AU68" s="225"/>
      <c r="AV68" s="225"/>
      <c r="AW68" s="225"/>
      <c r="AX68" s="225"/>
      <c r="AY68" s="300"/>
      <c r="AZ68" s="300"/>
    </row>
    <row r="69" spans="1:52" s="212" customFormat="1" ht="30" customHeight="1" x14ac:dyDescent="0.25">
      <c r="A69" s="322"/>
      <c r="B69" s="322"/>
      <c r="C69" s="323" t="s">
        <v>569</v>
      </c>
      <c r="D69" s="1859">
        <v>6</v>
      </c>
      <c r="E69" s="1859">
        <v>1</v>
      </c>
      <c r="F69" s="1859">
        <v>250</v>
      </c>
      <c r="G69" s="1859">
        <v>0</v>
      </c>
      <c r="H69" s="1859">
        <v>0</v>
      </c>
      <c r="I69" s="1859">
        <v>0</v>
      </c>
      <c r="J69" s="91">
        <f>IF($F69=0,0,1+($F69-$C$21)/$C$22)+$G69/$C$23+$H69/$C$24+$I69/$C$25</f>
        <v>7.4545454545454541</v>
      </c>
      <c r="K69" s="97">
        <f t="shared" si="0"/>
        <v>3.5111917342151263E-8</v>
      </c>
      <c r="L69" s="91">
        <f>($C$7*$C$14*$C$8*$E69/$D69^2*K69*10^6)</f>
        <v>7.8026482982558355E-3</v>
      </c>
      <c r="M69" s="91">
        <f>IF($F69=0,0,1+($F69-$D$21)/$D$22)+$G69/$D$23+$H69/$D$24+$I69/$D$25</f>
        <v>6.6486486486486482</v>
      </c>
      <c r="N69" s="97">
        <f t="shared" si="1"/>
        <v>2.2456979955397711E-7</v>
      </c>
      <c r="O69" s="91">
        <f>($C$7*$D$14*$D$8*$E69/$D69^2*N69*10^6)</f>
        <v>4.99043999008838E-2</v>
      </c>
      <c r="P69" s="91">
        <f>IF($F69=0,0,1+($F69-$E$21)/$E$22)+$G69/$E$23+$H69/$E$24+$I69/$E$25</f>
        <v>5.7674418604651159</v>
      </c>
      <c r="Q69" s="97">
        <f t="shared" si="2"/>
        <v>1.7082763938087111E-6</v>
      </c>
      <c r="R69" s="91">
        <f>($C$7*$D$14*$E$8*$E69/$D69^2*Q69*10^6)</f>
        <v>0.37961697640193576</v>
      </c>
      <c r="S69" s="91">
        <f>IF($F69=0,0,1+($F69-$F$21)/$F$22)+$G69/$F$23+$H69/$F$24+$I69/$F$25</f>
        <v>9.1481481481481488</v>
      </c>
      <c r="T69" s="97">
        <f t="shared" si="3"/>
        <v>7.1097094323124171E-10</v>
      </c>
      <c r="U69" s="91">
        <f>($C$7*$F$14*$F$8*$E69/$D69^2*T69*10^6)</f>
        <v>1.5799354294027593E-4</v>
      </c>
      <c r="V69" s="91">
        <f>IF($F69=0,0,1+($F69-$G$21)/$G$22)+$G69/$G$23+$H69/$G$24+$I69/$G$25</f>
        <v>6.9444444444444446</v>
      </c>
      <c r="W69" s="97">
        <f t="shared" si="4"/>
        <v>1.136463666385722E-7</v>
      </c>
      <c r="X69" s="76">
        <f>($C$7*$G$14*$G$8*$E69/$D69^2*W69*10^6)</f>
        <v>2.5254748141904933E-2</v>
      </c>
      <c r="Y69" s="324">
        <f>SUM(L69,O69,R69,U69,X69)</f>
        <v>0.46273676628592059</v>
      </c>
      <c r="Z69" s="325"/>
      <c r="AA69" s="350"/>
      <c r="AG69" s="328"/>
      <c r="AI69" s="328"/>
      <c r="AJ69" s="328"/>
      <c r="AK69" s="328"/>
      <c r="AL69" s="328"/>
      <c r="AP69" s="222"/>
      <c r="AQ69" s="211"/>
      <c r="AR69" s="222"/>
      <c r="AS69" s="222"/>
      <c r="AT69" s="225"/>
      <c r="AU69" s="225"/>
      <c r="AV69" s="225"/>
      <c r="AW69" s="225"/>
      <c r="AX69" s="225"/>
      <c r="AY69" s="300"/>
      <c r="AZ69" s="300"/>
    </row>
    <row r="70" spans="1:52" s="212" customFormat="1" ht="30" customHeight="1" thickBot="1" x14ac:dyDescent="0.3">
      <c r="A70" s="329" t="str">
        <f>Samenvatting!A123</f>
        <v>L1</v>
      </c>
      <c r="B70" s="656" t="str">
        <f>Samenvatting!B123</f>
        <v>ingang labyrint linac 1</v>
      </c>
      <c r="C70" s="331" t="s">
        <v>568</v>
      </c>
      <c r="D70" s="1859">
        <v>5</v>
      </c>
      <c r="E70" s="58"/>
      <c r="F70" s="1859">
        <v>250</v>
      </c>
      <c r="G70" s="1859">
        <v>0</v>
      </c>
      <c r="H70" s="1859">
        <v>0</v>
      </c>
      <c r="I70" s="1859">
        <v>0</v>
      </c>
      <c r="J70" s="91">
        <f>$F70/$C$27+$G70/$C$28+$H70/$C$29+$I70/$C$30</f>
        <v>7.3529411764705879</v>
      </c>
      <c r="K70" s="97">
        <f t="shared" si="0"/>
        <v>4.4366873309786093E-8</v>
      </c>
      <c r="L70" s="91">
        <f>($C$7*$C$15*$C$8*($C$9+$C$10*$C$11)/$D70^2*K70*10^6)</f>
        <v>1.0648049594348663E-3</v>
      </c>
      <c r="M70" s="91">
        <f>$F70/$D$27+$G70/$D$28+$H70/$D$29+$I70/$D$30</f>
        <v>6.5789473684210522</v>
      </c>
      <c r="N70" s="97">
        <f t="shared" si="1"/>
        <v>2.636650898730358E-7</v>
      </c>
      <c r="O70" s="91">
        <f>($C$7*$C$15*$D$8*($D$9+$D$10*$D$11)/$D70^2*N70*10^6)</f>
        <v>6.3279621569528599E-3</v>
      </c>
      <c r="P70" s="91">
        <f>$F70/$E$27+$G70/$E$28+$H70/$E$29+$I70/$E$30</f>
        <v>5.6818181818181817</v>
      </c>
      <c r="Q70" s="97">
        <f t="shared" si="2"/>
        <v>2.0805675382171676E-6</v>
      </c>
      <c r="R70" s="91">
        <f>($C$7*$C$15*$E$8*($E$9+$E$10*$E$11)/$D70^2*Q70*10^6)</f>
        <v>4.9933620917212027E-2</v>
      </c>
      <c r="S70" s="91">
        <f>$F70/$F$27+$G70/$F$28+$H70/$F$29+$I70/$F$30</f>
        <v>8.1967213114754092</v>
      </c>
      <c r="T70" s="97">
        <f t="shared" si="3"/>
        <v>6.3573875711648393E-9</v>
      </c>
      <c r="U70" s="91">
        <f>($C$7*$C$15*$F$8*($F$9+$F$10*$F$11)/$D70^2*T70*10^6)</f>
        <v>1.5257730170795616E-4</v>
      </c>
      <c r="V70" s="91">
        <f>$F70/$G$27+$G70/$G$28+$H70/$G$29+$I70/$G$30</f>
        <v>7.0224719101123592</v>
      </c>
      <c r="W70" s="97">
        <f t="shared" si="4"/>
        <v>9.4957241494880226E-8</v>
      </c>
      <c r="X70" s="76">
        <f>($C$7*$C$15*$G$8*($G$9+$G$10*$G$11)/$D70^2*W70*10^6)</f>
        <v>2.278973795877126E-3</v>
      </c>
      <c r="Y70" s="339">
        <f>SUM(L70,O70,R70,U70,X70)</f>
        <v>5.9757939131184837E-2</v>
      </c>
      <c r="Z70" s="363">
        <f>SUM(Y68:Y71)</f>
        <v>0.52249470541710541</v>
      </c>
      <c r="AA70" s="334">
        <f>Z70*52/10^3</f>
        <v>2.7169724681689482E-2</v>
      </c>
      <c r="AG70" s="328"/>
      <c r="AH70" s="328"/>
      <c r="AI70" s="328"/>
      <c r="AJ70" s="328"/>
      <c r="AK70" s="328"/>
      <c r="AL70" s="328"/>
      <c r="AP70" s="222"/>
      <c r="AQ70" s="211"/>
      <c r="AR70" s="222"/>
      <c r="AS70" s="222"/>
      <c r="AT70" s="225"/>
      <c r="AU70" s="225"/>
      <c r="AV70" s="225"/>
      <c r="AW70" s="225"/>
      <c r="AX70" s="225"/>
      <c r="AY70" s="300"/>
      <c r="AZ70" s="300"/>
    </row>
    <row r="71" spans="1:52" s="212" customFormat="1" ht="30" hidden="1" customHeight="1" thickBot="1" x14ac:dyDescent="0.3">
      <c r="A71" s="317"/>
      <c r="B71" s="317"/>
      <c r="C71" s="318"/>
      <c r="D71" s="1871"/>
      <c r="E71" s="1871"/>
      <c r="F71" s="1871"/>
      <c r="G71" s="1871"/>
      <c r="H71" s="1871"/>
      <c r="I71" s="1871"/>
      <c r="J71" s="91"/>
      <c r="K71" s="97"/>
      <c r="L71" s="91"/>
      <c r="M71" s="91"/>
      <c r="N71" s="97"/>
      <c r="O71" s="91"/>
      <c r="P71" s="91"/>
      <c r="Q71" s="97"/>
      <c r="R71" s="91"/>
      <c r="S71" s="91"/>
      <c r="T71" s="97"/>
      <c r="U71" s="91"/>
      <c r="V71" s="91"/>
      <c r="W71" s="97"/>
      <c r="X71" s="76"/>
      <c r="Y71" s="577"/>
      <c r="Z71" s="659"/>
      <c r="AA71" s="660"/>
      <c r="AG71" s="328"/>
      <c r="AH71" s="328"/>
      <c r="AI71" s="328"/>
      <c r="AJ71" s="328"/>
      <c r="AK71" s="328"/>
      <c r="AL71" s="328"/>
      <c r="AP71" s="222"/>
      <c r="AQ71" s="211"/>
      <c r="AR71" s="222"/>
      <c r="AS71" s="222"/>
      <c r="AT71" s="225"/>
      <c r="AU71" s="225"/>
      <c r="AV71" s="225"/>
      <c r="AW71" s="225"/>
      <c r="AX71" s="225"/>
      <c r="AY71" s="300"/>
      <c r="AZ71" s="300"/>
    </row>
    <row r="72" spans="1:52" s="212" customFormat="1" ht="30" customHeight="1" x14ac:dyDescent="0.25">
      <c r="A72" s="322"/>
      <c r="B72" s="322"/>
      <c r="C72" s="323" t="s">
        <v>569</v>
      </c>
      <c r="D72" s="1859">
        <v>6</v>
      </c>
      <c r="E72" s="1859">
        <v>1</v>
      </c>
      <c r="F72" s="1859">
        <v>250</v>
      </c>
      <c r="G72" s="1859">
        <v>0</v>
      </c>
      <c r="H72" s="1859">
        <v>0</v>
      </c>
      <c r="I72" s="1859">
        <v>0</v>
      </c>
      <c r="J72" s="91">
        <f>IF($F72=0,0,1+($F72-$C$21)/$C$22)+$G72/$C$23+$H72/$C$24+$I72/$C$25</f>
        <v>7.4545454545454541</v>
      </c>
      <c r="K72" s="97">
        <f t="shared" si="0"/>
        <v>3.5111917342151263E-8</v>
      </c>
      <c r="L72" s="91">
        <f>($C$7*$C$14*$C$8*$E72/$D72^2*K72*10^6)</f>
        <v>7.8026482982558355E-3</v>
      </c>
      <c r="M72" s="91">
        <f>IF($F72=0,0,1+($F72-$D$21)/$D$22)+$G72/$D$23+$H72/$D$24+$I72/$D$25</f>
        <v>6.6486486486486482</v>
      </c>
      <c r="N72" s="97">
        <f t="shared" si="1"/>
        <v>2.2456979955397711E-7</v>
      </c>
      <c r="O72" s="91">
        <f>($C$7*$D$14*$D$8*$E72/$D72^2*N72*10^6)</f>
        <v>4.99043999008838E-2</v>
      </c>
      <c r="P72" s="91">
        <f>IF($F$72=0,0,1+($F72-$E$21)/$E$22)+$G72/$E$23+$H72/$E$24+$I72/$E$25</f>
        <v>5.7674418604651159</v>
      </c>
      <c r="Q72" s="97">
        <f t="shared" si="2"/>
        <v>1.7082763938087111E-6</v>
      </c>
      <c r="R72" s="91">
        <f>($C$7*$D$14*$E$8*$E72/$D72^2*Q72*10^6)</f>
        <v>0.37961697640193576</v>
      </c>
      <c r="S72" s="91">
        <f>IF($F72=0,0,1+($F72-$F$21)/$F$22)+$G72/$F$23+$H72/$F$24+$I72/$F$25</f>
        <v>9.1481481481481488</v>
      </c>
      <c r="T72" s="97">
        <f t="shared" si="3"/>
        <v>7.1097094323124171E-10</v>
      </c>
      <c r="U72" s="91">
        <f>($C$7*$F$14*$F$8*$E72/$D72^2*T72*10^6)</f>
        <v>1.5799354294027593E-4</v>
      </c>
      <c r="V72" s="91">
        <f>IF($F72=0,0,1+($F72-$G$21)/$G$22)+$G72/$G$23+$H72/$G$24+$I72/$G$25</f>
        <v>6.9444444444444446</v>
      </c>
      <c r="W72" s="97">
        <f t="shared" si="4"/>
        <v>1.136463666385722E-7</v>
      </c>
      <c r="X72" s="76">
        <f>($C$7*$G$14*$G$8*$E72/$D72^2*W72*10^6)</f>
        <v>2.5254748141904933E-2</v>
      </c>
      <c r="Y72" s="324">
        <f>SUM(L72,O72,R72,U72,X72)</f>
        <v>0.46273676628592059</v>
      </c>
      <c r="Z72" s="325"/>
      <c r="AA72" s="350"/>
      <c r="AG72" s="328"/>
      <c r="AI72" s="328"/>
      <c r="AJ72" s="328"/>
      <c r="AK72" s="328"/>
      <c r="AL72" s="328"/>
      <c r="AP72" s="222"/>
      <c r="AQ72" s="211"/>
      <c r="AR72" s="222"/>
      <c r="AS72" s="222"/>
      <c r="AT72" s="225"/>
      <c r="AU72" s="225"/>
      <c r="AV72" s="225"/>
      <c r="AW72" s="225"/>
      <c r="AX72" s="225"/>
      <c r="AY72" s="300"/>
      <c r="AZ72" s="300"/>
    </row>
    <row r="73" spans="1:52" s="212" customFormat="1" ht="30" customHeight="1" thickBot="1" x14ac:dyDescent="0.3">
      <c r="A73" s="343" t="str">
        <f>Samenvatting!A135</f>
        <v>L2</v>
      </c>
      <c r="B73" s="338" t="str">
        <f>Samenvatting!B135</f>
        <v>ingang labyrint linac 2</v>
      </c>
      <c r="C73" s="331" t="s">
        <v>568</v>
      </c>
      <c r="D73" s="1859">
        <v>5</v>
      </c>
      <c r="E73" s="58"/>
      <c r="F73" s="1859">
        <v>250</v>
      </c>
      <c r="G73" s="1859">
        <v>0</v>
      </c>
      <c r="H73" s="1859">
        <v>0</v>
      </c>
      <c r="I73" s="1859">
        <v>0</v>
      </c>
      <c r="J73" s="91">
        <f>$F73/$C$27+$G73/$C$28+$H73/$C$29+$I73/$C$30</f>
        <v>7.3529411764705879</v>
      </c>
      <c r="K73" s="97">
        <f t="shared" si="0"/>
        <v>4.4366873309786093E-8</v>
      </c>
      <c r="L73" s="91">
        <f>($C$7*$C$15*$C$8*($C$9+$C$10*$C$11)/$D73^2*K73*10^6)</f>
        <v>1.0648049594348663E-3</v>
      </c>
      <c r="M73" s="91">
        <f>$F73/$D$27+$G73/$D$28+$H73/$D$29+$I73/$D$30</f>
        <v>6.5789473684210522</v>
      </c>
      <c r="N73" s="97">
        <f t="shared" si="1"/>
        <v>2.636650898730358E-7</v>
      </c>
      <c r="O73" s="91">
        <f>($C$7*$C$15*$D$8*($D$9+$D$10*$D$11)/$D73^2*N73*10^6)</f>
        <v>6.3279621569528599E-3</v>
      </c>
      <c r="P73" s="91">
        <f>$F73/$E$27+$G73/$E$28+$H73/$E$29+$I73/$E$30</f>
        <v>5.6818181818181817</v>
      </c>
      <c r="Q73" s="97">
        <f t="shared" si="2"/>
        <v>2.0805675382171676E-6</v>
      </c>
      <c r="R73" s="91">
        <f>($C$7*$C$15*$E$8*($E$9+$E$10*$E$11)/$D73^2*Q73*10^6)</f>
        <v>4.9933620917212027E-2</v>
      </c>
      <c r="S73" s="91">
        <f>$F73/$F$27+$G73/$F$28+$H73/$F$29+$I73/$F$30</f>
        <v>8.1967213114754092</v>
      </c>
      <c r="T73" s="97">
        <f t="shared" si="3"/>
        <v>6.3573875711648393E-9</v>
      </c>
      <c r="U73" s="91">
        <f>($C$7*$C$15*$F$8*($F$9+$F$10*$F$11)/$D73^2*T73*10^6)</f>
        <v>1.5257730170795616E-4</v>
      </c>
      <c r="V73" s="91">
        <f>$F73/$G$27+$G73/$G$28+$H73/$G$29+$I73/$G$30</f>
        <v>7.0224719101123592</v>
      </c>
      <c r="W73" s="97">
        <f t="shared" si="4"/>
        <v>9.4957241494880226E-8</v>
      </c>
      <c r="X73" s="76">
        <f>($C$7*$C$15*$G$8*($G$9+$G$10*$G$11)/$D73^2*W73*10^6)</f>
        <v>2.278973795877126E-3</v>
      </c>
      <c r="Y73" s="339">
        <f>SUM(L73,O73,R73,U73,X73)</f>
        <v>5.9757939131184837E-2</v>
      </c>
      <c r="Z73" s="363">
        <f>SUM(Y71:Y74)</f>
        <v>0.52249470541710541</v>
      </c>
      <c r="AA73" s="334">
        <f>Z73*52/10^3</f>
        <v>2.7169724681689482E-2</v>
      </c>
      <c r="AG73" s="328"/>
      <c r="AH73" s="328"/>
      <c r="AI73" s="328"/>
      <c r="AJ73" s="328"/>
      <c r="AK73" s="328"/>
      <c r="AL73" s="328"/>
      <c r="AP73" s="222"/>
      <c r="AQ73" s="211"/>
      <c r="AR73" s="222"/>
      <c r="AS73" s="222"/>
      <c r="AT73" s="225"/>
      <c r="AU73" s="225"/>
      <c r="AV73" s="225"/>
      <c r="AW73" s="225"/>
      <c r="AX73" s="225"/>
      <c r="AY73" s="300"/>
      <c r="AZ73" s="300"/>
    </row>
    <row r="74" spans="1:52" s="212" customFormat="1" ht="30" hidden="1" customHeight="1" thickBot="1" x14ac:dyDescent="0.3">
      <c r="A74" s="317"/>
      <c r="B74" s="317"/>
      <c r="C74" s="318"/>
      <c r="D74" s="1871"/>
      <c r="E74" s="1871"/>
      <c r="F74" s="1871"/>
      <c r="G74" s="1871"/>
      <c r="H74" s="1871"/>
      <c r="I74" s="1871"/>
      <c r="J74" s="91"/>
      <c r="K74" s="97"/>
      <c r="L74" s="91"/>
      <c r="M74" s="91"/>
      <c r="N74" s="97"/>
      <c r="O74" s="91"/>
      <c r="P74" s="91"/>
      <c r="Q74" s="97"/>
      <c r="R74" s="91"/>
      <c r="S74" s="91"/>
      <c r="T74" s="97"/>
      <c r="U74" s="91"/>
      <c r="V74" s="91"/>
      <c r="W74" s="97"/>
      <c r="X74" s="76"/>
      <c r="Y74" s="577"/>
      <c r="Z74" s="659"/>
      <c r="AA74" s="660"/>
      <c r="AG74" s="328"/>
      <c r="AH74" s="328"/>
      <c r="AI74" s="328"/>
      <c r="AJ74" s="328"/>
      <c r="AK74" s="328"/>
      <c r="AL74" s="328"/>
      <c r="AP74" s="222"/>
      <c r="AQ74" s="211"/>
      <c r="AR74" s="222"/>
      <c r="AS74" s="222"/>
      <c r="AT74" s="225"/>
      <c r="AU74" s="225"/>
      <c r="AV74" s="225"/>
      <c r="AW74" s="225"/>
      <c r="AX74" s="225"/>
      <c r="AY74" s="300"/>
      <c r="AZ74" s="300"/>
    </row>
    <row r="75" spans="1:52" s="212" customFormat="1" ht="30" customHeight="1" x14ac:dyDescent="0.25">
      <c r="A75" s="322"/>
      <c r="B75" s="322"/>
      <c r="C75" s="323" t="s">
        <v>569</v>
      </c>
      <c r="D75" s="1859">
        <v>6</v>
      </c>
      <c r="E75" s="1859">
        <v>1</v>
      </c>
      <c r="F75" s="1859">
        <v>250</v>
      </c>
      <c r="G75" s="1859">
        <v>0</v>
      </c>
      <c r="H75" s="1859">
        <v>0</v>
      </c>
      <c r="I75" s="1859">
        <v>0</v>
      </c>
      <c r="J75" s="91">
        <f>IF($F75=0,0,1+($F75-$C$21)/$C$22)+$G75/$C$23+$H75/$C$24+$I75/$C$25</f>
        <v>7.4545454545454541</v>
      </c>
      <c r="K75" s="97">
        <f t="shared" si="0"/>
        <v>3.5111917342151263E-8</v>
      </c>
      <c r="L75" s="91">
        <f>($C$7*$C$14*$C$8*$E75/$D75^2*K75*10^6)</f>
        <v>7.8026482982558355E-3</v>
      </c>
      <c r="M75" s="91">
        <f>IF($F75=0,0,1+($F75-$D$21)/$D$22)+$G75/$D$23+$H75/$D$24+$I75/$D$25</f>
        <v>6.6486486486486482</v>
      </c>
      <c r="N75" s="97">
        <f t="shared" si="1"/>
        <v>2.2456979955397711E-7</v>
      </c>
      <c r="O75" s="91">
        <f>($C$7*$D$14*$D$8*$E75/$D75^2*N75*10^6)</f>
        <v>4.99043999008838E-2</v>
      </c>
      <c r="P75" s="91">
        <f>IF($F75=0,0,1+($F75-$E$21)/$E$22)+$G75/$E$23+$H75/$E$24+$I75/$E$25</f>
        <v>5.7674418604651159</v>
      </c>
      <c r="Q75" s="97">
        <f t="shared" si="2"/>
        <v>1.7082763938087111E-6</v>
      </c>
      <c r="R75" s="91">
        <f>($C$7*$D$14*$E$8*$E75/$D75^2*Q75*10^6)</f>
        <v>0.37961697640193576</v>
      </c>
      <c r="S75" s="91">
        <f>IF($F75=0,0,1+($F75-$F$21)/$F$22)+$G75/$F$23+$H75/$F$24+$I75/$F$25</f>
        <v>9.1481481481481488</v>
      </c>
      <c r="T75" s="97">
        <f t="shared" si="3"/>
        <v>7.1097094323124171E-10</v>
      </c>
      <c r="U75" s="91">
        <f>($C$7*$F$14*$F$8*$E75/$D75^2*T75*10^6)</f>
        <v>1.5799354294027593E-4</v>
      </c>
      <c r="V75" s="91">
        <f>IF($F75=0,0,1+($F75-$G$21)/$G$22)+$G75/$G$23+$H75/$G$24+$I75/$G$25</f>
        <v>6.9444444444444446</v>
      </c>
      <c r="W75" s="97">
        <f t="shared" si="4"/>
        <v>1.136463666385722E-7</v>
      </c>
      <c r="X75" s="76">
        <f>($C$7*$G$14*$G$8*$E75/$D75^2*W75*10^6)</f>
        <v>2.5254748141904933E-2</v>
      </c>
      <c r="Y75" s="324">
        <f>SUM(L75,O75,R75,U75,X75)</f>
        <v>0.46273676628592059</v>
      </c>
      <c r="Z75" s="325"/>
      <c r="AA75" s="350"/>
      <c r="AG75" s="328"/>
      <c r="AI75" s="328"/>
      <c r="AJ75" s="328"/>
      <c r="AK75" s="328"/>
      <c r="AL75" s="328"/>
      <c r="AP75" s="222"/>
      <c r="AQ75" s="211"/>
      <c r="AR75" s="222"/>
      <c r="AS75" s="222"/>
      <c r="AT75" s="225"/>
      <c r="AU75" s="225"/>
      <c r="AV75" s="225"/>
      <c r="AW75" s="225"/>
      <c r="AX75" s="225"/>
      <c r="AY75" s="300"/>
      <c r="AZ75" s="300"/>
    </row>
    <row r="76" spans="1:52" s="212" customFormat="1" ht="30" customHeight="1" thickBot="1" x14ac:dyDescent="0.3">
      <c r="A76" s="657" t="str">
        <f>Samenvatting!A147</f>
        <v>L3</v>
      </c>
      <c r="B76" s="656" t="str">
        <f>Samenvatting!B147</f>
        <v>ingang labyrint linac 3</v>
      </c>
      <c r="C76" s="331" t="s">
        <v>568</v>
      </c>
      <c r="D76" s="1859">
        <v>5</v>
      </c>
      <c r="E76" s="58"/>
      <c r="F76" s="1859">
        <v>250</v>
      </c>
      <c r="G76" s="1859">
        <v>0</v>
      </c>
      <c r="H76" s="1859">
        <v>0</v>
      </c>
      <c r="I76" s="1859">
        <v>0</v>
      </c>
      <c r="J76" s="91">
        <f>$F76/$C$27+$G76/$C$28+$H76/$C$29+$I76/$C$30</f>
        <v>7.3529411764705879</v>
      </c>
      <c r="K76" s="97">
        <f t="shared" si="0"/>
        <v>4.4366873309786093E-8</v>
      </c>
      <c r="L76" s="91">
        <f>($C$7*$C$15*$C$8*($C$9+$C$10*$C$11)/$D76^2*K76*10^6)</f>
        <v>1.0648049594348663E-3</v>
      </c>
      <c r="M76" s="91">
        <f>$F76/$D$27+$G76/$D$28+$H76/$D$29+$I76/$D$30</f>
        <v>6.5789473684210522</v>
      </c>
      <c r="N76" s="97">
        <f t="shared" si="1"/>
        <v>2.636650898730358E-7</v>
      </c>
      <c r="O76" s="91">
        <f>($C$7*$C$15*$D$8*($D$9+$D$10*$D$11)/$D76^2*N76*10^6)</f>
        <v>6.3279621569528599E-3</v>
      </c>
      <c r="P76" s="91">
        <f>$F76/$E$27+$G76/$E$28+$H76/$E$29+$I76/$E$30</f>
        <v>5.6818181818181817</v>
      </c>
      <c r="Q76" s="97">
        <f t="shared" si="2"/>
        <v>2.0805675382171676E-6</v>
      </c>
      <c r="R76" s="91">
        <f>($C$7*$C$15*$E$8*($E$9+$E$10*$E$11)/$D76^2*Q76*10^6)</f>
        <v>4.9933620917212027E-2</v>
      </c>
      <c r="S76" s="91">
        <f>$F76/$F$27+$G76/$F$28+$H76/$F$29+$I76/$F$30</f>
        <v>8.1967213114754092</v>
      </c>
      <c r="T76" s="97">
        <f t="shared" si="3"/>
        <v>6.3573875711648393E-9</v>
      </c>
      <c r="U76" s="91">
        <f>($C$7*$C$15*$F$8*($F$9+$F$10*$F$11)/$D76^2*T76*10^6)</f>
        <v>1.5257730170795616E-4</v>
      </c>
      <c r="V76" s="91">
        <f>$F76/$G$27+$G76/$G$28+$H76/$G$29+$I76/$G$30</f>
        <v>7.0224719101123592</v>
      </c>
      <c r="W76" s="97">
        <f t="shared" si="4"/>
        <v>9.4957241494880226E-8</v>
      </c>
      <c r="X76" s="76">
        <f>($C$7*$C$15*$G$8*($G$9+$G$10*$G$11)/$D76^2*W76*10^6)</f>
        <v>2.278973795877126E-3</v>
      </c>
      <c r="Y76" s="339">
        <f>SUM(L76,O76,R76,U76,X76)</f>
        <v>5.9757939131184837E-2</v>
      </c>
      <c r="Z76" s="363">
        <f>SUM(Y74:Y77)</f>
        <v>0.52249470541710541</v>
      </c>
      <c r="AA76" s="334">
        <f>Z76*52/10^3</f>
        <v>2.7169724681689482E-2</v>
      </c>
      <c r="AG76" s="328"/>
      <c r="AH76" s="328"/>
      <c r="AI76" s="328"/>
      <c r="AJ76" s="328"/>
      <c r="AK76" s="328"/>
      <c r="AL76" s="328"/>
      <c r="AP76" s="222"/>
      <c r="AQ76" s="211"/>
      <c r="AR76" s="222"/>
      <c r="AS76" s="222"/>
      <c r="AT76" s="225"/>
      <c r="AU76" s="225"/>
      <c r="AV76" s="225"/>
      <c r="AW76" s="225"/>
      <c r="AX76" s="225"/>
      <c r="AY76" s="300"/>
      <c r="AZ76" s="300"/>
    </row>
    <row r="77" spans="1:52" s="212" customFormat="1" ht="30" hidden="1" customHeight="1" thickBot="1" x14ac:dyDescent="0.3">
      <c r="A77" s="715"/>
      <c r="B77" s="716"/>
      <c r="C77" s="318"/>
      <c r="D77" s="1871"/>
      <c r="E77" s="1871"/>
      <c r="F77" s="1871"/>
      <c r="G77" s="1871"/>
      <c r="H77" s="1871"/>
      <c r="I77" s="1871"/>
      <c r="J77" s="91"/>
      <c r="K77" s="97"/>
      <c r="L77" s="91"/>
      <c r="M77" s="91"/>
      <c r="N77" s="97"/>
      <c r="O77" s="91"/>
      <c r="P77" s="91"/>
      <c r="Q77" s="97"/>
      <c r="R77" s="91"/>
      <c r="S77" s="91"/>
      <c r="T77" s="97"/>
      <c r="U77" s="91"/>
      <c r="V77" s="91"/>
      <c r="W77" s="97"/>
      <c r="X77" s="76"/>
      <c r="Y77" s="577"/>
      <c r="Z77" s="659"/>
      <c r="AA77" s="660"/>
      <c r="AG77" s="328"/>
      <c r="AH77" s="328"/>
      <c r="AI77" s="328"/>
      <c r="AJ77" s="328"/>
      <c r="AK77" s="328"/>
      <c r="AL77" s="328"/>
      <c r="AP77" s="222"/>
      <c r="AQ77" s="211"/>
      <c r="AR77" s="222"/>
      <c r="AS77" s="222"/>
      <c r="AT77" s="225"/>
      <c r="AU77" s="225"/>
      <c r="AV77" s="225"/>
      <c r="AW77" s="225"/>
      <c r="AX77" s="225"/>
      <c r="AY77" s="300"/>
      <c r="AZ77" s="300"/>
    </row>
    <row r="78" spans="1:52" s="212" customFormat="1" ht="30" customHeight="1" x14ac:dyDescent="0.25">
      <c r="A78" s="552"/>
      <c r="B78" s="322"/>
      <c r="C78" s="323" t="s">
        <v>569</v>
      </c>
      <c r="D78" s="1859">
        <v>6</v>
      </c>
      <c r="E78" s="1859">
        <v>1</v>
      </c>
      <c r="F78" s="1859">
        <v>250</v>
      </c>
      <c r="G78" s="1859">
        <v>0</v>
      </c>
      <c r="H78" s="1859">
        <v>0</v>
      </c>
      <c r="I78" s="1859">
        <v>0</v>
      </c>
      <c r="J78" s="91">
        <f>IF($F78=0,0,1+($F78-$C$21)/$C$22)+$G78/$C$23+$H78/$C$24+$I78/$C$25</f>
        <v>7.4545454545454541</v>
      </c>
      <c r="K78" s="97">
        <f t="shared" si="0"/>
        <v>3.5111917342151263E-8</v>
      </c>
      <c r="L78" s="91">
        <f>($C$7*$C$14*$C$8*$E78/$D78^2*K78*10^6)</f>
        <v>7.8026482982558355E-3</v>
      </c>
      <c r="M78" s="91">
        <f>IF($F78=0,0,1+($F78-$D$21)/$D$22)+$G78/$D$23+$H78/$D$24+$I78/$D$25</f>
        <v>6.6486486486486482</v>
      </c>
      <c r="N78" s="97">
        <f t="shared" si="1"/>
        <v>2.2456979955397711E-7</v>
      </c>
      <c r="O78" s="91">
        <f>($C$7*$D$14*$D$8*$E78/$D78^2*N78*10^6)</f>
        <v>4.99043999008838E-2</v>
      </c>
      <c r="P78" s="91">
        <f>IF($F78=0,0,1+($F78-$E$21)/$E$22)+$G78/$E$23+$H78/$E$24+$I78/$E$25</f>
        <v>5.7674418604651159</v>
      </c>
      <c r="Q78" s="97">
        <f t="shared" si="2"/>
        <v>1.7082763938087111E-6</v>
      </c>
      <c r="R78" s="91">
        <f>($C$7*$D$14*$E$8*$E78/$D78^2*Q78*10^6)</f>
        <v>0.37961697640193576</v>
      </c>
      <c r="S78" s="91">
        <f>IF($F78=0,0,1+($F78-$F$21)/$F$22)+$G78/$F$23+$H78/$F$24+$I78/$F$25</f>
        <v>9.1481481481481488</v>
      </c>
      <c r="T78" s="97">
        <f t="shared" si="3"/>
        <v>7.1097094323124171E-10</v>
      </c>
      <c r="U78" s="91">
        <f>($C$7*$F$14*$F$8*$E78/$D78^2*T78*10^6)</f>
        <v>1.5799354294027593E-4</v>
      </c>
      <c r="V78" s="91">
        <f>IF($F78=0,0,1+($F78-$G$21)/$G$22)+$G78/$G$23+$H78/$G$24+$I78/$G$25</f>
        <v>6.9444444444444446</v>
      </c>
      <c r="W78" s="97">
        <f t="shared" si="4"/>
        <v>1.136463666385722E-7</v>
      </c>
      <c r="X78" s="76">
        <f>($C$7*$G$14*$G$8*$E78/$D78^2*W78*10^6)</f>
        <v>2.5254748141904933E-2</v>
      </c>
      <c r="Y78" s="324">
        <f>SUM(L78,O78,R78,U78,X78)</f>
        <v>0.46273676628592059</v>
      </c>
      <c r="Z78" s="325"/>
      <c r="AA78" s="350"/>
      <c r="AG78" s="328"/>
      <c r="AI78" s="328"/>
      <c r="AJ78" s="328"/>
      <c r="AK78" s="328"/>
      <c r="AL78" s="328"/>
      <c r="AP78" s="222"/>
      <c r="AQ78" s="211"/>
      <c r="AR78" s="222"/>
      <c r="AS78" s="222"/>
      <c r="AT78" s="225"/>
      <c r="AU78" s="225"/>
      <c r="AV78" s="225"/>
      <c r="AW78" s="225"/>
      <c r="AX78" s="225"/>
      <c r="AY78" s="300"/>
      <c r="AZ78" s="300"/>
    </row>
    <row r="79" spans="1:52" s="212" customFormat="1" ht="30" customHeight="1" thickBot="1" x14ac:dyDescent="0.3">
      <c r="A79" s="657" t="str">
        <f>Samenvatting!A159</f>
        <v>L4</v>
      </c>
      <c r="B79" s="330" t="str">
        <f>Samenvatting!B159</f>
        <v>ingang labyrint linac 4</v>
      </c>
      <c r="C79" s="331" t="s">
        <v>568</v>
      </c>
      <c r="D79" s="1859">
        <v>5</v>
      </c>
      <c r="E79" s="58"/>
      <c r="F79" s="1859">
        <v>250</v>
      </c>
      <c r="G79" s="1859">
        <v>0</v>
      </c>
      <c r="H79" s="1859">
        <v>0</v>
      </c>
      <c r="I79" s="1859">
        <v>0</v>
      </c>
      <c r="J79" s="91">
        <f>$F79/$C$27+$G79/$C$28+$H79/$C$29+$I79/$C$30</f>
        <v>7.3529411764705879</v>
      </c>
      <c r="K79" s="97">
        <f t="shared" si="0"/>
        <v>4.4366873309786093E-8</v>
      </c>
      <c r="L79" s="91">
        <f>($C$7*$C$15*$C$8*($C$9+$C$10*$C$11)/$D79^2*K79*10^6)</f>
        <v>1.0648049594348663E-3</v>
      </c>
      <c r="M79" s="91">
        <f>$F79/$D$27+$G79/$D$28+$H79/$D$29+$I79/$D$30</f>
        <v>6.5789473684210522</v>
      </c>
      <c r="N79" s="97">
        <f t="shared" si="1"/>
        <v>2.636650898730358E-7</v>
      </c>
      <c r="O79" s="91">
        <f>($C$7*$C$15*$D$8*($D$9+$D$10*$D$11)/$D79^2*N79*10^6)</f>
        <v>6.3279621569528599E-3</v>
      </c>
      <c r="P79" s="91">
        <f>$F79/$E$27+$G79/$E$28+$H79/$E$29+$I79/$E$30</f>
        <v>5.6818181818181817</v>
      </c>
      <c r="Q79" s="97">
        <f t="shared" si="2"/>
        <v>2.0805675382171676E-6</v>
      </c>
      <c r="R79" s="91">
        <f>($C$7*$C$15*$E$8*($E$9+$E$10*$E$11)/$D79^2*Q79*10^6)</f>
        <v>4.9933620917212027E-2</v>
      </c>
      <c r="S79" s="91">
        <f>$F79/$F$27+$G79/$F$28+$H79/$F$29+$I79/$F$30</f>
        <v>8.1967213114754092</v>
      </c>
      <c r="T79" s="97">
        <f t="shared" si="3"/>
        <v>6.3573875711648393E-9</v>
      </c>
      <c r="U79" s="91">
        <f>($C$7*$C$15*$F$8*($F$9+$F$10*$F$11)/$D79^2*T79*10^6)</f>
        <v>1.5257730170795616E-4</v>
      </c>
      <c r="V79" s="91">
        <f>$F79/$G$27+$G79/$G$28+$H79/$G$29+$I79/$G$30</f>
        <v>7.0224719101123592</v>
      </c>
      <c r="W79" s="97">
        <f t="shared" si="4"/>
        <v>9.4957241494880226E-8</v>
      </c>
      <c r="X79" s="76">
        <f>($C$7*$C$15*$G$8*($G$9+$G$10*$G$11)/$D79^2*W79*10^6)</f>
        <v>2.278973795877126E-3</v>
      </c>
      <c r="Y79" s="339">
        <f>SUM(L79,O79,R79,U79,X79)</f>
        <v>5.9757939131184837E-2</v>
      </c>
      <c r="Z79" s="363">
        <f>SUM(Y77:Y80)</f>
        <v>0.52249470541710541</v>
      </c>
      <c r="AA79" s="334">
        <f>Z79*52/10^3</f>
        <v>2.7169724681689482E-2</v>
      </c>
      <c r="AG79" s="328"/>
      <c r="AH79" s="328"/>
      <c r="AI79" s="328"/>
      <c r="AJ79" s="328"/>
      <c r="AK79" s="328"/>
      <c r="AL79" s="328"/>
      <c r="AP79" s="222"/>
      <c r="AQ79" s="211"/>
      <c r="AR79" s="222"/>
      <c r="AS79" s="222"/>
      <c r="AT79" s="225"/>
      <c r="AU79" s="225"/>
      <c r="AV79" s="225"/>
      <c r="AW79" s="225"/>
      <c r="AX79" s="225"/>
      <c r="AY79" s="300"/>
      <c r="AZ79" s="300"/>
    </row>
    <row r="80" spans="1:52" s="212" customFormat="1" ht="30" hidden="1" customHeight="1" thickBot="1" x14ac:dyDescent="0.3">
      <c r="A80" s="312"/>
      <c r="B80" s="450"/>
      <c r="C80" s="318"/>
      <c r="D80" s="1871"/>
      <c r="E80" s="1871"/>
      <c r="F80" s="1871"/>
      <c r="G80" s="1871"/>
      <c r="H80" s="1871"/>
      <c r="I80" s="1871"/>
      <c r="J80" s="91"/>
      <c r="K80" s="97"/>
      <c r="L80" s="91"/>
      <c r="M80" s="91"/>
      <c r="N80" s="97"/>
      <c r="O80" s="91"/>
      <c r="P80" s="91"/>
      <c r="Q80" s="97"/>
      <c r="R80" s="91"/>
      <c r="S80" s="91"/>
      <c r="T80" s="97"/>
      <c r="U80" s="91"/>
      <c r="V80" s="91"/>
      <c r="W80" s="97"/>
      <c r="X80" s="76"/>
      <c r="Y80" s="577"/>
      <c r="Z80" s="659"/>
      <c r="AA80" s="660"/>
      <c r="AG80" s="328"/>
      <c r="AH80" s="328"/>
      <c r="AI80" s="328"/>
      <c r="AJ80" s="328"/>
      <c r="AK80" s="328"/>
      <c r="AL80" s="328"/>
      <c r="AP80" s="222"/>
      <c r="AQ80" s="211"/>
      <c r="AR80" s="222"/>
      <c r="AS80" s="222"/>
      <c r="AT80" s="225"/>
      <c r="AU80" s="225"/>
      <c r="AV80" s="225"/>
      <c r="AW80" s="225"/>
      <c r="AX80" s="225"/>
      <c r="AY80" s="300"/>
      <c r="AZ80" s="300"/>
    </row>
    <row r="81" spans="1:52" s="212" customFormat="1" ht="30" customHeight="1" x14ac:dyDescent="0.25">
      <c r="A81" s="322"/>
      <c r="B81" s="322"/>
      <c r="C81" s="323" t="s">
        <v>569</v>
      </c>
      <c r="D81" s="1859">
        <v>6</v>
      </c>
      <c r="E81" s="1859">
        <v>1</v>
      </c>
      <c r="F81" s="1859">
        <v>250</v>
      </c>
      <c r="G81" s="1859">
        <v>0</v>
      </c>
      <c r="H81" s="1859">
        <v>0</v>
      </c>
      <c r="I81" s="1859">
        <v>0</v>
      </c>
      <c r="J81" s="91">
        <f>IF($F81=0,0,1+($F81-$C$21)/$C$22)+$G81/$C$23+$H81/$C$24+$I81/$C$25</f>
        <v>7.4545454545454541</v>
      </c>
      <c r="K81" s="97">
        <f t="shared" si="0"/>
        <v>3.5111917342151263E-8</v>
      </c>
      <c r="L81" s="91">
        <f>($C$7*$C$14*$C$8*$E81/$D81^2*K81*10^6)</f>
        <v>7.8026482982558355E-3</v>
      </c>
      <c r="M81" s="91">
        <f>IF($F81=0,0,1+($F81-$D$21)/$D$22)+$G81/$D$23+$H81/$D$24+$I81/$D$25</f>
        <v>6.6486486486486482</v>
      </c>
      <c r="N81" s="97">
        <f t="shared" si="1"/>
        <v>2.2456979955397711E-7</v>
      </c>
      <c r="O81" s="91">
        <f>($C$7*$D$14*$D$8*$E81/$D81^2*N81*10^6)</f>
        <v>4.99043999008838E-2</v>
      </c>
      <c r="P81" s="91">
        <f>IF($F81=0,0,1+($F81-$E$21)/$E$22)+$G81/$E$23+$H81/$E$24+$I81/$E$25</f>
        <v>5.7674418604651159</v>
      </c>
      <c r="Q81" s="97">
        <f t="shared" si="2"/>
        <v>1.7082763938087111E-6</v>
      </c>
      <c r="R81" s="91">
        <f>($C$7*$D$14*$E$8*$E81/$D81^2*Q81*10^6)</f>
        <v>0.37961697640193576</v>
      </c>
      <c r="S81" s="91">
        <f>IF($F81=0,0,1+($F81-$F$21)/$F$22)+$G81/$F$23+$H81/$F$24+$I81/$F$25</f>
        <v>9.1481481481481488</v>
      </c>
      <c r="T81" s="97">
        <f t="shared" si="3"/>
        <v>7.1097094323124171E-10</v>
      </c>
      <c r="U81" s="91">
        <f>($C$7*$F$14*$F$8*$E81/$D81^2*T81*10^6)</f>
        <v>1.5799354294027593E-4</v>
      </c>
      <c r="V81" s="91">
        <f>IF($F81=0,0,1+($F81-$G$21)/$G$22)+$G81/$G$23+$H81/$G$24+$I81/$G$25</f>
        <v>6.9444444444444446</v>
      </c>
      <c r="W81" s="97">
        <f t="shared" si="4"/>
        <v>1.136463666385722E-7</v>
      </c>
      <c r="X81" s="76">
        <f>($C$7*$G$14*$G$8*$E81/$D81^2*W81*10^6)</f>
        <v>2.5254748141904933E-2</v>
      </c>
      <c r="Y81" s="324">
        <f>SUM(L81,O81,R81,U81,X81)</f>
        <v>0.46273676628592059</v>
      </c>
      <c r="Z81" s="325"/>
      <c r="AA81" s="350"/>
      <c r="AG81" s="328"/>
      <c r="AI81" s="328"/>
      <c r="AJ81" s="328"/>
      <c r="AK81" s="328"/>
      <c r="AL81" s="328"/>
      <c r="AP81" s="222"/>
      <c r="AQ81" s="211"/>
      <c r="AR81" s="222"/>
      <c r="AS81" s="222"/>
      <c r="AT81" s="225"/>
      <c r="AU81" s="225"/>
      <c r="AV81" s="225"/>
      <c r="AW81" s="225"/>
      <c r="AX81" s="225"/>
      <c r="AY81" s="300"/>
      <c r="AZ81" s="300"/>
    </row>
    <row r="82" spans="1:52" s="212" customFormat="1" ht="30" customHeight="1" thickBot="1" x14ac:dyDescent="0.3">
      <c r="A82" s="657" t="str">
        <f>Samenvatting!A171</f>
        <v>L5</v>
      </c>
      <c r="B82" s="330" t="str">
        <f>Samenvatting!B171</f>
        <v>ingang labyrint linac 5</v>
      </c>
      <c r="C82" s="331" t="s">
        <v>568</v>
      </c>
      <c r="D82" s="1859">
        <v>5</v>
      </c>
      <c r="E82" s="58"/>
      <c r="F82" s="1859">
        <v>250</v>
      </c>
      <c r="G82" s="1859">
        <v>0</v>
      </c>
      <c r="H82" s="1859">
        <v>0</v>
      </c>
      <c r="I82" s="1859">
        <v>0</v>
      </c>
      <c r="J82" s="91">
        <f>$F82/$C$27+$G82/$C$28+$H82/$C$29+$I82/$C$30</f>
        <v>7.3529411764705879</v>
      </c>
      <c r="K82" s="97">
        <f t="shared" si="0"/>
        <v>4.4366873309786093E-8</v>
      </c>
      <c r="L82" s="91">
        <f>($C$7*$C$15*$C$8*($C$9+$C$10*$C$11)/$D82^2*K82*10^6)</f>
        <v>1.0648049594348663E-3</v>
      </c>
      <c r="M82" s="91">
        <f>$F82/$D$27+$G82/$D$28+$H82/$D$29+$I82/$D$30</f>
        <v>6.5789473684210522</v>
      </c>
      <c r="N82" s="97">
        <f t="shared" si="1"/>
        <v>2.636650898730358E-7</v>
      </c>
      <c r="O82" s="91">
        <f>($C$7*$C$15*$D$8*($D$9+$D$10*$D$11)/$D82^2*N82*10^6)</f>
        <v>6.3279621569528599E-3</v>
      </c>
      <c r="P82" s="91">
        <f>$F82/$E$27+$G82/$E$28+$H82/$E$29+$I82/$E$30</f>
        <v>5.6818181818181817</v>
      </c>
      <c r="Q82" s="97">
        <f t="shared" si="2"/>
        <v>2.0805675382171676E-6</v>
      </c>
      <c r="R82" s="91">
        <f>($C$7*$C$15*$E$8*($E$9+$E$10*$E$11)/$D82^2*Q82*10^6)</f>
        <v>4.9933620917212027E-2</v>
      </c>
      <c r="S82" s="91">
        <f>$F82/$F$27+$G82/$F$28+$H82/$F$29+$I82/$F$30</f>
        <v>8.1967213114754092</v>
      </c>
      <c r="T82" s="97">
        <f t="shared" si="3"/>
        <v>6.3573875711648393E-9</v>
      </c>
      <c r="U82" s="91">
        <f>($C$7*$C$15*$F$8*($F$9+$F$10*$F$11)/$D82^2*T82*10^6)</f>
        <v>1.5257730170795616E-4</v>
      </c>
      <c r="V82" s="91">
        <f>$F82/$G$27+$G82/$G$28+$H82/$G$29+$I82/$G$30</f>
        <v>7.0224719101123592</v>
      </c>
      <c r="W82" s="97">
        <f t="shared" si="4"/>
        <v>9.4957241494880226E-8</v>
      </c>
      <c r="X82" s="76">
        <f>($C$7*$C$15*$G$8*($G$9+$G$10*$G$11)/$D82^2*W82*10^6)</f>
        <v>2.278973795877126E-3</v>
      </c>
      <c r="Y82" s="339">
        <f>SUM(L82,O82,R82,U82,X82)</f>
        <v>5.9757939131184837E-2</v>
      </c>
      <c r="Z82" s="363">
        <f>SUM(Y80:Y83)</f>
        <v>0.52249470541710541</v>
      </c>
      <c r="AA82" s="334">
        <f>Z82*52/10^3</f>
        <v>2.7169724681689482E-2</v>
      </c>
      <c r="AG82" s="328"/>
      <c r="AH82" s="328"/>
      <c r="AI82" s="328"/>
      <c r="AJ82" s="328"/>
      <c r="AK82" s="328"/>
      <c r="AL82" s="328"/>
      <c r="AP82" s="222"/>
      <c r="AQ82" s="211"/>
      <c r="AR82" s="222"/>
      <c r="AS82" s="222"/>
      <c r="AT82" s="225"/>
      <c r="AU82" s="225"/>
      <c r="AV82" s="225"/>
      <c r="AW82" s="225"/>
      <c r="AX82" s="225"/>
      <c r="AY82" s="300"/>
      <c r="AZ82" s="300"/>
    </row>
    <row r="83" spans="1:52" s="212" customFormat="1" ht="30" hidden="1" customHeight="1" thickBot="1" x14ac:dyDescent="0.3">
      <c r="A83" s="312"/>
      <c r="B83" s="450"/>
      <c r="C83" s="318"/>
      <c r="D83" s="1871"/>
      <c r="E83" s="1871"/>
      <c r="F83" s="1871"/>
      <c r="G83" s="1871"/>
      <c r="H83" s="1871"/>
      <c r="I83" s="1871"/>
      <c r="J83" s="91"/>
      <c r="K83" s="97"/>
      <c r="L83" s="91"/>
      <c r="M83" s="91"/>
      <c r="N83" s="97"/>
      <c r="O83" s="91"/>
      <c r="P83" s="91"/>
      <c r="Q83" s="97"/>
      <c r="R83" s="91"/>
      <c r="S83" s="91"/>
      <c r="T83" s="97"/>
      <c r="U83" s="91"/>
      <c r="V83" s="91"/>
      <c r="W83" s="97"/>
      <c r="X83" s="76"/>
      <c r="Y83" s="577"/>
      <c r="Z83" s="659"/>
      <c r="AA83" s="660"/>
      <c r="AG83" s="328"/>
      <c r="AH83" s="328"/>
      <c r="AI83" s="328"/>
      <c r="AJ83" s="328"/>
      <c r="AK83" s="328"/>
      <c r="AL83" s="328"/>
      <c r="AP83" s="222"/>
      <c r="AQ83" s="211"/>
      <c r="AR83" s="222"/>
      <c r="AS83" s="222"/>
      <c r="AT83" s="225"/>
      <c r="AU83" s="225"/>
      <c r="AV83" s="225"/>
      <c r="AW83" s="225"/>
      <c r="AX83" s="225"/>
      <c r="AY83" s="300"/>
      <c r="AZ83" s="300"/>
    </row>
    <row r="84" spans="1:52" s="212" customFormat="1" ht="30" customHeight="1" x14ac:dyDescent="0.25">
      <c r="A84" s="322"/>
      <c r="B84" s="322"/>
      <c r="C84" s="323" t="s">
        <v>569</v>
      </c>
      <c r="D84" s="1859">
        <v>6</v>
      </c>
      <c r="E84" s="1859">
        <v>1</v>
      </c>
      <c r="F84" s="1859">
        <v>250</v>
      </c>
      <c r="G84" s="1859">
        <v>0</v>
      </c>
      <c r="H84" s="1859">
        <v>0</v>
      </c>
      <c r="I84" s="1859">
        <v>0</v>
      </c>
      <c r="J84" s="91">
        <f>IF($F84=0,0,1+($F84-$C$21)/$C$22)+$G84/$C$23+$H84/$C$24+$I84/$C$25</f>
        <v>7.4545454545454541</v>
      </c>
      <c r="K84" s="97">
        <f t="shared" si="0"/>
        <v>3.5111917342151263E-8</v>
      </c>
      <c r="L84" s="91">
        <f>($C$7*$C$14*$C$8*$E84/$D84^2*K84*10^6)</f>
        <v>7.8026482982558355E-3</v>
      </c>
      <c r="M84" s="91">
        <f>IF($F84=0,0,1+($F84-$D$21)/$D$22)+$G84/$D$23+$H84/$D$24+$I84/$D$25</f>
        <v>6.6486486486486482</v>
      </c>
      <c r="N84" s="97">
        <f t="shared" si="1"/>
        <v>2.2456979955397711E-7</v>
      </c>
      <c r="O84" s="91">
        <f>($C$7*$D$14*$D$8*$E84/$D84^2*N84*10^6)</f>
        <v>4.99043999008838E-2</v>
      </c>
      <c r="P84" s="91">
        <f>IF($F84=0,0,1+($F84-$E$21)/$E$22)+$G84/$E$23+$H84/$E$24+$I84/$E$25</f>
        <v>5.7674418604651159</v>
      </c>
      <c r="Q84" s="97">
        <f t="shared" si="2"/>
        <v>1.7082763938087111E-6</v>
      </c>
      <c r="R84" s="91">
        <f>($C$7*$D$14*$E$8*$E84/$D84^2*Q84*10^6)</f>
        <v>0.37961697640193576</v>
      </c>
      <c r="S84" s="91">
        <f>IF($F84=0,0,1+($F84-$F$21)/$F$22)+$G84/$F$23+$H84/$F$24+$I84/$F$25</f>
        <v>9.1481481481481488</v>
      </c>
      <c r="T84" s="97">
        <f t="shared" si="3"/>
        <v>7.1097094323124171E-10</v>
      </c>
      <c r="U84" s="91">
        <f>($C$7*$F$14*$F$8*$E84/$D84^2*T84*10^6)</f>
        <v>1.5799354294027593E-4</v>
      </c>
      <c r="V84" s="91">
        <f>IF($F84=0,0,1+($F84-$G$21)/$G$22)+$G84/$G$23+$H84/$G$24+$I84/$G$25</f>
        <v>6.9444444444444446</v>
      </c>
      <c r="W84" s="97">
        <f t="shared" si="4"/>
        <v>1.136463666385722E-7</v>
      </c>
      <c r="X84" s="76">
        <f>($C$7*$G$14*$G$8*$E84/$D84^2*W84*10^6)</f>
        <v>2.5254748141904933E-2</v>
      </c>
      <c r="Y84" s="324">
        <f>SUM(L84,O84,R84,U84,X84)</f>
        <v>0.46273676628592059</v>
      </c>
      <c r="Z84" s="325"/>
      <c r="AA84" s="350"/>
      <c r="AG84" s="328"/>
      <c r="AI84" s="328"/>
      <c r="AJ84" s="328"/>
      <c r="AK84" s="328"/>
      <c r="AL84" s="328"/>
      <c r="AP84" s="222"/>
      <c r="AQ84" s="211"/>
      <c r="AR84" s="222"/>
      <c r="AS84" s="222"/>
      <c r="AT84" s="225"/>
      <c r="AU84" s="225"/>
      <c r="AV84" s="225"/>
      <c r="AW84" s="225"/>
      <c r="AX84" s="225"/>
      <c r="AY84" s="300"/>
      <c r="AZ84" s="300"/>
    </row>
    <row r="85" spans="1:52" s="212" customFormat="1" ht="30" customHeight="1" thickBot="1" x14ac:dyDescent="0.3">
      <c r="A85" s="657" t="str">
        <f>Samenvatting!A183</f>
        <v>L6</v>
      </c>
      <c r="B85" s="330" t="str">
        <f>Samenvatting!B183</f>
        <v>ingang labyrint linac 6</v>
      </c>
      <c r="C85" s="331" t="s">
        <v>568</v>
      </c>
      <c r="D85" s="1859">
        <v>5</v>
      </c>
      <c r="E85" s="58"/>
      <c r="F85" s="1859">
        <v>250</v>
      </c>
      <c r="G85" s="1859">
        <v>0</v>
      </c>
      <c r="H85" s="1859">
        <v>0</v>
      </c>
      <c r="I85" s="1859">
        <v>0</v>
      </c>
      <c r="J85" s="91">
        <f>$F85/$C$27+$G85/$C$28+$H85/$C$29+$I85/$C$30</f>
        <v>7.3529411764705879</v>
      </c>
      <c r="K85" s="97">
        <f t="shared" si="0"/>
        <v>4.4366873309786093E-8</v>
      </c>
      <c r="L85" s="91">
        <f>($C$7*$C$15*$C$8*($C$9+$C$10*$C$11)/$D85^2*K85*10^6)</f>
        <v>1.0648049594348663E-3</v>
      </c>
      <c r="M85" s="91">
        <f>$F85/$D$27+$G85/$D$28+$H85/$D$29+$I85/$D$30</f>
        <v>6.5789473684210522</v>
      </c>
      <c r="N85" s="97">
        <f t="shared" si="1"/>
        <v>2.636650898730358E-7</v>
      </c>
      <c r="O85" s="91">
        <f>($C$7*$C$15*$D$8*($D$9+$D$10*$D$11)/$D85^2*N85*10^6)</f>
        <v>6.3279621569528599E-3</v>
      </c>
      <c r="P85" s="91">
        <f>$F85/$E$27+$G85/$E$28+$H85/$E$29+$I85/$E$30</f>
        <v>5.6818181818181817</v>
      </c>
      <c r="Q85" s="97">
        <f t="shared" si="2"/>
        <v>2.0805675382171676E-6</v>
      </c>
      <c r="R85" s="91">
        <f>($C$7*$C$15*$E$8*($E$9+$E$10*$E$11)/$D85^2*Q85*10^6)</f>
        <v>4.9933620917212027E-2</v>
      </c>
      <c r="S85" s="91">
        <f>$F85/$F$27+$G85/$F$28+$H85/$F$29+$I85/$F$30</f>
        <v>8.1967213114754092</v>
      </c>
      <c r="T85" s="97">
        <f t="shared" si="3"/>
        <v>6.3573875711648393E-9</v>
      </c>
      <c r="U85" s="91">
        <f>($C$7*$C$15*$F$8*($F$9+$F$10*$F$11)/$D85^2*T85*10^6)</f>
        <v>1.5257730170795616E-4</v>
      </c>
      <c r="V85" s="91">
        <f>$F85/$G$27+$G85/$G$28+$H85/$G$29+$I85/$G$30</f>
        <v>7.0224719101123592</v>
      </c>
      <c r="W85" s="97">
        <f t="shared" si="4"/>
        <v>9.4957241494880226E-8</v>
      </c>
      <c r="X85" s="76">
        <f>($C$7*$C$15*$G$8*($G$9+$G$10*$G$11)/$D85^2*W85*10^6)</f>
        <v>2.278973795877126E-3</v>
      </c>
      <c r="Y85" s="339">
        <f>SUM(L85,O85,R85,U85,X85)</f>
        <v>5.9757939131184837E-2</v>
      </c>
      <c r="Z85" s="363">
        <f>SUM(Y83:Y86)</f>
        <v>0.52249470541710541</v>
      </c>
      <c r="AA85" s="334">
        <f>Z85*52/10^3</f>
        <v>2.7169724681689482E-2</v>
      </c>
      <c r="AG85" s="328"/>
      <c r="AH85" s="328"/>
      <c r="AI85" s="328"/>
      <c r="AJ85" s="328"/>
      <c r="AK85" s="328"/>
      <c r="AL85" s="328"/>
      <c r="AP85" s="222"/>
      <c r="AQ85" s="211"/>
      <c r="AR85" s="222"/>
      <c r="AS85" s="222"/>
      <c r="AT85" s="225"/>
      <c r="AU85" s="225"/>
      <c r="AV85" s="225"/>
      <c r="AW85" s="225"/>
      <c r="AX85" s="225"/>
      <c r="AY85" s="300"/>
      <c r="AZ85" s="300"/>
    </row>
    <row r="86" spans="1:52" s="212" customFormat="1" ht="30" hidden="1" customHeight="1" thickBot="1" x14ac:dyDescent="0.3">
      <c r="A86" s="715"/>
      <c r="B86" s="716"/>
      <c r="C86" s="318"/>
      <c r="D86" s="1871"/>
      <c r="E86" s="1871"/>
      <c r="F86" s="1871"/>
      <c r="G86" s="1871"/>
      <c r="H86" s="1871"/>
      <c r="I86" s="1871"/>
      <c r="J86" s="91"/>
      <c r="K86" s="97"/>
      <c r="L86" s="91"/>
      <c r="M86" s="91"/>
      <c r="N86" s="97"/>
      <c r="O86" s="91"/>
      <c r="P86" s="91"/>
      <c r="Q86" s="97"/>
      <c r="R86" s="91"/>
      <c r="S86" s="91"/>
      <c r="T86" s="97"/>
      <c r="U86" s="91"/>
      <c r="V86" s="91"/>
      <c r="W86" s="97"/>
      <c r="X86" s="76"/>
      <c r="Y86" s="577"/>
      <c r="Z86" s="659"/>
      <c r="AA86" s="660"/>
      <c r="AG86" s="328"/>
      <c r="AH86" s="328"/>
      <c r="AI86" s="328"/>
      <c r="AJ86" s="328"/>
      <c r="AK86" s="328"/>
      <c r="AL86" s="328"/>
      <c r="AP86" s="222"/>
      <c r="AQ86" s="211"/>
      <c r="AR86" s="222"/>
      <c r="AS86" s="222"/>
      <c r="AT86" s="225"/>
      <c r="AU86" s="225"/>
      <c r="AV86" s="225"/>
      <c r="AW86" s="225"/>
      <c r="AX86" s="225"/>
      <c r="AY86" s="300"/>
      <c r="AZ86" s="300"/>
    </row>
    <row r="87" spans="1:52" s="212" customFormat="1" ht="30" customHeight="1" x14ac:dyDescent="0.25">
      <c r="A87" s="552"/>
      <c r="B87" s="322"/>
      <c r="C87" s="323" t="s">
        <v>569</v>
      </c>
      <c r="D87" s="1859">
        <v>6</v>
      </c>
      <c r="E87" s="1859">
        <v>1</v>
      </c>
      <c r="F87" s="1859">
        <v>250</v>
      </c>
      <c r="G87" s="1859">
        <v>0</v>
      </c>
      <c r="H87" s="1859">
        <v>0</v>
      </c>
      <c r="I87" s="1859">
        <v>0</v>
      </c>
      <c r="J87" s="91">
        <f>IF($F87=0,0,1+($F87-$C$21)/$C$22)+$G87/$C$23+$H87/$C$24+$I87/$C$25</f>
        <v>7.4545454545454541</v>
      </c>
      <c r="K87" s="97">
        <f t="shared" si="0"/>
        <v>3.5111917342151263E-8</v>
      </c>
      <c r="L87" s="91">
        <f>($C$7*$C$14*$C$8*$E87/$D87^2*K87*10^6)</f>
        <v>7.8026482982558355E-3</v>
      </c>
      <c r="M87" s="91">
        <f>IF($F87=0,0,1+($F87-$D$21)/$D$22)+$G87/$D$23+$H87/$D$24+$I87/$D$25</f>
        <v>6.6486486486486482</v>
      </c>
      <c r="N87" s="97">
        <f t="shared" si="1"/>
        <v>2.2456979955397711E-7</v>
      </c>
      <c r="O87" s="91">
        <f>($C$7*$D$14*$D$8*$E87/$D87^2*N87*10^6)</f>
        <v>4.99043999008838E-2</v>
      </c>
      <c r="P87" s="91">
        <f>IF($F87=0,0,1+($F87-$E$21)/$E$22)+$G87/$E$23+$H87/$E$24+$I87/$E$25</f>
        <v>5.7674418604651159</v>
      </c>
      <c r="Q87" s="97">
        <f t="shared" si="2"/>
        <v>1.7082763938087111E-6</v>
      </c>
      <c r="R87" s="91">
        <f>($C$7*$D$14*$E$8*$E87/$D87^2*Q87*10^6)</f>
        <v>0.37961697640193576</v>
      </c>
      <c r="S87" s="91">
        <f>IF($F87=0,0,1+($F87-$F$21)/$F$22)+$G87/$F$23+$H87/$F$24+$I87/$F$25</f>
        <v>9.1481481481481488</v>
      </c>
      <c r="T87" s="97">
        <f t="shared" si="3"/>
        <v>7.1097094323124171E-10</v>
      </c>
      <c r="U87" s="91">
        <f>($C$7*$F$14*$F$8*$E87/$D87^2*T87*10^6)</f>
        <v>1.5799354294027593E-4</v>
      </c>
      <c r="V87" s="91">
        <f>IF($F87=0,0,1+($F87-$G$21)/$G$22)+$G87/$G$23+$H87/$G$24+$I87/$G$25</f>
        <v>6.9444444444444446</v>
      </c>
      <c r="W87" s="97">
        <f t="shared" si="4"/>
        <v>1.136463666385722E-7</v>
      </c>
      <c r="X87" s="76">
        <f>($C$7*$G$14*$G$8*$E87/$D87^2*W87*10^6)</f>
        <v>2.5254748141904933E-2</v>
      </c>
      <c r="Y87" s="324">
        <f>SUM(L87,O87,R87,U87,X87)</f>
        <v>0.46273676628592059</v>
      </c>
      <c r="Z87" s="325"/>
      <c r="AA87" s="350"/>
      <c r="AG87" s="328"/>
      <c r="AI87" s="328"/>
      <c r="AJ87" s="328"/>
      <c r="AK87" s="328"/>
      <c r="AL87" s="328"/>
      <c r="AP87" s="222"/>
      <c r="AQ87" s="211"/>
      <c r="AR87" s="222"/>
      <c r="AS87" s="222"/>
      <c r="AT87" s="225"/>
      <c r="AU87" s="225"/>
      <c r="AV87" s="225"/>
      <c r="AW87" s="225"/>
      <c r="AX87" s="225"/>
      <c r="AY87" s="300"/>
      <c r="AZ87" s="300"/>
    </row>
    <row r="88" spans="1:52" s="212" customFormat="1" ht="30" customHeight="1" thickBot="1" x14ac:dyDescent="0.3">
      <c r="A88" s="727" t="str">
        <f>Samenvatting!A195</f>
        <v>L7</v>
      </c>
      <c r="B88" s="330" t="str">
        <f>Samenvatting!B195</f>
        <v>ingang labyrint linac 7</v>
      </c>
      <c r="C88" s="331" t="s">
        <v>568</v>
      </c>
      <c r="D88" s="1859">
        <v>5</v>
      </c>
      <c r="E88" s="58"/>
      <c r="F88" s="1859">
        <v>250</v>
      </c>
      <c r="G88" s="1859">
        <v>0</v>
      </c>
      <c r="H88" s="1859">
        <v>0</v>
      </c>
      <c r="I88" s="1859">
        <v>0</v>
      </c>
      <c r="J88" s="91">
        <f>$F88/$C$27+$G88/$C$28+$H88/$C$29+$I88/$C$30</f>
        <v>7.3529411764705879</v>
      </c>
      <c r="K88" s="97">
        <f t="shared" si="0"/>
        <v>4.4366873309786093E-8</v>
      </c>
      <c r="L88" s="91">
        <f>($C$7*$C$15*$C$8*($C$9+$C$10*$C$11)/$D88^2*K88*10^6)</f>
        <v>1.0648049594348663E-3</v>
      </c>
      <c r="M88" s="91">
        <f>$F88/$D$27+$G88/$D$28+$H88/$D$29+$I88/$D$30</f>
        <v>6.5789473684210522</v>
      </c>
      <c r="N88" s="97">
        <f t="shared" si="1"/>
        <v>2.636650898730358E-7</v>
      </c>
      <c r="O88" s="91">
        <f>($C$7*$C$15*$D$8*($D$9+$D$10*$D$11)/$D88^2*N88*10^6)</f>
        <v>6.3279621569528599E-3</v>
      </c>
      <c r="P88" s="91">
        <f>$F88/$E$27+$G88/$E$28+$H88/$E$29+$I88/$E$30</f>
        <v>5.6818181818181817</v>
      </c>
      <c r="Q88" s="97">
        <f t="shared" si="2"/>
        <v>2.0805675382171676E-6</v>
      </c>
      <c r="R88" s="91">
        <f>($C$7*$C$15*$E$8*($E$9+$E$10*$E$11)/$D88^2*Q88*10^6)</f>
        <v>4.9933620917212027E-2</v>
      </c>
      <c r="S88" s="91">
        <f>$F88/$F$27+$G88/$F$28+$H88/$F$29+$I88/$F$30</f>
        <v>8.1967213114754092</v>
      </c>
      <c r="T88" s="97">
        <f t="shared" si="3"/>
        <v>6.3573875711648393E-9</v>
      </c>
      <c r="U88" s="91">
        <f>($C$7*$C$15*$F$8*($F$9+$F$10*$F$11)/$D88^2*T88*10^6)</f>
        <v>1.5257730170795616E-4</v>
      </c>
      <c r="V88" s="91">
        <f>$F88/$G$27+$G88/$G$28+$H88/$G$29+$I88/$G$30</f>
        <v>7.0224719101123592</v>
      </c>
      <c r="W88" s="97">
        <f t="shared" si="4"/>
        <v>9.4957241494880226E-8</v>
      </c>
      <c r="X88" s="76">
        <f>($C$7*$C$15*$G$8*($G$9+$G$10*$G$11)/$D88^2*W88*10^6)</f>
        <v>2.278973795877126E-3</v>
      </c>
      <c r="Y88" s="339">
        <f>SUM(L88,O88,R88,U88,X88)</f>
        <v>5.9757939131184837E-2</v>
      </c>
      <c r="Z88" s="363">
        <f>SUM(Y86:Y89)</f>
        <v>0.52249470541710541</v>
      </c>
      <c r="AA88" s="334">
        <f>Z88*52/10^3</f>
        <v>2.7169724681689482E-2</v>
      </c>
      <c r="AG88" s="328"/>
      <c r="AH88" s="328"/>
      <c r="AI88" s="328"/>
      <c r="AJ88" s="328"/>
      <c r="AK88" s="328"/>
      <c r="AL88" s="328"/>
      <c r="AP88" s="222"/>
      <c r="AQ88" s="211"/>
      <c r="AR88" s="222"/>
      <c r="AS88" s="222"/>
      <c r="AT88" s="225"/>
      <c r="AU88" s="225"/>
      <c r="AV88" s="225"/>
      <c r="AW88" s="225"/>
      <c r="AX88" s="225"/>
      <c r="AY88" s="300"/>
      <c r="AZ88" s="300"/>
    </row>
    <row r="89" spans="1:52" s="212" customFormat="1" ht="30" hidden="1" customHeight="1" thickBot="1" x14ac:dyDescent="0.3">
      <c r="A89" s="312"/>
      <c r="B89" s="450"/>
      <c r="C89" s="318"/>
      <c r="D89" s="1871"/>
      <c r="E89" s="1871"/>
      <c r="F89" s="1871"/>
      <c r="G89" s="1871"/>
      <c r="H89" s="1871"/>
      <c r="I89" s="1871"/>
      <c r="J89" s="91"/>
      <c r="K89" s="97"/>
      <c r="L89" s="91"/>
      <c r="M89" s="91"/>
      <c r="N89" s="97"/>
      <c r="O89" s="91"/>
      <c r="P89" s="91"/>
      <c r="Q89" s="97"/>
      <c r="R89" s="91"/>
      <c r="S89" s="91"/>
      <c r="T89" s="97"/>
      <c r="U89" s="91"/>
      <c r="V89" s="91"/>
      <c r="W89" s="97"/>
      <c r="X89" s="76"/>
      <c r="Y89" s="577"/>
      <c r="Z89" s="659"/>
      <c r="AA89" s="660"/>
      <c r="AG89" s="328"/>
      <c r="AH89" s="328"/>
      <c r="AI89" s="328"/>
      <c r="AJ89" s="328"/>
      <c r="AK89" s="328"/>
      <c r="AL89" s="328"/>
      <c r="AP89" s="222"/>
      <c r="AQ89" s="211"/>
      <c r="AR89" s="222"/>
      <c r="AS89" s="222"/>
      <c r="AT89" s="225"/>
      <c r="AU89" s="225"/>
      <c r="AV89" s="225"/>
      <c r="AW89" s="225"/>
      <c r="AX89" s="225"/>
      <c r="AY89" s="300"/>
      <c r="AZ89" s="300"/>
    </row>
    <row r="90" spans="1:52" s="212" customFormat="1" ht="30" customHeight="1" x14ac:dyDescent="0.25">
      <c r="A90" s="322"/>
      <c r="B90" s="322"/>
      <c r="C90" s="348" t="s">
        <v>209</v>
      </c>
      <c r="D90" s="1859">
        <v>6</v>
      </c>
      <c r="E90" s="1859">
        <v>1</v>
      </c>
      <c r="F90" s="1859">
        <v>250</v>
      </c>
      <c r="G90" s="1859">
        <v>0</v>
      </c>
      <c r="H90" s="1859">
        <v>0</v>
      </c>
      <c r="I90" s="1859">
        <v>0</v>
      </c>
      <c r="J90" s="91">
        <f>IF($F90=0,0,1+($F90-$C$21)/$C$22)+$G90/$C$23+$H90/$C$24+$I90/$C$25</f>
        <v>7.4545454545454541</v>
      </c>
      <c r="K90" s="97">
        <f>10^(-J90)</f>
        <v>3.5111917342151263E-8</v>
      </c>
      <c r="L90" s="91">
        <f>($C$7*$C$14*$C$8*$E90/$D90^2*K90*10^6)</f>
        <v>7.8026482982558355E-3</v>
      </c>
      <c r="M90" s="91">
        <f>IF($F90=0,0,1+($F90-$D$21)/$D$22)+$G90/$D$23+$H90/$D$24+$I90/$D$25</f>
        <v>6.6486486486486482</v>
      </c>
      <c r="N90" s="97">
        <f>10^(-M90)</f>
        <v>2.2456979955397711E-7</v>
      </c>
      <c r="O90" s="91">
        <f>($C$7*$D$14*$D$8*$E90/$D90^2*N90*10^6)</f>
        <v>4.99043999008838E-2</v>
      </c>
      <c r="P90" s="91">
        <f>IF($F90=0,0,1+($F90-$E$21)/$E$22)+$G90/$E$23+$H90/$E$24+$I90/$E$25</f>
        <v>5.7674418604651159</v>
      </c>
      <c r="Q90" s="97">
        <f>10^(-P90)</f>
        <v>1.7082763938087111E-6</v>
      </c>
      <c r="R90" s="91">
        <f>($C$7*$D$14*$E$8*$E90/$D90^2*Q90*10^6)</f>
        <v>0.37961697640193576</v>
      </c>
      <c r="S90" s="91">
        <f>IF($F90=0,0,1+($F90-$F$21)/$F$22)+$G90/$F$23+$H90/$F$24+$I90/$F$25</f>
        <v>9.1481481481481488</v>
      </c>
      <c r="T90" s="97">
        <f>10^(-S90)</f>
        <v>7.1097094323124171E-10</v>
      </c>
      <c r="U90" s="91">
        <f>($C$7*$F$14*$F$8*$E90/$D90^2*T90*10^6)</f>
        <v>1.5799354294027593E-4</v>
      </c>
      <c r="V90" s="91">
        <f>IF($F90=0,0,1+($F90-$G$21)/$G$22)+$G90/$G$23+$H90/$G$24+$I90/$G$25</f>
        <v>6.9444444444444446</v>
      </c>
      <c r="W90" s="97">
        <f>10^(-V90)</f>
        <v>1.136463666385722E-7</v>
      </c>
      <c r="X90" s="76">
        <f>($C$7*$G$14*$G$8*$E90/$D90^2*W90*10^6)</f>
        <v>2.5254748141904933E-2</v>
      </c>
      <c r="Y90" s="324">
        <f>SUM(L90,O90,R90,U90,X90)</f>
        <v>0.46273676628592059</v>
      </c>
      <c r="Z90" s="717"/>
      <c r="AA90" s="718"/>
      <c r="AG90" s="328"/>
      <c r="AI90" s="328"/>
      <c r="AJ90" s="328"/>
      <c r="AK90" s="328"/>
      <c r="AL90" s="328"/>
      <c r="AP90" s="222"/>
      <c r="AQ90" s="211"/>
      <c r="AR90" s="222"/>
      <c r="AS90" s="222"/>
      <c r="AT90" s="225"/>
      <c r="AU90" s="225"/>
      <c r="AV90" s="225"/>
      <c r="AW90" s="225"/>
      <c r="AX90" s="225"/>
      <c r="AY90" s="300"/>
      <c r="AZ90" s="300"/>
    </row>
    <row r="91" spans="1:52" s="212" customFormat="1" ht="30" customHeight="1" x14ac:dyDescent="0.25">
      <c r="A91" s="351" t="str">
        <f>Samenvatting!A207</f>
        <v>L8</v>
      </c>
      <c r="B91" s="719" t="str">
        <f>Samenvatting!B207</f>
        <v>ingang labyrint linac 8</v>
      </c>
      <c r="C91" s="353" t="s">
        <v>361</v>
      </c>
      <c r="D91" s="1859">
        <v>5</v>
      </c>
      <c r="E91" s="58"/>
      <c r="F91" s="1859">
        <v>250</v>
      </c>
      <c r="G91" s="1859">
        <v>0</v>
      </c>
      <c r="H91" s="1859">
        <v>0</v>
      </c>
      <c r="I91" s="1859">
        <v>0</v>
      </c>
      <c r="J91" s="91">
        <f>$F91/$C$27+$G91/$C$28+$H91/$C$29+$I91/$C$30</f>
        <v>7.3529411764705879</v>
      </c>
      <c r="K91" s="97">
        <f>10^(-J91)</f>
        <v>4.4366873309786093E-8</v>
      </c>
      <c r="L91" s="91">
        <f>($C$7*$C$15*$C$8*($C$9+$C$10*$C$11)/$D91^2*K91*10^6)</f>
        <v>1.0648049594348663E-3</v>
      </c>
      <c r="M91" s="91">
        <f>$F91/$D$27+$G91/$D$28+$H91/$D$29+$I91/$D$30</f>
        <v>6.5789473684210522</v>
      </c>
      <c r="N91" s="97">
        <f>10^(-M91)</f>
        <v>2.636650898730358E-7</v>
      </c>
      <c r="O91" s="91">
        <f>($C$7*$C$15*$D$8*($D$9+$D$10*$D$11)/$D91^2*N91*10^6)</f>
        <v>6.3279621569528599E-3</v>
      </c>
      <c r="P91" s="91">
        <f>$F91/$E$27+$G91/$E$28+$H91/$E$29+$I91/$E$30</f>
        <v>5.6818181818181817</v>
      </c>
      <c r="Q91" s="97">
        <f>10^(-P91)</f>
        <v>2.0805675382171676E-6</v>
      </c>
      <c r="R91" s="91">
        <f>($C$7*$C$15*$E$8*($E$9+$E$10*$E$11)/$D91^2*Q91*10^6)</f>
        <v>4.9933620917212027E-2</v>
      </c>
      <c r="S91" s="91">
        <f>$F91/$F$27+$G91/$F$28+$H91/$F$29+$I91/$F$30</f>
        <v>8.1967213114754092</v>
      </c>
      <c r="T91" s="97">
        <f>10^(-S91)</f>
        <v>6.3573875711648393E-9</v>
      </c>
      <c r="U91" s="91">
        <f>($C$7*$C$15*$F$8*($F$9+$F$10*$F$11)/$D91^2*T91*10^6)</f>
        <v>1.5257730170795616E-4</v>
      </c>
      <c r="V91" s="91">
        <f>$F91/$G$27+$G91/$G$28+$H91/$G$29+$I91/$G$30</f>
        <v>7.0224719101123592</v>
      </c>
      <c r="W91" s="97">
        <f>10^(-V91)</f>
        <v>9.4957241494880226E-8</v>
      </c>
      <c r="X91" s="76">
        <f>($C$7*$C$15*$G$8*($G$9+$G$10*$G$11)/$D91^2*W91*10^6)</f>
        <v>2.278973795877126E-3</v>
      </c>
      <c r="Y91" s="355">
        <f>SUM(L91,O91,R91,U91,X91)</f>
        <v>5.9757939131184837E-2</v>
      </c>
      <c r="Z91" s="662">
        <f>SUM(Y89:Y93)</f>
        <v>298.71327202141981</v>
      </c>
      <c r="AA91" s="663">
        <f>Z91*52/10^3</f>
        <v>15.53309014511383</v>
      </c>
      <c r="AG91" s="328"/>
      <c r="AH91" s="328"/>
      <c r="AI91" s="328"/>
      <c r="AJ91" s="328"/>
      <c r="AK91" s="328"/>
      <c r="AL91" s="328"/>
      <c r="AP91" s="222"/>
      <c r="AQ91" s="211"/>
      <c r="AR91" s="222"/>
      <c r="AS91" s="222"/>
      <c r="AT91" s="225"/>
      <c r="AU91" s="225"/>
      <c r="AV91" s="225"/>
      <c r="AW91" s="225"/>
      <c r="AX91" s="225"/>
      <c r="AY91" s="300"/>
      <c r="AZ91" s="300"/>
    </row>
    <row r="92" spans="1:52" s="212" customFormat="1" ht="30" customHeight="1" thickBot="1" x14ac:dyDescent="0.3">
      <c r="A92" s="657"/>
      <c r="B92" s="700"/>
      <c r="C92" s="360" t="s">
        <v>360</v>
      </c>
      <c r="D92" s="701" t="s">
        <v>362</v>
      </c>
      <c r="E92" s="58"/>
      <c r="F92" s="58"/>
      <c r="G92" s="58"/>
      <c r="H92" s="58"/>
      <c r="I92" s="58"/>
      <c r="J92" s="91"/>
      <c r="K92" s="97"/>
      <c r="L92" s="91"/>
      <c r="M92" s="702"/>
      <c r="N92" s="703"/>
      <c r="O92" s="704"/>
      <c r="P92" s="704"/>
      <c r="Q92" s="703"/>
      <c r="R92" s="704"/>
      <c r="S92" s="704"/>
      <c r="T92" s="703"/>
      <c r="U92" s="704"/>
      <c r="V92" s="704"/>
      <c r="W92" s="703"/>
      <c r="X92" s="705"/>
      <c r="Y92" s="339">
        <f>SUM(AT130:AT135)</f>
        <v>298.19077731600271</v>
      </c>
      <c r="Z92" s="720"/>
      <c r="AA92" s="364"/>
      <c r="AG92" s="328"/>
      <c r="AH92" s="328"/>
      <c r="AI92" s="328"/>
      <c r="AJ92" s="328"/>
      <c r="AK92" s="328"/>
      <c r="AL92" s="328"/>
      <c r="AP92" s="222"/>
      <c r="AQ92" s="211"/>
      <c r="AR92" s="222"/>
      <c r="AS92" s="222"/>
      <c r="AT92" s="225"/>
      <c r="AU92" s="225"/>
      <c r="AV92" s="225"/>
      <c r="AW92" s="225"/>
      <c r="AX92" s="225"/>
      <c r="AY92" s="300"/>
      <c r="AZ92" s="300"/>
    </row>
    <row r="93" spans="1:52" s="212" customFormat="1" ht="30" hidden="1" customHeight="1" thickBot="1" x14ac:dyDescent="0.3">
      <c r="A93" s="211"/>
      <c r="B93" s="671"/>
      <c r="C93" s="318"/>
      <c r="D93" s="1872"/>
      <c r="E93" s="1871"/>
      <c r="F93" s="1871"/>
      <c r="G93" s="1871"/>
      <c r="H93" s="1871"/>
      <c r="I93" s="1871"/>
      <c r="J93" s="91"/>
      <c r="K93" s="97"/>
      <c r="L93" s="91"/>
      <c r="M93" s="702"/>
      <c r="N93" s="703"/>
      <c r="O93" s="704"/>
      <c r="P93" s="704"/>
      <c r="Q93" s="703"/>
      <c r="R93" s="704"/>
      <c r="S93" s="704"/>
      <c r="T93" s="703"/>
      <c r="U93" s="704"/>
      <c r="V93" s="704"/>
      <c r="W93" s="703"/>
      <c r="X93" s="705"/>
      <c r="Y93" s="577"/>
      <c r="Z93" s="707"/>
      <c r="AA93" s="708"/>
      <c r="AG93" s="328"/>
      <c r="AH93" s="328"/>
      <c r="AI93" s="328"/>
      <c r="AJ93" s="328"/>
      <c r="AK93" s="328"/>
      <c r="AL93" s="328"/>
      <c r="AP93" s="222"/>
      <c r="AQ93" s="211"/>
      <c r="AR93" s="222"/>
      <c r="AS93" s="222"/>
      <c r="AT93" s="225"/>
      <c r="AU93" s="225"/>
      <c r="AV93" s="225"/>
      <c r="AW93" s="225"/>
      <c r="AX93" s="225"/>
      <c r="AY93" s="300"/>
      <c r="AZ93" s="300"/>
    </row>
    <row r="94" spans="1:52" s="212" customFormat="1" ht="30" customHeight="1" x14ac:dyDescent="0.25">
      <c r="A94" s="322"/>
      <c r="B94" s="322"/>
      <c r="C94" s="323" t="s">
        <v>569</v>
      </c>
      <c r="D94" s="1859">
        <v>6</v>
      </c>
      <c r="E94" s="1859">
        <v>1</v>
      </c>
      <c r="F94" s="1859">
        <v>250</v>
      </c>
      <c r="G94" s="1859">
        <v>0</v>
      </c>
      <c r="H94" s="1859">
        <v>0</v>
      </c>
      <c r="I94" s="1859">
        <v>0</v>
      </c>
      <c r="J94" s="91">
        <f>IF($F94=0,0,1+($F94-$C$21)/$C$22)+$G94/$C$23+$H94/$C$24+$I94/$C$25</f>
        <v>7.4545454545454541</v>
      </c>
      <c r="K94" s="97">
        <f t="shared" ref="K94:K101" si="6">10^(-J94)</f>
        <v>3.5111917342151263E-8</v>
      </c>
      <c r="L94" s="91">
        <f>($C$7*$C$14*$C$8*$E94/$D94^2*K94*10^6)</f>
        <v>7.8026482982558355E-3</v>
      </c>
      <c r="M94" s="91">
        <f>IF($F94=0,0,1+($F94-$D$21)/$D$22)+$G94/$D$23+$H94/$D$24+$I94/$D$25</f>
        <v>6.6486486486486482</v>
      </c>
      <c r="N94" s="97">
        <f t="shared" ref="N94:N101" si="7">10^(-M94)</f>
        <v>2.2456979955397711E-7</v>
      </c>
      <c r="O94" s="91">
        <f>($C$7*$D$14*$D$8*$E94/$D94^2*N94*10^6)</f>
        <v>4.99043999008838E-2</v>
      </c>
      <c r="P94" s="91">
        <f>IF($F94=0,0,1+($F94-$E$21)/$E$22)+$G94/$E$23+$H94/$E$24+$I94/$E$25</f>
        <v>5.7674418604651159</v>
      </c>
      <c r="Q94" s="97">
        <f t="shared" ref="Q94:Q101" si="8">10^(-P94)</f>
        <v>1.7082763938087111E-6</v>
      </c>
      <c r="R94" s="91">
        <f>($C$7*$D$14*$E$8*$E94/$D94^2*Q94*10^6)</f>
        <v>0.37961697640193576</v>
      </c>
      <c r="S94" s="91">
        <f>IF($F94=0,0,1+($F94-$F$21)/$F$22)+$G94/$F$23+$H94/$F$24+$I94/$F$25</f>
        <v>9.1481481481481488</v>
      </c>
      <c r="T94" s="97">
        <f t="shared" ref="T94:T101" si="9">10^(-S94)</f>
        <v>7.1097094323124171E-10</v>
      </c>
      <c r="U94" s="91">
        <f>($C$7*$F$14*$F$8*$E94/$D94^2*T94*10^6)</f>
        <v>1.5799354294027593E-4</v>
      </c>
      <c r="V94" s="91">
        <f>IF($F94=0,0,1+($F94-$G$21)/$G$22)+$G94/$G$23+$H94/$G$24+$I94/$G$25</f>
        <v>6.9444444444444446</v>
      </c>
      <c r="W94" s="97">
        <f t="shared" ref="W94:W101" si="10">10^(-V94)</f>
        <v>1.136463666385722E-7</v>
      </c>
      <c r="X94" s="76">
        <f>($C$7*$G$14*$G$8*$E94/$D94^2*W94*10^6)</f>
        <v>2.5254748141904933E-2</v>
      </c>
      <c r="Y94" s="324">
        <f>SUM(L94,O94,R94,U94,X94)</f>
        <v>0.46273676628592059</v>
      </c>
      <c r="Z94" s="325"/>
      <c r="AA94" s="350"/>
      <c r="AG94" s="328"/>
      <c r="AI94" s="328"/>
      <c r="AJ94" s="328"/>
      <c r="AK94" s="328"/>
      <c r="AL94" s="328"/>
      <c r="AP94" s="222"/>
      <c r="AQ94" s="211"/>
      <c r="AR94" s="222"/>
      <c r="AS94" s="222"/>
      <c r="AT94" s="225"/>
      <c r="AU94" s="225"/>
      <c r="AV94" s="225"/>
      <c r="AW94" s="225"/>
      <c r="AX94" s="225"/>
      <c r="AY94" s="300"/>
      <c r="AZ94" s="300"/>
    </row>
    <row r="95" spans="1:52" s="212" customFormat="1" ht="30" customHeight="1" thickBot="1" x14ac:dyDescent="0.3">
      <c r="A95" s="351" t="str">
        <f>Samenvatting!A219</f>
        <v>L9</v>
      </c>
      <c r="B95" s="352" t="str">
        <f>Samenvatting!B219</f>
        <v>ingang labyrint linac 9</v>
      </c>
      <c r="C95" s="331" t="s">
        <v>568</v>
      </c>
      <c r="D95" s="1859">
        <v>5</v>
      </c>
      <c r="E95" s="58"/>
      <c r="F95" s="1859">
        <v>250</v>
      </c>
      <c r="G95" s="1859">
        <v>0</v>
      </c>
      <c r="H95" s="1859">
        <v>0</v>
      </c>
      <c r="I95" s="1859">
        <v>0</v>
      </c>
      <c r="J95" s="91">
        <f>$F95/$C$27+$G95/$C$28+$H95/$C$29+$I95/$C$30</f>
        <v>7.3529411764705879</v>
      </c>
      <c r="K95" s="97">
        <f t="shared" si="6"/>
        <v>4.4366873309786093E-8</v>
      </c>
      <c r="L95" s="91">
        <f>($C$7*$C$15*$C$8*($C$9+$C$10*$C$11)/$D95^2*K95*10^6)</f>
        <v>1.0648049594348663E-3</v>
      </c>
      <c r="M95" s="91">
        <f>$F95/$D$27+$G95/$D$28+$H95/$D$29+$I95/$D$30</f>
        <v>6.5789473684210522</v>
      </c>
      <c r="N95" s="97">
        <f t="shared" si="7"/>
        <v>2.636650898730358E-7</v>
      </c>
      <c r="O95" s="91">
        <f>($C$7*$C$15*$D$8*($D$9+$D$10*$D$11)/$D95^2*N95*10^6)</f>
        <v>6.3279621569528599E-3</v>
      </c>
      <c r="P95" s="91">
        <f>$F95/$E$27+$G95/$E$28+$H95/$E$29+$I95/$E$30</f>
        <v>5.6818181818181817</v>
      </c>
      <c r="Q95" s="97">
        <f t="shared" si="8"/>
        <v>2.0805675382171676E-6</v>
      </c>
      <c r="R95" s="91">
        <f>($C$7*$C$15*$E$8*($E$9+$E$10*$E$11)/$D95^2*Q95*10^6)</f>
        <v>4.9933620917212027E-2</v>
      </c>
      <c r="S95" s="91">
        <f>$F95/$F$27+$G95/$F$28+$H95/$F$29+$I95/$F$30</f>
        <v>8.1967213114754092</v>
      </c>
      <c r="T95" s="97">
        <f t="shared" si="9"/>
        <v>6.3573875711648393E-9</v>
      </c>
      <c r="U95" s="91">
        <f>($C$7*$C$15*$F$8*($F$9+$F$10*$F$11)/$D95^2*T95*10^6)</f>
        <v>1.5257730170795616E-4</v>
      </c>
      <c r="V95" s="91">
        <f>$F95/$G$27+$G95/$G$28+$H95/$G$29+$I95/$G$30</f>
        <v>7.0224719101123592</v>
      </c>
      <c r="W95" s="97">
        <f t="shared" si="10"/>
        <v>9.4957241494880226E-8</v>
      </c>
      <c r="X95" s="76">
        <f>($C$7*$C$15*$G$8*($G$9+$G$10*$G$11)/$D95^2*W95*10^6)</f>
        <v>2.278973795877126E-3</v>
      </c>
      <c r="Y95" s="339">
        <f>SUM(L95,O95,R95,U95,X95)</f>
        <v>5.9757939131184837E-2</v>
      </c>
      <c r="Z95" s="363">
        <f>SUM(Y93:Y96)</f>
        <v>0.52249470541710541</v>
      </c>
      <c r="AA95" s="334">
        <f>Z95*52/10^3</f>
        <v>2.7169724681689482E-2</v>
      </c>
      <c r="AG95" s="328"/>
      <c r="AH95" s="328"/>
      <c r="AI95" s="328"/>
      <c r="AJ95" s="328"/>
      <c r="AK95" s="328"/>
      <c r="AL95" s="328"/>
      <c r="AP95" s="222"/>
      <c r="AQ95" s="211"/>
      <c r="AR95" s="222"/>
      <c r="AS95" s="222"/>
      <c r="AT95" s="225"/>
      <c r="AU95" s="225"/>
      <c r="AV95" s="225"/>
      <c r="AW95" s="225"/>
      <c r="AX95" s="225"/>
      <c r="AY95" s="300"/>
      <c r="AZ95" s="300"/>
    </row>
    <row r="96" spans="1:52" s="212" customFormat="1" ht="30" hidden="1" customHeight="1" thickBot="1" x14ac:dyDescent="0.3">
      <c r="A96" s="317"/>
      <c r="B96" s="317"/>
      <c r="C96" s="318"/>
      <c r="D96" s="1871"/>
      <c r="E96" s="1871"/>
      <c r="F96" s="1871"/>
      <c r="G96" s="1871"/>
      <c r="H96" s="1871"/>
      <c r="I96" s="1871"/>
      <c r="J96" s="91"/>
      <c r="K96" s="97"/>
      <c r="L96" s="91"/>
      <c r="M96" s="91"/>
      <c r="N96" s="97"/>
      <c r="O96" s="91"/>
      <c r="P96" s="91"/>
      <c r="Q96" s="97"/>
      <c r="R96" s="91"/>
      <c r="S96" s="91"/>
      <c r="T96" s="97"/>
      <c r="U96" s="91"/>
      <c r="V96" s="91"/>
      <c r="W96" s="97"/>
      <c r="X96" s="76"/>
      <c r="Y96" s="577"/>
      <c r="Z96" s="659"/>
      <c r="AA96" s="660"/>
      <c r="AG96" s="328"/>
      <c r="AH96" s="328"/>
      <c r="AI96" s="328"/>
      <c r="AJ96" s="328"/>
      <c r="AK96" s="328"/>
      <c r="AL96" s="328"/>
      <c r="AP96" s="222"/>
      <c r="AQ96" s="211"/>
      <c r="AR96" s="222"/>
      <c r="AS96" s="222"/>
      <c r="AT96" s="225"/>
      <c r="AU96" s="225"/>
      <c r="AV96" s="225"/>
      <c r="AW96" s="225"/>
      <c r="AX96" s="225"/>
      <c r="AY96" s="300"/>
      <c r="AZ96" s="300"/>
    </row>
    <row r="97" spans="1:54" s="212" customFormat="1" ht="30" customHeight="1" x14ac:dyDescent="0.25">
      <c r="A97" s="322"/>
      <c r="B97" s="322"/>
      <c r="C97" s="323" t="s">
        <v>569</v>
      </c>
      <c r="D97" s="1859">
        <v>6</v>
      </c>
      <c r="E97" s="1859">
        <v>1</v>
      </c>
      <c r="F97" s="1859">
        <v>250</v>
      </c>
      <c r="G97" s="1859">
        <v>0</v>
      </c>
      <c r="H97" s="1859">
        <v>0</v>
      </c>
      <c r="I97" s="1859">
        <v>0</v>
      </c>
      <c r="J97" s="91">
        <f>IF($F97=0,0,1+($F97-$C$21)/$C$22)+$G97/$C$23+$H97/$C$24+$I97/$C$25</f>
        <v>7.4545454545454541</v>
      </c>
      <c r="K97" s="97">
        <f t="shared" si="6"/>
        <v>3.5111917342151263E-8</v>
      </c>
      <c r="L97" s="91">
        <f>($C$7*$C$14*$C$8*$E97/$D97^2*K97*10^6)</f>
        <v>7.8026482982558355E-3</v>
      </c>
      <c r="M97" s="91">
        <f>IF($F97=0,0,1+($F97-$D$21)/$D$22)+$G97/$D$23+$H97/$D$24+$I97/$D$25</f>
        <v>6.6486486486486482</v>
      </c>
      <c r="N97" s="97">
        <f t="shared" si="7"/>
        <v>2.2456979955397711E-7</v>
      </c>
      <c r="O97" s="91">
        <f>($C$7*$D$14*$D$8*$E97/$D97^2*N97*10^6)</f>
        <v>4.99043999008838E-2</v>
      </c>
      <c r="P97" s="91">
        <f>IF($F97=0,0,1+($F97-$E$21)/$E$22)+$G97/$E$23+$H97/$E$24+$I97/$E$25</f>
        <v>5.7674418604651159</v>
      </c>
      <c r="Q97" s="97">
        <f t="shared" si="8"/>
        <v>1.7082763938087111E-6</v>
      </c>
      <c r="R97" s="91">
        <f>($C$7*$D$14*$E$8*$E97/$D97^2*Q97*10^6)</f>
        <v>0.37961697640193576</v>
      </c>
      <c r="S97" s="91">
        <f>IF($F97=0,0,1+($F97-$F$21)/$F$22)+$G97/$F$23+$H97/$F$24+$I97/$F$25</f>
        <v>9.1481481481481488</v>
      </c>
      <c r="T97" s="97">
        <f t="shared" si="9"/>
        <v>7.1097094323124171E-10</v>
      </c>
      <c r="U97" s="91">
        <f>($C$7*$F$14*$F$8*$E97/$D97^2*T97*10^6)</f>
        <v>1.5799354294027593E-4</v>
      </c>
      <c r="V97" s="91">
        <f>IF($F97=0,0,1+($F97-$G$21)/$G$22)+$G97/$G$23+$H97/$G$24+$I97/$G$25</f>
        <v>6.9444444444444446</v>
      </c>
      <c r="W97" s="97">
        <f t="shared" si="10"/>
        <v>1.136463666385722E-7</v>
      </c>
      <c r="X97" s="76">
        <f>($C$7*$G$14*$G$8*$E97/$D97^2*W97*10^6)</f>
        <v>2.5254748141904933E-2</v>
      </c>
      <c r="Y97" s="324">
        <f>SUM(L97,O97,R97,U97,X97)</f>
        <v>0.46273676628592059</v>
      </c>
      <c r="Z97" s="325"/>
      <c r="AA97" s="350"/>
      <c r="AG97" s="328"/>
      <c r="AI97" s="328"/>
      <c r="AJ97" s="328"/>
      <c r="AK97" s="328"/>
      <c r="AL97" s="328"/>
      <c r="AP97" s="222"/>
      <c r="AQ97" s="211"/>
      <c r="AR97" s="222"/>
      <c r="AS97" s="222"/>
      <c r="AT97" s="225"/>
      <c r="AU97" s="225"/>
      <c r="AV97" s="225"/>
      <c r="AW97" s="225"/>
      <c r="AX97" s="225"/>
      <c r="AY97" s="300"/>
      <c r="AZ97" s="300"/>
    </row>
    <row r="98" spans="1:54" s="212" customFormat="1" ht="30" customHeight="1" thickBot="1" x14ac:dyDescent="0.3">
      <c r="A98" s="351" t="str">
        <f>Samenvatting!A231</f>
        <v>L10</v>
      </c>
      <c r="B98" s="656" t="str">
        <f>Samenvatting!B231</f>
        <v>ingang labyrint linac 10</v>
      </c>
      <c r="C98" s="331" t="s">
        <v>568</v>
      </c>
      <c r="D98" s="1859">
        <v>5</v>
      </c>
      <c r="E98" s="58"/>
      <c r="F98" s="1859">
        <v>250</v>
      </c>
      <c r="G98" s="1859">
        <v>0</v>
      </c>
      <c r="H98" s="1859">
        <v>0</v>
      </c>
      <c r="I98" s="1859">
        <v>0</v>
      </c>
      <c r="J98" s="91">
        <f>$F98/$C$27+$G98/$C$28+$H98/$C$29+$I98/$C$30</f>
        <v>7.3529411764705879</v>
      </c>
      <c r="K98" s="97">
        <f t="shared" si="6"/>
        <v>4.4366873309786093E-8</v>
      </c>
      <c r="L98" s="91">
        <f>($C$7*$C$15*$C$8*($C$9+$C$10*$C$11)/$D98^2*K98*10^6)</f>
        <v>1.0648049594348663E-3</v>
      </c>
      <c r="M98" s="91">
        <f>$F98/$D$27+$G98/$D$28+$H98/$D$29+$I98/$D$30</f>
        <v>6.5789473684210522</v>
      </c>
      <c r="N98" s="97">
        <f t="shared" si="7"/>
        <v>2.636650898730358E-7</v>
      </c>
      <c r="O98" s="91">
        <f>($C$7*$C$15*$D$8*($D$9+$D$10*$D$11)/$D98^2*N98*10^6)</f>
        <v>6.3279621569528599E-3</v>
      </c>
      <c r="P98" s="91">
        <f>$F98/$E$27+$G98/$E$28+$H98/$E$29+$I98/$E$30</f>
        <v>5.6818181818181817</v>
      </c>
      <c r="Q98" s="97">
        <f t="shared" si="8"/>
        <v>2.0805675382171676E-6</v>
      </c>
      <c r="R98" s="91">
        <f>($C$7*$C$15*$E$8*($E$9+$E$10*$E$11)/$D98^2*Q98*10^6)</f>
        <v>4.9933620917212027E-2</v>
      </c>
      <c r="S98" s="91">
        <f>$F98/$F$27+$G98/$F$28+$H98/$F$29+$I98/$F$30</f>
        <v>8.1967213114754092</v>
      </c>
      <c r="T98" s="97">
        <f t="shared" si="9"/>
        <v>6.3573875711648393E-9</v>
      </c>
      <c r="U98" s="91">
        <f>($C$7*$C$15*$F$8*($F$9+$F$10*$F$11)/$D98^2*T98*10^6)</f>
        <v>1.5257730170795616E-4</v>
      </c>
      <c r="V98" s="91">
        <f>$F98/$G$27+$G98/$G$28+$H98/$G$29+$I98/$G$30</f>
        <v>7.0224719101123592</v>
      </c>
      <c r="W98" s="97">
        <f t="shared" si="10"/>
        <v>9.4957241494880226E-8</v>
      </c>
      <c r="X98" s="76">
        <f>($C$7*$C$15*$G$8*($G$9+$G$10*$G$11)/$D98^2*W98*10^6)</f>
        <v>2.278973795877126E-3</v>
      </c>
      <c r="Y98" s="339">
        <f>SUM(L98,O98,R98,U98,X98)</f>
        <v>5.9757939131184837E-2</v>
      </c>
      <c r="Z98" s="363">
        <f>SUM(Y96:Y99)</f>
        <v>0.52249470541710541</v>
      </c>
      <c r="AA98" s="334">
        <f>Z98*52/10^3</f>
        <v>2.7169724681689482E-2</v>
      </c>
      <c r="AG98" s="328"/>
      <c r="AH98" s="328"/>
      <c r="AI98" s="328"/>
      <c r="AJ98" s="328"/>
      <c r="AK98" s="328"/>
      <c r="AL98" s="328"/>
      <c r="AP98" s="222"/>
      <c r="AQ98" s="211"/>
      <c r="AR98" s="222"/>
      <c r="AS98" s="222"/>
      <c r="AT98" s="225"/>
      <c r="AU98" s="225"/>
      <c r="AV98" s="225"/>
      <c r="AW98" s="225"/>
      <c r="AX98" s="225"/>
      <c r="AY98" s="300"/>
      <c r="AZ98" s="300"/>
    </row>
    <row r="99" spans="1:54" s="212" customFormat="1" ht="30" hidden="1" customHeight="1" thickBot="1" x14ac:dyDescent="0.3">
      <c r="A99" s="317"/>
      <c r="B99" s="312"/>
      <c r="C99" s="318"/>
      <c r="D99" s="1871"/>
      <c r="E99" s="1871"/>
      <c r="F99" s="1871"/>
      <c r="G99" s="1871"/>
      <c r="H99" s="1871"/>
      <c r="I99" s="1871"/>
      <c r="J99" s="91"/>
      <c r="K99" s="97"/>
      <c r="L99" s="91"/>
      <c r="M99" s="91"/>
      <c r="N99" s="97"/>
      <c r="O99" s="91"/>
      <c r="P99" s="91"/>
      <c r="Q99" s="97"/>
      <c r="R99" s="91"/>
      <c r="S99" s="91"/>
      <c r="T99" s="97"/>
      <c r="U99" s="91"/>
      <c r="V99" s="91"/>
      <c r="W99" s="97"/>
      <c r="X99" s="76"/>
      <c r="Y99" s="577"/>
      <c r="Z99" s="659"/>
      <c r="AA99" s="660"/>
      <c r="AG99" s="328"/>
      <c r="AH99" s="328"/>
      <c r="AI99" s="328"/>
      <c r="AJ99" s="328"/>
      <c r="AK99" s="328"/>
      <c r="AL99" s="328"/>
      <c r="AP99" s="222"/>
      <c r="AQ99" s="211"/>
      <c r="AR99" s="222"/>
      <c r="AS99" s="222"/>
      <c r="AT99" s="225"/>
      <c r="AU99" s="225"/>
      <c r="AV99" s="225"/>
      <c r="AW99" s="225"/>
      <c r="AX99" s="225"/>
      <c r="AY99" s="300"/>
      <c r="AZ99" s="300"/>
    </row>
    <row r="100" spans="1:54" s="212" customFormat="1" ht="30" customHeight="1" x14ac:dyDescent="0.25">
      <c r="A100" s="322"/>
      <c r="B100" s="322"/>
      <c r="C100" s="323" t="s">
        <v>569</v>
      </c>
      <c r="D100" s="1859">
        <v>6</v>
      </c>
      <c r="E100" s="1859">
        <v>1</v>
      </c>
      <c r="F100" s="1859">
        <v>250</v>
      </c>
      <c r="G100" s="1859">
        <v>0</v>
      </c>
      <c r="H100" s="1859">
        <v>0</v>
      </c>
      <c r="I100" s="1859">
        <v>0</v>
      </c>
      <c r="J100" s="91">
        <f>IF($F100=0,0,1+($F100-$C$21)/$C$22)+$G100/$C$23+$H100/$C$24+$I100/$C$25</f>
        <v>7.4545454545454541</v>
      </c>
      <c r="K100" s="97">
        <f t="shared" si="6"/>
        <v>3.5111917342151263E-8</v>
      </c>
      <c r="L100" s="91">
        <f>($C$7*$C$14*$C$8*$E100/$D100^2*K100*10^6)</f>
        <v>7.8026482982558355E-3</v>
      </c>
      <c r="M100" s="91">
        <f>IF($F100=0,0,1+($F100-$D$21)/$D$22)+$G100/$D$23+$H100/$D$24+$I100/$D$25</f>
        <v>6.6486486486486482</v>
      </c>
      <c r="N100" s="97">
        <f t="shared" si="7"/>
        <v>2.2456979955397711E-7</v>
      </c>
      <c r="O100" s="91">
        <f>($C$7*$D$14*$D$8*$E100/$D100^2*N100*10^6)</f>
        <v>4.99043999008838E-2</v>
      </c>
      <c r="P100" s="91">
        <f>IF($F100=0,0,1+($F100-$E$21)/$E$22)+$G100/$E$23+$H100/$E$24+$I100/$E$25</f>
        <v>5.7674418604651159</v>
      </c>
      <c r="Q100" s="97">
        <f t="shared" si="8"/>
        <v>1.7082763938087111E-6</v>
      </c>
      <c r="R100" s="91">
        <f>($C$7*$D$14*$E$8*$E100/$D100^2*Q100*10^6)</f>
        <v>0.37961697640193576</v>
      </c>
      <c r="S100" s="91">
        <f>IF($F100=0,0,1+($F100-$F$21)/$F$22)+$G100/$F$23+$H100/$F$24+$I100/$F$25</f>
        <v>9.1481481481481488</v>
      </c>
      <c r="T100" s="97">
        <f t="shared" si="9"/>
        <v>7.1097094323124171E-10</v>
      </c>
      <c r="U100" s="91">
        <f>($C$7*$F$14*$F$8*$E100/$D100^2*T100*10^6)</f>
        <v>1.5799354294027593E-4</v>
      </c>
      <c r="V100" s="91">
        <f>IF($F100=0,0,1+($F100-$G$21)/$G$22)+$G100/$G$23+$H100/$G$24+$I100/$G$25</f>
        <v>6.9444444444444446</v>
      </c>
      <c r="W100" s="97">
        <f t="shared" si="10"/>
        <v>1.136463666385722E-7</v>
      </c>
      <c r="X100" s="76">
        <f>($C$7*$G$14*$G$8*$E100/$D100^2*W100*10^6)</f>
        <v>2.5254748141904933E-2</v>
      </c>
      <c r="Y100" s="324">
        <f>SUM(L100,O100,R100,U100,X100)</f>
        <v>0.46273676628592059</v>
      </c>
      <c r="Z100" s="325"/>
      <c r="AA100" s="350"/>
      <c r="AG100" s="328"/>
      <c r="AI100" s="328"/>
      <c r="AJ100" s="328"/>
      <c r="AK100" s="328"/>
      <c r="AL100" s="328"/>
      <c r="AP100" s="222"/>
      <c r="AQ100" s="211"/>
      <c r="AR100" s="222"/>
      <c r="AS100" s="222"/>
      <c r="AT100" s="225"/>
      <c r="AU100" s="225"/>
      <c r="AV100" s="225"/>
      <c r="AW100" s="225"/>
      <c r="AX100" s="225"/>
      <c r="AY100" s="300"/>
      <c r="AZ100" s="300"/>
    </row>
    <row r="101" spans="1:54" s="212" customFormat="1" ht="30" customHeight="1" thickBot="1" x14ac:dyDescent="0.3">
      <c r="A101" s="343" t="str">
        <f>Samenvatting!A233</f>
        <v>vrij</v>
      </c>
      <c r="B101" s="338" t="str">
        <f>Samenvatting!B233</f>
        <v>vrij te kiezen</v>
      </c>
      <c r="C101" s="331" t="s">
        <v>568</v>
      </c>
      <c r="D101" s="1859">
        <v>5</v>
      </c>
      <c r="E101" s="58"/>
      <c r="F101" s="1859">
        <v>250</v>
      </c>
      <c r="G101" s="1859">
        <v>0</v>
      </c>
      <c r="H101" s="1859">
        <v>0</v>
      </c>
      <c r="I101" s="1859">
        <v>0</v>
      </c>
      <c r="J101" s="91">
        <f>$F101/$C$27+$G101/$C$28+$H101/$C$29+$I101/$C$30</f>
        <v>7.3529411764705879</v>
      </c>
      <c r="K101" s="97">
        <f t="shared" si="6"/>
        <v>4.4366873309786093E-8</v>
      </c>
      <c r="L101" s="91">
        <f>($C$7*$C$15*$C$8*($C$9+$C$10*$C$11)/$D101^2*K101*10^6)</f>
        <v>1.0648049594348663E-3</v>
      </c>
      <c r="M101" s="91">
        <f>$F101/$D$27+$G101/$D$28+$H101/$D$29+$I101/$D$30</f>
        <v>6.5789473684210522</v>
      </c>
      <c r="N101" s="97">
        <f t="shared" si="7"/>
        <v>2.636650898730358E-7</v>
      </c>
      <c r="O101" s="91">
        <f>($C$7*$C$15*$D$8*($D$9+$D$10*$D$11)/$D101^2*N101*10^6)</f>
        <v>6.3279621569528599E-3</v>
      </c>
      <c r="P101" s="91">
        <f>$F101/$E$27+$G101/$E$28+$H101/$E$29+$I101/$E$30</f>
        <v>5.6818181818181817</v>
      </c>
      <c r="Q101" s="97">
        <f t="shared" si="8"/>
        <v>2.0805675382171676E-6</v>
      </c>
      <c r="R101" s="91">
        <f>($C$7*$C$15*$E$8*($E$9+$E$10*$E$11)/$D101^2*Q101*10^6)</f>
        <v>4.9933620917212027E-2</v>
      </c>
      <c r="S101" s="91">
        <f>$F101/$F$27+$G101/$F$28+$H101/$F$29+$I101/$F$30</f>
        <v>8.1967213114754092</v>
      </c>
      <c r="T101" s="97">
        <f t="shared" si="9"/>
        <v>6.3573875711648393E-9</v>
      </c>
      <c r="U101" s="91">
        <f>($C$7*$C$15*$F$8*($F$9+$F$10*$F$11)/$D101^2*T101*10^6)</f>
        <v>1.5257730170795616E-4</v>
      </c>
      <c r="V101" s="91">
        <f>$F101/$G$27+$G101/$G$28+$H101/$G$29+$I101/$G$30</f>
        <v>7.0224719101123592</v>
      </c>
      <c r="W101" s="97">
        <f t="shared" si="10"/>
        <v>9.4957241494880226E-8</v>
      </c>
      <c r="X101" s="76">
        <f>($C$7*$C$15*$G$8*($G$9+$G$10*$G$11)/$D101^2*W101*10^6)</f>
        <v>2.278973795877126E-3</v>
      </c>
      <c r="Y101" s="339">
        <f>SUM(L101,O101,R101,U101,X101)</f>
        <v>5.9757939131184837E-2</v>
      </c>
      <c r="Z101" s="363">
        <f>SUM(Y99:Y102)</f>
        <v>0.52249470541710541</v>
      </c>
      <c r="AA101" s="334">
        <f>Z101*52/10^3</f>
        <v>2.7169724681689482E-2</v>
      </c>
      <c r="AG101" s="328"/>
      <c r="AH101" s="328"/>
      <c r="AI101" s="328"/>
      <c r="AJ101" s="328"/>
      <c r="AK101" s="328"/>
      <c r="AL101" s="328"/>
      <c r="AP101" s="222"/>
      <c r="AQ101" s="211"/>
      <c r="AR101" s="222"/>
      <c r="AS101" s="222"/>
      <c r="AT101" s="225"/>
      <c r="AU101" s="225"/>
      <c r="AV101" s="225"/>
      <c r="AW101" s="225"/>
      <c r="AX101" s="225"/>
      <c r="AY101" s="300"/>
      <c r="AZ101" s="300"/>
    </row>
    <row r="102" spans="1:54" s="225" customFormat="1" ht="30" hidden="1" customHeight="1" x14ac:dyDescent="0.25">
      <c r="A102" s="211"/>
      <c r="B102" s="220"/>
      <c r="C102" s="310"/>
      <c r="D102" s="57"/>
      <c r="E102" s="57"/>
      <c r="F102" s="57"/>
      <c r="G102" s="57"/>
      <c r="H102" s="57"/>
      <c r="I102" s="57"/>
      <c r="J102" s="369"/>
      <c r="K102" s="328"/>
      <c r="L102" s="369"/>
      <c r="M102" s="369"/>
      <c r="N102" s="328"/>
      <c r="O102" s="369"/>
      <c r="P102" s="369"/>
      <c r="Q102" s="328"/>
      <c r="R102" s="369"/>
      <c r="S102" s="369"/>
      <c r="T102" s="328"/>
      <c r="U102" s="369"/>
      <c r="V102" s="369"/>
      <c r="W102" s="328"/>
      <c r="X102" s="369"/>
      <c r="Y102" s="369"/>
      <c r="Z102" s="233"/>
      <c r="AA102" s="233"/>
      <c r="AG102" s="328"/>
      <c r="AH102" s="328"/>
      <c r="AI102" s="328"/>
      <c r="AJ102" s="328"/>
      <c r="AK102" s="328"/>
      <c r="AL102" s="328"/>
      <c r="AP102" s="222"/>
      <c r="AQ102" s="211"/>
      <c r="AR102" s="222"/>
      <c r="AS102" s="222"/>
      <c r="AY102" s="300"/>
      <c r="AZ102" s="300"/>
    </row>
    <row r="103" spans="1:54" s="225" customFormat="1" ht="19.5" customHeight="1" thickBot="1" x14ac:dyDescent="0.3">
      <c r="A103" s="222"/>
      <c r="B103" s="222"/>
      <c r="C103" s="368"/>
      <c r="D103" s="57"/>
      <c r="E103" s="57"/>
      <c r="F103" s="57"/>
      <c r="G103" s="57"/>
      <c r="H103" s="57"/>
      <c r="I103" s="57"/>
      <c r="J103" s="369"/>
      <c r="K103" s="328"/>
      <c r="L103" s="369"/>
      <c r="M103" s="369"/>
      <c r="N103" s="328"/>
      <c r="O103" s="369"/>
      <c r="P103" s="369"/>
      <c r="Q103" s="328"/>
      <c r="R103" s="369"/>
      <c r="S103" s="369"/>
      <c r="T103" s="328"/>
      <c r="U103" s="369"/>
      <c r="V103" s="369"/>
      <c r="W103" s="328"/>
      <c r="X103" s="369"/>
      <c r="Y103" s="369"/>
      <c r="Z103" s="233"/>
      <c r="AA103" s="233"/>
      <c r="AG103" s="328"/>
      <c r="AH103" s="328"/>
      <c r="AI103" s="328"/>
      <c r="AJ103" s="328"/>
      <c r="AK103" s="328"/>
      <c r="AL103" s="328"/>
      <c r="AP103" s="222"/>
      <c r="AQ103" s="211"/>
      <c r="AR103" s="222"/>
      <c r="AS103" s="222"/>
      <c r="AY103" s="300"/>
      <c r="AZ103" s="300"/>
    </row>
    <row r="104" spans="1:54" ht="19.5" customHeight="1" x14ac:dyDescent="0.25">
      <c r="A104" s="373" t="s">
        <v>363</v>
      </c>
      <c r="B104" s="374"/>
      <c r="C104" s="375"/>
      <c r="D104" s="376"/>
      <c r="E104" s="377"/>
      <c r="F104" s="378"/>
      <c r="G104" s="379"/>
      <c r="H104" s="379"/>
      <c r="I104" s="379"/>
      <c r="J104" s="379"/>
      <c r="K104" s="379"/>
      <c r="L104" s="380"/>
      <c r="M104" s="380"/>
      <c r="N104" s="379"/>
      <c r="O104" s="379"/>
      <c r="P104" s="379"/>
      <c r="Q104" s="379"/>
      <c r="R104" s="379"/>
      <c r="S104" s="381"/>
      <c r="T104" s="379"/>
      <c r="U104" s="379"/>
      <c r="V104" s="379"/>
      <c r="W104" s="379"/>
      <c r="X104" s="379"/>
      <c r="Y104" s="379"/>
      <c r="Z104" s="379"/>
      <c r="AA104" s="216"/>
      <c r="AB104" s="297"/>
      <c r="AC104" s="216"/>
      <c r="AD104" s="216"/>
      <c r="AE104" s="216"/>
      <c r="AF104" s="216"/>
      <c r="AG104" s="382"/>
      <c r="AH104" s="382"/>
      <c r="AI104" s="382"/>
      <c r="AJ104" s="383"/>
      <c r="AK104" s="383"/>
      <c r="AL104" s="383"/>
      <c r="AM104" s="383"/>
      <c r="AN104" s="383"/>
      <c r="AO104" s="383"/>
      <c r="AP104" s="383"/>
      <c r="AQ104" s="383"/>
      <c r="AR104" s="382"/>
      <c r="AS104" s="382"/>
      <c r="AT104" s="382"/>
      <c r="AU104" s="382"/>
      <c r="AV104" s="186"/>
    </row>
    <row r="105" spans="1:54" ht="19.5" customHeight="1" thickBot="1" x14ac:dyDescent="0.3">
      <c r="A105" s="384"/>
      <c r="B105" s="385"/>
      <c r="C105" s="386"/>
      <c r="D105" s="387"/>
      <c r="E105" s="388"/>
      <c r="F105" s="388"/>
      <c r="G105" s="388"/>
      <c r="H105" s="288"/>
      <c r="I105" s="288"/>
      <c r="J105" s="288"/>
      <c r="K105" s="288"/>
      <c r="L105" s="299"/>
      <c r="M105" s="299"/>
      <c r="N105" s="288"/>
      <c r="O105" s="288"/>
      <c r="P105" s="288"/>
      <c r="Q105" s="288"/>
      <c r="R105" s="288"/>
      <c r="S105" s="289"/>
      <c r="T105" s="288"/>
      <c r="U105" s="288"/>
      <c r="V105" s="288"/>
      <c r="W105" s="288"/>
      <c r="X105" s="288"/>
      <c r="Y105" s="288"/>
      <c r="Z105" s="288"/>
      <c r="AA105" s="222"/>
      <c r="AB105" s="211"/>
      <c r="AC105" s="222"/>
      <c r="AD105" s="222"/>
      <c r="AE105" s="222"/>
      <c r="AF105" s="222"/>
      <c r="AG105" s="187"/>
      <c r="AH105" s="187"/>
      <c r="AI105" s="187"/>
      <c r="AJ105" s="282"/>
      <c r="AK105" s="282"/>
      <c r="AL105" s="282"/>
      <c r="AM105" s="282"/>
      <c r="AN105" s="282"/>
      <c r="AO105" s="282"/>
      <c r="AP105" s="282"/>
      <c r="AQ105" s="282"/>
      <c r="AR105" s="187"/>
      <c r="AS105" s="187"/>
      <c r="AT105" s="187"/>
      <c r="AU105" s="187"/>
      <c r="AV105" s="186"/>
    </row>
    <row r="106" spans="1:54" ht="19.5" customHeight="1" x14ac:dyDescent="0.25">
      <c r="A106" s="215" t="s">
        <v>247</v>
      </c>
      <c r="B106" s="389"/>
      <c r="C106" s="389"/>
      <c r="D106" s="389"/>
      <c r="E106" s="389"/>
      <c r="F106" s="389"/>
      <c r="G106" s="1845" t="s">
        <v>387</v>
      </c>
      <c r="H106" s="288"/>
      <c r="I106" s="288"/>
      <c r="J106" s="288"/>
      <c r="K106" s="288"/>
      <c r="L106" s="299"/>
      <c r="M106" s="299"/>
      <c r="N106" s="288"/>
      <c r="O106" s="288"/>
      <c r="P106" s="288"/>
      <c r="Q106" s="288"/>
      <c r="R106" s="288"/>
      <c r="S106" s="289"/>
      <c r="T106" s="288"/>
      <c r="U106" s="288"/>
      <c r="V106" s="288"/>
      <c r="W106" s="288"/>
      <c r="X106" s="288"/>
      <c r="Y106" s="288"/>
      <c r="Z106" s="288"/>
      <c r="AA106" s="222"/>
      <c r="AB106" s="211"/>
      <c r="AC106" s="222"/>
      <c r="AD106" s="222"/>
      <c r="AE106" s="222"/>
      <c r="AF106" s="222"/>
      <c r="AG106" s="187"/>
      <c r="AH106" s="187"/>
      <c r="AI106" s="187"/>
      <c r="AJ106" s="282"/>
      <c r="AK106" s="282"/>
      <c r="AL106" s="282"/>
      <c r="AM106" s="282"/>
      <c r="AN106" s="282"/>
      <c r="AO106" s="282"/>
      <c r="AP106" s="282"/>
      <c r="AQ106" s="282"/>
      <c r="AR106" s="187"/>
      <c r="AS106" s="187"/>
      <c r="AT106" s="187"/>
      <c r="AU106" s="187"/>
      <c r="AV106" s="186"/>
    </row>
    <row r="107" spans="1:54" ht="19.5" customHeight="1" thickBot="1" x14ac:dyDescent="0.3">
      <c r="A107" s="226" t="s">
        <v>246</v>
      </c>
      <c r="B107" s="390"/>
      <c r="C107" s="390"/>
      <c r="D107" s="390"/>
      <c r="E107" s="390"/>
      <c r="F107" s="390"/>
      <c r="G107" s="1846">
        <v>1</v>
      </c>
      <c r="H107" s="288"/>
      <c r="I107" s="288"/>
      <c r="J107" s="288"/>
      <c r="K107" s="288"/>
      <c r="L107" s="299"/>
      <c r="M107" s="299"/>
      <c r="N107" s="288"/>
      <c r="O107" s="288"/>
      <c r="P107" s="288"/>
      <c r="Q107" s="288"/>
      <c r="R107" s="288"/>
      <c r="S107" s="289"/>
      <c r="T107" s="288"/>
      <c r="U107" s="288"/>
      <c r="V107" s="288"/>
      <c r="W107" s="288"/>
      <c r="X107" s="288"/>
      <c r="Y107" s="288"/>
      <c r="Z107" s="288"/>
      <c r="AA107" s="222"/>
      <c r="AB107" s="211"/>
      <c r="AC107" s="222"/>
      <c r="AD107" s="222"/>
      <c r="AE107" s="222"/>
      <c r="AF107" s="222"/>
      <c r="AG107" s="187"/>
      <c r="AH107" s="187"/>
      <c r="AI107" s="187"/>
      <c r="AJ107" s="282"/>
      <c r="AK107" s="282"/>
      <c r="AL107" s="282"/>
      <c r="AM107" s="282"/>
      <c r="AN107" s="282"/>
      <c r="AO107" s="282"/>
      <c r="AP107" s="282"/>
      <c r="AQ107" s="282"/>
      <c r="AR107" s="187"/>
      <c r="AS107" s="187"/>
      <c r="AT107" s="187"/>
      <c r="AU107" s="187"/>
      <c r="AV107" s="186"/>
    </row>
    <row r="108" spans="1:54" ht="19.5" customHeight="1" thickBot="1" x14ac:dyDescent="0.3">
      <c r="A108" s="221"/>
      <c r="B108" s="225"/>
      <c r="C108" s="225"/>
      <c r="D108" s="225"/>
      <c r="E108" s="225"/>
      <c r="F108" s="225"/>
      <c r="G108" s="57"/>
      <c r="H108" s="288"/>
      <c r="I108" s="288"/>
      <c r="J108" s="288"/>
      <c r="K108" s="288"/>
      <c r="L108" s="225"/>
      <c r="M108" s="187"/>
      <c r="N108" s="187"/>
      <c r="O108" s="187"/>
      <c r="P108" s="187"/>
      <c r="Q108" s="187"/>
      <c r="R108" s="288"/>
      <c r="Y108" s="288"/>
      <c r="Z108" s="288"/>
      <c r="AA108" s="222"/>
      <c r="AB108" s="211"/>
      <c r="AC108" s="222"/>
      <c r="AD108" s="222"/>
      <c r="AE108" s="222"/>
      <c r="AF108" s="222"/>
      <c r="AG108" s="187"/>
      <c r="AH108" s="187"/>
      <c r="AI108" s="187"/>
      <c r="AJ108" s="282"/>
      <c r="AK108" s="282"/>
      <c r="AL108" s="282"/>
      <c r="AM108" s="282"/>
      <c r="AN108" s="282"/>
      <c r="AO108" s="282"/>
      <c r="AP108" s="282"/>
      <c r="AQ108" s="282"/>
      <c r="AR108" s="187"/>
      <c r="AS108" s="187"/>
      <c r="AT108" s="187"/>
      <c r="AU108" s="187"/>
      <c r="AV108" s="186"/>
    </row>
    <row r="109" spans="1:54" s="212" customFormat="1" ht="19.5" customHeight="1" thickBot="1" x14ac:dyDescent="0.3">
      <c r="A109" s="391" t="s">
        <v>243</v>
      </c>
      <c r="B109" s="392"/>
      <c r="C109" s="216"/>
      <c r="D109" s="216"/>
      <c r="E109" s="393"/>
      <c r="F109" s="216"/>
      <c r="G109" s="389"/>
      <c r="H109" s="216"/>
      <c r="I109" s="297"/>
      <c r="J109" s="394"/>
      <c r="K109" s="395"/>
      <c r="L109" s="396" t="s">
        <v>163</v>
      </c>
      <c r="M109" s="379"/>
      <c r="N109" s="379"/>
      <c r="O109" s="397"/>
      <c r="Q109" s="396" t="s">
        <v>581</v>
      </c>
      <c r="R109" s="398"/>
      <c r="S109" s="389"/>
      <c r="T109" s="389"/>
      <c r="U109" s="399"/>
      <c r="Y109" s="400"/>
      <c r="Z109" s="400"/>
      <c r="AA109" s="400"/>
      <c r="AB109" s="400"/>
      <c r="AC109" s="400"/>
      <c r="AD109" s="400"/>
      <c r="AE109" s="225"/>
      <c r="AF109" s="299"/>
      <c r="AG109" s="299"/>
      <c r="AH109" s="225"/>
      <c r="AI109" s="299"/>
      <c r="AJ109" s="299"/>
      <c r="AK109" s="225"/>
      <c r="AL109" s="299"/>
      <c r="AM109" s="299"/>
      <c r="AN109" s="225"/>
      <c r="AO109" s="299"/>
      <c r="AP109" s="299"/>
      <c r="AQ109" s="225"/>
      <c r="AR109" s="299"/>
      <c r="AS109" s="299"/>
      <c r="AT109" s="220"/>
      <c r="AU109" s="211"/>
      <c r="AV109" s="221"/>
      <c r="AW109" s="222"/>
      <c r="AX109" s="225"/>
      <c r="AY109" s="225"/>
      <c r="AZ109" s="225"/>
      <c r="BA109" s="225"/>
      <c r="BB109" s="225"/>
    </row>
    <row r="110" spans="1:54" s="212" customFormat="1" ht="19.5" customHeight="1" thickBot="1" x14ac:dyDescent="0.3">
      <c r="A110" s="401"/>
      <c r="B110" s="222"/>
      <c r="C110" s="225"/>
      <c r="D110" s="240"/>
      <c r="E110" s="402"/>
      <c r="F110" s="403" t="s">
        <v>55</v>
      </c>
      <c r="G110" s="211"/>
      <c r="H110" s="222"/>
      <c r="I110" s="211"/>
      <c r="J110" s="404"/>
      <c r="K110" s="395"/>
      <c r="L110" s="405" t="s">
        <v>577</v>
      </c>
      <c r="M110" s="406"/>
      <c r="N110" s="406"/>
      <c r="O110" s="407"/>
      <c r="Q110" s="408" t="s">
        <v>579</v>
      </c>
      <c r="R110" s="398"/>
      <c r="S110" s="389"/>
      <c r="T110" s="389"/>
      <c r="U110" s="399"/>
      <c r="Y110" s="400"/>
      <c r="Z110" s="400"/>
      <c r="AA110" s="400"/>
      <c r="AB110" s="400"/>
      <c r="AC110" s="400"/>
      <c r="AD110" s="400"/>
      <c r="AE110" s="225"/>
      <c r="AF110" s="299"/>
      <c r="AG110" s="299"/>
      <c r="AH110" s="225"/>
      <c r="AI110" s="299"/>
      <c r="AJ110" s="299"/>
      <c r="AK110" s="225"/>
      <c r="AL110" s="299"/>
      <c r="AM110" s="299"/>
      <c r="AN110" s="225"/>
      <c r="AO110" s="299"/>
      <c r="AP110" s="299"/>
      <c r="AQ110" s="225"/>
      <c r="AR110" s="299"/>
      <c r="AS110" s="299"/>
      <c r="AT110" s="220"/>
      <c r="AU110" s="211"/>
      <c r="AV110" s="221"/>
      <c r="AW110" s="222"/>
      <c r="AX110" s="225"/>
      <c r="AY110" s="225"/>
      <c r="AZ110" s="225"/>
      <c r="BA110" s="225"/>
      <c r="BB110" s="225"/>
    </row>
    <row r="111" spans="1:54" s="212" customFormat="1" ht="19.5" customHeight="1" thickBot="1" x14ac:dyDescent="0.3">
      <c r="A111" s="221"/>
      <c r="B111" s="308" t="s">
        <v>68</v>
      </c>
      <c r="C111" s="409" t="s">
        <v>81</v>
      </c>
      <c r="D111" s="410"/>
      <c r="E111" s="58">
        <v>0.5</v>
      </c>
      <c r="F111" s="411">
        <f>$C$4</f>
        <v>6</v>
      </c>
      <c r="G111" s="411">
        <f>$D$4</f>
        <v>10</v>
      </c>
      <c r="H111" s="411">
        <f>$E$4</f>
        <v>18</v>
      </c>
      <c r="I111" s="411" t="str">
        <f>$F$4</f>
        <v>6 FFF</v>
      </c>
      <c r="J111" s="412" t="str">
        <f>$G$4</f>
        <v>10 FFF</v>
      </c>
      <c r="K111" s="395"/>
      <c r="L111" s="413"/>
      <c r="M111" s="414" t="s">
        <v>38</v>
      </c>
      <c r="N111" s="415" t="s">
        <v>38</v>
      </c>
      <c r="O111" s="416" t="s">
        <v>156</v>
      </c>
      <c r="Q111" s="1847">
        <v>5.6999999999999999E-16</v>
      </c>
      <c r="R111" s="390"/>
      <c r="S111" s="390"/>
      <c r="T111" s="390"/>
      <c r="U111" s="417"/>
      <c r="Y111" s="400"/>
      <c r="Z111" s="400"/>
      <c r="AA111" s="400"/>
      <c r="AB111" s="400"/>
      <c r="AC111" s="400"/>
      <c r="AD111" s="400"/>
      <c r="AE111" s="225"/>
      <c r="AF111" s="299"/>
      <c r="AG111" s="299"/>
      <c r="AH111" s="225"/>
      <c r="AI111" s="299"/>
      <c r="AJ111" s="299"/>
      <c r="AK111" s="225"/>
      <c r="AL111" s="299"/>
      <c r="AM111" s="299"/>
      <c r="AN111" s="225"/>
      <c r="AO111" s="299"/>
      <c r="AP111" s="299"/>
      <c r="AQ111" s="225"/>
      <c r="AR111" s="299"/>
      <c r="AS111" s="299"/>
      <c r="AT111" s="220"/>
      <c r="AU111" s="211"/>
      <c r="AV111" s="221"/>
      <c r="AW111" s="222"/>
      <c r="AX111" s="225"/>
      <c r="AY111" s="225"/>
      <c r="AZ111" s="225"/>
      <c r="BA111" s="225"/>
      <c r="BB111" s="225"/>
    </row>
    <row r="112" spans="1:54" s="212" customFormat="1" ht="19.5" customHeight="1" thickBot="1" x14ac:dyDescent="0.3">
      <c r="A112" s="418" t="s">
        <v>293</v>
      </c>
      <c r="B112" s="419" t="s">
        <v>282</v>
      </c>
      <c r="C112" s="420">
        <f>IF($G$106="parallel",75,30)</f>
        <v>75</v>
      </c>
      <c r="D112" s="421"/>
      <c r="E112" s="422"/>
      <c r="F112" s="423">
        <f>IF($G$106="parallel",VLOOKUP($F$111,reflectiecoefficienten!$A$11:$F$20,2),VLOOKUP($F$111,reflectiecoefficienten!$A$28:$F$37,2))</f>
        <v>2.7000000000000001E-3</v>
      </c>
      <c r="G112" s="423">
        <f>IF($G$106="parallel",VLOOKUP($G$111,reflectiecoefficienten!$A$11:$F$20,2),VLOOKUP($G$111,reflectiecoefficienten!$A$28:$F$37,2))</f>
        <v>2.0999999999999999E-3</v>
      </c>
      <c r="H112" s="423">
        <f>IF($G$106="parallel",VLOOKUP($H$111,reflectiecoefficienten!$A$11:$F$20,2),VLOOKUP($H$111,reflectiecoefficienten!$A$28:$F$37,2))</f>
        <v>1.6000000000000001E-3</v>
      </c>
      <c r="I112" s="424">
        <f>IF($G$106="parallel",VLOOKUP($I$111,reflectiecoefficienten!$A$11:$F$20,2),VLOOKUP($I$111,reflectiecoefficienten!$A$28:$F$37,2))</f>
        <v>3.5000000000000001E-3</v>
      </c>
      <c r="J112" s="425">
        <f>IF($G$106="parallel",VLOOKUP($J$111,reflectiecoefficienten!$A$11:$F$20,2),VLOOKUP($J$111,reflectiecoefficienten!$A$28:$F$37,2))</f>
        <v>3.3E-3</v>
      </c>
      <c r="K112" s="395"/>
      <c r="L112" s="257"/>
      <c r="M112" s="312" t="s">
        <v>578</v>
      </c>
      <c r="N112" s="308" t="s">
        <v>33</v>
      </c>
      <c r="O112" s="309" t="s">
        <v>245</v>
      </c>
      <c r="Q112" s="426" t="s">
        <v>580</v>
      </c>
      <c r="R112" s="400"/>
      <c r="S112" s="225"/>
      <c r="T112" s="225"/>
      <c r="U112" s="427"/>
      <c r="Y112" s="400"/>
      <c r="Z112" s="400"/>
      <c r="AA112" s="400"/>
      <c r="AB112" s="400"/>
      <c r="AC112" s="400"/>
      <c r="AD112" s="400"/>
      <c r="AE112" s="225"/>
      <c r="AF112" s="299"/>
      <c r="AG112" s="299"/>
      <c r="AH112" s="225"/>
      <c r="AI112" s="299"/>
      <c r="AJ112" s="299"/>
      <c r="AK112" s="225"/>
      <c r="AL112" s="299"/>
      <c r="AM112" s="299"/>
      <c r="AN112" s="225"/>
      <c r="AO112" s="299"/>
      <c r="AP112" s="299"/>
      <c r="AQ112" s="225"/>
      <c r="AR112" s="299"/>
      <c r="AS112" s="299"/>
      <c r="AT112" s="220"/>
      <c r="AU112" s="211"/>
      <c r="AV112" s="221"/>
      <c r="AW112" s="222"/>
      <c r="AX112" s="225"/>
      <c r="AY112" s="225"/>
      <c r="AZ112" s="225"/>
      <c r="BA112" s="225"/>
      <c r="BB112" s="225"/>
    </row>
    <row r="113" spans="1:54" s="212" customFormat="1" ht="19.5" customHeight="1" thickBot="1" x14ac:dyDescent="0.3">
      <c r="A113" s="428" t="s">
        <v>294</v>
      </c>
      <c r="B113" s="179" t="s">
        <v>282</v>
      </c>
      <c r="C113" s="308">
        <v>75</v>
      </c>
      <c r="D113" s="421"/>
      <c r="E113" s="429"/>
      <c r="F113" s="423">
        <f>IF($G$106="parallel",VLOOKUP($F$111,reflectiecoefficienten!$A$11:$F$20,3),VLOOKUP($F$111,reflectiecoefficienten!$A$28:$F$37,3))</f>
        <v>2.7000000000000001E-3</v>
      </c>
      <c r="G113" s="423">
        <f>IF($G$106="parallel",VLOOKUP($G$111,reflectiecoefficienten!$A$11:$F$20,3),VLOOKUP($G$111,reflectiecoefficienten!$A$28:$F$37,3))</f>
        <v>2.0999999999999999E-3</v>
      </c>
      <c r="H113" s="423">
        <f>IF($G$106="parallel",VLOOKUP($H$111,reflectiecoefficienten!$A$11:$F$20,3),VLOOKUP($H$111,reflectiecoefficienten!$A$28:$F$37,3))</f>
        <v>1.6000000000000001E-3</v>
      </c>
      <c r="I113" s="424">
        <f>IF($G$106="parallel",VLOOKUP($I$111,reflectiecoefficienten!$A$11:$F$20,3),VLOOKUP($I$111,reflectiecoefficienten!$A$28:$F$37,3))</f>
        <v>3.5000000000000001E-3</v>
      </c>
      <c r="J113" s="425">
        <f>IF($G$106="parallel",VLOOKUP($J$111,reflectiecoefficienten!$A$11:$F$20,3),VLOOKUP($J$111,reflectiecoefficienten!$A$28:$F$37,3))</f>
        <v>3.3E-3</v>
      </c>
      <c r="K113" s="395"/>
      <c r="L113" s="307" t="s">
        <v>55</v>
      </c>
      <c r="M113" s="430">
        <v>0.5</v>
      </c>
      <c r="N113" s="415">
        <v>0.1</v>
      </c>
      <c r="O113" s="416">
        <v>3.6</v>
      </c>
      <c r="Q113" s="1848">
        <v>6.2</v>
      </c>
      <c r="R113" s="431"/>
      <c r="S113" s="390"/>
      <c r="T113" s="390"/>
      <c r="U113" s="417"/>
      <c r="Y113" s="400"/>
      <c r="Z113" s="400"/>
      <c r="AA113" s="400"/>
      <c r="AB113" s="400"/>
      <c r="AC113" s="400"/>
      <c r="AD113" s="400"/>
      <c r="AE113" s="225"/>
      <c r="AF113" s="299"/>
      <c r="AG113" s="299"/>
      <c r="AH113" s="225"/>
      <c r="AI113" s="299"/>
      <c r="AJ113" s="299"/>
      <c r="AK113" s="225"/>
      <c r="AL113" s="299"/>
      <c r="AM113" s="299"/>
      <c r="AN113" s="225"/>
      <c r="AO113" s="299"/>
      <c r="AP113" s="299"/>
      <c r="AQ113" s="225"/>
      <c r="AR113" s="299"/>
      <c r="AS113" s="299"/>
      <c r="AT113" s="220"/>
      <c r="AU113" s="211"/>
      <c r="AV113" s="221"/>
      <c r="AW113" s="222"/>
      <c r="AX113" s="225"/>
      <c r="AY113" s="225"/>
      <c r="AZ113" s="225"/>
      <c r="BA113" s="225"/>
      <c r="BB113" s="225"/>
    </row>
    <row r="114" spans="1:54" s="212" customFormat="1" ht="19.5" customHeight="1" thickBot="1" x14ac:dyDescent="0.3">
      <c r="A114" s="428" t="s">
        <v>295</v>
      </c>
      <c r="B114" s="308" t="str">
        <f>IF($G$106="parallel","loodrecht",45)</f>
        <v>loodrecht</v>
      </c>
      <c r="C114" s="308">
        <f>IF($G$106="parallel",75,0)</f>
        <v>75</v>
      </c>
      <c r="D114" s="421"/>
      <c r="E114" s="432">
        <f>IF($G$106="parallel",VLOOKUP($E$111,reflectiecoefficienten!$A$11:$F$20,4),VLOOKUP($E$111,reflectiecoefficienten!$A$28:$F$37,4))</f>
        <v>8.0000000000000002E-3</v>
      </c>
      <c r="F114" s="433"/>
      <c r="G114" s="423"/>
      <c r="H114" s="423"/>
      <c r="I114" s="424"/>
      <c r="J114" s="425"/>
      <c r="K114" s="395"/>
      <c r="L114" s="434" t="s">
        <v>3</v>
      </c>
      <c r="M114" s="263">
        <f>VLOOKUP($M$113,'TVT''s afscherming'!$A$10:$J$23,5)</f>
        <v>5.5</v>
      </c>
      <c r="N114" s="435">
        <f>VLOOKUP($N$113,'TVT''s afscherming'!$A$45:$J$45,3)</f>
        <v>37</v>
      </c>
      <c r="O114" s="436">
        <f>VLOOKUP($O$113,'TVT''s afscherming'!$A$47:$J$47,3)</f>
        <v>13.5</v>
      </c>
      <c r="R114" s="400"/>
      <c r="Y114" s="400"/>
      <c r="Z114" s="400"/>
      <c r="AA114" s="400"/>
      <c r="AB114" s="400"/>
      <c r="AC114" s="400"/>
      <c r="AD114" s="400"/>
      <c r="AE114" s="225"/>
      <c r="AF114" s="299"/>
      <c r="AG114" s="299"/>
      <c r="AH114" s="225"/>
      <c r="AI114" s="299"/>
      <c r="AJ114" s="299"/>
      <c r="AK114" s="225"/>
      <c r="AL114" s="299"/>
      <c r="AM114" s="299"/>
      <c r="AN114" s="225"/>
      <c r="AO114" s="299"/>
      <c r="AP114" s="299"/>
      <c r="AQ114" s="225"/>
      <c r="AR114" s="299"/>
      <c r="AS114" s="299"/>
      <c r="AT114" s="220"/>
      <c r="AU114" s="211"/>
      <c r="AV114" s="221"/>
      <c r="AW114" s="222"/>
      <c r="AX114" s="225"/>
      <c r="AY114" s="225"/>
      <c r="AZ114" s="225"/>
      <c r="BA114" s="225"/>
      <c r="BB114" s="225"/>
    </row>
    <row r="115" spans="1:54" s="212" customFormat="1" ht="19.5" customHeight="1" thickBot="1" x14ac:dyDescent="0.3">
      <c r="A115" s="428" t="s">
        <v>296</v>
      </c>
      <c r="B115" s="308">
        <v>45</v>
      </c>
      <c r="C115" s="308">
        <v>0</v>
      </c>
      <c r="D115" s="421"/>
      <c r="E115" s="432">
        <f>IF($G$106="parallel",VLOOKUP($E$111,reflectiecoefficienten!$A$11:$F$20,5),VLOOKUP($E$111,reflectiecoefficienten!$A$28:$F$37,5))</f>
        <v>2.1999999999999999E-2</v>
      </c>
      <c r="F115" s="423">
        <f>IF($G$106="parallel",VLOOKUP($F$111,reflectiecoefficienten!$A$11:$F$20,5),VLOOKUP($F$111,reflectiecoefficienten!$A$28:$F$37,5))</f>
        <v>6.4000000000000003E-3</v>
      </c>
      <c r="G115" s="423">
        <f>IF($G$106="parallel",VLOOKUP($G$111,reflectiecoefficienten!$A$11:$F$20,5),VLOOKUP($G$111,reflectiecoefficienten!$A$28:$F$37,5))</f>
        <v>5.1000000000000004E-3</v>
      </c>
      <c r="H115" s="423">
        <f>IF($G$106="parallel",VLOOKUP($H$111,reflectiecoefficienten!$A$11:$F$20,5),VLOOKUP($H$111,reflectiecoefficienten!$A$28:$F$37,5))</f>
        <v>4.4999999999999997E-3</v>
      </c>
      <c r="I115" s="424">
        <f>IF($G$106="parallel",VLOOKUP($I$111,reflectiecoefficienten!$A$11:$F$20,5),VLOOKUP($I$111,reflectiecoefficienten!$A$28:$F$37,5))</f>
        <v>8.3000000000000001E-3</v>
      </c>
      <c r="J115" s="425">
        <f>IF($G$106="parallel",VLOOKUP($J$111,reflectiecoefficienten!$A$11:$F$20,5),VLOOKUP($J$111,reflectiecoefficienten!$A$28:$F$37,5))</f>
        <v>7.3000000000000001E-3</v>
      </c>
      <c r="K115" s="395"/>
      <c r="L115" s="307" t="s">
        <v>22</v>
      </c>
      <c r="M115" s="263">
        <f>VLOOKUP($M$113,'TVT''s afscherming'!$A$10:$J$23,6)</f>
        <v>1.6</v>
      </c>
      <c r="N115" s="263">
        <f>VLOOKUP($N$113,'TVT''s afscherming'!$A$45:$J$45,4)</f>
        <v>37</v>
      </c>
      <c r="O115" s="437">
        <f>IF(M134&gt;5,'TVT''s afscherming'!$D$48,'TVT''s afscherming'!$D$47)</f>
        <v>0.6</v>
      </c>
      <c r="R115" s="400"/>
      <c r="Y115" s="400"/>
      <c r="Z115" s="400"/>
      <c r="AA115" s="400"/>
      <c r="AB115" s="400"/>
      <c r="AC115" s="400"/>
      <c r="AD115" s="400"/>
      <c r="AE115" s="225"/>
      <c r="AF115" s="299"/>
      <c r="AG115" s="299"/>
      <c r="AH115" s="225"/>
      <c r="AI115" s="299"/>
      <c r="AJ115" s="299"/>
      <c r="AK115" s="225"/>
      <c r="AL115" s="299"/>
      <c r="AM115" s="299"/>
      <c r="AN115" s="225"/>
      <c r="AO115" s="299"/>
      <c r="AP115" s="299"/>
      <c r="AQ115" s="225"/>
      <c r="AR115" s="299"/>
      <c r="AS115" s="299"/>
      <c r="AT115" s="220"/>
      <c r="AU115" s="211"/>
      <c r="AV115" s="221"/>
      <c r="AW115" s="222"/>
      <c r="AX115" s="225"/>
      <c r="AY115" s="225"/>
      <c r="AZ115" s="225"/>
      <c r="BA115" s="225"/>
      <c r="BB115" s="225"/>
    </row>
    <row r="116" spans="1:54" s="212" customFormat="1" ht="19.5" customHeight="1" thickBot="1" x14ac:dyDescent="0.3">
      <c r="A116" s="428" t="s">
        <v>297</v>
      </c>
      <c r="B116" s="179" t="s">
        <v>282</v>
      </c>
      <c r="C116" s="308">
        <v>75</v>
      </c>
      <c r="D116" s="222"/>
      <c r="E116" s="424">
        <f>IF(G107=1,1,(IF($G$106="parallel",VLOOKUP($E$111,reflectiecoefficienten!$A$11:$F$20,6),VLOOKUP($E$111,reflectiecoefficienten!$A$28:$F$37,6))))</f>
        <v>1</v>
      </c>
      <c r="F116" s="429"/>
      <c r="G116" s="423"/>
      <c r="H116" s="424"/>
      <c r="I116" s="424"/>
      <c r="J116" s="425"/>
      <c r="K116" s="395"/>
      <c r="L116" s="438" t="s">
        <v>39</v>
      </c>
      <c r="M116" s="439"/>
      <c r="N116" s="276">
        <f>VLOOKUP($N$113,'TVT''s afscherming'!$A$45:$J$45,5)</f>
        <v>4.5</v>
      </c>
      <c r="O116" s="440"/>
      <c r="R116" s="400"/>
      <c r="Y116" s="400"/>
      <c r="Z116" s="400"/>
      <c r="AA116" s="400"/>
      <c r="AB116" s="400"/>
      <c r="AC116" s="400"/>
      <c r="AD116" s="400"/>
      <c r="AE116" s="225"/>
      <c r="AF116" s="299"/>
      <c r="AG116" s="299"/>
      <c r="AH116" s="225"/>
      <c r="AI116" s="299"/>
      <c r="AJ116" s="299"/>
      <c r="AK116" s="225"/>
      <c r="AL116" s="299"/>
      <c r="AM116" s="299"/>
      <c r="AN116" s="225"/>
      <c r="AO116" s="299"/>
      <c r="AP116" s="299"/>
      <c r="AQ116" s="225"/>
      <c r="AR116" s="299"/>
      <c r="AS116" s="299"/>
      <c r="AT116" s="220"/>
      <c r="AU116" s="211"/>
      <c r="AV116" s="221"/>
      <c r="AW116" s="222"/>
      <c r="AX116" s="225"/>
      <c r="AY116" s="225"/>
      <c r="AZ116" s="225"/>
      <c r="BA116" s="225"/>
      <c r="BB116" s="225"/>
    </row>
    <row r="117" spans="1:54" s="212" customFormat="1" ht="19.5" customHeight="1" thickBot="1" x14ac:dyDescent="0.3">
      <c r="A117" s="441"/>
      <c r="B117" s="442"/>
      <c r="C117" s="443"/>
      <c r="D117" s="444"/>
      <c r="E117" s="445"/>
      <c r="F117" s="446"/>
      <c r="G117" s="445"/>
      <c r="H117" s="445"/>
      <c r="I117" s="445"/>
      <c r="J117" s="445"/>
      <c r="K117" s="395"/>
      <c r="R117" s="400"/>
      <c r="Y117" s="400"/>
      <c r="Z117" s="400"/>
      <c r="AA117" s="400"/>
      <c r="AB117" s="400"/>
      <c r="AC117" s="400"/>
      <c r="AD117" s="400"/>
      <c r="AE117" s="225"/>
      <c r="AF117" s="299"/>
      <c r="AG117" s="299"/>
      <c r="AH117" s="225"/>
      <c r="AI117" s="299"/>
      <c r="AJ117" s="299"/>
      <c r="AK117" s="225"/>
      <c r="AL117" s="299"/>
      <c r="AM117" s="299"/>
      <c r="AN117" s="225"/>
      <c r="AO117" s="299"/>
      <c r="AP117" s="299"/>
      <c r="AQ117" s="225"/>
      <c r="AR117" s="299"/>
      <c r="AS117" s="299"/>
      <c r="AT117" s="220"/>
      <c r="AU117" s="211"/>
      <c r="AV117" s="221"/>
      <c r="AW117" s="222"/>
      <c r="AX117" s="225"/>
      <c r="AY117" s="225"/>
      <c r="AZ117" s="225"/>
      <c r="BA117" s="225"/>
      <c r="BB117" s="225"/>
    </row>
    <row r="118" spans="1:54" s="212" customFormat="1" ht="19.5" customHeight="1" x14ac:dyDescent="0.25">
      <c r="A118" s="447" t="s">
        <v>280</v>
      </c>
      <c r="B118" s="272"/>
      <c r="C118" s="222"/>
      <c r="D118" s="222"/>
      <c r="E118" s="310"/>
      <c r="F118" s="448" t="s">
        <v>55</v>
      </c>
      <c r="J118" s="449"/>
      <c r="K118" s="395"/>
      <c r="R118" s="400"/>
      <c r="S118" s="400"/>
      <c r="T118" s="400"/>
      <c r="U118" s="400"/>
      <c r="V118" s="400"/>
      <c r="W118" s="400"/>
      <c r="X118" s="400"/>
      <c r="Y118" s="400"/>
      <c r="Z118" s="400"/>
      <c r="AA118" s="400"/>
      <c r="AB118" s="400"/>
      <c r="AC118" s="400"/>
      <c r="AD118" s="400"/>
      <c r="AE118" s="225"/>
      <c r="AF118" s="299"/>
      <c r="AG118" s="299"/>
      <c r="AH118" s="225"/>
      <c r="AI118" s="299"/>
      <c r="AJ118" s="299"/>
      <c r="AK118" s="225"/>
      <c r="AL118" s="299"/>
      <c r="AM118" s="299"/>
      <c r="AN118" s="225"/>
      <c r="AO118" s="299"/>
      <c r="AP118" s="299"/>
      <c r="AQ118" s="225"/>
      <c r="AR118" s="299"/>
      <c r="AS118" s="299"/>
      <c r="AT118" s="220"/>
      <c r="AU118" s="211"/>
      <c r="AV118" s="221"/>
      <c r="AW118" s="222"/>
      <c r="AX118" s="225"/>
      <c r="AY118" s="225"/>
      <c r="AZ118" s="225"/>
      <c r="BA118" s="225"/>
      <c r="BB118" s="225"/>
    </row>
    <row r="119" spans="1:54" s="212" customFormat="1" ht="19.5" customHeight="1" x14ac:dyDescent="0.25">
      <c r="A119" s="221" t="s">
        <v>291</v>
      </c>
      <c r="B119" s="220"/>
      <c r="C119" s="450" t="s">
        <v>289</v>
      </c>
      <c r="D119" s="266"/>
      <c r="E119" s="451"/>
      <c r="F119" s="411">
        <f>$C$4</f>
        <v>6</v>
      </c>
      <c r="G119" s="269">
        <f>$D$4</f>
        <v>10</v>
      </c>
      <c r="H119" s="269">
        <f>$E$4</f>
        <v>18</v>
      </c>
      <c r="I119" s="411" t="str">
        <f>$F$4</f>
        <v>6 FFF</v>
      </c>
      <c r="J119" s="412" t="str">
        <f>$G$4</f>
        <v>10 FFF</v>
      </c>
      <c r="K119" s="395"/>
      <c r="L119" s="211"/>
      <c r="M119" s="452"/>
      <c r="N119" s="453"/>
      <c r="O119" s="453"/>
      <c r="P119" s="453"/>
      <c r="Q119" s="453"/>
      <c r="R119" s="400"/>
      <c r="S119" s="400"/>
      <c r="T119" s="400"/>
      <c r="U119" s="400"/>
      <c r="V119" s="400"/>
      <c r="W119" s="400"/>
      <c r="X119" s="400"/>
      <c r="Y119" s="400"/>
      <c r="Z119" s="400"/>
      <c r="AA119" s="400"/>
      <c r="AB119" s="400"/>
      <c r="AC119" s="400"/>
      <c r="AD119" s="400"/>
      <c r="AE119" s="225"/>
      <c r="AF119" s="299"/>
      <c r="AG119" s="299"/>
      <c r="AH119" s="225"/>
      <c r="AI119" s="299"/>
      <c r="AJ119" s="299"/>
      <c r="AK119" s="225"/>
      <c r="AL119" s="299"/>
      <c r="AM119" s="299"/>
      <c r="AN119" s="225"/>
      <c r="AO119" s="299"/>
      <c r="AP119" s="299"/>
      <c r="AQ119" s="225"/>
      <c r="AR119" s="299"/>
      <c r="AS119" s="299"/>
      <c r="AT119" s="220"/>
      <c r="AU119" s="211"/>
      <c r="AV119" s="221"/>
      <c r="AW119" s="222"/>
      <c r="AX119" s="225"/>
      <c r="AY119" s="225"/>
      <c r="AZ119" s="225"/>
      <c r="BA119" s="225"/>
      <c r="BB119" s="225"/>
    </row>
    <row r="120" spans="1:54" s="212" customFormat="1" ht="19.5" customHeight="1" x14ac:dyDescent="0.25">
      <c r="A120" s="454" t="s">
        <v>281</v>
      </c>
      <c r="B120" s="455"/>
      <c r="C120" s="456" t="s">
        <v>287</v>
      </c>
      <c r="D120" s="457"/>
      <c r="E120" s="458"/>
      <c r="F120" s="423">
        <f>VLOOKUP($F$119,patientscatterfactoren!$A$18:$I$29,5)</f>
        <v>1.39E-3</v>
      </c>
      <c r="G120" s="423">
        <f>VLOOKUP($G$119,patientscatterfactoren!$A$18:$I$29,5)</f>
        <v>1.3500000000000001E-3</v>
      </c>
      <c r="H120" s="423">
        <f>VLOOKUP($H$119,patientscatterfactoren!$A$18:$I$29,5)</f>
        <v>8.6399999999999997E-4</v>
      </c>
      <c r="I120" s="423">
        <f>VLOOKUP($I$119,patientscatterfactoren!$A$18:$I$29,5)</f>
        <v>1.2999999999999999E-3</v>
      </c>
      <c r="J120" s="425">
        <f>VLOOKUP($J$119,patientscatterfactoren!$A$18:$I$29,5)</f>
        <v>1.1999999999999999E-3</v>
      </c>
      <c r="K120" s="395"/>
      <c r="L120" s="211"/>
      <c r="M120" s="453"/>
      <c r="N120" s="453"/>
      <c r="O120" s="453"/>
      <c r="P120" s="453"/>
      <c r="Q120" s="453"/>
      <c r="R120" s="400"/>
      <c r="S120" s="400"/>
      <c r="T120" s="400"/>
      <c r="U120" s="400"/>
      <c r="V120" s="400"/>
      <c r="W120" s="400"/>
      <c r="X120" s="400"/>
      <c r="Y120" s="400"/>
      <c r="Z120" s="400"/>
      <c r="AA120" s="400"/>
      <c r="AB120" s="400"/>
      <c r="AC120" s="400"/>
      <c r="AD120" s="400"/>
      <c r="AE120" s="225"/>
      <c r="AF120" s="299"/>
      <c r="AG120" s="299"/>
      <c r="AH120" s="225"/>
      <c r="AI120" s="299"/>
      <c r="AJ120" s="299"/>
      <c r="AK120" s="225"/>
      <c r="AL120" s="299"/>
      <c r="AM120" s="299"/>
      <c r="AN120" s="225"/>
      <c r="AO120" s="299"/>
      <c r="AP120" s="299"/>
      <c r="AQ120" s="225"/>
      <c r="AR120" s="299"/>
      <c r="AS120" s="299"/>
      <c r="AT120" s="220"/>
      <c r="AU120" s="211"/>
      <c r="AV120" s="221"/>
      <c r="AW120" s="222"/>
      <c r="AX120" s="225"/>
      <c r="AY120" s="225"/>
      <c r="AZ120" s="225"/>
      <c r="BA120" s="225"/>
      <c r="BB120" s="225"/>
    </row>
    <row r="121" spans="1:54" s="212" customFormat="1" ht="19.5" customHeight="1" x14ac:dyDescent="0.25">
      <c r="A121" s="459" t="s">
        <v>284</v>
      </c>
      <c r="B121" s="272"/>
      <c r="C121" s="460" t="s">
        <v>285</v>
      </c>
      <c r="D121" s="222"/>
      <c r="E121" s="461"/>
      <c r="F121" s="423">
        <f>VLOOKUP($F$119,patientscatterfactoren!$A$18:$I$29,7)</f>
        <v>4.26E-4</v>
      </c>
      <c r="G121" s="423">
        <f>VLOOKUP($G$119,patientscatterfactoren!$A$18:$I$29,7)</f>
        <v>3.8099999999999999E-4</v>
      </c>
      <c r="H121" s="423">
        <f>VLOOKUP($H$119,patientscatterfactoren!$A$18:$I$29,7)</f>
        <v>1.8900000000000001E-4</v>
      </c>
      <c r="I121" s="423">
        <f>VLOOKUP($I$119,patientscatterfactoren!$A$18:$I$29,7)</f>
        <v>4.46E-4</v>
      </c>
      <c r="J121" s="425">
        <f>VLOOKUP($J$119,patientscatterfactoren!$A$18:$I$29,7)</f>
        <v>4.0299999999999998E-4</v>
      </c>
      <c r="K121" s="395"/>
      <c r="L121" s="211"/>
      <c r="M121" s="453"/>
      <c r="N121" s="453"/>
      <c r="O121" s="453"/>
      <c r="P121" s="453"/>
      <c r="Q121" s="453"/>
      <c r="R121" s="400"/>
      <c r="S121" s="400"/>
      <c r="T121" s="400"/>
      <c r="U121" s="400"/>
      <c r="V121" s="400"/>
      <c r="W121" s="400"/>
      <c r="X121" s="400"/>
      <c r="Y121" s="400"/>
      <c r="Z121" s="400"/>
      <c r="AA121" s="400"/>
      <c r="AB121" s="400"/>
      <c r="AC121" s="400"/>
      <c r="AD121" s="400"/>
      <c r="AE121" s="225"/>
      <c r="AF121" s="299"/>
      <c r="AG121" s="299"/>
      <c r="AH121" s="225"/>
      <c r="AI121" s="299"/>
      <c r="AJ121" s="299"/>
      <c r="AK121" s="225"/>
      <c r="AL121" s="299"/>
      <c r="AM121" s="299"/>
      <c r="AN121" s="225"/>
      <c r="AO121" s="299"/>
      <c r="AP121" s="299"/>
      <c r="AQ121" s="225"/>
      <c r="AR121" s="299"/>
      <c r="AS121" s="299"/>
      <c r="AT121" s="220"/>
      <c r="AU121" s="211"/>
      <c r="AV121" s="221"/>
      <c r="AW121" s="222"/>
      <c r="AX121" s="225"/>
      <c r="AY121" s="225"/>
      <c r="AZ121" s="225"/>
      <c r="BA121" s="225"/>
      <c r="BB121" s="225"/>
    </row>
    <row r="122" spans="1:54" s="212" customFormat="1" ht="19.5" customHeight="1" thickBot="1" x14ac:dyDescent="0.3">
      <c r="A122" s="459" t="s">
        <v>286</v>
      </c>
      <c r="B122" s="272"/>
      <c r="C122" s="460" t="s">
        <v>288</v>
      </c>
      <c r="D122" s="222"/>
      <c r="E122" s="462"/>
      <c r="F122" s="423">
        <f>VLOOKUP($F$119,patientscatterfactoren!$A$18:$I$29,8)</f>
        <v>2.9999999999999997E-4</v>
      </c>
      <c r="G122" s="423">
        <f>VLOOKUP($G$119,patientscatterfactoren!$A$18:$I$29,8)</f>
        <v>3.0200000000000002E-4</v>
      </c>
      <c r="H122" s="463">
        <f>VLOOKUP($H$119,patientscatterfactoren!$A$18:$I$29,8)</f>
        <v>1.2400000000000001E-4</v>
      </c>
      <c r="I122" s="463">
        <f>VLOOKUP($I$119,patientscatterfactoren!$A$18:$I$29,8)</f>
        <v>3.4200000000000002E-4</v>
      </c>
      <c r="J122" s="464">
        <f>VLOOKUP($J$119,patientscatterfactoren!$A$18:$I$29,8)</f>
        <v>3.8200000000000002E-4</v>
      </c>
      <c r="K122" s="395"/>
      <c r="L122" s="211"/>
      <c r="M122" s="453"/>
      <c r="N122" s="453"/>
      <c r="O122" s="453"/>
      <c r="P122" s="453"/>
      <c r="Q122" s="453"/>
      <c r="R122" s="400"/>
      <c r="S122" s="400"/>
      <c r="T122" s="400"/>
      <c r="U122" s="400"/>
      <c r="V122" s="400"/>
      <c r="W122" s="400"/>
      <c r="X122" s="400"/>
      <c r="Y122" s="400"/>
      <c r="Z122" s="400"/>
      <c r="AA122" s="400"/>
      <c r="AB122" s="400"/>
      <c r="AC122" s="400"/>
      <c r="AD122" s="400"/>
      <c r="AE122" s="225"/>
      <c r="AF122" s="299"/>
      <c r="AG122" s="299"/>
      <c r="AH122" s="225"/>
      <c r="AI122" s="299"/>
      <c r="AJ122" s="299"/>
      <c r="AK122" s="225"/>
      <c r="AL122" s="299"/>
      <c r="AM122" s="299"/>
      <c r="AN122" s="225"/>
      <c r="AO122" s="299"/>
      <c r="AP122" s="299"/>
      <c r="AQ122" s="225"/>
      <c r="AR122" s="299"/>
      <c r="AS122" s="299"/>
      <c r="AT122" s="220"/>
      <c r="AU122" s="211"/>
      <c r="AV122" s="221"/>
      <c r="AW122" s="222"/>
      <c r="AX122" s="225"/>
      <c r="AY122" s="225"/>
      <c r="AZ122" s="225"/>
      <c r="BA122" s="225"/>
      <c r="BB122" s="225"/>
    </row>
    <row r="123" spans="1:54" s="212" customFormat="1" ht="19.5" customHeight="1" thickBot="1" x14ac:dyDescent="0.3">
      <c r="A123" s="465"/>
      <c r="B123" s="466"/>
      <c r="C123" s="466"/>
      <c r="D123" s="444"/>
      <c r="E123" s="445"/>
      <c r="F123" s="445"/>
      <c r="G123" s="445"/>
      <c r="H123" s="467"/>
      <c r="I123" s="467"/>
      <c r="J123" s="467"/>
      <c r="K123" s="395"/>
      <c r="L123" s="395"/>
      <c r="M123" s="400"/>
      <c r="N123" s="400"/>
      <c r="O123" s="400"/>
      <c r="P123" s="400"/>
      <c r="Q123" s="400"/>
      <c r="R123" s="400"/>
      <c r="S123" s="400"/>
      <c r="T123" s="400"/>
      <c r="U123" s="400"/>
      <c r="V123" s="400"/>
      <c r="W123" s="400"/>
      <c r="X123" s="400"/>
      <c r="Y123" s="400"/>
      <c r="Z123" s="400"/>
      <c r="AA123" s="400"/>
      <c r="AB123" s="400"/>
      <c r="AC123" s="400"/>
      <c r="AD123" s="400"/>
      <c r="AE123" s="225"/>
      <c r="AF123" s="299"/>
      <c r="AG123" s="299"/>
      <c r="AH123" s="225"/>
      <c r="AI123" s="299"/>
      <c r="AJ123" s="299"/>
      <c r="AK123" s="225"/>
      <c r="AL123" s="299"/>
      <c r="AM123" s="299"/>
      <c r="AN123" s="225"/>
      <c r="AO123" s="299"/>
      <c r="AP123" s="299"/>
      <c r="AQ123" s="225"/>
      <c r="AR123" s="299"/>
      <c r="AS123" s="299"/>
      <c r="AT123" s="220"/>
      <c r="AU123" s="211"/>
      <c r="AV123" s="221"/>
      <c r="AW123" s="222"/>
      <c r="AX123" s="225"/>
      <c r="AY123" s="225"/>
      <c r="AZ123" s="225"/>
      <c r="BA123" s="225"/>
      <c r="BB123" s="225"/>
    </row>
    <row r="124" spans="1:54" s="212" customFormat="1" ht="19.5" customHeight="1" x14ac:dyDescent="0.25">
      <c r="A124" s="428" t="s">
        <v>244</v>
      </c>
      <c r="B124" s="225"/>
      <c r="C124" s="225"/>
      <c r="D124" s="211"/>
      <c r="E124" s="211"/>
      <c r="F124" s="225"/>
      <c r="G124" s="427"/>
      <c r="H124" s="225"/>
      <c r="I124" s="225"/>
      <c r="J124" s="222"/>
      <c r="K124" s="395"/>
      <c r="L124" s="395"/>
      <c r="M124" s="400"/>
      <c r="N124" s="400"/>
      <c r="O124" s="400"/>
      <c r="P124" s="400"/>
      <c r="Q124" s="400"/>
      <c r="R124" s="400"/>
      <c r="S124" s="400"/>
      <c r="T124" s="400"/>
      <c r="U124" s="400"/>
      <c r="V124" s="400"/>
      <c r="W124" s="400"/>
      <c r="X124" s="400"/>
      <c r="Y124" s="400"/>
      <c r="Z124" s="400"/>
      <c r="AA124" s="400"/>
      <c r="AB124" s="400"/>
      <c r="AC124" s="400"/>
      <c r="AD124" s="400"/>
      <c r="AE124" s="225"/>
      <c r="AF124" s="299"/>
      <c r="AG124" s="299"/>
      <c r="AH124" s="225"/>
      <c r="AI124" s="299"/>
      <c r="AJ124" s="299"/>
      <c r="AK124" s="225"/>
      <c r="AL124" s="299"/>
      <c r="AM124" s="299"/>
      <c r="AN124" s="225"/>
      <c r="AO124" s="299"/>
      <c r="AP124" s="299"/>
      <c r="AQ124" s="225"/>
      <c r="AR124" s="299"/>
      <c r="AS124" s="299"/>
      <c r="AT124" s="220"/>
      <c r="AU124" s="211"/>
      <c r="AV124" s="221"/>
      <c r="AW124" s="222"/>
      <c r="AX124" s="225"/>
      <c r="AY124" s="225"/>
      <c r="AZ124" s="225"/>
      <c r="BA124" s="225"/>
      <c r="BB124" s="225"/>
    </row>
    <row r="125" spans="1:54" s="212" customFormat="1" ht="19.5" customHeight="1" x14ac:dyDescent="0.25">
      <c r="A125" s="401" t="s">
        <v>241</v>
      </c>
      <c r="B125" s="267"/>
      <c r="C125" s="222"/>
      <c r="D125" s="222"/>
      <c r="E125" s="222"/>
      <c r="F125" s="222"/>
      <c r="G125" s="1849">
        <v>0.5</v>
      </c>
      <c r="H125" s="225"/>
      <c r="I125" s="225"/>
      <c r="J125" s="222"/>
      <c r="K125" s="395"/>
      <c r="L125" s="395"/>
      <c r="M125" s="400"/>
      <c r="N125" s="400"/>
      <c r="O125" s="400"/>
      <c r="P125" s="400"/>
      <c r="Q125" s="400"/>
      <c r="R125" s="400"/>
      <c r="S125" s="400"/>
      <c r="T125" s="400"/>
      <c r="U125" s="400"/>
      <c r="V125" s="400"/>
      <c r="W125" s="400"/>
      <c r="X125" s="400"/>
      <c r="Y125" s="400"/>
      <c r="Z125" s="400"/>
      <c r="AA125" s="400"/>
      <c r="AB125" s="400"/>
      <c r="AC125" s="400"/>
      <c r="AD125" s="400"/>
      <c r="AE125" s="225"/>
      <c r="AF125" s="299"/>
      <c r="AG125" s="299"/>
      <c r="AH125" s="225"/>
      <c r="AI125" s="299"/>
      <c r="AJ125" s="299"/>
      <c r="AK125" s="225"/>
      <c r="AL125" s="299"/>
      <c r="AM125" s="299"/>
      <c r="AN125" s="225"/>
      <c r="AO125" s="299"/>
      <c r="AP125" s="299"/>
      <c r="AQ125" s="225"/>
      <c r="AR125" s="299"/>
      <c r="AS125" s="299"/>
      <c r="AT125" s="220"/>
      <c r="AU125" s="211"/>
      <c r="AV125" s="221"/>
      <c r="AW125" s="222"/>
      <c r="AX125" s="225"/>
      <c r="AY125" s="225"/>
      <c r="AZ125" s="225"/>
      <c r="BA125" s="225"/>
      <c r="BB125" s="225"/>
    </row>
    <row r="126" spans="1:54" s="212" customFormat="1" ht="19.5" customHeight="1" thickBot="1" x14ac:dyDescent="0.3">
      <c r="A126" s="468" t="s">
        <v>242</v>
      </c>
      <c r="B126" s="388"/>
      <c r="C126" s="388"/>
      <c r="D126" s="388"/>
      <c r="E126" s="388"/>
      <c r="F126" s="388"/>
      <c r="G126" s="1850">
        <v>0.32</v>
      </c>
      <c r="H126" s="225"/>
      <c r="I126" s="225"/>
      <c r="J126" s="222"/>
      <c r="K126" s="395"/>
      <c r="L126" s="395"/>
      <c r="M126" s="400"/>
      <c r="N126" s="400"/>
      <c r="O126" s="400"/>
      <c r="P126" s="400"/>
      <c r="Q126" s="400"/>
      <c r="R126" s="400"/>
      <c r="S126" s="400"/>
      <c r="T126" s="400"/>
      <c r="U126" s="400"/>
      <c r="V126" s="400"/>
      <c r="W126" s="400"/>
      <c r="X126" s="400"/>
      <c r="Y126" s="400"/>
      <c r="Z126" s="400"/>
      <c r="AA126" s="400"/>
      <c r="AB126" s="400"/>
      <c r="AC126" s="400"/>
      <c r="AD126" s="225"/>
      <c r="AE126" s="299"/>
      <c r="AF126" s="299"/>
      <c r="AG126" s="225"/>
      <c r="AH126" s="299"/>
      <c r="AI126" s="299"/>
      <c r="AJ126" s="225"/>
      <c r="AK126" s="299"/>
      <c r="AL126" s="299"/>
      <c r="AM126" s="225"/>
      <c r="AN126" s="299"/>
      <c r="AO126" s="299"/>
      <c r="AP126" s="225"/>
      <c r="AQ126" s="299"/>
      <c r="AR126" s="299"/>
      <c r="AS126" s="220"/>
      <c r="AT126" s="211"/>
      <c r="AU126" s="211"/>
      <c r="AV126" s="221"/>
      <c r="AW126" s="225"/>
      <c r="AX126" s="225"/>
      <c r="AY126" s="225"/>
      <c r="AZ126" s="225"/>
      <c r="BA126" s="225"/>
    </row>
    <row r="127" spans="1:54" s="212" customFormat="1" ht="19.5" customHeight="1" x14ac:dyDescent="0.25">
      <c r="A127" s="469"/>
      <c r="B127" s="400"/>
      <c r="C127" s="400"/>
      <c r="D127" s="400"/>
      <c r="E127" s="400"/>
      <c r="F127" s="400"/>
      <c r="G127" s="395"/>
      <c r="H127" s="395"/>
      <c r="I127" s="395"/>
      <c r="J127" s="395"/>
      <c r="K127" s="395"/>
      <c r="L127" s="395"/>
      <c r="M127" s="400"/>
      <c r="N127" s="400"/>
      <c r="O127" s="400"/>
      <c r="P127" s="400"/>
      <c r="Q127" s="400"/>
      <c r="R127" s="400"/>
      <c r="S127" s="400"/>
      <c r="T127" s="400"/>
      <c r="U127" s="400"/>
      <c r="V127" s="400"/>
      <c r="W127" s="400"/>
      <c r="X127" s="400"/>
      <c r="Y127" s="400"/>
      <c r="Z127" s="400"/>
      <c r="AA127" s="400"/>
      <c r="AB127" s="400"/>
      <c r="AC127" s="400"/>
      <c r="AD127" s="400"/>
      <c r="AE127" s="472"/>
      <c r="AF127" s="473">
        <f>$C$4</f>
        <v>6</v>
      </c>
      <c r="AG127" s="474"/>
      <c r="AH127" s="475"/>
      <c r="AI127" s="473">
        <f>$D$4</f>
        <v>10</v>
      </c>
      <c r="AJ127" s="474"/>
      <c r="AK127" s="476"/>
      <c r="AL127" s="473">
        <f>$E$4</f>
        <v>18</v>
      </c>
      <c r="AM127" s="474"/>
      <c r="AN127" s="476"/>
      <c r="AO127" s="473" t="str">
        <f>$F$4</f>
        <v>6 FFF</v>
      </c>
      <c r="AP127" s="474"/>
      <c r="AQ127" s="476"/>
      <c r="AR127" s="473" t="str">
        <f>$G$4</f>
        <v>10 FFF</v>
      </c>
      <c r="AS127" s="473"/>
      <c r="AT127" s="477" t="s">
        <v>16</v>
      </c>
      <c r="AU127" s="478"/>
      <c r="AV127" s="222"/>
      <c r="AW127" s="222"/>
      <c r="AX127" s="225"/>
      <c r="AY127" s="225"/>
      <c r="AZ127" s="225"/>
      <c r="BA127" s="225"/>
      <c r="BB127" s="225"/>
    </row>
    <row r="128" spans="1:54" s="212" customFormat="1" ht="19.5" customHeight="1" x14ac:dyDescent="0.2">
      <c r="A128" s="479" t="s">
        <v>50</v>
      </c>
      <c r="B128" s="480" t="s">
        <v>15</v>
      </c>
      <c r="C128" s="481" t="s">
        <v>25</v>
      </c>
      <c r="D128" s="482" t="s">
        <v>158</v>
      </c>
      <c r="E128" s="483"/>
      <c r="F128" s="484" t="s">
        <v>386</v>
      </c>
      <c r="G128" s="485"/>
      <c r="H128" s="482"/>
      <c r="I128" s="482"/>
      <c r="J128" s="482"/>
      <c r="K128" s="482"/>
      <c r="L128" s="482"/>
      <c r="M128" s="486"/>
      <c r="N128" s="487" t="s">
        <v>381</v>
      </c>
      <c r="O128" s="484"/>
      <c r="P128" s="484" t="s">
        <v>386</v>
      </c>
      <c r="Q128" s="488"/>
      <c r="R128" s="488"/>
      <c r="S128" s="482"/>
      <c r="T128" s="482"/>
      <c r="U128" s="486"/>
      <c r="V128" s="489" t="s">
        <v>525</v>
      </c>
      <c r="W128" s="301" t="s">
        <v>524</v>
      </c>
      <c r="X128" s="1990" t="s">
        <v>77</v>
      </c>
      <c r="Y128" s="1991"/>
      <c r="Z128" s="1992"/>
      <c r="AA128" s="490"/>
      <c r="AB128" s="491"/>
      <c r="AC128" s="492" t="s">
        <v>334</v>
      </c>
      <c r="AD128" s="485"/>
      <c r="AE128" s="493"/>
      <c r="AF128" s="420" t="s">
        <v>206</v>
      </c>
      <c r="AG128" s="420" t="s">
        <v>16</v>
      </c>
      <c r="AH128" s="420" t="s">
        <v>86</v>
      </c>
      <c r="AI128" s="420" t="s">
        <v>206</v>
      </c>
      <c r="AJ128" s="420" t="s">
        <v>16</v>
      </c>
      <c r="AK128" s="420" t="s">
        <v>86</v>
      </c>
      <c r="AL128" s="420" t="s">
        <v>206</v>
      </c>
      <c r="AM128" s="420" t="s">
        <v>16</v>
      </c>
      <c r="AN128" s="420" t="s">
        <v>86</v>
      </c>
      <c r="AO128" s="420" t="s">
        <v>206</v>
      </c>
      <c r="AP128" s="420" t="s">
        <v>16</v>
      </c>
      <c r="AQ128" s="420" t="s">
        <v>86</v>
      </c>
      <c r="AR128" s="420" t="s">
        <v>206</v>
      </c>
      <c r="AS128" s="420" t="s">
        <v>16</v>
      </c>
      <c r="AT128" s="494"/>
      <c r="AU128" s="495" t="s">
        <v>11</v>
      </c>
      <c r="AV128" s="222"/>
      <c r="AW128" s="222"/>
      <c r="AX128" s="225"/>
      <c r="AY128" s="225"/>
      <c r="AZ128" s="225"/>
      <c r="BA128" s="225"/>
      <c r="BB128" s="225"/>
    </row>
    <row r="129" spans="1:90" s="212" customFormat="1" ht="19.5" customHeight="1" thickBot="1" x14ac:dyDescent="0.25">
      <c r="A129" s="496"/>
      <c r="B129" s="497"/>
      <c r="C129" s="498"/>
      <c r="D129" s="499" t="s">
        <v>367</v>
      </c>
      <c r="E129" s="498" t="s">
        <v>364</v>
      </c>
      <c r="F129" s="498" t="s">
        <v>370</v>
      </c>
      <c r="G129" s="499" t="s">
        <v>368</v>
      </c>
      <c r="H129" s="498" t="s">
        <v>365</v>
      </c>
      <c r="I129" s="499" t="s">
        <v>369</v>
      </c>
      <c r="J129" s="498" t="s">
        <v>371</v>
      </c>
      <c r="K129" s="498" t="s">
        <v>366</v>
      </c>
      <c r="L129" s="498" t="s">
        <v>373</v>
      </c>
      <c r="M129" s="498" t="s">
        <v>372</v>
      </c>
      <c r="N129" s="498" t="s">
        <v>374</v>
      </c>
      <c r="O129" s="498" t="s">
        <v>375</v>
      </c>
      <c r="P129" s="498" t="s">
        <v>376</v>
      </c>
      <c r="Q129" s="498" t="s">
        <v>377</v>
      </c>
      <c r="R129" s="498" t="s">
        <v>378</v>
      </c>
      <c r="S129" s="498" t="s">
        <v>382</v>
      </c>
      <c r="T129" s="498" t="s">
        <v>379</v>
      </c>
      <c r="U129" s="498" t="s">
        <v>380</v>
      </c>
      <c r="V129" s="498" t="s">
        <v>526</v>
      </c>
      <c r="W129" s="308" t="s">
        <v>528</v>
      </c>
      <c r="X129" s="500" t="s">
        <v>1</v>
      </c>
      <c r="Y129" s="501" t="s">
        <v>61</v>
      </c>
      <c r="Z129" s="502" t="s">
        <v>3</v>
      </c>
      <c r="AA129" s="502" t="s">
        <v>22</v>
      </c>
      <c r="AB129" s="502" t="s">
        <v>3</v>
      </c>
      <c r="AC129" s="503" t="s">
        <v>22</v>
      </c>
      <c r="AD129" s="504" t="s">
        <v>39</v>
      </c>
      <c r="AE129" s="505" t="s">
        <v>208</v>
      </c>
      <c r="AF129" s="505" t="s">
        <v>207</v>
      </c>
      <c r="AG129" s="506" t="s">
        <v>174</v>
      </c>
      <c r="AH129" s="505" t="s">
        <v>208</v>
      </c>
      <c r="AI129" s="505" t="s">
        <v>207</v>
      </c>
      <c r="AJ129" s="506" t="s">
        <v>174</v>
      </c>
      <c r="AK129" s="507" t="s">
        <v>208</v>
      </c>
      <c r="AL129" s="507" t="s">
        <v>207</v>
      </c>
      <c r="AM129" s="179" t="s">
        <v>174</v>
      </c>
      <c r="AN129" s="507" t="s">
        <v>208</v>
      </c>
      <c r="AO129" s="507" t="s">
        <v>207</v>
      </c>
      <c r="AP129" s="179" t="s">
        <v>174</v>
      </c>
      <c r="AQ129" s="507" t="s">
        <v>208</v>
      </c>
      <c r="AR129" s="507" t="s">
        <v>207</v>
      </c>
      <c r="AS129" s="179" t="s">
        <v>174</v>
      </c>
      <c r="AT129" s="508" t="s">
        <v>174</v>
      </c>
      <c r="AU129" s="509" t="s">
        <v>166</v>
      </c>
      <c r="AV129" s="211"/>
      <c r="AW129" s="222"/>
      <c r="AX129" s="225"/>
      <c r="AY129" s="225"/>
      <c r="AZ129" s="225"/>
      <c r="BA129" s="225"/>
      <c r="BB129" s="225"/>
    </row>
    <row r="130" spans="1:90" s="212" customFormat="1" ht="30" customHeight="1" thickBot="1" x14ac:dyDescent="0.3">
      <c r="A130" s="510" t="str">
        <f>A91</f>
        <v>L8</v>
      </c>
      <c r="B130" s="511" t="str">
        <f>B91</f>
        <v>ingang labyrint linac 8</v>
      </c>
      <c r="C130" s="512" t="s">
        <v>200</v>
      </c>
      <c r="D130" s="1851">
        <v>5</v>
      </c>
      <c r="E130" s="111"/>
      <c r="F130" s="116"/>
      <c r="G130" s="1851">
        <v>10</v>
      </c>
      <c r="H130" s="120"/>
      <c r="I130" s="1853">
        <v>10</v>
      </c>
      <c r="J130" s="123"/>
      <c r="K130" s="1982">
        <v>1</v>
      </c>
      <c r="L130" s="114"/>
      <c r="M130" s="113"/>
      <c r="N130" s="1851">
        <v>4</v>
      </c>
      <c r="O130" s="120"/>
      <c r="P130" s="1851">
        <v>5</v>
      </c>
      <c r="Q130" s="134"/>
      <c r="R130" s="1828">
        <v>2</v>
      </c>
      <c r="S130" s="137"/>
      <c r="T130" s="114"/>
      <c r="U130" s="138"/>
      <c r="V130" s="141"/>
      <c r="W130" s="1828">
        <v>0.25</v>
      </c>
      <c r="X130" s="149"/>
      <c r="Y130" s="150"/>
      <c r="Z130" s="151"/>
      <c r="AA130" s="152"/>
      <c r="AB130" s="1984">
        <v>0</v>
      </c>
      <c r="AC130" s="1987">
        <v>0</v>
      </c>
      <c r="AD130" s="168"/>
      <c r="AE130" s="171">
        <f>$AB130/$M$114+$AC130/$M$115</f>
        <v>0</v>
      </c>
      <c r="AF130" s="97">
        <f t="shared" ref="AF130:AF135" si="11">10^(-AE130)</f>
        <v>1</v>
      </c>
      <c r="AG130" s="91">
        <f>$C$7*$C$14*$C$8*$W$130/$D$130^2*$N$130*$F$112/$G$130^2*$P$130*$E$114/$I$130^2*$R$130*$E$116/$K$130^2*AF130*10^6</f>
        <v>6.9119999999999997E-3</v>
      </c>
      <c r="AH130" s="91">
        <f>$AB130/$M$114+$AC130/$M$115</f>
        <v>0</v>
      </c>
      <c r="AI130" s="97">
        <f t="shared" ref="AI130:AI135" si="12">10^(-AH130)</f>
        <v>1</v>
      </c>
      <c r="AJ130" s="91">
        <f>$C$7*$D$14*$D$8*$W$130/$D$130^2*$N$130*$G$112/$G$130^2*$P$130*$E$114/$I$130^2*$R$130*$E$116/$K$130^2*AI130*10^6</f>
        <v>5.3760000000000006E-3</v>
      </c>
      <c r="AK130" s="91">
        <f>$AB130/$M$114+$AC130/$M$115</f>
        <v>0</v>
      </c>
      <c r="AL130" s="97">
        <f t="shared" ref="AL130:AL135" si="13">10^(-AK130)</f>
        <v>1</v>
      </c>
      <c r="AM130" s="91">
        <f>$C$7*$E$14*$E$8*$W$130/$D$130^2*$N$130*$H$112/$G$130^2*$P$130*$E$114/$I$130^2*$R$130*$E$116/$K$130^2*AL130*10^6</f>
        <v>4.0960000000000015E-3</v>
      </c>
      <c r="AN130" s="91">
        <f>$AB130/$M$114+$AC130/$M$115</f>
        <v>0</v>
      </c>
      <c r="AO130" s="97">
        <f t="shared" ref="AO130:AO135" si="14">10^(-AN130)</f>
        <v>1</v>
      </c>
      <c r="AP130" s="91">
        <f>$C$7*$F$14*$F$8*$W$130/$D$130^2*$N$130*$I$112/$G$130^2*$P$130*$E$114/$I$130^2*$R$130*$E$116/$K$130^2*AO130*10^6</f>
        <v>8.9600000000000009E-3</v>
      </c>
      <c r="AQ130" s="91">
        <f>$AB130/$M$114+$AC130/$M$115</f>
        <v>0</v>
      </c>
      <c r="AR130" s="97">
        <f t="shared" ref="AR130:AR135" si="15">10^(-AQ130)</f>
        <v>1</v>
      </c>
      <c r="AS130" s="76">
        <f>$C$7*$G$14*$G$8*$W$130/$D$130^2*$N$130*$J$112/$G$130^2*$P$130*$E$114/$I$130^2*$R$130*$E$116/$K$130^2*AR130*10^6</f>
        <v>8.4480000000000006E-3</v>
      </c>
      <c r="AT130" s="513">
        <f t="shared" ref="AT130:AT135" si="16">SUM(AG130,AJ130,AM130,AP130,AS130)</f>
        <v>3.3792000000000003E-2</v>
      </c>
      <c r="AU130" s="514">
        <f>SUM(AT130:AT136)*52/10^3</f>
        <v>15.505920420432142</v>
      </c>
      <c r="AV130" s="222"/>
      <c r="AW130" s="222"/>
      <c r="AX130" s="225"/>
      <c r="AY130" s="225"/>
      <c r="AZ130" s="225"/>
      <c r="BA130" s="225"/>
      <c r="BB130" s="225"/>
    </row>
    <row r="131" spans="1:90" s="212" customFormat="1" ht="30" customHeight="1" thickBot="1" x14ac:dyDescent="0.3">
      <c r="A131" s="447"/>
      <c r="B131" s="460"/>
      <c r="C131" s="515" t="s">
        <v>536</v>
      </c>
      <c r="D131" s="107"/>
      <c r="E131" s="1852">
        <v>1</v>
      </c>
      <c r="F131" s="117"/>
      <c r="G131" s="118"/>
      <c r="H131" s="1828">
        <v>5</v>
      </c>
      <c r="I131" s="122"/>
      <c r="J131" s="124"/>
      <c r="K131" s="2030"/>
      <c r="L131" s="127"/>
      <c r="M131" s="128"/>
      <c r="N131" s="129"/>
      <c r="O131" s="1828">
        <v>5</v>
      </c>
      <c r="P131" s="133"/>
      <c r="Q131" s="133"/>
      <c r="R131" s="1828">
        <v>2</v>
      </c>
      <c r="S131" s="139"/>
      <c r="T131" s="132"/>
      <c r="U131" s="140"/>
      <c r="V131" s="142"/>
      <c r="W131" s="1828">
        <v>0.25</v>
      </c>
      <c r="X131" s="1856">
        <v>200</v>
      </c>
      <c r="Y131" s="1856">
        <v>0</v>
      </c>
      <c r="Z131" s="1857">
        <v>0</v>
      </c>
      <c r="AA131" s="1857">
        <v>0</v>
      </c>
      <c r="AB131" s="1985"/>
      <c r="AC131" s="1988"/>
      <c r="AD131" s="169"/>
      <c r="AE131" s="171">
        <f>IF($X131=0,0,1+($X131-$C$21)/$C$22)+$Y131/$C$23+$Z131/$C$24+$AA131/$C$25+$AB130/$M$114+$AC130/$M$115</f>
        <v>5.9393939393939394</v>
      </c>
      <c r="AF131" s="97">
        <f t="shared" si="11"/>
        <v>1.1497569953977332E-6</v>
      </c>
      <c r="AG131" s="91">
        <f>$C$7*$C$14*$C$8*$W$131/$E$131^2*$O$131*$F$113/$H$131^2*$R$131*$E$116/$K$130^2*AF131*10^6</f>
        <v>2.4834751100591044E-3</v>
      </c>
      <c r="AH131" s="91">
        <f>IF($X131=0,0,1+($X131-$D$21)/$D$22)+$Y131/$D$23+$Z131/$D$24+$AB130/$M$114+$AC130/$M$115</f>
        <v>5.2972972972972974</v>
      </c>
      <c r="AI131" s="97">
        <f t="shared" si="12"/>
        <v>5.0431594871713543E-6</v>
      </c>
      <c r="AJ131" s="91">
        <f>$C$7*$D$14*$D$8*$W$131/$E$131^2*$O$131*$G$113/$H$131^2*$R$131*$E$116/$K$130^2*AI131*10^6</f>
        <v>8.4725079384478739E-3</v>
      </c>
      <c r="AK131" s="91">
        <f>IF($X131=0,0,1+($X131-$E$21)/$E$22)+$Y131/$E$23+$Z131/$E$24+$AB130/$M$114+$AC130/$M$115</f>
        <v>4.6046511627906979</v>
      </c>
      <c r="AL131" s="97">
        <f t="shared" si="13"/>
        <v>2.485128426980553E-5</v>
      </c>
      <c r="AM131" s="91">
        <f>$C$7*$E$14*$E$8*$W$131/$E$131^2*$O$131*$H$113/$H$131^2*$R$131*$E$116/$K$130^2*AL131*10^6</f>
        <v>3.1809643865351081E-2</v>
      </c>
      <c r="AN131" s="91">
        <f>IF($X131=0,0,1+($X131-$F$21)/$F$22)+$Y131/$F$23+$Z131/$E$24+$AB130/$M$114+$AC130/$M$115</f>
        <v>7.2962962962962967</v>
      </c>
      <c r="AO131" s="97">
        <f t="shared" si="14"/>
        <v>5.0547968211912231E-8</v>
      </c>
      <c r="AP131" s="91">
        <f>$C$7*$F$14*$F$8*$W$131/$E$131^2*$O$131*$I$113/$H$131^2*$R$131*$E$116/$K$130^2*AO131*10^6</f>
        <v>1.4153431099335427E-4</v>
      </c>
      <c r="AQ131" s="91">
        <f>IF($X131=0,0,1+($X131-$G$21)/$G$22)+$Y131/$G$23+$Z131/$G$24+$AB130/$M$114+$AC130/$M$115</f>
        <v>5.5555555555555554</v>
      </c>
      <c r="AR131" s="97">
        <f t="shared" si="15"/>
        <v>2.782559402207123E-6</v>
      </c>
      <c r="AS131" s="76">
        <f>$C$7*$G$14*$G$8*$W$131/$E$131^2*$O$131*$J$113/$H$131^2*$R$131*$E$116/$K$130^2*AR131*10^6</f>
        <v>7.3459568218268044E-3</v>
      </c>
      <c r="AT131" s="513">
        <f t="shared" si="16"/>
        <v>5.0253118046678216E-2</v>
      </c>
      <c r="AU131" s="516"/>
      <c r="AV131" s="222"/>
      <c r="AW131" s="222"/>
      <c r="AX131" s="225"/>
      <c r="AY131" s="225"/>
      <c r="AZ131" s="225"/>
      <c r="BA131" s="225"/>
      <c r="BB131" s="225"/>
    </row>
    <row r="132" spans="1:90" s="212" customFormat="1" ht="30" customHeight="1" thickBot="1" x14ac:dyDescent="0.3">
      <c r="A132" s="221"/>
      <c r="B132" s="517"/>
      <c r="C132" s="518" t="s">
        <v>537</v>
      </c>
      <c r="D132" s="108"/>
      <c r="E132" s="112"/>
      <c r="F132" s="1987">
        <v>5</v>
      </c>
      <c r="G132" s="119"/>
      <c r="H132" s="121"/>
      <c r="I132" s="113"/>
      <c r="J132" s="1980">
        <v>10</v>
      </c>
      <c r="K132" s="2030"/>
      <c r="L132" s="114"/>
      <c r="M132" s="113"/>
      <c r="N132" s="119"/>
      <c r="O132" s="121"/>
      <c r="P132" s="113"/>
      <c r="Q132" s="1980">
        <v>5</v>
      </c>
      <c r="R132" s="1982">
        <v>2</v>
      </c>
      <c r="S132" s="137"/>
      <c r="T132" s="114"/>
      <c r="U132" s="138"/>
      <c r="V132" s="143"/>
      <c r="W132" s="144">
        <v>1</v>
      </c>
      <c r="X132" s="153"/>
      <c r="Y132" s="154"/>
      <c r="Z132" s="155"/>
      <c r="AA132" s="156"/>
      <c r="AB132" s="1985"/>
      <c r="AC132" s="1988"/>
      <c r="AD132" s="168"/>
      <c r="AE132" s="91">
        <f>$AB130/$M$114+$AC130/$M$115</f>
        <v>0</v>
      </c>
      <c r="AF132" s="97">
        <f t="shared" si="11"/>
        <v>1</v>
      </c>
      <c r="AG132" s="91">
        <f>$C$7*$C$15*$C$8*($C$9+$C$10*$C$11)*$W$132/$F$132^2*$Q$132*$F$115/$J$132^2*$R$132*$E$116/$K$130^2*AF132*10^6</f>
        <v>15.360000000000005</v>
      </c>
      <c r="AH132" s="91">
        <f>$AB130/$M$114+$AC130/$M$115</f>
        <v>0</v>
      </c>
      <c r="AI132" s="97">
        <f t="shared" si="12"/>
        <v>1</v>
      </c>
      <c r="AJ132" s="91">
        <f>$C$7*$C$15*$D$8*($D$9+$D$10*$D$11)*$W$132/$F$132^2*$Q$132*$G$115/$J$132^2*$R$132*$E$116/$K$130^2*AI132*10^6</f>
        <v>12.240000000000004</v>
      </c>
      <c r="AK132" s="91">
        <f>$AB130/$M$114+$AC130/$M$115</f>
        <v>0</v>
      </c>
      <c r="AL132" s="97">
        <f t="shared" si="13"/>
        <v>1</v>
      </c>
      <c r="AM132" s="91">
        <f>$C$7*$C$15*$E$8*($E$9+$E$10*$E$11)*$W$132/$F$132^2*$Q$132*$H$115/$J$132^2*$R$132*$E$116/$K$130^2*AL132*10^6</f>
        <v>10.800000000000002</v>
      </c>
      <c r="AN132" s="91">
        <f>$AB130/$M$114+$AC130/$M$115</f>
        <v>0</v>
      </c>
      <c r="AO132" s="97">
        <f t="shared" si="14"/>
        <v>1</v>
      </c>
      <c r="AP132" s="91">
        <f>$C$7*$C$15*$F$8*($F$9+$F$10*$F$11)*$W$132/$F$132^2*$Q$132*$I$115/$J$132^2*$R$132*$E$116/$K$130^2*AO132*10^6</f>
        <v>19.920000000000002</v>
      </c>
      <c r="AQ132" s="91">
        <f>$AB130/$M$114+$AC130/$M$115</f>
        <v>0</v>
      </c>
      <c r="AR132" s="97">
        <f t="shared" si="15"/>
        <v>1</v>
      </c>
      <c r="AS132" s="76">
        <f>$C$7*$C$15*$G$8*($G$9+$G$10*$G$11)*$W$132/$F$132^2*$Q$132*$J$115/$J$132^2*$R$132*$E$116/$K$130^2*AR132*10^6</f>
        <v>17.520000000000003</v>
      </c>
      <c r="AT132" s="519">
        <f t="shared" si="16"/>
        <v>75.840000000000018</v>
      </c>
      <c r="AU132" s="516"/>
      <c r="AV132" s="222"/>
      <c r="AW132" s="520"/>
      <c r="AX132" s="222"/>
      <c r="AY132" s="211"/>
      <c r="AZ132" s="222"/>
      <c r="BA132" s="222"/>
      <c r="BB132" s="225"/>
    </row>
    <row r="133" spans="1:90" s="212" customFormat="1" ht="30" customHeight="1" thickBot="1" x14ac:dyDescent="0.3">
      <c r="A133" s="221"/>
      <c r="B133" s="517"/>
      <c r="C133" s="521" t="s">
        <v>523</v>
      </c>
      <c r="D133" s="108"/>
      <c r="E133" s="113"/>
      <c r="F133" s="2029"/>
      <c r="G133" s="119"/>
      <c r="H133" s="114"/>
      <c r="I133" s="113"/>
      <c r="J133" s="1981"/>
      <c r="K133" s="1983"/>
      <c r="L133" s="114"/>
      <c r="M133" s="113"/>
      <c r="N133" s="119"/>
      <c r="O133" s="114"/>
      <c r="P133" s="113"/>
      <c r="Q133" s="1981"/>
      <c r="R133" s="1983"/>
      <c r="S133" s="137"/>
      <c r="T133" s="114"/>
      <c r="U133" s="113"/>
      <c r="V133" s="1855">
        <f>20*20</f>
        <v>400</v>
      </c>
      <c r="W133" s="1828">
        <v>0.25</v>
      </c>
      <c r="X133" s="157"/>
      <c r="Y133" s="158"/>
      <c r="Z133" s="159"/>
      <c r="AA133" s="160"/>
      <c r="AB133" s="1985"/>
      <c r="AC133" s="1988"/>
      <c r="AD133" s="168"/>
      <c r="AE133" s="98">
        <f>$AB130/$M$114+$AC130/$M$115</f>
        <v>0</v>
      </c>
      <c r="AF133" s="97">
        <f t="shared" si="11"/>
        <v>1</v>
      </c>
      <c r="AG133" s="91">
        <f>$C$7*$C$8*$W$133*$F$120*$V$133/400*$E$115*$E$116*$Q$132*$R$132/1/1/$F$132^2/$J$132^2/$K$130^2*AF133*10^6</f>
        <v>6.1159999999999988</v>
      </c>
      <c r="AH133" s="98">
        <f>$AB130/$M$114+$AC130/$M$115</f>
        <v>0</v>
      </c>
      <c r="AI133" s="97">
        <f t="shared" si="12"/>
        <v>1</v>
      </c>
      <c r="AJ133" s="91">
        <f>$C$7*$D$8*$W$133*$G$120*$V$133/400*$E$115*$E$116*$Q$132*$R$132/1/1/$F$132^2/$J$132^2/$K$130^2*AI133*10^6</f>
        <v>5.9399999999999995</v>
      </c>
      <c r="AK133" s="98">
        <f>$AB130/$M$114+$AC130/$M$115</f>
        <v>0</v>
      </c>
      <c r="AL133" s="97">
        <f t="shared" si="13"/>
        <v>1</v>
      </c>
      <c r="AM133" s="91">
        <f>$C$7*$E$8*$W$133*$H$120*$V$133/400*$E$115*$E$116*$Q$132*$R$132/1/1/$F$132^2/$J$132^2/$K$130^2*AL133*10^6</f>
        <v>3.8015999999999992</v>
      </c>
      <c r="AN133" s="98">
        <f>$AB130/$M$114+$AC130/$M$115</f>
        <v>0</v>
      </c>
      <c r="AO133" s="97">
        <f t="shared" si="14"/>
        <v>1</v>
      </c>
      <c r="AP133" s="91">
        <f>$C$7*$F$8*$W$133*$I$120*$V$133/400*$E$115*$E$116*$R$132*$Q$132/1/1/$F$132^2/$J$132^2/$K$130^2*AO133*10^6</f>
        <v>5.7200000000000006</v>
      </c>
      <c r="AQ133" s="98">
        <f>$AB130/$M$114+$AC130/$M$115</f>
        <v>0</v>
      </c>
      <c r="AR133" s="97">
        <f t="shared" si="15"/>
        <v>1</v>
      </c>
      <c r="AS133" s="76">
        <f>$C$7*$G$8*$W$133*$J$120*$V$133/400*$E$115*$E$116*$Q$132*$R$132/1/1/$F$132^2/$J$132^2/$K$130^2*AR133*10^6</f>
        <v>5.2799999999999994</v>
      </c>
      <c r="AT133" s="513">
        <f t="shared" si="16"/>
        <v>26.857599999999998</v>
      </c>
      <c r="AU133" s="516"/>
      <c r="AV133" s="222"/>
      <c r="AW133" s="520"/>
      <c r="AX133" s="222"/>
      <c r="AY133" s="211"/>
      <c r="AZ133" s="222"/>
      <c r="BA133" s="222"/>
      <c r="BB133" s="225"/>
      <c r="BC133" s="225"/>
      <c r="BD133" s="225"/>
      <c r="BE133" s="225"/>
      <c r="BF133" s="225"/>
      <c r="BG133" s="300"/>
      <c r="BH133" s="300"/>
      <c r="BI133" s="300"/>
      <c r="BJ133" s="522"/>
      <c r="BK133" s="522"/>
      <c r="BL133" s="522"/>
    </row>
    <row r="134" spans="1:90" s="212" customFormat="1" ht="30" customHeight="1" x14ac:dyDescent="0.25">
      <c r="A134" s="221"/>
      <c r="B134" s="517"/>
      <c r="C134" s="523" t="s">
        <v>33</v>
      </c>
      <c r="D134" s="109"/>
      <c r="E134" s="114"/>
      <c r="F134" s="114"/>
      <c r="G134" s="114"/>
      <c r="H134" s="114"/>
      <c r="I134" s="114"/>
      <c r="J134" s="114"/>
      <c r="K134" s="125"/>
      <c r="L134" s="2028">
        <v>5</v>
      </c>
      <c r="M134" s="2028">
        <v>10</v>
      </c>
      <c r="N134" s="130"/>
      <c r="O134" s="132"/>
      <c r="P134" s="132"/>
      <c r="Q134" s="132"/>
      <c r="R134" s="135"/>
      <c r="S134" s="1851">
        <v>225</v>
      </c>
      <c r="T134" s="1854">
        <v>1</v>
      </c>
      <c r="U134" s="1851">
        <v>1</v>
      </c>
      <c r="V134" s="145"/>
      <c r="W134" s="146"/>
      <c r="X134" s="161"/>
      <c r="Y134" s="162"/>
      <c r="Z134" s="122"/>
      <c r="AA134" s="163"/>
      <c r="AB134" s="1985"/>
      <c r="AC134" s="1988"/>
      <c r="AD134" s="1858">
        <v>0</v>
      </c>
      <c r="AE134" s="91">
        <f>$AB130/$N$114+$AC130/$N$115+$AD134/$N$116</f>
        <v>0</v>
      </c>
      <c r="AF134" s="97">
        <f t="shared" si="11"/>
        <v>1</v>
      </c>
      <c r="AG134" s="91">
        <f>$C$7*$C$8*($C$9+$C$10*$C$11)*0.0000000000000024*($C$16*$C$17*10^12/(4*PI()*$L$134^2)+5.4*$C$16*$C$17*10^12/(2*PI()*$S$134)+1.3*$C$17*10^12/(2*PI()*$S$134))*(SQRT($T$134/$U$134)*((1.64*10^(-$M$134/1.9)+10^(-$M$134/(2.06*SQRT($U$134))))*(1-$G$125)*$AF$134*10^6))</f>
        <v>0.11345901793121269</v>
      </c>
      <c r="AH134" s="91">
        <f>$AB130/$N$114+$AC130/$N$115+$AD134/$N$116</f>
        <v>0</v>
      </c>
      <c r="AI134" s="97">
        <f t="shared" si="12"/>
        <v>1</v>
      </c>
      <c r="AJ134" s="91">
        <f>$C$7*$D$8*($D$9+$D$10*$D$11)*0.0000000000000024*($C$16*$D$17*10^12/(4*PI()*$L$134^2)+5.4*$C$16*$D$17*10^12/(2*PI()*$S$134)+1.3*$D$17*10^12/(2*PI()*$S$134))*(SQRT($T$134/$U$134)*((1.64*10^(-$M$134/1.9)+10^(-$M$134/(2.06*SQRT($U$134))))*(1-$G$125)*$AI$134*10^6))</f>
        <v>0.11345901793121269</v>
      </c>
      <c r="AK134" s="91">
        <f>$AB130/$N$114+$AC130/$N$115+$AD134/$N$116</f>
        <v>0</v>
      </c>
      <c r="AL134" s="97">
        <f t="shared" si="13"/>
        <v>1</v>
      </c>
      <c r="AM134" s="91">
        <f>$C$7*$E$8*($E$9+$E$10*$E$11)*0.0000000000000024*($C$16*$E$17*10^12/(4*PI()*$L$134^2)+5.4*$C$16*$E$17*10^12/(2*PI()*$S$134)+1.3*$E$17*10^12/(2*PI()*$S$134))*(SQRT($T$134/$U$134)*((1.64*10^(-$M$134/1.9)+10^(-$M$134/(2.06*SQRT($U$134))))*(1-$G$125)*$AL$134*10^6))</f>
        <v>0.11345901793121269</v>
      </c>
      <c r="AN134" s="91">
        <f>$AB130/$N$114+$AC130/$N$115+$AD134/$N$116</f>
        <v>0</v>
      </c>
      <c r="AO134" s="97">
        <f t="shared" si="14"/>
        <v>1</v>
      </c>
      <c r="AP134" s="91">
        <f>$C$7*$F$8*($F$9+$F$10*$F$11)*0.0000000000000024*($C$16*$F$17*10^12/(4*PI()*$L$134^2)+5.4*$C$16*$F$17*10^12/(2*PI()*$S$134)+1.3*$F$17*10^12/(2*PI()*$S$134))*(SQRT($T$134/$U$134)*((1.64*10^(-$M$134/1.9)+10^(-$M$134/(2.06*SQRT($U$134))))*(1-$G$125)*$AO$134*10^6))</f>
        <v>0.11345901793121269</v>
      </c>
      <c r="AQ134" s="91">
        <f>$AB130/$N$114+$AC130/$N$115+$AD134/$N$116</f>
        <v>0</v>
      </c>
      <c r="AR134" s="97">
        <f t="shared" si="15"/>
        <v>1</v>
      </c>
      <c r="AS134" s="76">
        <f>$C$7*$G$8*($G$9+$G$10*$G$11)*0.0000000000000024*($C$16*$G$17*10^12/(4*PI()*$L$134^2)+5.4*$C$16*$G$17*10^12/(2*PI()*$S$134)+1.3*$G$17*10^12/(2*PI()*$S$134))*(SQRT($T$134/$U$134)*((1.64*10^(-$M$134/1.9)+10^(-$M$134/(2.06*SQRT($U$134))))*(1-$G$125)*$AR$134*10^6))</f>
        <v>0.11345901793121269</v>
      </c>
      <c r="AT134" s="513">
        <f t="shared" si="16"/>
        <v>0.56729508965606346</v>
      </c>
      <c r="AU134" s="516"/>
      <c r="AV134" s="222"/>
      <c r="AW134" s="189"/>
      <c r="AX134" s="222"/>
      <c r="AY134" s="211"/>
      <c r="AZ134" s="222"/>
      <c r="BA134" s="222"/>
      <c r="BB134" s="225"/>
      <c r="BC134" s="225"/>
      <c r="BD134" s="225"/>
      <c r="BE134" s="225"/>
      <c r="BF134" s="225"/>
      <c r="BG134" s="300"/>
      <c r="BH134" s="300"/>
      <c r="BI134" s="300"/>
      <c r="BJ134" s="522"/>
      <c r="BK134" s="522"/>
      <c r="BL134" s="522"/>
    </row>
    <row r="135" spans="1:90" s="212" customFormat="1" ht="30" customHeight="1" thickBot="1" x14ac:dyDescent="0.3">
      <c r="A135" s="226"/>
      <c r="B135" s="524"/>
      <c r="C135" s="525" t="s">
        <v>157</v>
      </c>
      <c r="D135" s="110"/>
      <c r="E135" s="115"/>
      <c r="F135" s="115"/>
      <c r="G135" s="115"/>
      <c r="H135" s="115"/>
      <c r="I135" s="115"/>
      <c r="J135" s="115"/>
      <c r="K135" s="126"/>
      <c r="L135" s="1989"/>
      <c r="M135" s="1989"/>
      <c r="N135" s="131"/>
      <c r="O135" s="115"/>
      <c r="P135" s="115"/>
      <c r="Q135" s="136"/>
      <c r="R135" s="136"/>
      <c r="S135" s="115"/>
      <c r="T135" s="115"/>
      <c r="U135" s="126"/>
      <c r="V135" s="147"/>
      <c r="W135" s="148"/>
      <c r="X135" s="164"/>
      <c r="Y135" s="165"/>
      <c r="Z135" s="166"/>
      <c r="AA135" s="167"/>
      <c r="AB135" s="1986"/>
      <c r="AC135" s="1989"/>
      <c r="AD135" s="170"/>
      <c r="AE135" s="172">
        <f>$AB130/$O$114+$AC130/$O$115</f>
        <v>0</v>
      </c>
      <c r="AF135" s="173">
        <f t="shared" si="11"/>
        <v>1</v>
      </c>
      <c r="AG135" s="174">
        <f>$C$7*$C$8*($C$9+$C$10*$C$11)*$Q$111*($C$16*$C$17*10^12/(4*PI()*$L$134^2)+5.4*$C$16*$C$17*10^12/(2*PI()*$S$134)+1.3*$C$17*10^12/(2*PI()*$S$134))*10^-($M$134/$Q$113)*(1-$G$126)*AF135*10^6</f>
        <v>38.968367421659991</v>
      </c>
      <c r="AH135" s="172">
        <f>$AB130/$O$114+$AC130/$O$115</f>
        <v>0</v>
      </c>
      <c r="AI135" s="173">
        <f t="shared" si="12"/>
        <v>1</v>
      </c>
      <c r="AJ135" s="175">
        <f>$C$7*$D$8*($D$9+$D$10*$D$11)*$Q$111*($C$16*$D$17*10^12/(4*PI()*$L$134^2)+5.4*$C$16*$D$17*10^12/(2*PI()*$S$134)+1.3*$D$17*10^12/(2*PI()*$S$134))*10^-($M$134/$Q$113)*(1-$G$126)*AI135*10^6</f>
        <v>38.968367421659991</v>
      </c>
      <c r="AK135" s="176">
        <f>$AB130/$O$114+$AC130/$O$115</f>
        <v>0</v>
      </c>
      <c r="AL135" s="173">
        <f t="shared" si="13"/>
        <v>1</v>
      </c>
      <c r="AM135" s="175">
        <f>$C$7*$E$8*($E$9+$E$10*$E$11)*$Q$111*($C$16*$E$17*10^12/(4*PI()*$L$134^2)+5.4*$C$16*$E$17*10^12/(2*PI()*$S$134)+1.3*$E$17*10^12/(2*PI()*$S$134))*10^-($M$134/$Q$113)*(1-$G$126)*AL135*10^6</f>
        <v>38.968367421659991</v>
      </c>
      <c r="AN135" s="172">
        <f>$AB130/$O$114+$AC130/$O$115</f>
        <v>0</v>
      </c>
      <c r="AO135" s="173">
        <f t="shared" si="14"/>
        <v>1</v>
      </c>
      <c r="AP135" s="175">
        <f>$C$7*$F$8*($F$9+$F$10*$F$11)*$Q$111*($C$16*$F$17*10^12/(4*PI()*$L$134^2)+5.4*$C$16*$F$17*10^12/(2*PI()*$S$134)+1.3*$F$17*10^12/(2*PI()*$S$134))*10^-($M$134/$Q$113)*(1-$G$126)*AO135*10^6</f>
        <v>38.968367421659991</v>
      </c>
      <c r="AQ135" s="172">
        <f>$AB130/$O$114+$AC130/$O$115</f>
        <v>0</v>
      </c>
      <c r="AR135" s="173">
        <f t="shared" si="15"/>
        <v>1</v>
      </c>
      <c r="AS135" s="177">
        <f>$C$7*$G$8*($G$9+$G$10*$G$11)*$Q$111*($C$16*$G$17*10^12/(4*PI()*$L$134^2)+5.4*$C$16*$G$17*10^12/(2*PI()*$S$134)+1.3*$G$17*10^12/(2*PI()*$S$134))*10^-($M$134/$Q$113)*(1-$G$126)*AR135*10^6</f>
        <v>38.968367421659991</v>
      </c>
      <c r="AT135" s="526">
        <f t="shared" si="16"/>
        <v>194.84183710829996</v>
      </c>
      <c r="AU135" s="527"/>
      <c r="AV135" s="222"/>
      <c r="AW135" s="189"/>
      <c r="AX135" s="222"/>
      <c r="AY135" s="211"/>
      <c r="AZ135" s="222"/>
      <c r="BA135" s="222"/>
      <c r="BB135" s="225"/>
      <c r="BC135" s="225"/>
      <c r="BD135" s="225"/>
      <c r="BE135" s="225"/>
      <c r="BF135" s="225"/>
      <c r="BG135" s="300"/>
      <c r="BH135" s="300"/>
      <c r="BI135" s="300"/>
      <c r="BJ135" s="522"/>
      <c r="BK135" s="522"/>
      <c r="BL135" s="522"/>
    </row>
    <row r="136" spans="1:90" s="212" customFormat="1" ht="30" hidden="1" customHeight="1" x14ac:dyDescent="0.25">
      <c r="A136" s="222"/>
      <c r="B136" s="222"/>
      <c r="C136" s="282"/>
      <c r="D136" s="282"/>
      <c r="E136" s="211"/>
      <c r="F136" s="211"/>
      <c r="G136" s="211"/>
      <c r="H136" s="211"/>
      <c r="I136" s="211"/>
      <c r="J136" s="211"/>
      <c r="K136" s="211"/>
      <c r="L136" s="211"/>
      <c r="M136" s="211"/>
      <c r="N136" s="211"/>
      <c r="O136" s="211"/>
      <c r="P136" s="211"/>
      <c r="Q136" s="211"/>
      <c r="R136" s="211"/>
      <c r="S136" s="211"/>
      <c r="T136" s="211"/>
      <c r="U136" s="211"/>
      <c r="V136" s="211"/>
      <c r="W136" s="211"/>
      <c r="X136" s="453"/>
      <c r="Y136" s="528"/>
      <c r="Z136" s="57"/>
      <c r="AA136" s="57"/>
      <c r="AB136" s="57"/>
      <c r="AC136" s="57"/>
      <c r="AD136" s="529"/>
      <c r="AE136" s="369"/>
      <c r="AF136" s="328"/>
      <c r="AG136" s="530"/>
      <c r="AH136" s="369"/>
      <c r="AI136" s="328"/>
      <c r="AJ136" s="530"/>
      <c r="AK136" s="369"/>
      <c r="AL136" s="328"/>
      <c r="AM136" s="530"/>
      <c r="AN136" s="369"/>
      <c r="AO136" s="328"/>
      <c r="AP136" s="530"/>
      <c r="AQ136" s="369"/>
      <c r="AR136" s="328"/>
      <c r="AS136" s="530"/>
      <c r="AT136" s="369"/>
      <c r="AU136" s="233"/>
      <c r="AV136" s="222"/>
      <c r="AW136" s="189"/>
      <c r="AX136" s="222"/>
      <c r="AY136" s="211"/>
      <c r="AZ136" s="222"/>
      <c r="BA136" s="222"/>
      <c r="BB136" s="225"/>
      <c r="BC136" s="225"/>
      <c r="BD136" s="225"/>
      <c r="BE136" s="225"/>
      <c r="BF136" s="225"/>
      <c r="BG136" s="300"/>
      <c r="BH136" s="300"/>
      <c r="BI136" s="300"/>
      <c r="BJ136" s="522"/>
      <c r="BK136" s="522"/>
      <c r="BL136" s="522"/>
    </row>
    <row r="137" spans="1:90" s="212" customFormat="1" ht="19.5" customHeight="1" x14ac:dyDescent="0.25">
      <c r="A137" s="222"/>
      <c r="B137" s="222"/>
      <c r="C137" s="282"/>
      <c r="D137" s="282"/>
      <c r="E137" s="211"/>
      <c r="F137" s="211"/>
      <c r="G137" s="211"/>
      <c r="H137" s="211"/>
      <c r="I137" s="211"/>
      <c r="J137" s="211"/>
      <c r="K137" s="211"/>
      <c r="L137" s="211"/>
      <c r="M137" s="211"/>
      <c r="N137" s="211"/>
      <c r="O137" s="211"/>
      <c r="P137" s="211"/>
      <c r="Q137" s="211"/>
      <c r="R137" s="211"/>
      <c r="S137" s="211"/>
      <c r="T137" s="211"/>
      <c r="U137" s="211"/>
      <c r="V137" s="211"/>
      <c r="W137" s="211"/>
      <c r="X137" s="57"/>
      <c r="Y137" s="453"/>
      <c r="Z137" s="528"/>
      <c r="AA137" s="57"/>
      <c r="AB137" s="57"/>
      <c r="AC137" s="57"/>
      <c r="AD137" s="57"/>
      <c r="AE137" s="529"/>
      <c r="AF137" s="369"/>
      <c r="AG137" s="328"/>
      <c r="AH137" s="530"/>
      <c r="AI137" s="369"/>
      <c r="AJ137" s="328"/>
      <c r="AK137" s="530"/>
      <c r="AL137" s="369"/>
      <c r="AM137" s="328"/>
      <c r="AN137" s="530"/>
      <c r="AO137" s="369"/>
      <c r="AP137" s="328"/>
      <c r="AQ137" s="530"/>
      <c r="AR137" s="369"/>
      <c r="AS137" s="328"/>
      <c r="AT137" s="530"/>
      <c r="AU137" s="369"/>
      <c r="AV137" s="233"/>
      <c r="AW137" s="222"/>
      <c r="AX137" s="189"/>
      <c r="AY137" s="222"/>
      <c r="AZ137" s="211"/>
      <c r="BA137" s="222"/>
      <c r="BB137" s="222"/>
      <c r="BC137" s="225"/>
      <c r="BD137" s="225"/>
      <c r="BE137" s="225"/>
      <c r="BF137" s="225"/>
      <c r="BG137" s="225"/>
      <c r="BH137" s="300"/>
      <c r="BI137" s="300"/>
      <c r="BJ137" s="300"/>
      <c r="BK137" s="522"/>
      <c r="BL137" s="522"/>
      <c r="BM137" s="522"/>
    </row>
    <row r="138" spans="1:90" s="212" customFormat="1" ht="19.5" customHeight="1" x14ac:dyDescent="0.25">
      <c r="A138" s="222"/>
      <c r="B138" s="222"/>
      <c r="C138" s="282"/>
      <c r="D138" s="282"/>
      <c r="E138" s="211"/>
      <c r="F138" s="211"/>
      <c r="G138" s="211"/>
      <c r="H138" s="211"/>
      <c r="I138" s="211"/>
      <c r="J138" s="211"/>
      <c r="K138" s="211"/>
      <c r="L138" s="211"/>
      <c r="M138" s="211"/>
      <c r="N138" s="211"/>
      <c r="O138" s="211"/>
      <c r="P138" s="211"/>
      <c r="Q138" s="211"/>
      <c r="R138" s="211"/>
      <c r="S138" s="211"/>
      <c r="T138" s="211"/>
      <c r="U138" s="211"/>
      <c r="V138" s="211"/>
      <c r="W138" s="211"/>
      <c r="X138" s="57"/>
      <c r="Y138" s="453"/>
      <c r="Z138" s="528"/>
      <c r="AA138" s="57"/>
      <c r="AB138" s="57"/>
      <c r="AC138" s="57"/>
      <c r="AD138" s="529"/>
      <c r="AE138" s="369"/>
      <c r="AF138" s="328"/>
      <c r="AG138" s="530"/>
      <c r="AH138" s="369"/>
      <c r="AI138" s="328"/>
      <c r="AJ138" s="530"/>
      <c r="AK138" s="369"/>
      <c r="AL138" s="328"/>
      <c r="AM138" s="530"/>
      <c r="AN138" s="369"/>
      <c r="AO138" s="328"/>
      <c r="AP138" s="530"/>
      <c r="AQ138" s="369"/>
      <c r="AR138" s="328"/>
      <c r="AS138" s="530"/>
      <c r="AT138" s="369"/>
      <c r="AU138" s="233"/>
      <c r="AV138" s="222"/>
      <c r="AW138" s="189"/>
      <c r="AX138" s="222"/>
      <c r="AY138" s="211"/>
      <c r="AZ138" s="222"/>
      <c r="BA138" s="222"/>
      <c r="BB138" s="225"/>
      <c r="BC138" s="225"/>
      <c r="BD138" s="225"/>
      <c r="BE138" s="225"/>
      <c r="BF138" s="225"/>
      <c r="BG138" s="300"/>
      <c r="BH138" s="300"/>
      <c r="BI138" s="300"/>
      <c r="BJ138" s="522"/>
      <c r="BK138" s="522"/>
      <c r="BL138" s="522"/>
    </row>
    <row r="139" spans="1:90" s="212" customFormat="1" ht="19.5" customHeight="1" thickBot="1" x14ac:dyDescent="0.3">
      <c r="A139" s="532" t="s">
        <v>645</v>
      </c>
      <c r="B139" s="533"/>
      <c r="C139" s="310"/>
      <c r="D139" s="57"/>
      <c r="E139" s="57"/>
      <c r="F139" s="57"/>
      <c r="G139" s="57"/>
      <c r="H139" s="57"/>
      <c r="I139" s="57"/>
      <c r="J139" s="57"/>
      <c r="K139" s="57"/>
      <c r="L139" s="529"/>
      <c r="M139" s="529"/>
      <c r="N139" s="529"/>
      <c r="O139" s="530"/>
      <c r="P139" s="328"/>
      <c r="Q139" s="369"/>
      <c r="R139" s="369"/>
      <c r="S139" s="328"/>
      <c r="T139" s="369"/>
      <c r="U139" s="369"/>
      <c r="V139" s="328"/>
      <c r="W139" s="369"/>
      <c r="X139" s="369"/>
      <c r="Y139" s="328"/>
      <c r="Z139" s="369"/>
      <c r="AA139" s="369"/>
      <c r="AB139" s="328"/>
      <c r="AC139" s="369"/>
      <c r="AD139" s="369"/>
      <c r="AE139" s="328"/>
      <c r="AF139" s="233"/>
      <c r="AG139" s="222"/>
      <c r="AH139" s="189"/>
      <c r="AI139" s="222"/>
      <c r="AJ139" s="211"/>
      <c r="AK139" s="222"/>
      <c r="AL139" s="222"/>
      <c r="AM139" s="225"/>
      <c r="AN139" s="225"/>
      <c r="AO139" s="225"/>
      <c r="AP139" s="225"/>
      <c r="AQ139" s="225"/>
      <c r="AR139" s="300"/>
      <c r="AS139" s="300"/>
      <c r="AT139" s="300"/>
      <c r="AU139" s="300"/>
      <c r="AV139" s="300"/>
      <c r="AW139" s="300"/>
      <c r="AX139" s="225"/>
      <c r="AY139" s="225"/>
      <c r="AZ139" s="225"/>
      <c r="BA139" s="225"/>
      <c r="BB139" s="225"/>
      <c r="BC139" s="225"/>
      <c r="BD139" s="225"/>
      <c r="BE139" s="225"/>
      <c r="BF139" s="225"/>
      <c r="BG139" s="225"/>
      <c r="BH139" s="225"/>
      <c r="BI139" s="225"/>
      <c r="BJ139" s="225"/>
      <c r="BK139" s="225"/>
      <c r="BL139" s="225"/>
    </row>
    <row r="140" spans="1:90" ht="19.5" customHeight="1" x14ac:dyDescent="0.25">
      <c r="C140" s="534"/>
      <c r="D140" s="535"/>
      <c r="E140" s="535"/>
      <c r="F140" s="535"/>
      <c r="G140" s="535"/>
      <c r="H140" s="536"/>
      <c r="I140" s="536"/>
      <c r="J140" s="536"/>
      <c r="K140" s="536"/>
      <c r="L140" s="536"/>
      <c r="M140" s="537"/>
      <c r="N140" s="473">
        <f>$C$4</f>
        <v>6</v>
      </c>
      <c r="O140" s="293"/>
      <c r="P140" s="2005">
        <f>$D$4</f>
        <v>10</v>
      </c>
      <c r="Q140" s="2006"/>
      <c r="R140" s="2007"/>
      <c r="S140" s="2005">
        <f>$E$4</f>
        <v>18</v>
      </c>
      <c r="T140" s="2006"/>
      <c r="U140" s="2007"/>
      <c r="V140" s="2005" t="str">
        <f>$F$4</f>
        <v>6 FFF</v>
      </c>
      <c r="W140" s="2006"/>
      <c r="X140" s="2007"/>
      <c r="Y140" s="2005" t="str">
        <f>$G$4</f>
        <v>10 FFF</v>
      </c>
      <c r="Z140" s="2006"/>
      <c r="AA140" s="2033"/>
      <c r="AB140" s="1995" t="s">
        <v>16</v>
      </c>
      <c r="AC140" s="1996"/>
      <c r="AD140" s="1997"/>
      <c r="AE140" s="538"/>
      <c r="AF140" s="538"/>
      <c r="AG140" s="538"/>
      <c r="AH140" s="538"/>
    </row>
    <row r="141" spans="1:90" s="212" customFormat="1" ht="19.5" customHeight="1" x14ac:dyDescent="0.25">
      <c r="A141" s="415" t="s">
        <v>50</v>
      </c>
      <c r="B141" s="415" t="s">
        <v>15</v>
      </c>
      <c r="C141" s="539" t="s">
        <v>25</v>
      </c>
      <c r="D141" s="402" t="s">
        <v>158</v>
      </c>
      <c r="E141" s="310"/>
      <c r="F141" s="540"/>
      <c r="G141" s="541" t="s">
        <v>529</v>
      </c>
      <c r="H141" s="301" t="s">
        <v>524</v>
      </c>
      <c r="I141" s="542"/>
      <c r="J141" s="541" t="s">
        <v>77</v>
      </c>
      <c r="K141" s="541"/>
      <c r="L141" s="543"/>
      <c r="M141" s="1998" t="s">
        <v>216</v>
      </c>
      <c r="N141" s="301" t="s">
        <v>206</v>
      </c>
      <c r="O141" s="301" t="s">
        <v>16</v>
      </c>
      <c r="P141" s="1998" t="s">
        <v>216</v>
      </c>
      <c r="Q141" s="301" t="s">
        <v>206</v>
      </c>
      <c r="R141" s="301" t="s">
        <v>16</v>
      </c>
      <c r="S141" s="1998" t="s">
        <v>216</v>
      </c>
      <c r="T141" s="301" t="s">
        <v>206</v>
      </c>
      <c r="U141" s="301" t="s">
        <v>16</v>
      </c>
      <c r="V141" s="1998" t="s">
        <v>216</v>
      </c>
      <c r="W141" s="301" t="s">
        <v>206</v>
      </c>
      <c r="X141" s="301" t="s">
        <v>16</v>
      </c>
      <c r="Y141" s="1998" t="s">
        <v>216</v>
      </c>
      <c r="Z141" s="301" t="s">
        <v>206</v>
      </c>
      <c r="AA141" s="304" t="s">
        <v>16</v>
      </c>
      <c r="AB141" s="544" t="s">
        <v>23</v>
      </c>
      <c r="AC141" s="1993" t="s">
        <v>178</v>
      </c>
      <c r="AD141" s="1994"/>
      <c r="AE141" s="538"/>
      <c r="AF141" s="538"/>
      <c r="AG141" s="538"/>
      <c r="AH141" s="538"/>
      <c r="AI141" s="538"/>
      <c r="AJ141" s="538"/>
      <c r="AK141" s="538"/>
      <c r="AL141" s="538"/>
      <c r="AM141" s="538"/>
      <c r="AN141" s="538"/>
      <c r="AO141" s="538"/>
      <c r="AP141" s="538"/>
      <c r="AQ141" s="538"/>
      <c r="AR141" s="538"/>
      <c r="AS141" s="545"/>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69"/>
      <c r="BO141" s="233"/>
      <c r="BP141" s="233"/>
      <c r="BQ141" s="222"/>
      <c r="BR141" s="233"/>
      <c r="BS141" s="222"/>
      <c r="BT141" s="211"/>
      <c r="BU141" s="222"/>
      <c r="BV141" s="222"/>
      <c r="BW141" s="225"/>
      <c r="BX141" s="225"/>
      <c r="BY141" s="225"/>
      <c r="BZ141" s="225"/>
      <c r="CA141" s="225"/>
      <c r="CB141" s="300"/>
      <c r="CC141" s="300"/>
      <c r="CD141" s="300"/>
      <c r="CE141" s="522"/>
      <c r="CF141" s="522"/>
      <c r="CG141" s="522"/>
    </row>
    <row r="142" spans="1:90" s="212" customFormat="1" ht="19.5" customHeight="1" thickBot="1" x14ac:dyDescent="0.3">
      <c r="A142" s="308"/>
      <c r="B142" s="308"/>
      <c r="C142" s="546"/>
      <c r="D142" s="313" t="s">
        <v>383</v>
      </c>
      <c r="E142" s="313" t="s">
        <v>384</v>
      </c>
      <c r="F142" s="313" t="s">
        <v>385</v>
      </c>
      <c r="G142" s="541" t="s">
        <v>28</v>
      </c>
      <c r="H142" s="312" t="s">
        <v>528</v>
      </c>
      <c r="I142" s="542" t="s">
        <v>2</v>
      </c>
      <c r="J142" s="547" t="s">
        <v>61</v>
      </c>
      <c r="K142" s="541" t="s">
        <v>3</v>
      </c>
      <c r="L142" s="547" t="s">
        <v>22</v>
      </c>
      <c r="M142" s="1999"/>
      <c r="N142" s="314" t="s">
        <v>207</v>
      </c>
      <c r="O142" s="315" t="s">
        <v>174</v>
      </c>
      <c r="P142" s="1999"/>
      <c r="Q142" s="314" t="s">
        <v>207</v>
      </c>
      <c r="R142" s="315" t="s">
        <v>174</v>
      </c>
      <c r="S142" s="1999"/>
      <c r="T142" s="314" t="s">
        <v>207</v>
      </c>
      <c r="U142" s="315" t="s">
        <v>174</v>
      </c>
      <c r="V142" s="1999"/>
      <c r="W142" s="314" t="s">
        <v>207</v>
      </c>
      <c r="X142" s="315" t="s">
        <v>174</v>
      </c>
      <c r="Y142" s="1999"/>
      <c r="Z142" s="314" t="s">
        <v>207</v>
      </c>
      <c r="AA142" s="178" t="s">
        <v>174</v>
      </c>
      <c r="AB142" s="548" t="s">
        <v>173</v>
      </c>
      <c r="AC142" s="679" t="s">
        <v>173</v>
      </c>
      <c r="AD142" s="550" t="s">
        <v>166</v>
      </c>
      <c r="AE142" s="538"/>
      <c r="AF142" s="538"/>
      <c r="AG142" s="538"/>
      <c r="AH142" s="538"/>
      <c r="AI142" s="551"/>
      <c r="AJ142" s="538"/>
      <c r="AK142" s="538"/>
      <c r="AL142" s="538"/>
      <c r="AM142" s="538"/>
      <c r="AN142" s="538"/>
      <c r="AO142" s="538"/>
      <c r="AP142" s="538"/>
      <c r="AQ142" s="538"/>
      <c r="AR142" s="538"/>
      <c r="AS142" s="538"/>
      <c r="AT142" s="538"/>
      <c r="AU142" s="538"/>
      <c r="AV142" s="538"/>
      <c r="AW142" s="538"/>
      <c r="AX142" s="545"/>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69"/>
      <c r="BT142" s="233"/>
      <c r="BU142" s="233"/>
      <c r="BV142" s="222"/>
      <c r="BW142" s="233"/>
      <c r="BX142" s="222"/>
      <c r="BY142" s="211"/>
      <c r="BZ142" s="222"/>
      <c r="CA142" s="222"/>
      <c r="CB142" s="225"/>
      <c r="CC142" s="225"/>
      <c r="CD142" s="225"/>
      <c r="CE142" s="225"/>
      <c r="CF142" s="225"/>
      <c r="CG142" s="300"/>
      <c r="CH142" s="300"/>
      <c r="CI142" s="300"/>
      <c r="CJ142" s="522"/>
      <c r="CK142" s="522"/>
      <c r="CL142" s="522"/>
    </row>
    <row r="143" spans="1:90" s="212" customFormat="1" ht="19.5" hidden="1" customHeight="1" thickBot="1" x14ac:dyDescent="0.3">
      <c r="A143" s="694"/>
      <c r="B143" s="694"/>
      <c r="C143" s="584"/>
      <c r="D143" s="695"/>
      <c r="E143" s="695"/>
      <c r="F143" s="695"/>
      <c r="G143" s="722"/>
      <c r="H143" s="694"/>
      <c r="I143" s="723"/>
      <c r="J143" s="724"/>
      <c r="K143" s="722"/>
      <c r="L143" s="724"/>
      <c r="M143" s="695"/>
      <c r="N143" s="97"/>
      <c r="O143" s="58"/>
      <c r="P143" s="695"/>
      <c r="Q143" s="97"/>
      <c r="R143" s="58"/>
      <c r="S143" s="695"/>
      <c r="T143" s="97"/>
      <c r="U143" s="58"/>
      <c r="V143" s="695"/>
      <c r="W143" s="97"/>
      <c r="X143" s="58"/>
      <c r="Y143" s="695"/>
      <c r="Z143" s="97"/>
      <c r="AA143" s="90"/>
      <c r="AB143" s="319"/>
      <c r="AC143" s="320"/>
      <c r="AD143" s="321"/>
      <c r="AE143" s="538"/>
      <c r="AF143" s="538"/>
      <c r="AG143" s="538"/>
      <c r="AH143" s="538"/>
      <c r="AI143" s="551"/>
      <c r="AJ143" s="538"/>
      <c r="AK143" s="538"/>
      <c r="AL143" s="538"/>
      <c r="AM143" s="538"/>
      <c r="AN143" s="538"/>
      <c r="AO143" s="538"/>
      <c r="AP143" s="538"/>
      <c r="AQ143" s="538"/>
      <c r="AR143" s="538"/>
      <c r="AS143" s="538"/>
      <c r="AT143" s="538"/>
      <c r="AU143" s="538"/>
      <c r="AV143" s="538"/>
      <c r="AW143" s="538"/>
      <c r="AX143" s="545"/>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69"/>
      <c r="BT143" s="233"/>
      <c r="BU143" s="233"/>
      <c r="BV143" s="222"/>
      <c r="BW143" s="233"/>
      <c r="BX143" s="222"/>
      <c r="BY143" s="211"/>
      <c r="BZ143" s="222"/>
      <c r="CA143" s="222"/>
      <c r="CB143" s="225"/>
      <c r="CC143" s="225"/>
      <c r="CD143" s="225"/>
      <c r="CE143" s="225"/>
      <c r="CF143" s="225"/>
      <c r="CG143" s="300"/>
      <c r="CH143" s="300"/>
      <c r="CI143" s="300"/>
      <c r="CJ143" s="522"/>
      <c r="CK143" s="522"/>
      <c r="CL143" s="522"/>
    </row>
    <row r="144" spans="1:90" s="212" customFormat="1" ht="30" customHeight="1" x14ac:dyDescent="0.25">
      <c r="A144" s="552"/>
      <c r="B144" s="322"/>
      <c r="C144" s="323" t="s">
        <v>569</v>
      </c>
      <c r="D144" s="1836">
        <v>1</v>
      </c>
      <c r="E144" s="89"/>
      <c r="F144" s="89"/>
      <c r="G144" s="89"/>
      <c r="H144" s="1836">
        <v>0.25</v>
      </c>
      <c r="I144" s="1836">
        <v>250</v>
      </c>
      <c r="J144" s="1836">
        <v>0</v>
      </c>
      <c r="K144" s="1836">
        <v>0</v>
      </c>
      <c r="L144" s="1836">
        <v>0</v>
      </c>
      <c r="M144" s="91">
        <f>IF($I144=0,0,1+($I144-$C$21)/$C$22)+$J144/$C$23+$K144/$C$24+$L144/$C$25</f>
        <v>7.4545454545454541</v>
      </c>
      <c r="N144" s="92">
        <f t="shared" ref="N144:N162" si="17">10^(-M144)</f>
        <v>3.5111917342151263E-8</v>
      </c>
      <c r="O144" s="93">
        <f>$C$7*$C$14*$C$8*$H144/$D144^2*N144*10^6</f>
        <v>7.022383468430253E-2</v>
      </c>
      <c r="P144" s="91">
        <f>IF($I144=0,0,1+($I144-$D$21)/$D$22)+$J144/$D$23+$K144/$D$24+$L144/$D$25</f>
        <v>6.6486486486486482</v>
      </c>
      <c r="Q144" s="92">
        <f t="shared" ref="Q144:Q162" si="18">10^(-P144)</f>
        <v>2.2456979955397711E-7</v>
      </c>
      <c r="R144" s="93">
        <f>$C$7*$D$14*$D$8*$H144/$D144^2*$Q144*10^6</f>
        <v>0.4491395991079542</v>
      </c>
      <c r="S144" s="93">
        <f>IF($I144=0,0,1+(I144-$E$21)/$E$22)+$J144/$E$23+K144/$E$24+$L144/$E$25</f>
        <v>5.7674418604651159</v>
      </c>
      <c r="T144" s="92">
        <f t="shared" ref="T144:T162" si="19">10^(-S144)</f>
        <v>1.7082763938087111E-6</v>
      </c>
      <c r="U144" s="93">
        <f>$C$7*$E$14*$E$8*$H144/$D144^2*$T144*10^6</f>
        <v>3.4165527876174222</v>
      </c>
      <c r="V144" s="93">
        <f>IF($I144=0,0,1+(I144-$F$21)/$F$22)+$J144/$F$23+K144/$F$24+$L144/$F$25</f>
        <v>9.1481481481481488</v>
      </c>
      <c r="W144" s="92">
        <f t="shared" ref="W144:W162" si="20">10^(-V144)</f>
        <v>7.1097094323124171E-10</v>
      </c>
      <c r="X144" s="93">
        <f>$C$7*$F$14*$F$8*$H144/$D144^2*$W144*10^6</f>
        <v>1.4219418864624834E-3</v>
      </c>
      <c r="Y144" s="93">
        <f>IF($I144=0,0,1+(I144-$G$21)/$G$22)+$J144/$G$23+K144/$G$24+$L144/$G$25</f>
        <v>6.9444444444444446</v>
      </c>
      <c r="Z144" s="92">
        <f t="shared" ref="Z144:Z162" si="21">10^(-Y144)</f>
        <v>1.136463666385722E-7</v>
      </c>
      <c r="AA144" s="94">
        <f>$C$7*$G$14*$G$8*$H144/$D144^2*$Z144*10^6</f>
        <v>0.22729273327714439</v>
      </c>
      <c r="AB144" s="553">
        <f>SUM(O144,R144,U144,X144,AA144)</f>
        <v>4.1646308965732857</v>
      </c>
      <c r="AC144" s="554"/>
      <c r="AD144" s="555"/>
      <c r="AE144" s="538"/>
      <c r="AF144" s="538"/>
      <c r="AG144" s="538"/>
      <c r="AH144" s="556"/>
      <c r="AI144" s="551"/>
      <c r="AJ144" s="551"/>
      <c r="AK144" s="551"/>
      <c r="AL144" s="538"/>
      <c r="AM144" s="538"/>
      <c r="AN144" s="538"/>
      <c r="AO144" s="538"/>
      <c r="AP144" s="538"/>
      <c r="AQ144" s="538"/>
      <c r="AR144" s="538"/>
      <c r="AS144" s="538"/>
      <c r="AT144" s="538"/>
      <c r="AU144" s="538"/>
      <c r="AV144" s="538"/>
      <c r="AW144" s="538"/>
      <c r="AX144" s="545"/>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69"/>
      <c r="BT144" s="233"/>
      <c r="BU144" s="233"/>
      <c r="BV144" s="222"/>
      <c r="BW144" s="222"/>
      <c r="BX144" s="222"/>
      <c r="BY144" s="211"/>
      <c r="BZ144" s="222"/>
      <c r="CA144" s="222"/>
      <c r="CB144" s="225"/>
      <c r="CC144" s="225"/>
      <c r="CD144" s="225"/>
      <c r="CE144" s="225"/>
      <c r="CF144" s="225"/>
      <c r="CG144" s="300"/>
      <c r="CH144" s="300"/>
      <c r="CI144" s="300"/>
      <c r="CJ144" s="522"/>
      <c r="CK144" s="522"/>
      <c r="CL144" s="522"/>
    </row>
    <row r="145" spans="1:90" s="212" customFormat="1" ht="30" customHeight="1" x14ac:dyDescent="0.25">
      <c r="A145" s="557" t="str">
        <f>Samenvatting!A332</f>
        <v>T1</v>
      </c>
      <c r="B145" s="558" t="str">
        <f>Samenvatting!B332</f>
        <v>terreingrens 1</v>
      </c>
      <c r="C145" s="331" t="s">
        <v>568</v>
      </c>
      <c r="D145" s="1836">
        <v>25</v>
      </c>
      <c r="E145" s="89"/>
      <c r="F145" s="89"/>
      <c r="G145" s="89"/>
      <c r="H145" s="559"/>
      <c r="I145" s="1836">
        <v>250</v>
      </c>
      <c r="J145" s="1836">
        <v>0</v>
      </c>
      <c r="K145" s="1836">
        <v>0</v>
      </c>
      <c r="L145" s="1836">
        <v>0</v>
      </c>
      <c r="M145" s="93">
        <f>$I145/$C$27+$J145/$C$28+K145/$C$29+$L145/$C$30</f>
        <v>7.3529411764705879</v>
      </c>
      <c r="N145" s="92">
        <f t="shared" si="17"/>
        <v>4.4366873309786093E-8</v>
      </c>
      <c r="O145" s="93">
        <f>$C$7*$C$15*$C$8*($C$9+$C$10*$C$11)/$D145^2*$N145*10^6</f>
        <v>4.2592198377394652E-5</v>
      </c>
      <c r="P145" s="93">
        <f>$I145/$D$27+$J145/$D$28+K145/$D$29+$L145/$D$30</f>
        <v>6.5789473684210522</v>
      </c>
      <c r="Q145" s="92">
        <f t="shared" si="18"/>
        <v>2.636650898730358E-7</v>
      </c>
      <c r="R145" s="93">
        <f>$C$7*$C$15*$D$8*($D$9+$D$10*$D$11)/$D145^2*$Q145*10^6</f>
        <v>2.5311848627811444E-4</v>
      </c>
      <c r="S145" s="93">
        <f>$I145/$E$27+$J145/$E$28+K145/$E$29+$L145/$E$30</f>
        <v>5.6818181818181817</v>
      </c>
      <c r="T145" s="92">
        <f t="shared" si="19"/>
        <v>2.0805675382171676E-6</v>
      </c>
      <c r="U145" s="93">
        <f>$C$7*$C$15*$E$8*($E$9+$E$10*$E$11)/$D145^2*$T145*10^6</f>
        <v>1.9973448366884814E-3</v>
      </c>
      <c r="V145" s="93">
        <f>$I145/$F$27+$J145/$F$28+K145/$F$29+$L145/$F$30</f>
        <v>8.1967213114754092</v>
      </c>
      <c r="W145" s="92">
        <f t="shared" si="20"/>
        <v>6.3573875711648393E-9</v>
      </c>
      <c r="X145" s="93">
        <f>$C$7*$C$15*$F$8*($F$9+$F$10*$F$11)/$D145^2*$W145*10^6</f>
        <v>6.1030920683182469E-6</v>
      </c>
      <c r="Y145" s="93">
        <f>$I145/$G$27+$J145/$G$28+K145/$G$29+$L145/$G$30</f>
        <v>7.0224719101123592</v>
      </c>
      <c r="Z145" s="92">
        <f t="shared" si="21"/>
        <v>9.4957241494880226E-8</v>
      </c>
      <c r="AA145" s="94">
        <f>$C$7*$C$15*$G$8*($G$9+$G$10*$G$11)/$D145^2*$Z145*10^6</f>
        <v>9.1158951835085031E-5</v>
      </c>
      <c r="AB145" s="560">
        <f>SUM(O145,R145,U145,X145,AA145)</f>
        <v>2.3903175652473939E-3</v>
      </c>
      <c r="AC145" s="561">
        <f>SUM(AB143:AB148)</f>
        <v>4.1670929152189826</v>
      </c>
      <c r="AD145" s="562">
        <f>AC145*52/10^3</f>
        <v>0.2166888315913871</v>
      </c>
      <c r="AE145" s="538"/>
      <c r="AF145" s="538"/>
      <c r="AG145" s="538"/>
      <c r="AH145" s="556"/>
      <c r="AI145" s="563"/>
      <c r="AJ145" s="551"/>
      <c r="AK145" s="551"/>
      <c r="AL145" s="538"/>
      <c r="AM145" s="538"/>
      <c r="AN145" s="538"/>
      <c r="AO145" s="538"/>
      <c r="AP145" s="538"/>
      <c r="AQ145" s="538"/>
      <c r="AR145" s="538"/>
      <c r="AS145" s="538"/>
      <c r="AT145" s="538"/>
      <c r="AU145" s="538"/>
      <c r="AV145" s="538"/>
      <c r="AW145" s="538"/>
      <c r="AX145" s="545"/>
      <c r="AY145" s="545"/>
      <c r="AZ145" s="545"/>
      <c r="BA145" s="545"/>
      <c r="BB145" s="328"/>
      <c r="BC145" s="328"/>
      <c r="BD145" s="328"/>
      <c r="BE145" s="328"/>
      <c r="BF145" s="328"/>
      <c r="BG145" s="328"/>
      <c r="BH145" s="328"/>
      <c r="BI145" s="328"/>
      <c r="BJ145" s="328"/>
      <c r="BK145" s="328"/>
      <c r="BL145" s="328"/>
      <c r="BM145" s="328"/>
      <c r="BN145" s="328"/>
      <c r="BO145" s="328"/>
      <c r="BP145" s="328"/>
      <c r="BQ145" s="328"/>
      <c r="BR145" s="328"/>
      <c r="BS145" s="369"/>
      <c r="BT145" s="233"/>
      <c r="BU145" s="233"/>
      <c r="BV145" s="222"/>
      <c r="BW145" s="222"/>
      <c r="BX145" s="222"/>
      <c r="BY145" s="211"/>
      <c r="BZ145" s="222"/>
      <c r="CA145" s="222"/>
      <c r="CB145" s="225"/>
      <c r="CC145" s="225"/>
      <c r="CD145" s="225"/>
      <c r="CE145" s="225"/>
      <c r="CF145" s="225"/>
      <c r="CG145" s="300"/>
      <c r="CH145" s="300"/>
      <c r="CI145" s="300"/>
      <c r="CJ145" s="522"/>
      <c r="CK145" s="522"/>
      <c r="CL145" s="522"/>
    </row>
    <row r="146" spans="1:90" s="212" customFormat="1" ht="30" customHeight="1" x14ac:dyDescent="0.25">
      <c r="A146" s="557"/>
      <c r="B146" s="558"/>
      <c r="C146" s="331" t="s">
        <v>26</v>
      </c>
      <c r="D146" s="564"/>
      <c r="E146" s="1836">
        <v>11</v>
      </c>
      <c r="F146" s="89">
        <f>D145</f>
        <v>25</v>
      </c>
      <c r="G146" s="1836">
        <v>15</v>
      </c>
      <c r="H146" s="1836">
        <v>0.25</v>
      </c>
      <c r="I146" s="1836">
        <v>210</v>
      </c>
      <c r="J146" s="1836">
        <v>0</v>
      </c>
      <c r="K146" s="1836">
        <v>0</v>
      </c>
      <c r="L146" s="1836">
        <v>0</v>
      </c>
      <c r="M146" s="93">
        <f>IF($I146=0,0,1+(I146-$C$21)/$C$22)+$J146/$C$23+K146/$C$24+$L146/$C$25</f>
        <v>6.2424242424242422</v>
      </c>
      <c r="N146" s="92">
        <f t="shared" si="17"/>
        <v>5.722367659350211E-7</v>
      </c>
      <c r="O146" s="95">
        <f>2.5*0.01*$C$7*$C$14*$C$8*$H146*(2*PI()*(1-COS($G146/180*PI())))^1.3/$E146^2/$F146^2*N146*10^6</f>
        <v>5.101138747051231E-8</v>
      </c>
      <c r="P146" s="91">
        <f>IF($I146=0,0,1+($I146-$D$21)/$D$22)+$J146/$D$23+$K146/$D$24+$L146/$D$25</f>
        <v>5.5675675675675675</v>
      </c>
      <c r="Q146" s="92">
        <f t="shared" si="18"/>
        <v>2.7066520700332395E-6</v>
      </c>
      <c r="R146" s="95">
        <f>2.5*0.01*$C$7*$D$14*$D$8*$H146*(2*PI()*(1-COS($G146/180*PI())))^1.3/$E146^2/$F146^2*Q146*10^6</f>
        <v>2.4128138160910826E-7</v>
      </c>
      <c r="S146" s="93">
        <f>IF($I146=0,0,1+(I146-$E$21)/$E$22)+$J146/$E$23+K146/$E$24+$L146/$E$25</f>
        <v>4.8372093023255811</v>
      </c>
      <c r="T146" s="92">
        <f t="shared" si="19"/>
        <v>1.4547578108480478E-5</v>
      </c>
      <c r="U146" s="95">
        <f>2.5*0.01*$C$7*$E$14*$E$8*$H146*(2*PI()*(1-COS($G146/180*PI())))^1.3/$E146^2/$F146^2*T146*10^6</f>
        <v>1.2968270964496306E-6</v>
      </c>
      <c r="V146" s="93">
        <f>IF($I146=0,0,1+(I146-$F$21)/$F$22)+$J146/$F$23+K146/$F$24+$L146/$F$25</f>
        <v>7.666666666666667</v>
      </c>
      <c r="W146" s="92">
        <f t="shared" si="20"/>
        <v>2.1544346900318783E-8</v>
      </c>
      <c r="X146" s="95">
        <f>2.5*0.01*$C$7*$F$14*$F$8*$H146*(2*PI()*(1-COS($G146/180*PI())))^1.3/$E146^2/$F146^2*W146*10^6</f>
        <v>1.920545992418962E-9</v>
      </c>
      <c r="Y146" s="93">
        <f>IF($I146=0,0,1+(I146-$G$21)/$G$22)+$J146/$G$23+K146/$G$24+$L146/$G$25</f>
        <v>5.833333333333333</v>
      </c>
      <c r="Z146" s="92">
        <f t="shared" si="21"/>
        <v>1.4677992676220696E-6</v>
      </c>
      <c r="AA146" s="96">
        <f>2.5*0.01*$C$7*$G$14*$G$8*$H146*(2*PI()*(1-COS($G146/180*PI())))^1.3/$E146^2/$F146^2*Z146*10^6</f>
        <v>1.3084527528960935E-7</v>
      </c>
      <c r="AB146" s="560">
        <f>SUM(O146,R146,U146,X146,AA146)</f>
        <v>1.7218856868112794E-6</v>
      </c>
      <c r="AC146" s="565"/>
      <c r="AD146" s="566"/>
      <c r="AE146" s="538"/>
      <c r="AF146" s="538"/>
      <c r="AG146" s="567"/>
      <c r="AH146" s="538"/>
      <c r="AI146" s="563"/>
      <c r="AJ146" s="545"/>
      <c r="AK146" s="545"/>
      <c r="AL146" s="538"/>
      <c r="AM146" s="538"/>
      <c r="AN146" s="538"/>
      <c r="AO146" s="538"/>
      <c r="AP146" s="538"/>
      <c r="AQ146" s="538"/>
      <c r="AR146" s="538"/>
      <c r="AS146" s="538"/>
      <c r="AT146" s="538"/>
      <c r="AU146" s="538"/>
      <c r="AV146" s="538"/>
      <c r="AW146" s="538"/>
      <c r="AX146" s="545"/>
      <c r="AY146" s="545"/>
      <c r="AZ146" s="545"/>
      <c r="BA146" s="545"/>
      <c r="BB146" s="328"/>
      <c r="BC146" s="328"/>
      <c r="BD146" s="328"/>
      <c r="BE146" s="328"/>
      <c r="BF146" s="328"/>
      <c r="BG146" s="328"/>
      <c r="BH146" s="328"/>
      <c r="BI146" s="328"/>
      <c r="BJ146" s="328"/>
      <c r="BK146" s="328"/>
      <c r="BL146" s="328"/>
      <c r="BM146" s="328"/>
      <c r="BN146" s="328"/>
      <c r="BO146" s="328"/>
      <c r="BP146" s="328"/>
      <c r="BQ146" s="328"/>
      <c r="BR146" s="328"/>
      <c r="BS146" s="369"/>
      <c r="BT146" s="233"/>
      <c r="BU146" s="233"/>
      <c r="BV146" s="222"/>
      <c r="BW146" s="222"/>
      <c r="BX146" s="222"/>
      <c r="BY146" s="211"/>
      <c r="BZ146" s="222"/>
      <c r="CA146" s="222"/>
      <c r="CB146" s="225"/>
      <c r="CC146" s="225"/>
      <c r="CD146" s="225"/>
      <c r="CE146" s="225"/>
      <c r="CF146" s="225"/>
      <c r="CG146" s="300"/>
      <c r="CH146" s="300"/>
      <c r="CI146" s="300"/>
      <c r="CJ146" s="522"/>
      <c r="CK146" s="522"/>
      <c r="CL146" s="522"/>
    </row>
    <row r="147" spans="1:90" s="538" customFormat="1" ht="30" customHeight="1" thickBot="1" x14ac:dyDescent="0.3">
      <c r="A147" s="557"/>
      <c r="B147" s="558"/>
      <c r="C147" s="331" t="s">
        <v>27</v>
      </c>
      <c r="D147" s="89"/>
      <c r="E147" s="1836">
        <v>10</v>
      </c>
      <c r="F147" s="89"/>
      <c r="G147" s="1836">
        <v>60</v>
      </c>
      <c r="H147" s="568"/>
      <c r="I147" s="1836">
        <v>190</v>
      </c>
      <c r="J147" s="1836">
        <v>0</v>
      </c>
      <c r="K147" s="1836">
        <v>0</v>
      </c>
      <c r="L147" s="1836">
        <v>0</v>
      </c>
      <c r="M147" s="93">
        <f>$I147/$C$27+$J147/$C$28+K147/$C$29+$L147/$C$30</f>
        <v>5.5882352941176467</v>
      </c>
      <c r="N147" s="92">
        <f t="shared" si="17"/>
        <v>2.580861540418073E-6</v>
      </c>
      <c r="O147" s="95">
        <f>2.5*0.01*$C$7*$C$15*$C$8*($C$9+$C$10*$C$11)*(2*PI()*(1-COS($G147/180*PI())))^1.3/E$147^2/$F146^2*N147*10^6</f>
        <v>2.7432840731901286E-6</v>
      </c>
      <c r="P147" s="93">
        <f>$I147/$D$27+$J147/$D$28+K147/$D$29+$L147/$D$30</f>
        <v>5</v>
      </c>
      <c r="Q147" s="92">
        <f t="shared" si="18"/>
        <v>1.0000000000000001E-5</v>
      </c>
      <c r="R147" s="95">
        <f>2.5*0.01*$C$7*$C$15*$D$8*($D$9+$D$10*$D$11)*(2*PI()*(1-COS($G147/180*PI())))^1.3/$E147^2/$F146^2*Q147*10^6</f>
        <v>1.0629334546733355E-5</v>
      </c>
      <c r="S147" s="93">
        <f>$I147/$E$27+$J147/$E$28+K147/$E$29+$L147/$E$30</f>
        <v>4.3181818181818183</v>
      </c>
      <c r="T147" s="92">
        <f t="shared" si="19"/>
        <v>4.8063808630643867E-5</v>
      </c>
      <c r="U147" s="95">
        <f>2.5*0.01*$C$7*$C$15*$E$8*($E$9+$E$10*$E$11)*(2*PI()*(1-COS($G147/180*PI())))^1.3/$E147^2/$F146^2*T147*10^6</f>
        <v>5.1088630152528366E-5</v>
      </c>
      <c r="V147" s="93">
        <f>$I147/$F$27+$J147/$F$28+K147/$F$29+$L147/$F$30</f>
        <v>6.2295081967213113</v>
      </c>
      <c r="W147" s="92">
        <f t="shared" si="20"/>
        <v>5.8951085074002664E-7</v>
      </c>
      <c r="X147" s="95">
        <f>2.5*0.01*$C$7*$C$15*$F$8*($F$9+$F$10*$F$11)*(2*PI()*(1-COS($G147/180*PI())))^1.3/$E147^2/$F146^2*W147*10^6</f>
        <v>6.2661080514451354E-7</v>
      </c>
      <c r="Y147" s="93">
        <f>$I147/$G$27+$J147/$G$28+K147/$G$29+$L147/$G$30</f>
        <v>5.3370786516853927</v>
      </c>
      <c r="Z147" s="92">
        <f t="shared" si="21"/>
        <v>4.6017322765137984E-6</v>
      </c>
      <c r="AA147" s="96">
        <f>2.5*0.01*$C$7*$C$15*$G$8*($G$9+$G$10*$G$11)*(2*PI()*(1-COS($G147/180*PI())))^1.3/$E147^2/$F146^2*Z147*10^6</f>
        <v>4.891335186156605E-6</v>
      </c>
      <c r="AB147" s="569">
        <f>SUM(O147,R147,U147,X147,AA147)</f>
        <v>6.9979194763752965E-5</v>
      </c>
      <c r="AC147" s="570"/>
      <c r="AD147" s="571"/>
      <c r="AH147" s="572"/>
      <c r="AI147" s="573"/>
      <c r="AJ147" s="563"/>
      <c r="AK147" s="551"/>
      <c r="AX147" s="545"/>
      <c r="AY147" s="545"/>
      <c r="AZ147" s="545"/>
      <c r="BA147" s="545"/>
      <c r="BB147" s="545"/>
      <c r="BC147" s="545"/>
      <c r="BD147" s="545"/>
      <c r="BE147" s="545"/>
      <c r="BF147" s="545"/>
      <c r="BG147" s="545"/>
      <c r="BH147" s="545"/>
      <c r="BI147" s="545"/>
      <c r="BJ147" s="545"/>
      <c r="BK147" s="545"/>
      <c r="BL147" s="545"/>
      <c r="BM147" s="545"/>
      <c r="BN147" s="545"/>
      <c r="BO147" s="545"/>
      <c r="BP147" s="545"/>
      <c r="BQ147" s="545"/>
      <c r="BR147" s="545"/>
      <c r="BS147" s="545"/>
      <c r="BT147" s="545"/>
      <c r="BU147" s="545"/>
      <c r="BV147" s="545"/>
      <c r="BW147" s="545"/>
      <c r="BX147" s="545"/>
      <c r="BY147" s="545"/>
      <c r="BZ147" s="545"/>
    </row>
    <row r="148" spans="1:90" s="212" customFormat="1" ht="30" hidden="1" customHeight="1" thickBot="1" x14ac:dyDescent="0.3">
      <c r="A148" s="574"/>
      <c r="B148" s="575"/>
      <c r="C148" s="576"/>
      <c r="D148" s="89"/>
      <c r="E148" s="89"/>
      <c r="F148" s="89"/>
      <c r="G148" s="89"/>
      <c r="H148" s="1837"/>
      <c r="I148" s="1837"/>
      <c r="J148" s="1837"/>
      <c r="K148" s="1837"/>
      <c r="L148" s="1837"/>
      <c r="M148" s="91"/>
      <c r="N148" s="97"/>
      <c r="O148" s="98"/>
      <c r="P148" s="91"/>
      <c r="Q148" s="97"/>
      <c r="R148" s="98"/>
      <c r="S148" s="91"/>
      <c r="T148" s="97"/>
      <c r="U148" s="98"/>
      <c r="V148" s="91"/>
      <c r="W148" s="97"/>
      <c r="X148" s="98"/>
      <c r="Y148" s="91"/>
      <c r="Z148" s="97"/>
      <c r="AA148" s="99"/>
      <c r="AB148" s="577"/>
      <c r="AC148" s="578"/>
      <c r="AD148" s="579"/>
      <c r="AH148" s="580"/>
      <c r="AI148" s="581"/>
      <c r="AJ148" s="282"/>
      <c r="AK148" s="300"/>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row>
    <row r="149" spans="1:90" s="212" customFormat="1" ht="30" customHeight="1" x14ac:dyDescent="0.25">
      <c r="A149" s="552"/>
      <c r="B149" s="322"/>
      <c r="C149" s="323" t="s">
        <v>569</v>
      </c>
      <c r="D149" s="1836">
        <v>1</v>
      </c>
      <c r="E149" s="89"/>
      <c r="F149" s="89"/>
      <c r="G149" s="89"/>
      <c r="H149" s="1836">
        <v>0.25</v>
      </c>
      <c r="I149" s="1836">
        <v>250</v>
      </c>
      <c r="J149" s="1836">
        <v>0</v>
      </c>
      <c r="K149" s="1836">
        <v>0</v>
      </c>
      <c r="L149" s="1836">
        <v>0</v>
      </c>
      <c r="M149" s="91">
        <f>IF($I149=0,0,1+($I149-$C$21)/$C$22)+$J149/$C$23+$K149/$C$24+$L149/$C$25</f>
        <v>7.4545454545454541</v>
      </c>
      <c r="N149" s="92">
        <f t="shared" si="17"/>
        <v>3.5111917342151263E-8</v>
      </c>
      <c r="O149" s="93">
        <f>$C$7*$C$14*$C$8*$H149/$D149^2*N149*10^6</f>
        <v>7.022383468430253E-2</v>
      </c>
      <c r="P149" s="91">
        <f>IF($I149=0,0,1+($I149-$D$21)/$D$22)+$J149/$D$23+$K149/$D$24+$L149/$D$25</f>
        <v>6.6486486486486482</v>
      </c>
      <c r="Q149" s="92">
        <f t="shared" si="18"/>
        <v>2.2456979955397711E-7</v>
      </c>
      <c r="R149" s="93">
        <f>$C$7*$D$14*$D$8*$H149/$D149^2*$Q149*10^6</f>
        <v>0.4491395991079542</v>
      </c>
      <c r="S149" s="93">
        <f>IF($I149=0,0,1+(I149-$E$21)/$E$22)+$J149/$E$23+K149/$E$24+$L149/$E$25</f>
        <v>5.7674418604651159</v>
      </c>
      <c r="T149" s="92">
        <f t="shared" si="19"/>
        <v>1.7082763938087111E-6</v>
      </c>
      <c r="U149" s="93">
        <f>$C$7*$E$14*$E$8*$H149/$D149^2*$T149*10^6</f>
        <v>3.4165527876174222</v>
      </c>
      <c r="V149" s="93">
        <f>IF($I149=0,0,1+(I149-$F$21)/$F$22)+$J149/$F$23+K149/$F$24+$L149/$F$25</f>
        <v>9.1481481481481488</v>
      </c>
      <c r="W149" s="92">
        <f t="shared" si="20"/>
        <v>7.1097094323124171E-10</v>
      </c>
      <c r="X149" s="93">
        <f>$C$7*$F$14*$F$8*$H149/$D149^2*$W149*10^6</f>
        <v>1.4219418864624834E-3</v>
      </c>
      <c r="Y149" s="93">
        <f>IF($I149=0,0,1+(I149-$G$21)/$G$22)+$J149/$G$23+K149/$G$24+$L149/$G$25</f>
        <v>6.9444444444444446</v>
      </c>
      <c r="Z149" s="92">
        <f t="shared" si="21"/>
        <v>1.136463666385722E-7</v>
      </c>
      <c r="AA149" s="94">
        <f>$C$7*$G$14*$G$8*$H149/$D149^2*$Z149*10^6</f>
        <v>0.22729273327714439</v>
      </c>
      <c r="AB149" s="553">
        <f>SUM(O149,R149,U149,X149,AA149)</f>
        <v>4.1646308965732857</v>
      </c>
      <c r="AC149" s="554"/>
      <c r="AD149" s="555"/>
      <c r="AE149" s="538"/>
      <c r="AF149" s="538"/>
      <c r="AG149" s="538"/>
      <c r="AH149" s="556"/>
      <c r="AI149" s="551"/>
      <c r="AJ149" s="551"/>
      <c r="AK149" s="551"/>
      <c r="AL149" s="538"/>
      <c r="AM149" s="538"/>
      <c r="AN149" s="538"/>
      <c r="AO149" s="538"/>
      <c r="AP149" s="538"/>
      <c r="AQ149" s="538"/>
      <c r="AR149" s="538"/>
      <c r="AS149" s="538"/>
      <c r="AT149" s="538"/>
      <c r="AU149" s="538"/>
      <c r="AV149" s="538"/>
      <c r="AW149" s="538"/>
      <c r="AX149" s="545"/>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69"/>
      <c r="BT149" s="233"/>
      <c r="BU149" s="233"/>
      <c r="BV149" s="222"/>
      <c r="BW149" s="222"/>
      <c r="BX149" s="222"/>
      <c r="BY149" s="211"/>
      <c r="BZ149" s="222"/>
      <c r="CA149" s="222"/>
      <c r="CB149" s="225"/>
      <c r="CC149" s="225"/>
      <c r="CD149" s="225"/>
      <c r="CE149" s="225"/>
      <c r="CF149" s="225"/>
      <c r="CG149" s="300"/>
      <c r="CH149" s="300"/>
      <c r="CI149" s="300"/>
      <c r="CJ149" s="522"/>
      <c r="CK149" s="522"/>
      <c r="CL149" s="522"/>
    </row>
    <row r="150" spans="1:90" s="212" customFormat="1" ht="30" customHeight="1" x14ac:dyDescent="0.25">
      <c r="A150" s="557" t="str">
        <f>Samenvatting!A343</f>
        <v>T2</v>
      </c>
      <c r="B150" s="558" t="str">
        <f>Samenvatting!B343</f>
        <v>terreingrens 2</v>
      </c>
      <c r="C150" s="331" t="s">
        <v>568</v>
      </c>
      <c r="D150" s="1836">
        <v>25</v>
      </c>
      <c r="E150" s="89"/>
      <c r="F150" s="89"/>
      <c r="G150" s="89"/>
      <c r="H150" s="559"/>
      <c r="I150" s="1836">
        <v>250</v>
      </c>
      <c r="J150" s="1836">
        <v>0</v>
      </c>
      <c r="K150" s="1836">
        <v>0</v>
      </c>
      <c r="L150" s="1836">
        <v>0</v>
      </c>
      <c r="M150" s="93">
        <f>$I150/$C$27+$J150/$C$28+K150/$C$29+$L150/$C$30</f>
        <v>7.3529411764705879</v>
      </c>
      <c r="N150" s="92">
        <f t="shared" si="17"/>
        <v>4.4366873309786093E-8</v>
      </c>
      <c r="O150" s="93">
        <f>$C$7*$C$15*$C$8*($C$9+$C$10*$C$11)/$D150^2*$N150*10^6</f>
        <v>4.2592198377394652E-5</v>
      </c>
      <c r="P150" s="93">
        <f>$I150/$D$27+$J150/$D$28+K150/$D$29+$L150/$D$30</f>
        <v>6.5789473684210522</v>
      </c>
      <c r="Q150" s="92">
        <f t="shared" si="18"/>
        <v>2.636650898730358E-7</v>
      </c>
      <c r="R150" s="93">
        <f>$C$7*$C$15*$D$8*($D$9+$D$10*$D$11)/$D150^2*$Q150*10^6</f>
        <v>2.5311848627811444E-4</v>
      </c>
      <c r="S150" s="93">
        <f>$I150/$E$27+$J150/$E$28+K150/$E$29+$L150/$E$30</f>
        <v>5.6818181818181817</v>
      </c>
      <c r="T150" s="92">
        <f t="shared" si="19"/>
        <v>2.0805675382171676E-6</v>
      </c>
      <c r="U150" s="93">
        <f>$C$7*$C$15*$E$8*($E$9+$E$10*$E$11)/$D150^2*$T150*10^6</f>
        <v>1.9973448366884814E-3</v>
      </c>
      <c r="V150" s="93">
        <f>$I150/$F$27+$J150/$F$28+K150/$F$29+$L150/$F$30</f>
        <v>8.1967213114754092</v>
      </c>
      <c r="W150" s="92">
        <f t="shared" si="20"/>
        <v>6.3573875711648393E-9</v>
      </c>
      <c r="X150" s="93">
        <f>$C$7*$C$15*$F$8*($F$9+$F$10*$F$11)/$D150^2*$W150*10^6</f>
        <v>6.1030920683182469E-6</v>
      </c>
      <c r="Y150" s="93">
        <f>$I150/$G$27+$J150/$G$28+K150/$G$29+$L150/$G$30</f>
        <v>7.0224719101123592</v>
      </c>
      <c r="Z150" s="92">
        <f t="shared" si="21"/>
        <v>9.4957241494880226E-8</v>
      </c>
      <c r="AA150" s="94">
        <f>$C$7*$C$15*$G$8*($G$9+$G$10*$G$11)/$D150^2*$Z150*10^6</f>
        <v>9.1158951835085031E-5</v>
      </c>
      <c r="AB150" s="560">
        <f>SUM(O150,R150,U150,X150,AA150)</f>
        <v>2.3903175652473939E-3</v>
      </c>
      <c r="AC150" s="561">
        <f>SUM(AB148:AB153)</f>
        <v>4.1670929152189826</v>
      </c>
      <c r="AD150" s="562">
        <f>AC150*52/10^3</f>
        <v>0.2166888315913871</v>
      </c>
      <c r="AE150" s="538"/>
      <c r="AF150" s="538"/>
      <c r="AG150" s="538"/>
      <c r="AH150" s="556"/>
      <c r="AI150" s="563"/>
      <c r="AJ150" s="551"/>
      <c r="AK150" s="551"/>
      <c r="AL150" s="538"/>
      <c r="AM150" s="538"/>
      <c r="AN150" s="538"/>
      <c r="AO150" s="538"/>
      <c r="AP150" s="538"/>
      <c r="AQ150" s="538"/>
      <c r="AR150" s="538"/>
      <c r="AS150" s="538"/>
      <c r="AT150" s="538"/>
      <c r="AU150" s="538"/>
      <c r="AV150" s="538"/>
      <c r="AW150" s="538"/>
      <c r="AX150" s="545"/>
      <c r="AY150" s="545"/>
      <c r="AZ150" s="545"/>
      <c r="BA150" s="545"/>
      <c r="BB150" s="328"/>
      <c r="BC150" s="328"/>
      <c r="BD150" s="328"/>
      <c r="BE150" s="328"/>
      <c r="BF150" s="328"/>
      <c r="BG150" s="328"/>
      <c r="BH150" s="328"/>
      <c r="BI150" s="328"/>
      <c r="BJ150" s="328"/>
      <c r="BK150" s="328"/>
      <c r="BL150" s="328"/>
      <c r="BM150" s="328"/>
      <c r="BN150" s="328"/>
      <c r="BO150" s="328"/>
      <c r="BP150" s="328"/>
      <c r="BQ150" s="328"/>
      <c r="BR150" s="328"/>
      <c r="BS150" s="369"/>
      <c r="BT150" s="233"/>
      <c r="BU150" s="233"/>
      <c r="BV150" s="222"/>
      <c r="BW150" s="222"/>
      <c r="BX150" s="222"/>
      <c r="BY150" s="211"/>
      <c r="BZ150" s="222"/>
      <c r="CA150" s="222"/>
      <c r="CB150" s="225"/>
      <c r="CC150" s="225"/>
      <c r="CD150" s="225"/>
      <c r="CE150" s="225"/>
      <c r="CF150" s="225"/>
      <c r="CG150" s="300"/>
      <c r="CH150" s="300"/>
      <c r="CI150" s="300"/>
      <c r="CJ150" s="522"/>
      <c r="CK150" s="522"/>
      <c r="CL150" s="522"/>
    </row>
    <row r="151" spans="1:90" s="212" customFormat="1" ht="30" customHeight="1" x14ac:dyDescent="0.25">
      <c r="A151" s="557"/>
      <c r="B151" s="558"/>
      <c r="C151" s="331" t="s">
        <v>26</v>
      </c>
      <c r="D151" s="564"/>
      <c r="E151" s="89">
        <f>E146</f>
        <v>11</v>
      </c>
      <c r="F151" s="89">
        <f>D150</f>
        <v>25</v>
      </c>
      <c r="G151" s="1836">
        <v>15</v>
      </c>
      <c r="H151" s="1836">
        <v>0.25</v>
      </c>
      <c r="I151" s="1836">
        <v>210</v>
      </c>
      <c r="J151" s="1836">
        <v>0</v>
      </c>
      <c r="K151" s="1836">
        <v>0</v>
      </c>
      <c r="L151" s="1836">
        <v>0</v>
      </c>
      <c r="M151" s="93">
        <f>IF($I151=0,0,1+(I151-$C$21)/$C$22)+$J151/$C$23+K151/$C$24+$L151/$C$25</f>
        <v>6.2424242424242422</v>
      </c>
      <c r="N151" s="92">
        <f t="shared" si="17"/>
        <v>5.722367659350211E-7</v>
      </c>
      <c r="O151" s="95">
        <f>2.5*0.01*$C$7*$C$14*$C$8*$H151*(2*PI()*(1-COS($G151/180*PI())))^1.3/$E151^2/$F151^2*N151*10^6</f>
        <v>5.101138747051231E-8</v>
      </c>
      <c r="P151" s="91">
        <f>IF($I151=0,0,1+($I151-$D$21)/$D$22)+$J151/$D$23+$K151/$D$24+$L151/$D$25</f>
        <v>5.5675675675675675</v>
      </c>
      <c r="Q151" s="92">
        <f t="shared" si="18"/>
        <v>2.7066520700332395E-6</v>
      </c>
      <c r="R151" s="95">
        <f>2.5*0.01*$C$7*$D$14*$D$8*$H151*(2*PI()*(1-COS($G151/180*PI())))^1.3/$E151^2/$F151^2*Q151*10^6</f>
        <v>2.4128138160910826E-7</v>
      </c>
      <c r="S151" s="93">
        <f>IF($I151=0,0,1+(I151-$E$21)/$E$22)+$J151/$E$23+K151/$E$24+$L151/$E$25</f>
        <v>4.8372093023255811</v>
      </c>
      <c r="T151" s="92">
        <f t="shared" si="19"/>
        <v>1.4547578108480478E-5</v>
      </c>
      <c r="U151" s="95">
        <f>2.5*0.01*$C$7*$E$14*$E$8*$H151*(2*PI()*(1-COS($G151/180*PI())))^1.3/$E151^2/$F151^2*T151*10^6</f>
        <v>1.2968270964496306E-6</v>
      </c>
      <c r="V151" s="93">
        <f>IF($I151=0,0,1+(I151-$F$21)/$F$22)+$J151/$F$23+K151/$F$24+$L151/$F$25</f>
        <v>7.666666666666667</v>
      </c>
      <c r="W151" s="92">
        <f t="shared" si="20"/>
        <v>2.1544346900318783E-8</v>
      </c>
      <c r="X151" s="95">
        <f>2.5*0.01*$C$7*$F$14*$F$8*$H151*(2*PI()*(1-COS($G151/180*PI())))^1.3/$E151^2/$F151^2*W151*10^6</f>
        <v>1.920545992418962E-9</v>
      </c>
      <c r="Y151" s="93">
        <f>IF($I151=0,0,1+(I151-$G$21)/$G$22)+$J151/$G$23+K151/$G$24+$L151/$G$25</f>
        <v>5.833333333333333</v>
      </c>
      <c r="Z151" s="92">
        <f t="shared" si="21"/>
        <v>1.4677992676220696E-6</v>
      </c>
      <c r="AA151" s="96">
        <f>2.5*0.01*$C$7*$G$14*$G$8*$H151*(2*PI()*(1-COS($G151/180*PI())))^1.3/$E151^2/$F151^2*Z151*10^6</f>
        <v>1.3084527528960935E-7</v>
      </c>
      <c r="AB151" s="560">
        <f>SUM(O151,R151,U151,X151,AA151)</f>
        <v>1.7218856868112794E-6</v>
      </c>
      <c r="AC151" s="565"/>
      <c r="AD151" s="566"/>
      <c r="AE151" s="538"/>
      <c r="AF151" s="538"/>
      <c r="AG151" s="567"/>
      <c r="AH151" s="538"/>
      <c r="AI151" s="563"/>
      <c r="AJ151" s="545"/>
      <c r="AK151" s="545"/>
      <c r="AL151" s="538"/>
      <c r="AM151" s="538"/>
      <c r="AN151" s="538"/>
      <c r="AO151" s="538"/>
      <c r="AP151" s="538"/>
      <c r="AQ151" s="538"/>
      <c r="AR151" s="538"/>
      <c r="AS151" s="538"/>
      <c r="AT151" s="538"/>
      <c r="AU151" s="538"/>
      <c r="AV151" s="538"/>
      <c r="AW151" s="538"/>
      <c r="AX151" s="545"/>
      <c r="AY151" s="545"/>
      <c r="AZ151" s="545"/>
      <c r="BA151" s="545"/>
      <c r="BB151" s="328"/>
      <c r="BC151" s="328"/>
      <c r="BD151" s="328"/>
      <c r="BE151" s="328"/>
      <c r="BF151" s="328"/>
      <c r="BG151" s="328"/>
      <c r="BH151" s="328"/>
      <c r="BI151" s="328"/>
      <c r="BJ151" s="328"/>
      <c r="BK151" s="328"/>
      <c r="BL151" s="328"/>
      <c r="BM151" s="328"/>
      <c r="BN151" s="328"/>
      <c r="BO151" s="328"/>
      <c r="BP151" s="328"/>
      <c r="BQ151" s="328"/>
      <c r="BR151" s="328"/>
      <c r="BS151" s="369"/>
      <c r="BT151" s="233"/>
      <c r="BU151" s="233"/>
      <c r="BV151" s="222"/>
      <c r="BW151" s="222"/>
      <c r="BX151" s="222"/>
      <c r="BY151" s="211"/>
      <c r="BZ151" s="222"/>
      <c r="CA151" s="222"/>
      <c r="CB151" s="225"/>
      <c r="CC151" s="225"/>
      <c r="CD151" s="225"/>
      <c r="CE151" s="225"/>
      <c r="CF151" s="225"/>
      <c r="CG151" s="300"/>
      <c r="CH151" s="300"/>
      <c r="CI151" s="300"/>
      <c r="CJ151" s="522"/>
      <c r="CK151" s="522"/>
      <c r="CL151" s="522"/>
    </row>
    <row r="152" spans="1:90" s="538" customFormat="1" ht="30" customHeight="1" thickBot="1" x14ac:dyDescent="0.3">
      <c r="A152" s="557"/>
      <c r="B152" s="558"/>
      <c r="C152" s="331" t="s">
        <v>27</v>
      </c>
      <c r="D152" s="89"/>
      <c r="E152" s="89">
        <f>E147</f>
        <v>10</v>
      </c>
      <c r="F152" s="89"/>
      <c r="G152" s="1836">
        <v>60</v>
      </c>
      <c r="H152" s="568"/>
      <c r="I152" s="1836">
        <v>190</v>
      </c>
      <c r="J152" s="1836">
        <v>0</v>
      </c>
      <c r="K152" s="1836">
        <v>0</v>
      </c>
      <c r="L152" s="1836">
        <v>0</v>
      </c>
      <c r="M152" s="93">
        <f>$I152/$C$27+$J152/$C$28+K152/$C$29+$L152/$C$30</f>
        <v>5.5882352941176467</v>
      </c>
      <c r="N152" s="92">
        <f t="shared" si="17"/>
        <v>2.580861540418073E-6</v>
      </c>
      <c r="O152" s="95">
        <f>2.5*0.01*$C$7*$C$15*$C$8*($C$9+$C$10*$C$11)*(2*PI()*(1-COS($G152/180*PI())))^1.3/E$147^2/$F151^2*N152*10^6</f>
        <v>2.7432840731901286E-6</v>
      </c>
      <c r="P152" s="93">
        <f>$I152/$D$27+$J152/$D$28+K152/$D$29+$L152/$D$30</f>
        <v>5</v>
      </c>
      <c r="Q152" s="92">
        <f t="shared" si="18"/>
        <v>1.0000000000000001E-5</v>
      </c>
      <c r="R152" s="95">
        <f>2.5*0.01*$C$7*$C$15*$D$8*($D$9+$D$10*$D$11)*(2*PI()*(1-COS($G152/180*PI())))^1.3/$E152^2/$F151^2*Q152*10^6</f>
        <v>1.0629334546733355E-5</v>
      </c>
      <c r="S152" s="93">
        <f>$I152/$E$27+$J152/$E$28+K152/$E$29+$L152/$E$30</f>
        <v>4.3181818181818183</v>
      </c>
      <c r="T152" s="92">
        <f t="shared" si="19"/>
        <v>4.8063808630643867E-5</v>
      </c>
      <c r="U152" s="95">
        <f>2.5*0.01*$C$7*$C$15*$E$8*($E$9+$E$10*$E$11)*(2*PI()*(1-COS($G152/180*PI())))^1.3/$E152^2/$F151^2*T152*10^6</f>
        <v>5.1088630152528366E-5</v>
      </c>
      <c r="V152" s="93">
        <f>$I152/$F$27+$J152/$F$28+K152/$F$29+$L152/$F$30</f>
        <v>6.2295081967213113</v>
      </c>
      <c r="W152" s="92">
        <f t="shared" si="20"/>
        <v>5.8951085074002664E-7</v>
      </c>
      <c r="X152" s="95">
        <f>2.5*0.01*$C$7*$C$15*$F$8*($F$9+$F$10*$F$11)*(2*PI()*(1-COS($G152/180*PI())))^1.3/$E152^2/$F151^2*W152*10^6</f>
        <v>6.2661080514451354E-7</v>
      </c>
      <c r="Y152" s="93">
        <f>$I152/$G$27+$J152/$G$28+K152/$G$29+$L152/$G$30</f>
        <v>5.3370786516853927</v>
      </c>
      <c r="Z152" s="92">
        <f t="shared" si="21"/>
        <v>4.6017322765137984E-6</v>
      </c>
      <c r="AA152" s="96">
        <f>2.5*0.01*$C$7*$C$15*$G$8*($G$9+$G$10*$G$11)*(2*PI()*(1-COS($G152/180*PI())))^1.3/$E152^2/$F151^2*Z152*10^6</f>
        <v>4.891335186156605E-6</v>
      </c>
      <c r="AB152" s="569">
        <f>SUM(O152,R152,U152,X152,AA152)</f>
        <v>6.9979194763752965E-5</v>
      </c>
      <c r="AC152" s="570"/>
      <c r="AD152" s="571"/>
      <c r="AH152" s="572"/>
      <c r="AI152" s="573"/>
      <c r="AJ152" s="563"/>
      <c r="AK152" s="551"/>
      <c r="AX152" s="545"/>
      <c r="AY152" s="545"/>
      <c r="AZ152" s="545"/>
      <c r="BA152" s="545"/>
      <c r="BB152" s="545"/>
      <c r="BC152" s="545"/>
      <c r="BD152" s="545"/>
      <c r="BE152" s="545"/>
      <c r="BF152" s="545"/>
      <c r="BG152" s="545"/>
      <c r="BH152" s="545"/>
      <c r="BI152" s="545"/>
      <c r="BJ152" s="545"/>
      <c r="BK152" s="545"/>
      <c r="BL152" s="545"/>
      <c r="BM152" s="545"/>
      <c r="BN152" s="545"/>
      <c r="BO152" s="545"/>
      <c r="BP152" s="545"/>
      <c r="BQ152" s="545"/>
      <c r="BR152" s="545"/>
      <c r="BS152" s="545"/>
      <c r="BT152" s="545"/>
      <c r="BU152" s="545"/>
      <c r="BV152" s="545"/>
      <c r="BW152" s="545"/>
      <c r="BX152" s="545"/>
      <c r="BY152" s="545"/>
      <c r="BZ152" s="545"/>
    </row>
    <row r="153" spans="1:90" s="212" customFormat="1" ht="30" hidden="1" customHeight="1" thickBot="1" x14ac:dyDescent="0.3">
      <c r="A153" s="574"/>
      <c r="B153" s="575"/>
      <c r="C153" s="576"/>
      <c r="D153" s="89"/>
      <c r="E153" s="89"/>
      <c r="F153" s="89"/>
      <c r="G153" s="89"/>
      <c r="H153" s="1837"/>
      <c r="I153" s="1837"/>
      <c r="J153" s="1837"/>
      <c r="K153" s="1837"/>
      <c r="L153" s="1837"/>
      <c r="M153" s="91"/>
      <c r="N153" s="97"/>
      <c r="O153" s="98"/>
      <c r="P153" s="91"/>
      <c r="Q153" s="97"/>
      <c r="R153" s="98"/>
      <c r="S153" s="91"/>
      <c r="T153" s="97"/>
      <c r="U153" s="98"/>
      <c r="V153" s="91"/>
      <c r="W153" s="97"/>
      <c r="X153" s="98"/>
      <c r="Y153" s="91"/>
      <c r="Z153" s="97"/>
      <c r="AA153" s="99"/>
      <c r="AB153" s="577"/>
      <c r="AC153" s="578"/>
      <c r="AD153" s="579"/>
      <c r="AH153" s="580"/>
      <c r="AI153" s="581"/>
      <c r="AJ153" s="282"/>
      <c r="AK153" s="300"/>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row>
    <row r="154" spans="1:90" s="212" customFormat="1" ht="30" customHeight="1" x14ac:dyDescent="0.25">
      <c r="A154" s="552"/>
      <c r="B154" s="322"/>
      <c r="C154" s="323" t="s">
        <v>569</v>
      </c>
      <c r="D154" s="1836">
        <v>1</v>
      </c>
      <c r="E154" s="89"/>
      <c r="F154" s="89"/>
      <c r="G154" s="89"/>
      <c r="H154" s="1836">
        <v>0.25</v>
      </c>
      <c r="I154" s="1836">
        <v>250</v>
      </c>
      <c r="J154" s="1836">
        <v>0</v>
      </c>
      <c r="K154" s="1836">
        <v>0</v>
      </c>
      <c r="L154" s="1836">
        <v>0</v>
      </c>
      <c r="M154" s="91">
        <f>IF($I154=0,0,1+($I154-$C$21)/$C$22)+$J154/$C$23+$K154/$C$24+$L154/$C$25</f>
        <v>7.4545454545454541</v>
      </c>
      <c r="N154" s="92">
        <f t="shared" si="17"/>
        <v>3.5111917342151263E-8</v>
      </c>
      <c r="O154" s="93">
        <f>$C$7*$C$14*$C$8*$H154/$D154^2*N154*10^6</f>
        <v>7.022383468430253E-2</v>
      </c>
      <c r="P154" s="91">
        <f>IF($I154=0,0,1+($I154-$D$21)/$D$22)+$J154/$D$23+$K154/$D$24+$L154/$D$25</f>
        <v>6.6486486486486482</v>
      </c>
      <c r="Q154" s="92">
        <f t="shared" si="18"/>
        <v>2.2456979955397711E-7</v>
      </c>
      <c r="R154" s="93">
        <f>$C$7*$D$14*$D$8*$H154/$D154^2*$Q154*10^6</f>
        <v>0.4491395991079542</v>
      </c>
      <c r="S154" s="93">
        <f>IF($I154=0,0,1+(I154-$E$21)/$E$22)+$J154/$E$23+K154/$E$24+$L154/$E$25</f>
        <v>5.7674418604651159</v>
      </c>
      <c r="T154" s="92">
        <f t="shared" si="19"/>
        <v>1.7082763938087111E-6</v>
      </c>
      <c r="U154" s="93">
        <f>$C$7*$E$14*$E$8*$H154/$D154^2*$T154*10^6</f>
        <v>3.4165527876174222</v>
      </c>
      <c r="V154" s="93">
        <f>IF($I154=0,0,1+(I154-$F$21)/$F$22)+$J154/$F$23+K154/$F$24+$L154/$F$25</f>
        <v>9.1481481481481488</v>
      </c>
      <c r="W154" s="92">
        <f t="shared" si="20"/>
        <v>7.1097094323124171E-10</v>
      </c>
      <c r="X154" s="93">
        <f>$C$7*$F$14*$F$8*$H154/$D154^2*$W154*10^6</f>
        <v>1.4219418864624834E-3</v>
      </c>
      <c r="Y154" s="93">
        <f>IF($I154=0,0,1+(I154-$G$21)/$G$22)+$J154/$G$23+K154/$G$24+$L154/$G$25</f>
        <v>6.9444444444444446</v>
      </c>
      <c r="Z154" s="92">
        <f t="shared" si="21"/>
        <v>1.136463666385722E-7</v>
      </c>
      <c r="AA154" s="94">
        <f>$C$7*$G$14*$G$8*$H154/$D154^2*$Z154*10^6</f>
        <v>0.22729273327714439</v>
      </c>
      <c r="AB154" s="553">
        <f>SUM(O154,R154,U154,X154,AA154)</f>
        <v>4.1646308965732857</v>
      </c>
      <c r="AC154" s="554"/>
      <c r="AD154" s="555"/>
      <c r="AE154" s="538"/>
      <c r="AF154" s="538"/>
      <c r="AG154" s="538"/>
      <c r="AH154" s="556"/>
      <c r="AI154" s="551"/>
      <c r="AJ154" s="551"/>
      <c r="AK154" s="551"/>
      <c r="AL154" s="538"/>
      <c r="AM154" s="538"/>
      <c r="AN154" s="538"/>
      <c r="AO154" s="538"/>
      <c r="AP154" s="538"/>
      <c r="AQ154" s="538"/>
      <c r="AR154" s="538"/>
      <c r="AS154" s="538"/>
      <c r="AT154" s="538"/>
      <c r="AU154" s="538"/>
      <c r="AV154" s="538"/>
      <c r="AW154" s="538"/>
      <c r="AX154" s="545"/>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69"/>
      <c r="BT154" s="233"/>
      <c r="BU154" s="233"/>
      <c r="BV154" s="222"/>
      <c r="BW154" s="222"/>
      <c r="BX154" s="222"/>
      <c r="BY154" s="211"/>
      <c r="BZ154" s="222"/>
      <c r="CA154" s="222"/>
      <c r="CB154" s="225"/>
      <c r="CC154" s="225"/>
      <c r="CD154" s="225"/>
      <c r="CE154" s="225"/>
      <c r="CF154" s="225"/>
      <c r="CG154" s="300"/>
      <c r="CH154" s="300"/>
      <c r="CI154" s="300"/>
      <c r="CJ154" s="522"/>
      <c r="CK154" s="522"/>
      <c r="CL154" s="522"/>
    </row>
    <row r="155" spans="1:90" s="212" customFormat="1" ht="30" customHeight="1" x14ac:dyDescent="0.25">
      <c r="A155" s="557" t="str">
        <f>Samenvatting!A354</f>
        <v>T3</v>
      </c>
      <c r="B155" s="558" t="str">
        <f>Samenvatting!B354</f>
        <v>terreingrens 3</v>
      </c>
      <c r="C155" s="331" t="s">
        <v>568</v>
      </c>
      <c r="D155" s="1836">
        <v>25</v>
      </c>
      <c r="E155" s="89"/>
      <c r="F155" s="89"/>
      <c r="G155" s="89"/>
      <c r="H155" s="559"/>
      <c r="I155" s="1836">
        <v>250</v>
      </c>
      <c r="J155" s="1836">
        <v>0</v>
      </c>
      <c r="K155" s="1836">
        <v>0</v>
      </c>
      <c r="L155" s="1836">
        <v>0</v>
      </c>
      <c r="M155" s="93">
        <f>$I155/$C$27+$J155/$C$28+K155/$C$29+$L155/$C$30</f>
        <v>7.3529411764705879</v>
      </c>
      <c r="N155" s="92">
        <f t="shared" si="17"/>
        <v>4.4366873309786093E-8</v>
      </c>
      <c r="O155" s="93">
        <f>$C$7*$C$15*$C$8*($C$9+$C$10*$C$11)/$D155^2*$N155*10^6</f>
        <v>4.2592198377394652E-5</v>
      </c>
      <c r="P155" s="93">
        <f>$I155/$D$27+$J155/$D$28+K155/$D$29+$L155/$D$30</f>
        <v>6.5789473684210522</v>
      </c>
      <c r="Q155" s="92">
        <f t="shared" si="18"/>
        <v>2.636650898730358E-7</v>
      </c>
      <c r="R155" s="93">
        <f>$C$7*$C$15*$D$8*($D$9+$D$10*$D$11)/$D155^2*$Q155*10^6</f>
        <v>2.5311848627811444E-4</v>
      </c>
      <c r="S155" s="93">
        <f>$I155/$E$27+$J155/$E$28+K155/$E$29+$L155/$E$30</f>
        <v>5.6818181818181817</v>
      </c>
      <c r="T155" s="92">
        <f t="shared" si="19"/>
        <v>2.0805675382171676E-6</v>
      </c>
      <c r="U155" s="93">
        <f>$C$7*$C$15*$E$8*($E$9+$E$10*$E$11)/$D155^2*$T155*10^6</f>
        <v>1.9973448366884814E-3</v>
      </c>
      <c r="V155" s="93">
        <f>$I155/$F$27+$J155/$F$28+K155/$F$29+$L155/$F$30</f>
        <v>8.1967213114754092</v>
      </c>
      <c r="W155" s="92">
        <f t="shared" si="20"/>
        <v>6.3573875711648393E-9</v>
      </c>
      <c r="X155" s="93">
        <f>$C$7*$C$15*$F$8*($F$9+$F$10*$F$11)/$D155^2*$W155*10^6</f>
        <v>6.1030920683182469E-6</v>
      </c>
      <c r="Y155" s="93">
        <f>$I155/$G$27+$J155/$G$28+K155/$G$29+$L155/$G$30</f>
        <v>7.0224719101123592</v>
      </c>
      <c r="Z155" s="92">
        <f t="shared" si="21"/>
        <v>9.4957241494880226E-8</v>
      </c>
      <c r="AA155" s="94">
        <f>$C$7*$C$15*$G$8*($G$9+$G$10*$G$11)/$D155^2*$Z155*10^6</f>
        <v>9.1158951835085031E-5</v>
      </c>
      <c r="AB155" s="560">
        <f>SUM(O155,R155,U155,X155,AA155)</f>
        <v>2.3903175652473939E-3</v>
      </c>
      <c r="AC155" s="561">
        <f>SUM(AB153:AB158)</f>
        <v>4.1670929152189826</v>
      </c>
      <c r="AD155" s="562">
        <f>AC155*52/10^3</f>
        <v>0.2166888315913871</v>
      </c>
      <c r="AE155" s="538"/>
      <c r="AF155" s="538"/>
      <c r="AG155" s="538"/>
      <c r="AH155" s="556"/>
      <c r="AI155" s="563"/>
      <c r="AJ155" s="551"/>
      <c r="AK155" s="551"/>
      <c r="AL155" s="538"/>
      <c r="AM155" s="538"/>
      <c r="AN155" s="538"/>
      <c r="AO155" s="538"/>
      <c r="AP155" s="538"/>
      <c r="AQ155" s="538"/>
      <c r="AR155" s="538"/>
      <c r="AS155" s="538"/>
      <c r="AT155" s="538"/>
      <c r="AU155" s="538"/>
      <c r="AV155" s="538"/>
      <c r="AW155" s="538"/>
      <c r="AX155" s="545"/>
      <c r="AY155" s="545"/>
      <c r="AZ155" s="545"/>
      <c r="BA155" s="545"/>
      <c r="BB155" s="328"/>
      <c r="BC155" s="328"/>
      <c r="BD155" s="328"/>
      <c r="BE155" s="328"/>
      <c r="BF155" s="328"/>
      <c r="BG155" s="328"/>
      <c r="BH155" s="328"/>
      <c r="BI155" s="328"/>
      <c r="BJ155" s="328"/>
      <c r="BK155" s="328"/>
      <c r="BL155" s="328"/>
      <c r="BM155" s="328"/>
      <c r="BN155" s="328"/>
      <c r="BO155" s="328"/>
      <c r="BP155" s="328"/>
      <c r="BQ155" s="328"/>
      <c r="BR155" s="328"/>
      <c r="BS155" s="369"/>
      <c r="BT155" s="233"/>
      <c r="BU155" s="233"/>
      <c r="BV155" s="222"/>
      <c r="BW155" s="222"/>
      <c r="BX155" s="222"/>
      <c r="BY155" s="211"/>
      <c r="BZ155" s="222"/>
      <c r="CA155" s="222"/>
      <c r="CB155" s="225"/>
      <c r="CC155" s="225"/>
      <c r="CD155" s="225"/>
      <c r="CE155" s="225"/>
      <c r="CF155" s="225"/>
      <c r="CG155" s="300"/>
      <c r="CH155" s="300"/>
      <c r="CI155" s="300"/>
      <c r="CJ155" s="522"/>
      <c r="CK155" s="522"/>
      <c r="CL155" s="522"/>
    </row>
    <row r="156" spans="1:90" s="212" customFormat="1" ht="30" customHeight="1" x14ac:dyDescent="0.25">
      <c r="A156" s="557"/>
      <c r="B156" s="558"/>
      <c r="C156" s="331" t="s">
        <v>26</v>
      </c>
      <c r="D156" s="564"/>
      <c r="E156" s="89">
        <f>E146</f>
        <v>11</v>
      </c>
      <c r="F156" s="89">
        <f>D155</f>
        <v>25</v>
      </c>
      <c r="G156" s="1836">
        <v>15</v>
      </c>
      <c r="H156" s="1836">
        <v>0.25</v>
      </c>
      <c r="I156" s="1836">
        <v>210</v>
      </c>
      <c r="J156" s="1836">
        <v>0</v>
      </c>
      <c r="K156" s="1836">
        <v>0</v>
      </c>
      <c r="L156" s="1836">
        <v>0</v>
      </c>
      <c r="M156" s="93">
        <f>IF($I156=0,0,1+(I156-$C$21)/$C$22)+$J156/$C$23+K156/$C$24+$L156/$C$25</f>
        <v>6.2424242424242422</v>
      </c>
      <c r="N156" s="92">
        <f t="shared" si="17"/>
        <v>5.722367659350211E-7</v>
      </c>
      <c r="O156" s="95">
        <f>2.5*0.01*$C$7*$C$14*$C$8*$H156*(2*PI()*(1-COS($G156/180*PI())))^1.3/$E156^2/$F156^2*N156*10^6</f>
        <v>5.101138747051231E-8</v>
      </c>
      <c r="P156" s="91">
        <f>IF($I156=0,0,1+($I156-$D$21)/$D$22)+$J156/$D$23+$K156/$D$24+$L156/$D$25</f>
        <v>5.5675675675675675</v>
      </c>
      <c r="Q156" s="92">
        <f t="shared" si="18"/>
        <v>2.7066520700332395E-6</v>
      </c>
      <c r="R156" s="95">
        <f>2.5*0.01*$C$7*$D$14*$D$8*$H156*(2*PI()*(1-COS($G156/180*PI())))^1.3/$E156^2/$F156^2*Q156*10^6</f>
        <v>2.4128138160910826E-7</v>
      </c>
      <c r="S156" s="93">
        <f>IF($I156=0,0,1+(I156-$E$21)/$E$22)+$J156/$E$23+K156/$E$24+$L156/$E$25</f>
        <v>4.8372093023255811</v>
      </c>
      <c r="T156" s="92">
        <f t="shared" si="19"/>
        <v>1.4547578108480478E-5</v>
      </c>
      <c r="U156" s="95">
        <f>2.5*0.01*$C$7*$E$14*$E$8*$H156*(2*PI()*(1-COS($G156/180*PI())))^1.3/$E156^2/$F156^2*T156*10^6</f>
        <v>1.2968270964496306E-6</v>
      </c>
      <c r="V156" s="93">
        <f>IF($I156=0,0,1+(I156-$F$21)/$F$22)+$J156/$F$23+K156/$F$24+$L156/$F$25</f>
        <v>7.666666666666667</v>
      </c>
      <c r="W156" s="92">
        <f t="shared" si="20"/>
        <v>2.1544346900318783E-8</v>
      </c>
      <c r="X156" s="95">
        <f>2.5*0.01*$C$7*$F$14*$F$8*$H156*(2*PI()*(1-COS($G156/180*PI())))^1.3/$E156^2/$F156^2*W156*10^6</f>
        <v>1.920545992418962E-9</v>
      </c>
      <c r="Y156" s="93">
        <f>IF($I156=0,0,1+(I156-$G$21)/$G$22)+$J156/$G$23+K156/$G$24+$L156/$G$25</f>
        <v>5.833333333333333</v>
      </c>
      <c r="Z156" s="92">
        <f t="shared" si="21"/>
        <v>1.4677992676220696E-6</v>
      </c>
      <c r="AA156" s="96">
        <f>2.5*0.01*$C$7*$G$14*$G$8*$H156*(2*PI()*(1-COS($G156/180*PI())))^1.3/$E156^2/$F156^2*Z156*10^6</f>
        <v>1.3084527528960935E-7</v>
      </c>
      <c r="AB156" s="560">
        <f>SUM(O156,R156,U156,X156,AA156)</f>
        <v>1.7218856868112794E-6</v>
      </c>
      <c r="AC156" s="565"/>
      <c r="AD156" s="566"/>
      <c r="AE156" s="538"/>
      <c r="AF156" s="538"/>
      <c r="AG156" s="567"/>
      <c r="AH156" s="538"/>
      <c r="AI156" s="563"/>
      <c r="AJ156" s="545"/>
      <c r="AK156" s="545"/>
      <c r="AL156" s="538"/>
      <c r="AM156" s="538"/>
      <c r="AN156" s="538"/>
      <c r="AO156" s="538"/>
      <c r="AP156" s="538"/>
      <c r="AQ156" s="538"/>
      <c r="AR156" s="538"/>
      <c r="AS156" s="538"/>
      <c r="AT156" s="538"/>
      <c r="AU156" s="538"/>
      <c r="AV156" s="538"/>
      <c r="AW156" s="538"/>
      <c r="AX156" s="545"/>
      <c r="AY156" s="545"/>
      <c r="AZ156" s="545"/>
      <c r="BA156" s="545"/>
      <c r="BB156" s="328"/>
      <c r="BC156" s="328"/>
      <c r="BD156" s="328"/>
      <c r="BE156" s="328"/>
      <c r="BF156" s="328"/>
      <c r="BG156" s="328"/>
      <c r="BH156" s="328"/>
      <c r="BI156" s="328"/>
      <c r="BJ156" s="328"/>
      <c r="BK156" s="328"/>
      <c r="BL156" s="328"/>
      <c r="BM156" s="328"/>
      <c r="BN156" s="328"/>
      <c r="BO156" s="328"/>
      <c r="BP156" s="328"/>
      <c r="BQ156" s="328"/>
      <c r="BR156" s="328"/>
      <c r="BS156" s="369"/>
      <c r="BT156" s="233"/>
      <c r="BU156" s="233"/>
      <c r="BV156" s="222"/>
      <c r="BW156" s="222"/>
      <c r="BX156" s="222"/>
      <c r="BY156" s="211"/>
      <c r="BZ156" s="222"/>
      <c r="CA156" s="222"/>
      <c r="CB156" s="225"/>
      <c r="CC156" s="225"/>
      <c r="CD156" s="225"/>
      <c r="CE156" s="225"/>
      <c r="CF156" s="225"/>
      <c r="CG156" s="300"/>
      <c r="CH156" s="300"/>
      <c r="CI156" s="300"/>
      <c r="CJ156" s="522"/>
      <c r="CK156" s="522"/>
      <c r="CL156" s="522"/>
    </row>
    <row r="157" spans="1:90" s="538" customFormat="1" ht="30" customHeight="1" thickBot="1" x14ac:dyDescent="0.3">
      <c r="A157" s="557"/>
      <c r="B157" s="558"/>
      <c r="C157" s="331" t="s">
        <v>27</v>
      </c>
      <c r="D157" s="89"/>
      <c r="E157" s="89">
        <f>E147</f>
        <v>10</v>
      </c>
      <c r="F157" s="89"/>
      <c r="G157" s="1836">
        <v>60</v>
      </c>
      <c r="H157" s="568"/>
      <c r="I157" s="1836">
        <v>190</v>
      </c>
      <c r="J157" s="1836">
        <v>0</v>
      </c>
      <c r="K157" s="1836">
        <v>0</v>
      </c>
      <c r="L157" s="1836">
        <v>0</v>
      </c>
      <c r="M157" s="93">
        <f>$I157/$C$27+$J157/$C$28+K157/$C$29+$L157/$C$30</f>
        <v>5.5882352941176467</v>
      </c>
      <c r="N157" s="92">
        <f t="shared" si="17"/>
        <v>2.580861540418073E-6</v>
      </c>
      <c r="O157" s="95">
        <f>2.5*0.01*$C$7*$C$15*$C$8*($C$9+$C$10*$C$11)*(2*PI()*(1-COS($G157/180*PI())))^1.3/E$147^2/$F156^2*N157*10^6</f>
        <v>2.7432840731901286E-6</v>
      </c>
      <c r="P157" s="93">
        <f>$I157/$D$27+$J157/$D$28+K157/$D$29+$L157/$D$30</f>
        <v>5</v>
      </c>
      <c r="Q157" s="92">
        <f t="shared" si="18"/>
        <v>1.0000000000000001E-5</v>
      </c>
      <c r="R157" s="95">
        <f>2.5*0.01*$C$7*$C$15*$D$8*($D$9+$D$10*$D$11)*(2*PI()*(1-COS($G157/180*PI())))^1.3/$E157^2/$F156^2*Q157*10^6</f>
        <v>1.0629334546733355E-5</v>
      </c>
      <c r="S157" s="93">
        <f>$I157/$E$27+$J157/$E$28+K157/$E$29+$L157/$E$30</f>
        <v>4.3181818181818183</v>
      </c>
      <c r="T157" s="92">
        <f t="shared" si="19"/>
        <v>4.8063808630643867E-5</v>
      </c>
      <c r="U157" s="95">
        <f>2.5*0.01*$C$7*$C$15*$E$8*($E$9+$E$10*$E$11)*(2*PI()*(1-COS($G157/180*PI())))^1.3/$E157^2/$F156^2*T157*10^6</f>
        <v>5.1088630152528366E-5</v>
      </c>
      <c r="V157" s="93">
        <f>$I157/$F$27+$J157/$F$28+K157/$F$29+$L157/$F$30</f>
        <v>6.2295081967213113</v>
      </c>
      <c r="W157" s="92">
        <f t="shared" si="20"/>
        <v>5.8951085074002664E-7</v>
      </c>
      <c r="X157" s="95">
        <f>2.5*0.01*$C$7*$C$15*$F$8*($F$9+$F$10*$F$11)*(2*PI()*(1-COS($G157/180*PI())))^1.3/$E157^2/$F156^2*W157*10^6</f>
        <v>6.2661080514451354E-7</v>
      </c>
      <c r="Y157" s="93">
        <f>$I157/$G$27+$J157/$G$28+K157/$G$29+$L157/$G$30</f>
        <v>5.3370786516853927</v>
      </c>
      <c r="Z157" s="92">
        <f t="shared" si="21"/>
        <v>4.6017322765137984E-6</v>
      </c>
      <c r="AA157" s="96">
        <f>2.5*0.01*$C$7*$C$15*$G$8*($G$9+$G$10*$G$11)*(2*PI()*(1-COS($G157/180*PI())))^1.3/$E157^2/$F156^2*Z157*10^6</f>
        <v>4.891335186156605E-6</v>
      </c>
      <c r="AB157" s="569">
        <f>SUM(O157,R157,U157,X157,AA157)</f>
        <v>6.9979194763752965E-5</v>
      </c>
      <c r="AC157" s="570"/>
      <c r="AD157" s="571"/>
      <c r="AH157" s="572"/>
      <c r="AI157" s="573"/>
      <c r="AJ157" s="563"/>
      <c r="AK157" s="551"/>
      <c r="AX157" s="545"/>
      <c r="AY157" s="545"/>
      <c r="AZ157" s="545"/>
      <c r="BA157" s="545"/>
      <c r="BB157" s="545"/>
      <c r="BC157" s="545"/>
      <c r="BD157" s="545"/>
      <c r="BE157" s="545"/>
      <c r="BF157" s="545"/>
      <c r="BG157" s="545"/>
      <c r="BH157" s="545"/>
      <c r="BI157" s="545"/>
      <c r="BJ157" s="545"/>
      <c r="BK157" s="545"/>
      <c r="BL157" s="545"/>
      <c r="BM157" s="545"/>
      <c r="BN157" s="545"/>
      <c r="BO157" s="545"/>
      <c r="BP157" s="545"/>
      <c r="BQ157" s="545"/>
      <c r="BR157" s="545"/>
      <c r="BS157" s="545"/>
      <c r="BT157" s="545"/>
      <c r="BU157" s="545"/>
      <c r="BV157" s="545"/>
      <c r="BW157" s="545"/>
      <c r="BX157" s="545"/>
      <c r="BY157" s="545"/>
      <c r="BZ157" s="545"/>
    </row>
    <row r="158" spans="1:90" s="212" customFormat="1" ht="30" hidden="1" customHeight="1" thickBot="1" x14ac:dyDescent="0.3">
      <c r="A158" s="574"/>
      <c r="B158" s="575"/>
      <c r="C158" s="576"/>
      <c r="D158" s="89"/>
      <c r="E158" s="89"/>
      <c r="F158" s="89"/>
      <c r="G158" s="89"/>
      <c r="H158" s="1837"/>
      <c r="I158" s="1837"/>
      <c r="J158" s="1837"/>
      <c r="K158" s="1837"/>
      <c r="L158" s="1837"/>
      <c r="M158" s="91"/>
      <c r="N158" s="97"/>
      <c r="O158" s="98"/>
      <c r="P158" s="91"/>
      <c r="Q158" s="97"/>
      <c r="R158" s="98"/>
      <c r="S158" s="91"/>
      <c r="T158" s="97"/>
      <c r="U158" s="98"/>
      <c r="V158" s="91"/>
      <c r="W158" s="97"/>
      <c r="X158" s="98"/>
      <c r="Y158" s="91"/>
      <c r="Z158" s="97"/>
      <c r="AA158" s="99"/>
      <c r="AB158" s="577"/>
      <c r="AC158" s="578"/>
      <c r="AD158" s="579"/>
      <c r="AH158" s="580"/>
      <c r="AI158" s="581"/>
      <c r="AJ158" s="282"/>
      <c r="AK158" s="300"/>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row>
    <row r="159" spans="1:90" s="212" customFormat="1" ht="30" customHeight="1" x14ac:dyDescent="0.25">
      <c r="A159" s="552"/>
      <c r="B159" s="322"/>
      <c r="C159" s="323" t="s">
        <v>569</v>
      </c>
      <c r="D159" s="1836">
        <v>1</v>
      </c>
      <c r="E159" s="89"/>
      <c r="F159" s="89"/>
      <c r="G159" s="89"/>
      <c r="H159" s="1836">
        <v>0.25</v>
      </c>
      <c r="I159" s="1836">
        <v>250</v>
      </c>
      <c r="J159" s="1836">
        <v>0</v>
      </c>
      <c r="K159" s="1836">
        <v>0</v>
      </c>
      <c r="L159" s="1836">
        <v>0</v>
      </c>
      <c r="M159" s="91">
        <f>IF($I159=0,0,1+($I159-$C$21)/$C$22)+$J159/$C$23+$K159/$C$24+$L159/$C$25</f>
        <v>7.4545454545454541</v>
      </c>
      <c r="N159" s="92">
        <f t="shared" si="17"/>
        <v>3.5111917342151263E-8</v>
      </c>
      <c r="O159" s="93">
        <f>$C$7*$C$14*$C$8*$H159/$D159^2*N159*10^6</f>
        <v>7.022383468430253E-2</v>
      </c>
      <c r="P159" s="91">
        <f>IF($I159=0,0,1+($I159-$D$21)/$D$22)+$J159/$D$23+$K159/$D$24+$L159/$D$25</f>
        <v>6.6486486486486482</v>
      </c>
      <c r="Q159" s="92">
        <f t="shared" si="18"/>
        <v>2.2456979955397711E-7</v>
      </c>
      <c r="R159" s="93">
        <f>$C$7*$D$14*$D$8*$H159/$D159^2*$Q159*10^6</f>
        <v>0.4491395991079542</v>
      </c>
      <c r="S159" s="93">
        <f>IF($I159=0,0,1+(I159-$E$21)/$E$22)+$J159/$E$23+K159/$E$24+$L159/$E$25</f>
        <v>5.7674418604651159</v>
      </c>
      <c r="T159" s="92">
        <f t="shared" si="19"/>
        <v>1.7082763938087111E-6</v>
      </c>
      <c r="U159" s="93">
        <f>$C$7*$E$14*$E$8*$H159/$D159^2*$T159*10^6</f>
        <v>3.4165527876174222</v>
      </c>
      <c r="V159" s="93">
        <f>IF($I159=0,0,1+(I159-$F$21)/$F$22)+$J159/$F$23+K159/$F$24+$L159/$F$25</f>
        <v>9.1481481481481488</v>
      </c>
      <c r="W159" s="92">
        <f t="shared" si="20"/>
        <v>7.1097094323124171E-10</v>
      </c>
      <c r="X159" s="93">
        <f>$C$7*$F$14*$F$8*$H159/$D159^2*$W159*10^6</f>
        <v>1.4219418864624834E-3</v>
      </c>
      <c r="Y159" s="93">
        <f>IF($I159=0,0,1+(I159-$G$21)/$G$22)+$J159/$G$23+K159/$G$24+$L159/$G$25</f>
        <v>6.9444444444444446</v>
      </c>
      <c r="Z159" s="92">
        <f t="shared" si="21"/>
        <v>1.136463666385722E-7</v>
      </c>
      <c r="AA159" s="94">
        <f>$C$7*$G$14*$G$8*$H159/$D159^2*$Z159*10^6</f>
        <v>0.22729273327714439</v>
      </c>
      <c r="AB159" s="553">
        <f>SUM(O159,R159,U159,X159,AA159)</f>
        <v>4.1646308965732857</v>
      </c>
      <c r="AC159" s="554"/>
      <c r="AD159" s="555"/>
      <c r="AE159" s="538"/>
      <c r="AF159" s="538"/>
      <c r="AG159" s="538"/>
      <c r="AH159" s="556"/>
      <c r="AI159" s="551"/>
      <c r="AJ159" s="551"/>
      <c r="AK159" s="551"/>
      <c r="AL159" s="538"/>
      <c r="AM159" s="538"/>
      <c r="AN159" s="538"/>
      <c r="AO159" s="538"/>
      <c r="AP159" s="538"/>
      <c r="AQ159" s="538"/>
      <c r="AR159" s="538"/>
      <c r="AS159" s="538"/>
      <c r="AT159" s="538"/>
      <c r="AU159" s="538"/>
      <c r="AV159" s="538"/>
      <c r="AW159" s="538"/>
      <c r="AX159" s="545"/>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69"/>
      <c r="BT159" s="233"/>
      <c r="BU159" s="233"/>
      <c r="BV159" s="222"/>
      <c r="BW159" s="222"/>
      <c r="BX159" s="222"/>
      <c r="BY159" s="211"/>
      <c r="BZ159" s="222"/>
      <c r="CA159" s="222"/>
      <c r="CB159" s="225"/>
      <c r="CC159" s="225"/>
      <c r="CD159" s="225"/>
      <c r="CE159" s="225"/>
      <c r="CF159" s="225"/>
      <c r="CG159" s="300"/>
      <c r="CH159" s="300"/>
      <c r="CI159" s="300"/>
      <c r="CJ159" s="522"/>
      <c r="CK159" s="522"/>
      <c r="CL159" s="522"/>
    </row>
    <row r="160" spans="1:90" s="212" customFormat="1" ht="30" customHeight="1" x14ac:dyDescent="0.25">
      <c r="A160" s="557" t="str">
        <f>Samenvatting!A365</f>
        <v>T4</v>
      </c>
      <c r="B160" s="558" t="str">
        <f>Samenvatting!B365</f>
        <v>terreingrens 4</v>
      </c>
      <c r="C160" s="331" t="s">
        <v>568</v>
      </c>
      <c r="D160" s="1836">
        <v>25</v>
      </c>
      <c r="E160" s="89"/>
      <c r="F160" s="89"/>
      <c r="G160" s="89"/>
      <c r="H160" s="559"/>
      <c r="I160" s="1836">
        <v>250</v>
      </c>
      <c r="J160" s="1836">
        <v>0</v>
      </c>
      <c r="K160" s="1836">
        <v>0</v>
      </c>
      <c r="L160" s="1836">
        <v>0</v>
      </c>
      <c r="M160" s="93">
        <f>$I160/$C$27+$J160/$C$28+K160/$C$29+$L160/$C$30</f>
        <v>7.3529411764705879</v>
      </c>
      <c r="N160" s="92">
        <f t="shared" si="17"/>
        <v>4.4366873309786093E-8</v>
      </c>
      <c r="O160" s="93">
        <f>$C$7*$C$15*$C$8*($C$9+$C$10*$C$11)/$D160^2*$N160*10^6</f>
        <v>4.2592198377394652E-5</v>
      </c>
      <c r="P160" s="93">
        <f>$I160/$D$27+$J160/$D$28+$K160/$D$29+$L160/$D$30</f>
        <v>6.5789473684210522</v>
      </c>
      <c r="Q160" s="92">
        <f t="shared" si="18"/>
        <v>2.636650898730358E-7</v>
      </c>
      <c r="R160" s="93">
        <f>$C$7*$C$15*$D$8*($D$9+$D$10*$D$11)/$D160^2*$Q160*10^6</f>
        <v>2.5311848627811444E-4</v>
      </c>
      <c r="S160" s="93">
        <f>$I160/$E$27+$J160/$E$28+K160/$E$29+$L160/$E$30</f>
        <v>5.6818181818181817</v>
      </c>
      <c r="T160" s="92">
        <f t="shared" si="19"/>
        <v>2.0805675382171676E-6</v>
      </c>
      <c r="U160" s="93">
        <f>$C$7*$C$15*$E$8*($E$9+$E$10*$E$11)/$D160^2*$T160*10^6</f>
        <v>1.9973448366884814E-3</v>
      </c>
      <c r="V160" s="93">
        <f>$I160/$F$27+$J160/$F$28+K160/$F$29+$L160/$F$30</f>
        <v>8.1967213114754092</v>
      </c>
      <c r="W160" s="92">
        <f t="shared" si="20"/>
        <v>6.3573875711648393E-9</v>
      </c>
      <c r="X160" s="93">
        <f>$C$7*$C$15*$F$8*($F$9+$F$10*$F$11)/$D160^2*$W160*10^6</f>
        <v>6.1030920683182469E-6</v>
      </c>
      <c r="Y160" s="93">
        <f>$I160/$G$27+$J160/$G$28+K160/$G$29+$L160/$G$30</f>
        <v>7.0224719101123592</v>
      </c>
      <c r="Z160" s="92">
        <f t="shared" si="21"/>
        <v>9.4957241494880226E-8</v>
      </c>
      <c r="AA160" s="94">
        <f>$C$7*$C$15*$G$8*($G$9+$G$10*$G$11)/$D160^2*$Z160*10^6</f>
        <v>9.1158951835085031E-5</v>
      </c>
      <c r="AB160" s="560">
        <f>SUM(O160,R160,U160,X160,AA160)</f>
        <v>2.3903175652473939E-3</v>
      </c>
      <c r="AC160" s="561">
        <f>SUM(AB158:AB163)</f>
        <v>4.1670929152189826</v>
      </c>
      <c r="AD160" s="562">
        <f>AC160*52/10^3</f>
        <v>0.2166888315913871</v>
      </c>
      <c r="AE160" s="538"/>
      <c r="AF160" s="538"/>
      <c r="AG160" s="538"/>
      <c r="AH160" s="556"/>
      <c r="AI160" s="563"/>
      <c r="AJ160" s="551"/>
      <c r="AK160" s="551"/>
      <c r="AL160" s="538"/>
      <c r="AM160" s="538"/>
      <c r="AN160" s="538"/>
      <c r="AO160" s="538"/>
      <c r="AP160" s="538"/>
      <c r="AQ160" s="538"/>
      <c r="AR160" s="538"/>
      <c r="AS160" s="538"/>
      <c r="AT160" s="538"/>
      <c r="AU160" s="538"/>
      <c r="AV160" s="538"/>
      <c r="AW160" s="538"/>
      <c r="AX160" s="545"/>
      <c r="AY160" s="545"/>
      <c r="AZ160" s="545"/>
      <c r="BA160" s="545"/>
      <c r="BB160" s="328"/>
      <c r="BC160" s="328"/>
      <c r="BD160" s="328"/>
      <c r="BE160" s="328"/>
      <c r="BF160" s="328"/>
      <c r="BG160" s="328"/>
      <c r="BH160" s="328"/>
      <c r="BI160" s="328"/>
      <c r="BJ160" s="328"/>
      <c r="BK160" s="328"/>
      <c r="BL160" s="328"/>
      <c r="BM160" s="328"/>
      <c r="BN160" s="328"/>
      <c r="BO160" s="328"/>
      <c r="BP160" s="328"/>
      <c r="BQ160" s="328"/>
      <c r="BR160" s="328"/>
      <c r="BS160" s="369"/>
      <c r="BT160" s="233"/>
      <c r="BU160" s="233"/>
      <c r="BV160" s="222"/>
      <c r="BW160" s="222"/>
      <c r="BX160" s="222"/>
      <c r="BY160" s="211"/>
      <c r="BZ160" s="222"/>
      <c r="CA160" s="222"/>
      <c r="CB160" s="225"/>
      <c r="CC160" s="225"/>
      <c r="CD160" s="225"/>
      <c r="CE160" s="225"/>
      <c r="CF160" s="225"/>
      <c r="CG160" s="300"/>
      <c r="CH160" s="300"/>
      <c r="CI160" s="300"/>
      <c r="CJ160" s="522"/>
      <c r="CK160" s="522"/>
      <c r="CL160" s="522"/>
    </row>
    <row r="161" spans="1:90" s="212" customFormat="1" ht="30" customHeight="1" x14ac:dyDescent="0.25">
      <c r="A161" s="557"/>
      <c r="B161" s="558"/>
      <c r="C161" s="331" t="s">
        <v>26</v>
      </c>
      <c r="D161" s="564"/>
      <c r="E161" s="89">
        <f>E146</f>
        <v>11</v>
      </c>
      <c r="F161" s="89">
        <f>D160</f>
        <v>25</v>
      </c>
      <c r="G161" s="1836">
        <v>15</v>
      </c>
      <c r="H161" s="1836">
        <v>0.25</v>
      </c>
      <c r="I161" s="1836">
        <v>210</v>
      </c>
      <c r="J161" s="1836">
        <v>0</v>
      </c>
      <c r="K161" s="1836">
        <v>0</v>
      </c>
      <c r="L161" s="1836">
        <v>0</v>
      </c>
      <c r="M161" s="93">
        <f>IF($I161=0,0,1+(I161-$C$21)/$C$22)+$J161/$C$23+K161/$C$24+$L161/$C$25</f>
        <v>6.2424242424242422</v>
      </c>
      <c r="N161" s="92">
        <f t="shared" si="17"/>
        <v>5.722367659350211E-7</v>
      </c>
      <c r="O161" s="95">
        <f>2.5*0.01*$C$7*$C$14*$C$8*$H161*(2*PI()*(1-COS($G161/180*PI())))^1.3/$E161^2/$F161^2*N161*10^6</f>
        <v>5.101138747051231E-8</v>
      </c>
      <c r="P161" s="91">
        <f>IF($I161=0,0,1+($I161-$D$21)/$D$22)+$J161/$D$23+$K161/$D$24+$L161/$D$25</f>
        <v>5.5675675675675675</v>
      </c>
      <c r="Q161" s="92">
        <f t="shared" si="18"/>
        <v>2.7066520700332395E-6</v>
      </c>
      <c r="R161" s="95">
        <f>2.5*0.01*$C$7*$D$14*$D$8*$H161*(2*PI()*(1-COS($G161/180*PI())))^1.3/$E161^2/$F161^2*Q161*10^6</f>
        <v>2.4128138160910826E-7</v>
      </c>
      <c r="S161" s="93">
        <f>IF($I161=0,0,1+(I161-$E$21)/$E$22)+$J161/$E$23+K161/$E$24+$L161/$E$25</f>
        <v>4.8372093023255811</v>
      </c>
      <c r="T161" s="92">
        <f t="shared" si="19"/>
        <v>1.4547578108480478E-5</v>
      </c>
      <c r="U161" s="95">
        <f>2.5*0.01*$C$7*$E$14*$E$8*$H161*(2*PI()*(1-COS($G161/180*PI())))^1.3/$E161^2/$F161^2*T161*10^6</f>
        <v>1.2968270964496306E-6</v>
      </c>
      <c r="V161" s="93">
        <f>IF($I161=0,0,1+(I161-$F$21)/$F$22)+$J161/$F$23+K161/$F$24+$L161/$F$25</f>
        <v>7.666666666666667</v>
      </c>
      <c r="W161" s="92">
        <f t="shared" si="20"/>
        <v>2.1544346900318783E-8</v>
      </c>
      <c r="X161" s="95">
        <f>2.5*0.01*$C$7*$F$14*$F$8*$H161*(2*PI()*(1-COS($G161/180*PI())))^1.3/$E161^2/$F161^2*W161*10^6</f>
        <v>1.920545992418962E-9</v>
      </c>
      <c r="Y161" s="93">
        <f>IF($I161=0,0,1+(I161-$G$21)/$G$22)+$J161/$G$23+K161/$G$24+$L161/$G$25</f>
        <v>5.833333333333333</v>
      </c>
      <c r="Z161" s="92">
        <f t="shared" si="21"/>
        <v>1.4677992676220696E-6</v>
      </c>
      <c r="AA161" s="96">
        <f>2.5*0.01*$C$7*$G$14*$G$8*$H161*(2*PI()*(1-COS($G161/180*PI())))^1.3/$E161^2/$F161^2*Z161*10^6</f>
        <v>1.3084527528960935E-7</v>
      </c>
      <c r="AB161" s="560">
        <f>SUM(O161,R161,U161,X161,AA161)</f>
        <v>1.7218856868112794E-6</v>
      </c>
      <c r="AC161" s="565"/>
      <c r="AD161" s="566"/>
      <c r="AE161" s="538"/>
      <c r="AF161" s="538"/>
      <c r="AG161" s="567"/>
      <c r="AH161" s="538"/>
      <c r="AI161" s="563"/>
      <c r="AJ161" s="545"/>
      <c r="AK161" s="545"/>
      <c r="AL161" s="538"/>
      <c r="AM161" s="538"/>
      <c r="AN161" s="538"/>
      <c r="AO161" s="538"/>
      <c r="AP161" s="538"/>
      <c r="AQ161" s="538"/>
      <c r="AR161" s="538"/>
      <c r="AS161" s="538"/>
      <c r="AT161" s="538"/>
      <c r="AU161" s="538"/>
      <c r="AV161" s="538"/>
      <c r="AW161" s="538"/>
      <c r="AX161" s="545"/>
      <c r="AY161" s="545"/>
      <c r="AZ161" s="545"/>
      <c r="BA161" s="545"/>
      <c r="BB161" s="328"/>
      <c r="BC161" s="328"/>
      <c r="BD161" s="328"/>
      <c r="BE161" s="328"/>
      <c r="BF161" s="328"/>
      <c r="BG161" s="328"/>
      <c r="BH161" s="328"/>
      <c r="BI161" s="328"/>
      <c r="BJ161" s="328"/>
      <c r="BK161" s="328"/>
      <c r="BL161" s="328"/>
      <c r="BM161" s="328"/>
      <c r="BN161" s="328"/>
      <c r="BO161" s="328"/>
      <c r="BP161" s="328"/>
      <c r="BQ161" s="328"/>
      <c r="BR161" s="328"/>
      <c r="BS161" s="369"/>
      <c r="BT161" s="233"/>
      <c r="BU161" s="233"/>
      <c r="BV161" s="222"/>
      <c r="BW161" s="222"/>
      <c r="BX161" s="222"/>
      <c r="BY161" s="211"/>
      <c r="BZ161" s="222"/>
      <c r="CA161" s="222"/>
      <c r="CB161" s="225"/>
      <c r="CC161" s="225"/>
      <c r="CD161" s="225"/>
      <c r="CE161" s="225"/>
      <c r="CF161" s="225"/>
      <c r="CG161" s="300"/>
      <c r="CH161" s="300"/>
      <c r="CI161" s="300"/>
      <c r="CJ161" s="522"/>
      <c r="CK161" s="522"/>
      <c r="CL161" s="522"/>
    </row>
    <row r="162" spans="1:90" s="538" customFormat="1" ht="30" customHeight="1" thickBot="1" x14ac:dyDescent="0.3">
      <c r="A162" s="582"/>
      <c r="B162" s="583"/>
      <c r="C162" s="584" t="s">
        <v>27</v>
      </c>
      <c r="D162" s="58"/>
      <c r="E162" s="58">
        <f>E147</f>
        <v>10</v>
      </c>
      <c r="F162" s="58"/>
      <c r="G162" s="1859">
        <v>60</v>
      </c>
      <c r="H162" s="56"/>
      <c r="I162" s="1859">
        <v>190</v>
      </c>
      <c r="J162" s="1859">
        <v>0</v>
      </c>
      <c r="K162" s="1859">
        <v>0</v>
      </c>
      <c r="L162" s="1859">
        <v>0</v>
      </c>
      <c r="M162" s="100">
        <f>$I162/$C$27+$J162/$C$28+K162/$C$29+$L162/$C$30</f>
        <v>5.5882352941176467</v>
      </c>
      <c r="N162" s="101">
        <f t="shared" si="17"/>
        <v>2.580861540418073E-6</v>
      </c>
      <c r="O162" s="102">
        <f>2.5*0.01*$C$7*$C$15*$C$8*($C$9+$C$10*$C$11)*(2*PI()*(1-COS($G162/180*PI())))^1.3/E$147^2/$F161^2*N162*10^6</f>
        <v>2.7432840731901286E-6</v>
      </c>
      <c r="P162" s="100">
        <f>$I162/$D$27+$J162/$D$28+$K162/$D$29+$L162/$D$30</f>
        <v>5</v>
      </c>
      <c r="Q162" s="101">
        <f t="shared" si="18"/>
        <v>1.0000000000000001E-5</v>
      </c>
      <c r="R162" s="102">
        <f>2.5*0.01*$C$7*$C$15*$D$8*($D$9+$D$10*$D$11)*(2*PI()*(1-COS($G162/180*PI())))^1.3/$E162^2/$F161^2*Q162*10^6</f>
        <v>1.0629334546733355E-5</v>
      </c>
      <c r="S162" s="100">
        <f>$I162/$E$27+$J162/$E$28+K162/$E$29+$L162/$E$30</f>
        <v>4.3181818181818183</v>
      </c>
      <c r="T162" s="101">
        <f t="shared" si="19"/>
        <v>4.8063808630643867E-5</v>
      </c>
      <c r="U162" s="102">
        <f>2.5*0.01*$C$7*$C$15*$E$8*($E$9+$E$10*$E$11)*(2*PI()*(1-COS($G162/180*PI())))^1.3/$E162^2/$F161^2*T162*10^6</f>
        <v>5.1088630152528366E-5</v>
      </c>
      <c r="V162" s="100">
        <f>$I162/$F$27+$J162/$F$28+K162/$F$29+$L162/$F$30</f>
        <v>6.2295081967213113</v>
      </c>
      <c r="W162" s="101">
        <f t="shared" si="20"/>
        <v>5.8951085074002664E-7</v>
      </c>
      <c r="X162" s="102">
        <f>2.5*0.01*$C$7*$C$15*$F$8*($F$9+$F$10*$F$11)*(2*PI()*(1-COS($G162/180*PI())))^1.3/$E162^2/$F161^2*W162*10^6</f>
        <v>6.2661080514451354E-7</v>
      </c>
      <c r="Y162" s="100">
        <f>$I162/$G$27+$J162/$G$28+K162/$G$29+$L162/$G$30</f>
        <v>5.3370786516853927</v>
      </c>
      <c r="Z162" s="101">
        <f t="shared" si="21"/>
        <v>4.6017322765137984E-6</v>
      </c>
      <c r="AA162" s="103">
        <f>2.5*0.01*$C$7*$C$15*$G$8*($G$9+$G$10*$G$11)*(2*PI()*(1-COS($G162/180*PI())))^1.3/$E162^2/$F161^2*Z162*10^6</f>
        <v>4.891335186156605E-6</v>
      </c>
      <c r="AB162" s="569">
        <f>SUM(O162,R162,U162,X162,AA162)</f>
        <v>6.9979194763752965E-5</v>
      </c>
      <c r="AC162" s="570"/>
      <c r="AD162" s="571"/>
      <c r="AH162" s="572"/>
      <c r="AI162" s="573"/>
      <c r="AJ162" s="563"/>
      <c r="AK162" s="551"/>
      <c r="AX162" s="545"/>
      <c r="AY162" s="545"/>
      <c r="AZ162" s="545"/>
      <c r="BA162" s="545"/>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row>
    <row r="163" spans="1:90" s="212" customFormat="1" ht="30" hidden="1" customHeight="1" x14ac:dyDescent="0.25">
      <c r="A163" s="57"/>
      <c r="B163" s="220"/>
      <c r="C163" s="310"/>
      <c r="D163" s="57"/>
      <c r="E163" s="57"/>
      <c r="F163" s="57"/>
      <c r="G163" s="57"/>
      <c r="H163" s="57"/>
      <c r="I163" s="57"/>
      <c r="J163" s="57"/>
      <c r="K163" s="57"/>
      <c r="L163" s="57"/>
      <c r="M163" s="369"/>
      <c r="N163" s="328"/>
      <c r="O163" s="586"/>
      <c r="P163" s="369"/>
      <c r="Q163" s="328"/>
      <c r="R163" s="586"/>
      <c r="S163" s="369"/>
      <c r="T163" s="328"/>
      <c r="U163" s="586"/>
      <c r="V163" s="369"/>
      <c r="W163" s="328"/>
      <c r="X163" s="586"/>
      <c r="Y163" s="369"/>
      <c r="Z163" s="328"/>
      <c r="AA163" s="586"/>
      <c r="AB163" s="328"/>
      <c r="AC163" s="587"/>
      <c r="AD163" s="225"/>
      <c r="AH163" s="580"/>
      <c r="AI163" s="581"/>
      <c r="AJ163" s="282"/>
      <c r="AK163" s="300"/>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row>
    <row r="164" spans="1:90" s="538" customFormat="1" ht="19.5" customHeight="1" x14ac:dyDescent="0.25">
      <c r="A164" s="517"/>
      <c r="B164" s="222"/>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189"/>
      <c r="Y164" s="189"/>
      <c r="Z164" s="189"/>
      <c r="AA164" s="189"/>
      <c r="AB164" s="189"/>
      <c r="AC164" s="189"/>
      <c r="AD164" s="202"/>
      <c r="AE164" s="202"/>
      <c r="AF164" s="202"/>
      <c r="AG164" s="202"/>
    </row>
    <row r="165" spans="1:90" s="212" customFormat="1" ht="19.5" customHeight="1" x14ac:dyDescent="0.25">
      <c r="A165" s="222"/>
      <c r="B165" s="222"/>
      <c r="C165" s="222"/>
      <c r="D165" s="222"/>
      <c r="E165" s="222"/>
      <c r="F165" s="222"/>
      <c r="G165" s="222"/>
      <c r="H165" s="222"/>
      <c r="I165" s="272"/>
      <c r="J165" s="588"/>
      <c r="K165" s="589"/>
      <c r="L165" s="288"/>
      <c r="M165" s="590"/>
      <c r="N165" s="591"/>
      <c r="O165" s="590"/>
      <c r="P165" s="592"/>
      <c r="Q165" s="201"/>
      <c r="R165" s="201"/>
      <c r="S165" s="201"/>
      <c r="T165" s="201"/>
      <c r="U165" s="201"/>
      <c r="V165" s="189"/>
      <c r="W165" s="593"/>
      <c r="X165" s="593"/>
      <c r="Y165" s="594"/>
      <c r="Z165" s="189"/>
      <c r="AA165" s="189"/>
      <c r="AB165" s="551"/>
      <c r="AC165" s="551"/>
      <c r="AD165" s="538"/>
      <c r="AE165" s="538"/>
      <c r="AF165" s="189"/>
      <c r="AG165" s="222"/>
      <c r="AH165" s="211"/>
      <c r="AI165" s="222"/>
      <c r="AJ165" s="222"/>
      <c r="AK165" s="225"/>
      <c r="AL165" s="225"/>
      <c r="AM165" s="225"/>
      <c r="AN165" s="225"/>
      <c r="AO165" s="225"/>
      <c r="AP165" s="300"/>
      <c r="AQ165" s="300"/>
      <c r="AR165" s="300"/>
      <c r="AS165" s="300"/>
      <c r="AT165" s="300"/>
      <c r="AU165" s="300"/>
      <c r="AV165" s="225"/>
      <c r="AW165" s="225"/>
      <c r="AX165" s="225"/>
      <c r="AY165" s="225"/>
      <c r="AZ165" s="225"/>
      <c r="BA165" s="225"/>
      <c r="BB165" s="225"/>
      <c r="BC165" s="225"/>
      <c r="BD165" s="225"/>
      <c r="BE165" s="225"/>
      <c r="BF165" s="225"/>
      <c r="BG165" s="225"/>
      <c r="BH165" s="225"/>
      <c r="BI165" s="225"/>
      <c r="BJ165" s="225"/>
    </row>
    <row r="166" spans="1:90" s="212" customFormat="1" ht="19.5" customHeight="1" x14ac:dyDescent="0.25">
      <c r="A166" s="595" t="s">
        <v>418</v>
      </c>
      <c r="B166" s="595"/>
      <c r="C166" s="596"/>
      <c r="D166" s="288"/>
      <c r="E166" s="288"/>
      <c r="F166" s="288"/>
      <c r="G166" s="288"/>
      <c r="H166" s="288"/>
      <c r="I166" s="288"/>
      <c r="J166" s="288"/>
      <c r="K166" s="288"/>
      <c r="L166" s="288"/>
      <c r="M166" s="288"/>
      <c r="N166" s="288"/>
      <c r="O166" s="288"/>
      <c r="P166" s="288"/>
      <c r="Q166" s="288"/>
      <c r="R166" s="288"/>
      <c r="S166" s="288"/>
      <c r="T166" s="288"/>
      <c r="U166" s="288"/>
      <c r="V166" s="222"/>
      <c r="W166" s="222"/>
      <c r="X166" s="222"/>
      <c r="Y166" s="222"/>
      <c r="Z166" s="222"/>
      <c r="AA166" s="222"/>
      <c r="AB166" s="187"/>
      <c r="AC166" s="187"/>
      <c r="AD166" s="187"/>
      <c r="AE166" s="187"/>
      <c r="AF166" s="222"/>
      <c r="AG166" s="587"/>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row>
    <row r="167" spans="1:90" s="604" customFormat="1" ht="19.5" customHeight="1" x14ac:dyDescent="0.25">
      <c r="A167" s="597"/>
      <c r="B167" s="598"/>
      <c r="C167" s="599"/>
      <c r="D167" s="599"/>
      <c r="E167" s="599"/>
      <c r="F167" s="600"/>
      <c r="G167" s="600"/>
      <c r="H167" s="600"/>
      <c r="I167" s="601"/>
      <c r="J167" s="600"/>
      <c r="K167" s="602"/>
      <c r="L167" s="603"/>
      <c r="M167" s="603"/>
    </row>
    <row r="168" spans="1:90" s="212" customFormat="1" ht="19.5" customHeight="1" x14ac:dyDescent="0.25">
      <c r="A168" s="605" t="s">
        <v>322</v>
      </c>
      <c r="C168" s="288"/>
      <c r="D168" s="288"/>
      <c r="E168" s="288"/>
      <c r="F168" s="288"/>
      <c r="G168" s="288"/>
      <c r="H168" s="288"/>
      <c r="I168" s="288"/>
      <c r="J168" s="288"/>
      <c r="K168" s="288"/>
      <c r="L168" s="288"/>
      <c r="M168" s="288"/>
      <c r="N168" s="288"/>
      <c r="O168" s="288"/>
      <c r="P168" s="288"/>
      <c r="Q168" s="288"/>
      <c r="R168" s="288"/>
      <c r="S168" s="288"/>
      <c r="T168" s="288"/>
      <c r="U168" s="288"/>
      <c r="V168" s="222"/>
      <c r="W168" s="222"/>
      <c r="X168" s="222"/>
      <c r="Y168" s="222"/>
      <c r="Z168" s="222"/>
      <c r="AA168" s="222"/>
      <c r="AB168" s="222"/>
      <c r="AC168" s="222"/>
      <c r="AD168" s="222"/>
      <c r="AE168" s="222"/>
      <c r="AF168" s="538"/>
      <c r="AG168" s="538"/>
      <c r="AH168" s="538"/>
      <c r="AI168" s="538"/>
      <c r="AJ168" s="538"/>
      <c r="AK168" s="538"/>
      <c r="AL168" s="538"/>
      <c r="AM168" s="538"/>
      <c r="AN168" s="538"/>
      <c r="AO168" s="538"/>
      <c r="AP168" s="545"/>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69"/>
      <c r="BL168" s="233"/>
      <c r="BM168" s="233"/>
      <c r="BN168" s="222"/>
      <c r="BO168" s="233"/>
      <c r="BP168" s="222"/>
      <c r="BQ168" s="211"/>
      <c r="BR168" s="222"/>
      <c r="BS168" s="222"/>
      <c r="BT168" s="225"/>
      <c r="BU168" s="225"/>
      <c r="BV168" s="225"/>
      <c r="BW168" s="225"/>
      <c r="BX168" s="225"/>
      <c r="BY168" s="300"/>
      <c r="BZ168" s="300"/>
      <c r="CA168" s="300"/>
      <c r="CB168" s="522"/>
      <c r="CC168" s="522"/>
      <c r="CD168" s="522"/>
    </row>
    <row r="169" spans="1:90" s="222" customFormat="1" ht="19.5" customHeight="1" x14ac:dyDescent="0.25">
      <c r="A169" s="301"/>
      <c r="B169" s="305"/>
      <c r="C169" s="302"/>
      <c r="D169" s="606" t="s">
        <v>261</v>
      </c>
      <c r="E169" s="607" t="s">
        <v>323</v>
      </c>
      <c r="F169" s="608"/>
      <c r="G169" s="609" t="s">
        <v>224</v>
      </c>
      <c r="H169" s="608" t="s">
        <v>329</v>
      </c>
      <c r="I169" s="2014" t="s">
        <v>260</v>
      </c>
      <c r="J169" s="2015"/>
      <c r="K169" s="607" t="s">
        <v>260</v>
      </c>
      <c r="L169" s="288"/>
      <c r="M169" s="288"/>
      <c r="N169" s="288"/>
      <c r="O169" s="288"/>
      <c r="P169" s="610"/>
      <c r="Q169" s="288"/>
      <c r="R169" s="288"/>
      <c r="S169" s="610"/>
      <c r="T169" s="288"/>
      <c r="U169" s="288"/>
      <c r="V169" s="610"/>
      <c r="W169" s="288"/>
      <c r="X169" s="288"/>
      <c r="Y169" s="288"/>
      <c r="Z169" s="288"/>
      <c r="AB169" s="288"/>
      <c r="AC169" s="288"/>
    </row>
    <row r="170" spans="1:90" s="222" customFormat="1" ht="19.5" customHeight="1" x14ac:dyDescent="0.25">
      <c r="A170" s="308" t="s">
        <v>50</v>
      </c>
      <c r="B170" s="611" t="s">
        <v>15</v>
      </c>
      <c r="C170" s="498" t="s">
        <v>25</v>
      </c>
      <c r="D170" s="612" t="s">
        <v>356</v>
      </c>
      <c r="E170" s="613" t="s">
        <v>324</v>
      </c>
      <c r="F170" s="613" t="s">
        <v>4</v>
      </c>
      <c r="G170" s="299" t="s">
        <v>259</v>
      </c>
      <c r="H170" s="613" t="s">
        <v>87</v>
      </c>
      <c r="I170" s="614"/>
      <c r="J170" s="614" t="s">
        <v>11</v>
      </c>
      <c r="K170" s="614" t="s">
        <v>11</v>
      </c>
      <c r="L170" s="288"/>
      <c r="M170" s="288"/>
      <c r="N170" s="288"/>
      <c r="O170" s="288"/>
      <c r="P170" s="610"/>
      <c r="Q170" s="288"/>
      <c r="R170" s="288"/>
      <c r="S170" s="610"/>
      <c r="T170" s="288"/>
      <c r="U170" s="288"/>
      <c r="V170" s="610"/>
      <c r="W170" s="288"/>
      <c r="X170" s="288"/>
      <c r="Y170" s="288"/>
      <c r="Z170" s="288"/>
      <c r="AB170" s="288"/>
      <c r="AC170" s="288"/>
    </row>
    <row r="171" spans="1:90" s="222" customFormat="1" ht="19.5" customHeight="1" x14ac:dyDescent="0.25">
      <c r="A171" s="615"/>
      <c r="B171" s="616"/>
      <c r="C171" s="499"/>
      <c r="D171" s="612" t="s">
        <v>357</v>
      </c>
      <c r="E171" s="617" t="s">
        <v>325</v>
      </c>
      <c r="F171" s="617" t="s">
        <v>78</v>
      </c>
      <c r="G171" s="299" t="s">
        <v>258</v>
      </c>
      <c r="H171" s="617"/>
      <c r="I171" s="614" t="s">
        <v>337</v>
      </c>
      <c r="J171" s="614" t="s">
        <v>337</v>
      </c>
      <c r="K171" s="614" t="s">
        <v>166</v>
      </c>
      <c r="L171" s="288"/>
      <c r="M171" s="288"/>
      <c r="N171" s="288"/>
      <c r="O171" s="288"/>
      <c r="P171" s="610"/>
      <c r="Q171" s="288"/>
      <c r="R171" s="288"/>
      <c r="S171" s="610"/>
      <c r="T171" s="288"/>
      <c r="U171" s="288"/>
      <c r="V171" s="610"/>
      <c r="W171" s="288"/>
      <c r="X171" s="288"/>
      <c r="Y171" s="288"/>
      <c r="Z171" s="288"/>
      <c r="AB171" s="288"/>
      <c r="AC171" s="288"/>
    </row>
    <row r="172" spans="1:90" s="222" customFormat="1" ht="30" customHeight="1" thickBot="1" x14ac:dyDescent="0.3">
      <c r="A172" s="684"/>
      <c r="B172" s="2031" t="str">
        <f>Samenvatting!A265</f>
        <v>achterblijven in bestralingsruimte tijdens bestraling</v>
      </c>
      <c r="C172" s="619" t="s">
        <v>0</v>
      </c>
      <c r="D172" s="1860">
        <v>550</v>
      </c>
      <c r="E172" s="620"/>
      <c r="F172" s="1861">
        <v>2</v>
      </c>
      <c r="G172" s="1862">
        <v>30</v>
      </c>
      <c r="H172" s="1860">
        <v>1</v>
      </c>
      <c r="I172" s="621">
        <f>D172*$C$15/F172^2*G172/60*10</f>
        <v>0.6875</v>
      </c>
      <c r="J172" s="622">
        <f>SUM(I172:I173)</f>
        <v>2.0625</v>
      </c>
      <c r="K172" s="622">
        <f>J172*H172</f>
        <v>2.0625</v>
      </c>
      <c r="N172" s="288"/>
      <c r="O172" s="288"/>
      <c r="P172" s="288"/>
      <c r="Q172" s="288"/>
      <c r="R172" s="288"/>
      <c r="S172" s="288"/>
      <c r="T172" s="288"/>
      <c r="U172" s="288"/>
      <c r="V172" s="288"/>
      <c r="W172" s="288"/>
      <c r="X172" s="288"/>
      <c r="Y172" s="288"/>
      <c r="Z172" s="288"/>
      <c r="AA172" s="288"/>
      <c r="AB172" s="288"/>
    </row>
    <row r="173" spans="1:90" s="222" customFormat="1" ht="30" customHeight="1" thickBot="1" x14ac:dyDescent="0.3">
      <c r="A173" s="623"/>
      <c r="B173" s="2032"/>
      <c r="C173" s="619" t="s">
        <v>33</v>
      </c>
      <c r="D173" s="624"/>
      <c r="E173" s="1852">
        <f>0.01*20</f>
        <v>0.2</v>
      </c>
      <c r="F173" s="625">
        <f>F172</f>
        <v>2</v>
      </c>
      <c r="G173" s="626">
        <f>G172</f>
        <v>30</v>
      </c>
      <c r="H173" s="629"/>
      <c r="I173" s="621">
        <f>D172*E173/100/F173^2*G173/60*10</f>
        <v>1.375</v>
      </c>
      <c r="J173" s="627"/>
      <c r="K173" s="627"/>
      <c r="N173" s="288"/>
      <c r="O173" s="288"/>
      <c r="P173" s="288"/>
      <c r="Q173" s="288"/>
      <c r="R173" s="288"/>
      <c r="S173" s="288"/>
      <c r="T173" s="288"/>
      <c r="U173" s="288"/>
      <c r="V173" s="288"/>
      <c r="W173" s="288"/>
      <c r="X173" s="288"/>
      <c r="Y173" s="288"/>
      <c r="Z173" s="288"/>
      <c r="AA173" s="288"/>
      <c r="AB173" s="288"/>
    </row>
    <row r="174" spans="1:90" s="222" customFormat="1" ht="19.5" customHeight="1" x14ac:dyDescent="0.25">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189"/>
      <c r="W174" s="189"/>
      <c r="X174" s="189"/>
      <c r="Y174" s="189"/>
      <c r="Z174" s="189"/>
      <c r="AA174" s="189"/>
      <c r="AB174" s="202"/>
      <c r="AC174" s="202"/>
      <c r="AD174" s="202"/>
      <c r="AE174" s="202"/>
      <c r="AK174" s="299"/>
      <c r="AL174" s="299"/>
      <c r="AM174" s="299"/>
      <c r="AN174" s="299"/>
      <c r="AO174" s="299"/>
      <c r="AP174" s="299"/>
      <c r="AU174" s="211"/>
      <c r="AV174" s="266"/>
      <c r="BC174" s="211"/>
      <c r="BD174" s="211"/>
    </row>
    <row r="175" spans="1:90" x14ac:dyDescent="0.25">
      <c r="A175" s="605" t="s">
        <v>339</v>
      </c>
      <c r="B175" s="202"/>
      <c r="C175" s="288"/>
      <c r="D175" s="288"/>
      <c r="E175" s="288"/>
      <c r="F175" s="288"/>
      <c r="G175" s="288"/>
      <c r="H175" s="288"/>
      <c r="I175" s="288"/>
      <c r="J175" s="288"/>
      <c r="K175" s="288"/>
      <c r="L175" s="288"/>
      <c r="M175" s="288"/>
      <c r="N175" s="288"/>
      <c r="O175" s="288"/>
      <c r="P175" s="288"/>
      <c r="Q175" s="288"/>
      <c r="R175" s="288"/>
      <c r="S175" s="288"/>
      <c r="T175" s="288"/>
      <c r="U175" s="288"/>
      <c r="V175" s="222"/>
      <c r="W175" s="222"/>
      <c r="X175" s="222"/>
      <c r="Y175" s="222"/>
      <c r="Z175" s="222"/>
      <c r="AA175" s="222"/>
      <c r="AB175" s="222"/>
      <c r="AC175" s="222"/>
      <c r="AD175" s="222"/>
      <c r="AE175" s="222"/>
    </row>
    <row r="176" spans="1:90" s="187" customFormat="1" ht="19.5" customHeight="1" x14ac:dyDescent="0.25">
      <c r="A176" s="2020" t="s">
        <v>50</v>
      </c>
      <c r="B176" s="2023" t="s">
        <v>15</v>
      </c>
      <c r="C176" s="606" t="s">
        <v>261</v>
      </c>
      <c r="D176" s="607" t="s">
        <v>224</v>
      </c>
      <c r="E176" s="608" t="s">
        <v>329</v>
      </c>
      <c r="F176" s="607" t="s">
        <v>260</v>
      </c>
      <c r="G176" s="607" t="s">
        <v>260</v>
      </c>
      <c r="H176" s="628"/>
      <c r="I176" s="222"/>
      <c r="J176" s="288"/>
      <c r="K176" s="288"/>
      <c r="L176" s="288"/>
      <c r="M176" s="288"/>
      <c r="N176" s="288"/>
      <c r="O176" s="610"/>
      <c r="P176" s="288"/>
      <c r="Q176" s="288"/>
      <c r="R176" s="610"/>
      <c r="S176" s="288"/>
      <c r="T176" s="288"/>
      <c r="U176" s="610"/>
      <c r="V176" s="288"/>
      <c r="W176" s="288"/>
      <c r="X176" s="288"/>
      <c r="Y176" s="288"/>
      <c r="Z176" s="222"/>
      <c r="AA176" s="288"/>
      <c r="AB176" s="288"/>
      <c r="AC176" s="222"/>
      <c r="AD176" s="222"/>
      <c r="AE176" s="222"/>
    </row>
    <row r="177" spans="1:52" s="222" customFormat="1" ht="19.5" customHeight="1" x14ac:dyDescent="0.25">
      <c r="A177" s="2021"/>
      <c r="B177" s="2024"/>
      <c r="C177" s="2026" t="s">
        <v>340</v>
      </c>
      <c r="D177" s="613" t="s">
        <v>328</v>
      </c>
      <c r="E177" s="613" t="s">
        <v>87</v>
      </c>
      <c r="F177" s="613"/>
      <c r="G177" s="614" t="s">
        <v>11</v>
      </c>
      <c r="H177" s="628"/>
      <c r="J177" s="288"/>
      <c r="K177" s="288"/>
      <c r="L177" s="288"/>
      <c r="M177" s="288"/>
      <c r="N177" s="288"/>
      <c r="O177" s="610"/>
      <c r="P177" s="288"/>
      <c r="Q177" s="288"/>
      <c r="R177" s="610"/>
      <c r="S177" s="288"/>
      <c r="T177" s="288"/>
      <c r="U177" s="610"/>
      <c r="V177" s="288"/>
      <c r="W177" s="288"/>
      <c r="X177" s="288"/>
      <c r="Y177" s="288"/>
      <c r="AA177" s="288"/>
      <c r="AB177" s="288"/>
    </row>
    <row r="178" spans="1:52" s="222" customFormat="1" ht="19.5" customHeight="1" x14ac:dyDescent="0.25">
      <c r="A178" s="2022"/>
      <c r="B178" s="2025"/>
      <c r="C178" s="2027"/>
      <c r="D178" s="617" t="s">
        <v>229</v>
      </c>
      <c r="E178" s="617"/>
      <c r="F178" s="614" t="s">
        <v>337</v>
      </c>
      <c r="G178" s="614" t="s">
        <v>166</v>
      </c>
      <c r="H178" s="628"/>
      <c r="J178" s="288"/>
      <c r="K178" s="288"/>
      <c r="L178" s="288"/>
      <c r="M178" s="288"/>
      <c r="N178" s="288"/>
      <c r="O178" s="610"/>
      <c r="P178" s="288"/>
      <c r="Q178" s="288"/>
      <c r="R178" s="610"/>
      <c r="S178" s="288"/>
      <c r="T178" s="288"/>
      <c r="U178" s="610"/>
      <c r="V178" s="288"/>
      <c r="W178" s="288"/>
      <c r="X178" s="288"/>
      <c r="Y178" s="288"/>
      <c r="AA178" s="288"/>
      <c r="AB178" s="288"/>
    </row>
    <row r="179" spans="1:52" s="222" customFormat="1" ht="30" customHeight="1" x14ac:dyDescent="0.25">
      <c r="A179" s="630"/>
      <c r="B179" s="631" t="str">
        <f>Samenvatting!A276</f>
        <v>werken in nabijheid geactiveerde target</v>
      </c>
      <c r="C179" s="1861">
        <v>25</v>
      </c>
      <c r="D179" s="1861">
        <v>0.5</v>
      </c>
      <c r="E179" s="1861">
        <v>4</v>
      </c>
      <c r="F179" s="632">
        <f>C179*D179/10^3</f>
        <v>1.2500000000000001E-2</v>
      </c>
      <c r="G179" s="621">
        <f>F179*E179</f>
        <v>0.05</v>
      </c>
      <c r="H179" s="633"/>
      <c r="M179" s="288"/>
      <c r="N179" s="288"/>
      <c r="O179" s="288"/>
      <c r="P179" s="288"/>
      <c r="Q179" s="288"/>
      <c r="R179" s="288"/>
      <c r="S179" s="288"/>
      <c r="T179" s="288"/>
      <c r="U179" s="288"/>
      <c r="V179" s="288"/>
      <c r="W179" s="288"/>
      <c r="X179" s="288"/>
      <c r="Y179" s="288"/>
      <c r="Z179" s="288"/>
      <c r="AA179" s="288"/>
    </row>
    <row r="180" spans="1:52" s="222" customFormat="1" ht="19.5" customHeight="1" x14ac:dyDescent="0.25">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189"/>
      <c r="W180" s="189"/>
      <c r="X180" s="189"/>
      <c r="Y180" s="189"/>
      <c r="Z180" s="189"/>
      <c r="AA180" s="189"/>
      <c r="AB180" s="202"/>
      <c r="AC180" s="202"/>
      <c r="AD180" s="202"/>
      <c r="AE180" s="202"/>
    </row>
    <row r="181" spans="1:52" s="225" customFormat="1" ht="19.5" customHeight="1" x14ac:dyDescent="0.25">
      <c r="A181" s="634" t="s">
        <v>327</v>
      </c>
      <c r="C181" s="288"/>
      <c r="D181" s="288"/>
      <c r="E181" s="288"/>
      <c r="F181" s="288"/>
      <c r="G181" s="288"/>
      <c r="H181" s="288"/>
      <c r="I181" s="288"/>
      <c r="J181" s="288"/>
      <c r="K181" s="288"/>
      <c r="L181" s="288"/>
      <c r="M181" s="288"/>
      <c r="N181" s="288"/>
      <c r="O181" s="288"/>
      <c r="P181" s="288"/>
      <c r="Q181" s="288"/>
      <c r="R181" s="288"/>
      <c r="S181" s="288"/>
      <c r="T181" s="288"/>
      <c r="U181" s="288"/>
      <c r="V181" s="222"/>
      <c r="W181" s="222"/>
      <c r="X181" s="222"/>
      <c r="Y181" s="222"/>
      <c r="Z181" s="222"/>
      <c r="AA181" s="222"/>
      <c r="AB181" s="222"/>
      <c r="AC181" s="222"/>
      <c r="AD181" s="222"/>
      <c r="AE181" s="222"/>
      <c r="AG181" s="328"/>
      <c r="AI181" s="328"/>
      <c r="AJ181" s="328"/>
      <c r="AK181" s="328"/>
      <c r="AL181" s="328"/>
      <c r="AP181" s="222"/>
      <c r="AQ181" s="211"/>
      <c r="AR181" s="222"/>
      <c r="AS181" s="222"/>
      <c r="AY181" s="300"/>
      <c r="AZ181" s="300"/>
    </row>
    <row r="182" spans="1:52" s="187" customFormat="1" ht="19.5" customHeight="1" x14ac:dyDescent="0.25">
      <c r="A182" s="2020" t="s">
        <v>50</v>
      </c>
      <c r="B182" s="2023" t="s">
        <v>15</v>
      </c>
      <c r="C182" s="606" t="s">
        <v>261</v>
      </c>
      <c r="D182" s="607" t="s">
        <v>224</v>
      </c>
      <c r="E182" s="608" t="s">
        <v>329</v>
      </c>
      <c r="F182" s="607" t="s">
        <v>260</v>
      </c>
      <c r="G182" s="607" t="s">
        <v>260</v>
      </c>
      <c r="H182" s="628"/>
      <c r="I182" s="222"/>
      <c r="J182" s="288"/>
      <c r="K182" s="288"/>
      <c r="L182" s="288"/>
      <c r="M182" s="288"/>
      <c r="N182" s="288"/>
      <c r="O182" s="610"/>
      <c r="P182" s="288"/>
      <c r="Q182" s="288"/>
      <c r="R182" s="610"/>
      <c r="S182" s="288"/>
      <c r="T182" s="288"/>
      <c r="U182" s="610"/>
      <c r="V182" s="288"/>
      <c r="W182" s="288"/>
      <c r="X182" s="288"/>
      <c r="Y182" s="288"/>
      <c r="Z182" s="222"/>
      <c r="AA182" s="288"/>
      <c r="AB182" s="288"/>
      <c r="AC182" s="222"/>
      <c r="AD182" s="222"/>
      <c r="AE182" s="222"/>
    </row>
    <row r="183" spans="1:52" s="222" customFormat="1" ht="19.5" customHeight="1" x14ac:dyDescent="0.25">
      <c r="A183" s="2021"/>
      <c r="B183" s="2024"/>
      <c r="C183" s="2026" t="s">
        <v>340</v>
      </c>
      <c r="D183" s="613" t="s">
        <v>328</v>
      </c>
      <c r="E183" s="613" t="s">
        <v>87</v>
      </c>
      <c r="F183" s="613"/>
      <c r="G183" s="614" t="s">
        <v>11</v>
      </c>
      <c r="H183" s="628"/>
      <c r="J183" s="288"/>
      <c r="K183" s="288"/>
      <c r="L183" s="288"/>
      <c r="M183" s="288"/>
      <c r="N183" s="288"/>
      <c r="O183" s="610"/>
      <c r="P183" s="288"/>
      <c r="Q183" s="288"/>
      <c r="R183" s="610"/>
      <c r="S183" s="288"/>
      <c r="T183" s="288"/>
      <c r="U183" s="610"/>
      <c r="V183" s="288"/>
      <c r="W183" s="288"/>
      <c r="X183" s="288"/>
      <c r="Y183" s="288"/>
      <c r="AA183" s="288"/>
      <c r="AB183" s="288"/>
    </row>
    <row r="184" spans="1:52" s="222" customFormat="1" ht="19.5" customHeight="1" x14ac:dyDescent="0.25">
      <c r="A184" s="2022"/>
      <c r="B184" s="2025"/>
      <c r="C184" s="2027"/>
      <c r="D184" s="617" t="s">
        <v>229</v>
      </c>
      <c r="E184" s="617"/>
      <c r="F184" s="614" t="s">
        <v>337</v>
      </c>
      <c r="G184" s="614" t="s">
        <v>166</v>
      </c>
      <c r="H184" s="628"/>
      <c r="J184" s="288"/>
      <c r="K184" s="288"/>
      <c r="L184" s="288"/>
      <c r="M184" s="288"/>
      <c r="N184" s="288"/>
      <c r="O184" s="610"/>
      <c r="P184" s="288"/>
      <c r="Q184" s="288"/>
      <c r="R184" s="610"/>
      <c r="S184" s="288"/>
      <c r="T184" s="288"/>
      <c r="U184" s="610"/>
      <c r="V184" s="288"/>
      <c r="W184" s="288"/>
      <c r="X184" s="288"/>
      <c r="Y184" s="288"/>
      <c r="AA184" s="288"/>
      <c r="AB184" s="288"/>
    </row>
    <row r="185" spans="1:52" s="222" customFormat="1" ht="30" customHeight="1" x14ac:dyDescent="0.25">
      <c r="A185" s="623"/>
      <c r="B185" s="631" t="str">
        <f>Samenvatting!A287</f>
        <v>werken in nabijheid geactiveerde onderdelen</v>
      </c>
      <c r="C185" s="1861">
        <v>1.5</v>
      </c>
      <c r="D185" s="1861">
        <v>2</v>
      </c>
      <c r="E185" s="1861">
        <v>24</v>
      </c>
      <c r="F185" s="632">
        <f>C185*D185/10^3</f>
        <v>3.0000000000000001E-3</v>
      </c>
      <c r="G185" s="621">
        <f>F185*E185</f>
        <v>7.2000000000000008E-2</v>
      </c>
      <c r="H185" s="635"/>
      <c r="M185" s="288"/>
      <c r="N185" s="288"/>
      <c r="O185" s="288"/>
      <c r="P185" s="288"/>
      <c r="Q185" s="288"/>
      <c r="R185" s="288"/>
      <c r="S185" s="288"/>
      <c r="T185" s="288"/>
      <c r="U185" s="288"/>
      <c r="V185" s="288"/>
      <c r="W185" s="288"/>
      <c r="X185" s="288"/>
      <c r="Y185" s="288"/>
      <c r="Z185" s="288"/>
      <c r="AA185" s="288"/>
    </row>
    <row r="186" spans="1:52" s="222" customFormat="1" ht="19.5" customHeight="1" x14ac:dyDescent="0.25">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189"/>
      <c r="W186" s="189"/>
      <c r="X186" s="189"/>
      <c r="Y186" s="189"/>
      <c r="Z186" s="189"/>
      <c r="AA186" s="189"/>
      <c r="AB186" s="202"/>
      <c r="AC186" s="202"/>
      <c r="AD186" s="202"/>
      <c r="AE186" s="202"/>
    </row>
    <row r="187" spans="1:52" s="225" customFormat="1" ht="19.5" customHeight="1" thickBot="1" x14ac:dyDescent="0.3">
      <c r="A187" s="288" t="s">
        <v>326</v>
      </c>
      <c r="C187" s="636"/>
      <c r="D187" s="265"/>
      <c r="E187" s="265"/>
      <c r="F187" s="265"/>
      <c r="G187" s="265"/>
      <c r="H187" s="265"/>
      <c r="I187" s="233"/>
      <c r="J187" s="242"/>
      <c r="K187" s="233"/>
      <c r="L187" s="233"/>
      <c r="M187" s="242"/>
      <c r="N187" s="369"/>
      <c r="O187" s="222"/>
      <c r="P187" s="222"/>
      <c r="Q187" s="222"/>
      <c r="R187" s="222"/>
      <c r="T187" s="328"/>
      <c r="V187" s="328"/>
      <c r="W187" s="328"/>
      <c r="X187" s="328"/>
      <c r="Y187" s="328"/>
      <c r="AC187" s="222"/>
      <c r="AD187" s="211"/>
      <c r="AE187" s="222"/>
      <c r="AF187" s="222"/>
      <c r="AL187" s="300"/>
      <c r="AM187" s="300"/>
    </row>
    <row r="188" spans="1:52" s="225" customFormat="1" ht="19.5" customHeight="1" thickBot="1" x14ac:dyDescent="0.3">
      <c r="A188" s="2020" t="s">
        <v>50</v>
      </c>
      <c r="B188" s="2023" t="s">
        <v>15</v>
      </c>
      <c r="C188" s="1998" t="s">
        <v>25</v>
      </c>
      <c r="D188" s="1998" t="s">
        <v>158</v>
      </c>
      <c r="E188" s="2012" t="s">
        <v>527</v>
      </c>
      <c r="F188" s="304" t="s">
        <v>77</v>
      </c>
      <c r="G188" s="637"/>
      <c r="H188" s="305"/>
      <c r="I188" s="607" t="s">
        <v>224</v>
      </c>
      <c r="J188" s="608" t="s">
        <v>329</v>
      </c>
      <c r="K188" s="2016">
        <v>18</v>
      </c>
      <c r="L188" s="2017"/>
      <c r="M188" s="2018"/>
      <c r="N188" s="2003" t="s">
        <v>16</v>
      </c>
      <c r="O188" s="2004"/>
      <c r="P188" s="222"/>
      <c r="Q188" s="222"/>
      <c r="R188" s="222"/>
      <c r="T188" s="328"/>
      <c r="V188" s="328"/>
      <c r="W188" s="328"/>
      <c r="X188" s="328"/>
      <c r="Y188" s="328"/>
      <c r="AC188" s="222"/>
      <c r="AD188" s="211"/>
      <c r="AE188" s="222"/>
      <c r="AF188" s="222"/>
      <c r="AL188" s="300"/>
      <c r="AM188" s="300"/>
    </row>
    <row r="189" spans="1:52" s="222" customFormat="1" ht="19.5" customHeight="1" x14ac:dyDescent="0.25">
      <c r="A189" s="2021"/>
      <c r="B189" s="2024"/>
      <c r="C189" s="2010"/>
      <c r="D189" s="2010"/>
      <c r="E189" s="2010"/>
      <c r="F189" s="639"/>
      <c r="G189" s="211"/>
      <c r="H189" s="611"/>
      <c r="I189" s="614" t="s">
        <v>328</v>
      </c>
      <c r="J189" s="613" t="s">
        <v>87</v>
      </c>
      <c r="K189" s="312" t="s">
        <v>86</v>
      </c>
      <c r="L189" s="312" t="s">
        <v>206</v>
      </c>
      <c r="M189" s="312" t="s">
        <v>260</v>
      </c>
      <c r="N189" s="613"/>
      <c r="O189" s="614" t="s">
        <v>11</v>
      </c>
      <c r="T189" s="328"/>
      <c r="V189" s="328"/>
      <c r="W189" s="328"/>
      <c r="X189" s="328"/>
      <c r="Y189" s="328"/>
      <c r="AD189" s="211"/>
      <c r="AL189" s="211"/>
      <c r="AM189" s="211"/>
    </row>
    <row r="190" spans="1:52" s="222" customFormat="1" ht="19.5" customHeight="1" thickBot="1" x14ac:dyDescent="0.3">
      <c r="A190" s="2022"/>
      <c r="B190" s="2025"/>
      <c r="C190" s="2011"/>
      <c r="D190" s="2011"/>
      <c r="E190" s="2013"/>
      <c r="F190" s="615" t="s">
        <v>1</v>
      </c>
      <c r="G190" s="615" t="s">
        <v>61</v>
      </c>
      <c r="H190" s="615" t="s">
        <v>3</v>
      </c>
      <c r="I190" s="179" t="s">
        <v>229</v>
      </c>
      <c r="J190" s="179"/>
      <c r="K190" s="505" t="s">
        <v>208</v>
      </c>
      <c r="L190" s="505" t="s">
        <v>207</v>
      </c>
      <c r="M190" s="506" t="s">
        <v>341</v>
      </c>
      <c r="N190" s="614" t="s">
        <v>337</v>
      </c>
      <c r="O190" s="614" t="s">
        <v>166</v>
      </c>
      <c r="U190" s="328"/>
      <c r="W190" s="328"/>
      <c r="X190" s="328"/>
      <c r="Y190" s="328"/>
      <c r="Z190" s="328"/>
      <c r="AE190" s="211"/>
      <c r="AM190" s="211"/>
      <c r="AN190" s="211"/>
    </row>
    <row r="191" spans="1:52" s="222" customFormat="1" ht="30" customHeight="1" x14ac:dyDescent="0.25">
      <c r="A191" s="301"/>
      <c r="B191" s="2008" t="str">
        <f>Samenvatting!A298</f>
        <v>werkzaamheden uitvoeren in gecontroleerde ruimte (buiten de bestralingsruimte) terwijl er gestraald word: bv dak wegens reparaties</v>
      </c>
      <c r="C191" s="323" t="s">
        <v>569</v>
      </c>
      <c r="D191" s="1840">
        <v>6</v>
      </c>
      <c r="E191" s="1863">
        <v>0.25</v>
      </c>
      <c r="F191" s="1834">
        <v>250</v>
      </c>
      <c r="G191" s="1834">
        <v>0</v>
      </c>
      <c r="H191" s="1834">
        <v>0</v>
      </c>
      <c r="I191" s="640"/>
      <c r="J191" s="641"/>
      <c r="K191" s="686">
        <f>IF(K188=C4,IF($F191=0,0,1+($F191-$C$21)/$C$22)+$G191/$C$23+$H191/$C$24,IF(K188=D4,(IF($F191=0,0,1+($F191-$D$21)/$D$22)+$G191/$D$23+$H191/$D$24),IF(K188=E4,IF($F191=0,0,1+($F191-$E$21)/$E$22)+$G191/$E$23+$H191/$E$24,IF(K188=F4,IF($F191=0,0,1+($F191-$F$21)/$F$22)+$G191/$F$23+$H191/$F$24,IF(K188=G4,IF($F191=0,0,1+($F191-$G$21)/$G$22)+$G191/$G$23+$H191/$G$24,2)))))</f>
        <v>5.7674418604651159</v>
      </c>
      <c r="L191" s="72">
        <f>10^(-K191)</f>
        <v>1.7082763938087111E-6</v>
      </c>
      <c r="M191" s="71">
        <f>($C$7*$C$14*I192/40*$E191/$D191^2*L191*10^6)</f>
        <v>1.1863030512560492E-2</v>
      </c>
      <c r="N191" s="642">
        <f>M191+M192</f>
        <v>1.8104733127211996E-2</v>
      </c>
      <c r="O191" s="643">
        <f>N191*J192</f>
        <v>1.8104733127211996E-2</v>
      </c>
      <c r="U191" s="328"/>
      <c r="V191" s="328"/>
      <c r="W191" s="328"/>
      <c r="X191" s="328"/>
      <c r="Y191" s="328"/>
      <c r="Z191" s="328"/>
      <c r="AE191" s="211"/>
      <c r="AM191" s="211"/>
      <c r="AN191" s="211"/>
    </row>
    <row r="192" spans="1:52" s="222" customFormat="1" ht="30" customHeight="1" thickBot="1" x14ac:dyDescent="0.3">
      <c r="A192" s="623"/>
      <c r="B192" s="2019"/>
      <c r="C192" s="331" t="s">
        <v>568</v>
      </c>
      <c r="D192" s="1864">
        <v>5</v>
      </c>
      <c r="E192" s="644"/>
      <c r="F192" s="1865">
        <v>250</v>
      </c>
      <c r="G192" s="1865">
        <v>0</v>
      </c>
      <c r="H192" s="1865">
        <v>0</v>
      </c>
      <c r="I192" s="1866">
        <v>1</v>
      </c>
      <c r="J192" s="1867">
        <v>1</v>
      </c>
      <c r="K192" s="105">
        <f>IF(K188=$C$4,$F192/$C$27+$G192/$C$28+$H192/$C$29,IF(K188=$D$4,$F192/$D$27+$G192/$D$28+$H192/$D$29,IF(K188=$E$4,$F192/$E$27+$G192/$E$28+$H192/$E$29,IF(K188=$F$4,$F192/$F$27+$G192/$F$28+$H192/$F$29,IF(K188=$G$4,$F192/$G$27+$G192/$G$28+$H192/$G$29, )))))</f>
        <v>5.6818181818181817</v>
      </c>
      <c r="L192" s="106">
        <f>10^(-K192)</f>
        <v>2.0805675382171676E-6</v>
      </c>
      <c r="M192" s="105">
        <f>($C$7*I192/40*$C$15*($C$9+$C$10*$C$11)/$D192^2*L192*10^6)</f>
        <v>6.2417026146515033E-3</v>
      </c>
      <c r="N192" s="645"/>
      <c r="O192" s="646"/>
      <c r="U192" s="328"/>
      <c r="V192" s="328"/>
      <c r="W192" s="328"/>
      <c r="X192" s="328"/>
      <c r="Y192" s="328"/>
      <c r="Z192" s="328"/>
      <c r="AE192" s="211"/>
      <c r="AM192" s="211"/>
      <c r="AN192" s="211"/>
    </row>
    <row r="193" spans="1:31" s="222" customFormat="1" ht="30" customHeight="1" x14ac:dyDescent="0.25">
      <c r="A193" s="201"/>
      <c r="B193" s="201"/>
      <c r="C193" s="201"/>
      <c r="D193" s="201"/>
      <c r="E193" s="201"/>
      <c r="F193" s="201"/>
      <c r="G193" s="201"/>
      <c r="H193" s="201"/>
      <c r="I193" s="201"/>
      <c r="J193" s="201"/>
      <c r="K193" s="201"/>
      <c r="L193" s="201"/>
      <c r="M193" s="201"/>
      <c r="N193" s="189"/>
      <c r="O193" s="202"/>
      <c r="P193" s="202"/>
      <c r="Q193" s="202"/>
      <c r="R193" s="202"/>
    </row>
    <row r="194" spans="1:31" s="222" customFormat="1" ht="19.5" customHeight="1" x14ac:dyDescent="0.25">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189"/>
      <c r="W194" s="189"/>
      <c r="X194" s="189"/>
      <c r="Y194" s="189"/>
      <c r="Z194" s="189"/>
      <c r="AA194" s="189"/>
      <c r="AB194" s="202"/>
      <c r="AC194" s="202"/>
      <c r="AD194" s="202"/>
      <c r="AE194" s="202"/>
    </row>
    <row r="195" spans="1:31" ht="19.5" customHeight="1" x14ac:dyDescent="0.25">
      <c r="C195" s="279"/>
      <c r="D195" s="280"/>
      <c r="L195" s="647"/>
      <c r="M195" s="647"/>
      <c r="S195" s="648"/>
      <c r="U195" s="189"/>
      <c r="V195" s="190"/>
      <c r="AA195" s="202"/>
      <c r="AB195" s="538"/>
      <c r="AC195" s="538"/>
      <c r="AD195" s="538"/>
      <c r="AE195" s="538"/>
    </row>
    <row r="196" spans="1:31" ht="19.5" customHeight="1" x14ac:dyDescent="0.25"/>
    <row r="197" spans="1:31" ht="19.5" customHeight="1" x14ac:dyDescent="0.25"/>
  </sheetData>
  <sheetProtection algorithmName="SHA-512" hashValue="2ifjRccUdJyi1vzTRvxTonbNWGv9xjFOYtuh+JJywqAZYsjh9/gs68va1jE+uNUIwm3SzumnePBOEt7yL0aqGg==" saltValue="o6g61OB7byO6//Spi9vo9Q==" spinCount="100000" sheet="1" objects="1" scenarios="1"/>
  <mergeCells count="37">
    <mergeCell ref="B191:B192"/>
    <mergeCell ref="P140:R140"/>
    <mergeCell ref="S140:U140"/>
    <mergeCell ref="V140:X140"/>
    <mergeCell ref="Y140:AA140"/>
    <mergeCell ref="N188:O188"/>
    <mergeCell ref="K188:M188"/>
    <mergeCell ref="X128:Z128"/>
    <mergeCell ref="A182:A184"/>
    <mergeCell ref="B182:B184"/>
    <mergeCell ref="C183:C184"/>
    <mergeCell ref="M141:M142"/>
    <mergeCell ref="P141:P142"/>
    <mergeCell ref="B172:B173"/>
    <mergeCell ref="I169:J169"/>
    <mergeCell ref="A176:A178"/>
    <mergeCell ref="B176:B178"/>
    <mergeCell ref="C177:C178"/>
    <mergeCell ref="S141:S142"/>
    <mergeCell ref="V141:V142"/>
    <mergeCell ref="Y141:Y142"/>
    <mergeCell ref="Q132:Q133"/>
    <mergeCell ref="R132:R133"/>
    <mergeCell ref="AB130:AB135"/>
    <mergeCell ref="AC130:AC135"/>
    <mergeCell ref="A188:A190"/>
    <mergeCell ref="B188:B190"/>
    <mergeCell ref="C188:C190"/>
    <mergeCell ref="D188:D190"/>
    <mergeCell ref="E188:E190"/>
    <mergeCell ref="AB140:AD140"/>
    <mergeCell ref="AC141:AD141"/>
    <mergeCell ref="L134:L135"/>
    <mergeCell ref="M134:M135"/>
    <mergeCell ref="F132:F133"/>
    <mergeCell ref="J132:J133"/>
    <mergeCell ref="K130:K133"/>
  </mergeCells>
  <dataValidations count="21">
    <dataValidation allowBlank="1" showInputMessage="1" showErrorMessage="1" promptTitle="let op" prompt="Als labyrint 1 bocht heeft dan dan is er geen dz5: 1 invullen_x000a_" sqref="S131:V131 P131:Q131 K130 L131:N131"/>
    <dataValidation allowBlank="1" showInputMessage="1" showErrorMessage="1" promptTitle="let op" prompt="als versneller parallel aan het labyrint draait is er geen dp2: 1 invullen" sqref="E131:G131"/>
    <dataValidation allowBlank="1" showInputMessage="1" showErrorMessage="1" promptTitle="let op" prompt="Fr richting opp A2._x000a_Als versneller parallel aan labyrint draait dan is er geen A2: fr is dan 0" sqref="W131"/>
    <dataValidation allowBlank="1" showInputMessage="1" showErrorMessage="1" prompt="Fr richting  opp A1_x000a_" sqref="W130"/>
    <dataValidation allowBlank="1" showInputMessage="1" showErrorMessage="1" promptTitle="let op" prompt="Alleen van belang als E &gt; 10 MV (neutronenproduktie)" sqref="G125:G126"/>
    <dataValidation allowBlank="1" showInputMessage="1" showErrorMessage="1" promptTitle="let op" prompt="als er geen afstand dp is: 1 invullen_x000a_Bij de voorbeeld plattegronden is er alleen een afstand dp in fig 6. " sqref="P17"/>
    <dataValidation type="list" allowBlank="1" showInputMessage="1" showErrorMessage="1" sqref="G107:G108">
      <formula1>"1,2"</formula1>
    </dataValidation>
    <dataValidation type="list" allowBlank="1" showInputMessage="1" showErrorMessage="1" sqref="G106">
      <formula1>"parallel,loodrecht"</formula1>
    </dataValidation>
    <dataValidation allowBlank="1" showInputMessage="1" showErrorMessage="1" promptTitle="let op" prompt="is 1 las versneller parallel aan het labyrint draait" sqref="R15:R16"/>
    <dataValidation allowBlank="1" showInputMessage="1" showErrorMessage="1" promptTitle="let op" prompt="als versneller parallel aan het labyrint draait is er geen dz2:_x000a_ 1 invullen" sqref="H131:J131"/>
    <dataValidation allowBlank="1" showInputMessage="1" showErrorMessage="1" prompt="als versneller parallel aan het labyrint draait is er geen A2_x000a_: 1 invullen" sqref="O131"/>
    <dataValidation allowBlank="1" showInputMessage="1" showErrorMessage="1" promptTitle="let op" prompt="Als labyrint 1 bocht heeft dan dan is er geen A5: 1 invullen" sqref="R130:R132"/>
    <dataValidation allowBlank="1" showInputMessage="1" showErrorMessage="1" prompt="Als labyrint 1 bocht heeft dan dan is er geen A5: 1 invullen_x000a_" sqref="E116:E117"/>
    <dataValidation allowBlank="1" showInputMessage="1" showErrorMessage="1" prompt="Fr voor gantry  90 graden als versneller parallel aan labyrint draait of Fr voor gantry 270 graden als versneller loodrecht op labyrint draait _x000a_" sqref="W133"/>
    <dataValidation allowBlank="1" showInputMessage="1" showErrorMessage="1" prompt="binnenmuur labyrint" sqref="X131:AA131"/>
    <dataValidation allowBlank="1" showInputMessage="1" showErrorMessage="1" prompt="Als kort labyrint (&lt; 5m) gebruik dan 6,1 cm" sqref="O115"/>
    <dataValidation type="list" allowBlank="1" showInputMessage="1" showErrorMessage="1" prompt="Zie handleiding voor verwijzing naar literatuur._x000a_" sqref="Q111">
      <formula1>"1,5,7E-16,6,9E-16"</formula1>
    </dataValidation>
    <dataValidation type="list" allowBlank="1" showInputMessage="1" showErrorMessage="1" prompt="Zie handleiding voor verwijzing naar literatuur._x000a_" sqref="Q113">
      <formula1>"1,3,9,5,4,6,2"</formula1>
    </dataValidation>
    <dataValidation type="list" allowBlank="1" showInputMessage="1" showErrorMessage="1" sqref="K188:M188">
      <formula1>$C$4:$H$4</formula1>
    </dataValidation>
    <dataValidation allowBlank="1" showInputMessage="1" showErrorMessage="1" prompt="Stralingsweegfactor, WR = 20" sqref="E173"/>
    <dataValidation type="list" allowBlank="1" showInputMessage="1" showErrorMessage="1" prompt="als head shielding van wolfraam dan 0,85, als van lood dan 1_x000a_als geen neutronen dan ook 1" sqref="C16">
      <formula1>"0,85,1"</formula1>
    </dataValidation>
  </dataValidations>
  <pageMargins left="0.70866141732283472" right="0.70866141732283472" top="0.74803149606299213" bottom="0.74803149606299213" header="0.31496062992125984" footer="0.31496062992125984"/>
  <pageSetup paperSize="8" scale="30" orientation="landscape" r:id="rId1"/>
  <headerFooter>
    <oddFooter>&amp;C&amp;F &amp;A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CL197"/>
  <sheetViews>
    <sheetView showGridLines="0" topLeftCell="A157" zoomScale="70" zoomScaleNormal="70" workbookViewId="0">
      <selection activeCell="D191" sqref="D191:J192"/>
    </sheetView>
  </sheetViews>
  <sheetFormatPr defaultRowHeight="15" x14ac:dyDescent="0.25"/>
  <cols>
    <col min="1" max="1" width="6.7109375" style="201" customWidth="1"/>
    <col min="2" max="2" width="20.7109375" style="201" customWidth="1"/>
    <col min="3" max="21" width="12.7109375" style="201" customWidth="1"/>
    <col min="22" max="27" width="12.7109375" style="189" customWidth="1"/>
    <col min="28" max="36" width="12.7109375" style="202" customWidth="1"/>
    <col min="37" max="37" width="10" style="202" bestFit="1" customWidth="1"/>
    <col min="38" max="38" width="12.7109375" style="202" customWidth="1"/>
    <col min="39" max="39" width="10" style="202" bestFit="1" customWidth="1"/>
    <col min="40" max="45" width="12.7109375" style="202" customWidth="1"/>
    <col min="46" max="48" width="10.140625" style="202" bestFit="1" customWidth="1"/>
    <col min="49" max="55" width="12.140625" style="202" customWidth="1"/>
    <col min="56" max="60" width="10.140625" style="202" bestFit="1" customWidth="1"/>
    <col min="61" max="16384" width="9.140625" style="202"/>
  </cols>
  <sheetData>
    <row r="1" spans="1:31" s="187" customFormat="1" ht="26.25" customHeight="1" thickBot="1" x14ac:dyDescent="0.3">
      <c r="A1" s="181" t="s">
        <v>51</v>
      </c>
      <c r="B1" s="182"/>
      <c r="C1" s="183"/>
      <c r="D1" s="182"/>
      <c r="E1" s="182"/>
      <c r="F1" s="182"/>
      <c r="G1" s="182"/>
      <c r="H1" s="182"/>
      <c r="I1" s="182"/>
      <c r="J1" s="182"/>
      <c r="K1" s="182"/>
      <c r="L1" s="182"/>
      <c r="M1" s="182"/>
      <c r="N1" s="182"/>
      <c r="O1" s="182"/>
      <c r="P1" s="182"/>
      <c r="Q1" s="182"/>
      <c r="R1" s="182"/>
      <c r="S1" s="182"/>
      <c r="T1" s="182"/>
      <c r="U1" s="182"/>
      <c r="V1" s="184"/>
      <c r="W1" s="184"/>
      <c r="X1" s="184"/>
      <c r="Y1" s="184"/>
      <c r="Z1" s="184"/>
      <c r="AA1" s="184"/>
      <c r="AB1" s="185"/>
      <c r="AC1" s="185"/>
      <c r="AD1" s="185"/>
      <c r="AE1" s="186"/>
    </row>
    <row r="2" spans="1:31" s="189" customFormat="1" ht="18.75" customHeight="1" thickBot="1" x14ac:dyDescent="0.3">
      <c r="A2" s="188"/>
      <c r="F2" s="190"/>
      <c r="G2" s="190"/>
      <c r="H2" s="190"/>
    </row>
    <row r="3" spans="1:31" s="189" customFormat="1" ht="26.25" customHeight="1" thickBot="1" x14ac:dyDescent="0.3">
      <c r="A3" s="687" t="s">
        <v>314</v>
      </c>
      <c r="B3" s="688"/>
      <c r="C3" s="1868" t="s">
        <v>438</v>
      </c>
      <c r="D3" s="1868"/>
      <c r="E3" s="1868"/>
      <c r="F3" s="1869"/>
      <c r="G3" s="1870"/>
      <c r="H3" s="190"/>
      <c r="L3" s="193"/>
      <c r="M3" s="194" t="s">
        <v>420</v>
      </c>
      <c r="N3" s="195"/>
      <c r="O3" s="195"/>
      <c r="P3" s="195"/>
      <c r="Q3" s="195"/>
      <c r="R3" s="195"/>
      <c r="S3" s="195"/>
      <c r="T3" s="195"/>
    </row>
    <row r="4" spans="1:31" s="212" customFormat="1" ht="19.5" customHeight="1" thickBot="1" x14ac:dyDescent="0.3">
      <c r="A4" s="689" t="s">
        <v>55</v>
      </c>
      <c r="B4" s="690"/>
      <c r="C4" s="691">
        <v>6</v>
      </c>
      <c r="D4" s="691">
        <v>10</v>
      </c>
      <c r="E4" s="692">
        <v>18</v>
      </c>
      <c r="F4" s="691" t="s">
        <v>188</v>
      </c>
      <c r="G4" s="693" t="s">
        <v>189</v>
      </c>
      <c r="H4" s="207"/>
      <c r="I4" s="207"/>
      <c r="L4" s="195"/>
      <c r="M4" s="194"/>
      <c r="N4" s="195"/>
      <c r="O4" s="195"/>
      <c r="P4" s="195"/>
      <c r="Q4" s="195"/>
      <c r="R4" s="195"/>
      <c r="S4" s="195"/>
      <c r="T4" s="195"/>
      <c r="AD4" s="189"/>
    </row>
    <row r="5" spans="1:31" ht="22.5" customHeight="1" x14ac:dyDescent="0.25">
      <c r="A5" s="188"/>
      <c r="C5" s="205"/>
      <c r="D5" s="205"/>
      <c r="E5" s="205"/>
      <c r="F5" s="205"/>
      <c r="G5" s="205"/>
      <c r="L5" s="210"/>
      <c r="M5" s="194" t="s">
        <v>421</v>
      </c>
      <c r="N5" s="195"/>
      <c r="O5" s="195"/>
      <c r="P5" s="195"/>
      <c r="Q5" s="195"/>
      <c r="R5" s="195"/>
      <c r="S5" s="195"/>
      <c r="T5" s="195"/>
      <c r="U5" s="189"/>
      <c r="Z5" s="202"/>
      <c r="AA5" s="202"/>
    </row>
    <row r="6" spans="1:31" ht="19.5" customHeight="1" thickBot="1" x14ac:dyDescent="0.3">
      <c r="A6" s="188" t="s">
        <v>532</v>
      </c>
      <c r="B6" s="203"/>
      <c r="C6" s="650"/>
      <c r="D6" s="651"/>
      <c r="E6" s="651"/>
      <c r="F6" s="652"/>
      <c r="G6" s="652"/>
      <c r="H6" s="207"/>
      <c r="I6" s="207"/>
      <c r="J6" s="208"/>
      <c r="K6" s="209"/>
      <c r="L6" s="214"/>
      <c r="M6" s="194"/>
      <c r="O6" s="195"/>
      <c r="P6" s="195"/>
      <c r="Q6" s="195"/>
      <c r="R6" s="195"/>
      <c r="S6" s="195"/>
      <c r="T6" s="195"/>
      <c r="AD6" s="211"/>
    </row>
    <row r="7" spans="1:31" s="212" customFormat="1" ht="19.5" customHeight="1" thickBot="1" x14ac:dyDescent="0.3">
      <c r="A7" s="215" t="s">
        <v>240</v>
      </c>
      <c r="B7" s="216"/>
      <c r="C7" s="1815">
        <f>10^3</f>
        <v>1000</v>
      </c>
      <c r="D7" s="217"/>
      <c r="E7" s="217"/>
      <c r="F7" s="217"/>
      <c r="G7" s="218"/>
      <c r="H7" s="189"/>
      <c r="I7" s="189"/>
      <c r="L7" s="219"/>
      <c r="M7" s="194" t="s">
        <v>651</v>
      </c>
      <c r="N7" s="195"/>
      <c r="O7" s="195"/>
      <c r="P7" s="195"/>
      <c r="Q7" s="195"/>
      <c r="R7" s="195"/>
      <c r="S7" s="195"/>
      <c r="T7" s="195"/>
    </row>
    <row r="8" spans="1:31" s="212" customFormat="1" ht="19.5" customHeight="1" x14ac:dyDescent="0.25">
      <c r="A8" s="215" t="s">
        <v>122</v>
      </c>
      <c r="B8" s="216"/>
      <c r="C8" s="1816">
        <v>0.2</v>
      </c>
      <c r="D8" s="1816">
        <v>0.2</v>
      </c>
      <c r="E8" s="1818">
        <v>0.2</v>
      </c>
      <c r="F8" s="1816">
        <v>0.2</v>
      </c>
      <c r="G8" s="1819">
        <v>0.2</v>
      </c>
      <c r="J8" s="220"/>
      <c r="K8" s="220"/>
      <c r="L8" s="195"/>
      <c r="M8" s="194"/>
      <c r="N8" s="195"/>
      <c r="O8" s="195"/>
      <c r="P8" s="195"/>
      <c r="Q8" s="195"/>
      <c r="R8" s="195"/>
      <c r="S8" s="195"/>
      <c r="T8" s="195"/>
    </row>
    <row r="9" spans="1:31" s="212" customFormat="1" ht="19.5" customHeight="1" x14ac:dyDescent="0.25">
      <c r="A9" s="221" t="s">
        <v>123</v>
      </c>
      <c r="B9" s="222"/>
      <c r="C9" s="1817">
        <v>0.5</v>
      </c>
      <c r="D9" s="1817">
        <v>0.5</v>
      </c>
      <c r="E9" s="1820">
        <v>0.5</v>
      </c>
      <c r="F9" s="1817">
        <v>0.5</v>
      </c>
      <c r="G9" s="1821">
        <v>0.5</v>
      </c>
      <c r="H9" s="189"/>
      <c r="I9" s="189"/>
      <c r="J9" s="220"/>
      <c r="K9" s="220"/>
      <c r="L9" s="223"/>
      <c r="M9" s="194" t="s">
        <v>422</v>
      </c>
      <c r="N9" s="195"/>
      <c r="O9" s="195"/>
      <c r="P9" s="195"/>
      <c r="Q9" s="195"/>
      <c r="R9" s="195"/>
      <c r="S9" s="195"/>
      <c r="T9" s="195"/>
    </row>
    <row r="10" spans="1:31" s="212" customFormat="1" ht="19.5" customHeight="1" x14ac:dyDescent="0.25">
      <c r="A10" s="221" t="s">
        <v>124</v>
      </c>
      <c r="B10" s="222"/>
      <c r="C10" s="178">
        <f>1-C9</f>
        <v>0.5</v>
      </c>
      <c r="D10" s="178">
        <f>1-D9</f>
        <v>0.5</v>
      </c>
      <c r="E10" s="179">
        <f>1-E9</f>
        <v>0.5</v>
      </c>
      <c r="F10" s="178">
        <f>1-F9</f>
        <v>0.5</v>
      </c>
      <c r="G10" s="180">
        <f>1-G9</f>
        <v>0.5</v>
      </c>
      <c r="H10" s="189"/>
      <c r="I10" s="189"/>
      <c r="J10" s="220"/>
      <c r="K10" s="220"/>
      <c r="L10" s="195"/>
      <c r="M10" s="195"/>
      <c r="N10" s="195"/>
      <c r="O10" s="195"/>
      <c r="P10" s="195"/>
      <c r="Q10" s="195"/>
      <c r="R10" s="195"/>
      <c r="S10" s="195"/>
      <c r="T10" s="195"/>
      <c r="U10" s="222"/>
      <c r="V10" s="225"/>
      <c r="W10" s="225"/>
      <c r="X10" s="225"/>
      <c r="Y10" s="225"/>
      <c r="Z10" s="225"/>
      <c r="AA10" s="225"/>
      <c r="AB10" s="225"/>
      <c r="AC10" s="225"/>
    </row>
    <row r="11" spans="1:31" s="212" customFormat="1" ht="19.5" customHeight="1" thickBot="1" x14ac:dyDescent="0.3">
      <c r="A11" s="226" t="s">
        <v>125</v>
      </c>
      <c r="B11" s="227"/>
      <c r="C11" s="1822">
        <v>5</v>
      </c>
      <c r="D11" s="1822">
        <v>5</v>
      </c>
      <c r="E11" s="1823">
        <v>5</v>
      </c>
      <c r="F11" s="1822">
        <v>5</v>
      </c>
      <c r="G11" s="1824">
        <v>5</v>
      </c>
      <c r="H11" s="189"/>
      <c r="I11" s="189"/>
      <c r="J11" s="220"/>
      <c r="K11" s="220"/>
      <c r="L11" s="228"/>
      <c r="M11" s="194" t="s">
        <v>650</v>
      </c>
      <c r="N11" s="195"/>
      <c r="O11" s="195"/>
      <c r="P11" s="195"/>
      <c r="Q11" s="195"/>
      <c r="R11" s="195"/>
      <c r="S11" s="195"/>
      <c r="T11" s="195"/>
      <c r="U11" s="222"/>
      <c r="V11" s="225"/>
      <c r="W11" s="225"/>
      <c r="X11" s="225"/>
      <c r="Y11" s="225"/>
      <c r="Z11" s="225"/>
      <c r="AA11" s="225"/>
      <c r="AB11" s="225"/>
      <c r="AC11" s="225"/>
    </row>
    <row r="12" spans="1:31" s="212" customFormat="1" ht="22.5" customHeight="1" x14ac:dyDescent="0.25">
      <c r="A12" s="222"/>
      <c r="B12" s="222"/>
      <c r="C12" s="229"/>
      <c r="D12" s="229"/>
      <c r="E12" s="229"/>
      <c r="F12" s="229"/>
      <c r="G12" s="229"/>
      <c r="H12" s="189"/>
      <c r="I12" s="189"/>
      <c r="J12" s="220"/>
      <c r="K12" s="220"/>
      <c r="L12" s="195"/>
      <c r="M12" s="194"/>
      <c r="N12" s="195"/>
      <c r="O12" s="195"/>
      <c r="P12" s="195"/>
      <c r="Q12" s="195"/>
      <c r="R12" s="195"/>
      <c r="S12" s="195"/>
      <c r="T12" s="195"/>
      <c r="U12" s="222"/>
      <c r="V12" s="225"/>
      <c r="W12" s="225"/>
      <c r="X12" s="225"/>
      <c r="Y12" s="225"/>
      <c r="Z12" s="225"/>
      <c r="AA12" s="225"/>
      <c r="AB12" s="225"/>
      <c r="AC12" s="225"/>
    </row>
    <row r="13" spans="1:31" s="212" customFormat="1" ht="19.5" customHeight="1" thickBot="1" x14ac:dyDescent="0.3">
      <c r="A13" s="230" t="s">
        <v>429</v>
      </c>
      <c r="B13" s="222"/>
      <c r="C13" s="231"/>
      <c r="D13" s="231"/>
      <c r="E13" s="231"/>
      <c r="F13" s="231"/>
      <c r="G13" s="231"/>
      <c r="H13" s="189"/>
      <c r="I13" s="189"/>
      <c r="J13" s="220"/>
      <c r="K13" s="220"/>
      <c r="L13" s="232"/>
      <c r="M13" s="194" t="s">
        <v>649</v>
      </c>
      <c r="N13" s="222"/>
      <c r="O13" s="222"/>
      <c r="P13" s="225"/>
      <c r="Q13" s="222"/>
      <c r="R13" s="222"/>
      <c r="S13" s="222"/>
      <c r="T13" s="233"/>
      <c r="U13" s="222"/>
      <c r="V13" s="225"/>
      <c r="W13" s="225"/>
      <c r="X13" s="225"/>
      <c r="Y13" s="225"/>
      <c r="Z13" s="225"/>
      <c r="AA13" s="225"/>
      <c r="AB13" s="225"/>
      <c r="AC13" s="225"/>
    </row>
    <row r="14" spans="1:31" s="212" customFormat="1" ht="19.5" customHeight="1" x14ac:dyDescent="0.2">
      <c r="A14" s="215" t="s">
        <v>417</v>
      </c>
      <c r="B14" s="234"/>
      <c r="C14" s="1825">
        <v>0.04</v>
      </c>
      <c r="D14" s="1825">
        <v>0.04</v>
      </c>
      <c r="E14" s="1825">
        <v>0.04</v>
      </c>
      <c r="F14" s="1825">
        <v>0.04</v>
      </c>
      <c r="G14" s="1826">
        <v>0.04</v>
      </c>
      <c r="H14" s="189"/>
      <c r="I14" s="189"/>
      <c r="L14" s="235"/>
      <c r="M14" s="194"/>
    </row>
    <row r="15" spans="1:31" s="212" customFormat="1" ht="19.5" customHeight="1" thickBot="1" x14ac:dyDescent="0.25">
      <c r="A15" s="236" t="s">
        <v>121</v>
      </c>
      <c r="B15" s="237"/>
      <c r="C15" s="1827">
        <v>1E-3</v>
      </c>
      <c r="D15" s="238"/>
      <c r="E15" s="238"/>
      <c r="F15" s="238"/>
      <c r="G15" s="239"/>
      <c r="H15" s="189"/>
      <c r="I15" s="189"/>
      <c r="J15" s="240"/>
      <c r="K15" s="225"/>
      <c r="L15" s="241"/>
      <c r="M15" s="194" t="s">
        <v>423</v>
      </c>
      <c r="N15" s="225"/>
      <c r="O15" s="225"/>
      <c r="P15" s="225"/>
      <c r="AD15" s="242"/>
    </row>
    <row r="16" spans="1:31" s="212" customFormat="1" ht="19.5" customHeight="1" thickBot="1" x14ac:dyDescent="0.25">
      <c r="A16" s="226" t="s">
        <v>652</v>
      </c>
      <c r="B16" s="227"/>
      <c r="C16" s="1828">
        <v>0.85</v>
      </c>
      <c r="D16" s="243"/>
      <c r="E16" s="243"/>
      <c r="F16" s="243"/>
      <c r="G16" s="244"/>
      <c r="H16" s="189"/>
      <c r="I16" s="189"/>
      <c r="J16" s="240"/>
      <c r="K16" s="225"/>
      <c r="L16" s="235"/>
      <c r="M16" s="194"/>
      <c r="N16" s="225"/>
      <c r="O16" s="225"/>
      <c r="P16" s="225"/>
      <c r="AD16" s="242"/>
    </row>
    <row r="17" spans="1:29" s="212" customFormat="1" ht="19.5" customHeight="1" thickBot="1" x14ac:dyDescent="0.3">
      <c r="A17" s="245" t="s">
        <v>210</v>
      </c>
      <c r="B17" s="246"/>
      <c r="C17" s="1829">
        <v>1</v>
      </c>
      <c r="D17" s="1830">
        <v>1</v>
      </c>
      <c r="E17" s="1831">
        <v>1</v>
      </c>
      <c r="F17" s="1832">
        <v>1</v>
      </c>
      <c r="G17" s="1833">
        <v>1</v>
      </c>
      <c r="J17" s="220"/>
      <c r="K17" s="220"/>
      <c r="L17" s="222"/>
      <c r="M17" s="222"/>
      <c r="N17" s="222"/>
      <c r="O17" s="222"/>
      <c r="P17" s="57"/>
      <c r="Q17" s="222"/>
    </row>
    <row r="18" spans="1:29" s="212" customFormat="1" ht="22.5" customHeight="1" x14ac:dyDescent="0.25">
      <c r="A18" s="222"/>
      <c r="B18" s="222"/>
      <c r="C18" s="229"/>
      <c r="D18" s="229"/>
      <c r="E18" s="229"/>
      <c r="F18" s="229"/>
      <c r="G18" s="229"/>
      <c r="H18" s="189"/>
      <c r="I18" s="189"/>
      <c r="J18" s="220"/>
      <c r="K18" s="220"/>
      <c r="L18" s="222"/>
      <c r="M18" s="222"/>
      <c r="N18" s="222"/>
      <c r="O18" s="222"/>
      <c r="P18" s="225"/>
      <c r="Q18" s="222"/>
      <c r="R18" s="222"/>
      <c r="S18" s="222"/>
      <c r="T18" s="233"/>
      <c r="U18" s="222"/>
      <c r="V18" s="225"/>
      <c r="W18" s="225"/>
      <c r="X18" s="225"/>
      <c r="Y18" s="225"/>
      <c r="Z18" s="225"/>
      <c r="AA18" s="225"/>
      <c r="AB18" s="225"/>
      <c r="AC18" s="225"/>
    </row>
    <row r="19" spans="1:29" s="212" customFormat="1" ht="19.5" customHeight="1" thickBot="1" x14ac:dyDescent="0.3">
      <c r="A19" s="247" t="s">
        <v>419</v>
      </c>
      <c r="B19" s="222"/>
      <c r="C19" s="231"/>
      <c r="D19" s="231"/>
      <c r="E19" s="231"/>
      <c r="F19" s="231"/>
      <c r="G19" s="231"/>
      <c r="H19" s="189"/>
      <c r="I19" s="189"/>
      <c r="J19" s="220"/>
      <c r="K19" s="220"/>
      <c r="L19" s="222"/>
      <c r="M19" s="222"/>
      <c r="N19" s="222"/>
      <c r="O19" s="222"/>
      <c r="P19" s="225"/>
      <c r="Q19" s="222"/>
      <c r="R19" s="222"/>
      <c r="S19" s="222"/>
      <c r="T19" s="233"/>
      <c r="U19" s="222"/>
      <c r="V19" s="225"/>
      <c r="W19" s="225"/>
      <c r="X19" s="225"/>
      <c r="Y19" s="225"/>
      <c r="Z19" s="225"/>
      <c r="AA19" s="225"/>
      <c r="AB19" s="225"/>
      <c r="AC19" s="225"/>
    </row>
    <row r="20" spans="1:29" s="212" customFormat="1" ht="19.5" customHeight="1" x14ac:dyDescent="0.25">
      <c r="A20" s="248"/>
      <c r="B20" s="249"/>
      <c r="C20" s="250" t="s">
        <v>20</v>
      </c>
      <c r="D20" s="251"/>
      <c r="E20" s="251"/>
      <c r="F20" s="251"/>
      <c r="G20" s="252"/>
      <c r="H20" s="221"/>
      <c r="I20" s="222"/>
      <c r="J20" s="220"/>
      <c r="K20" s="220"/>
      <c r="L20" s="222"/>
      <c r="M20" s="222"/>
      <c r="N20" s="222"/>
      <c r="O20" s="222"/>
      <c r="P20" s="225"/>
      <c r="Q20" s="222"/>
      <c r="R20" s="222"/>
      <c r="S20" s="222"/>
      <c r="T20" s="233"/>
      <c r="U20" s="222"/>
      <c r="V20" s="225"/>
      <c r="W20" s="225"/>
      <c r="X20" s="225"/>
      <c r="Y20" s="225"/>
      <c r="Z20" s="225"/>
      <c r="AA20" s="225"/>
      <c r="AB20" s="225"/>
      <c r="AC20" s="225"/>
    </row>
    <row r="21" spans="1:29" s="212" customFormat="1" ht="19.5" customHeight="1" x14ac:dyDescent="0.25">
      <c r="A21" s="221"/>
      <c r="B21" s="253" t="s">
        <v>266</v>
      </c>
      <c r="C21" s="254">
        <f>VLOOKUP($C$4,'TVT''s afscherming'!$A$10:$J$23,2)</f>
        <v>37</v>
      </c>
      <c r="D21" s="255">
        <f>VLOOKUP($D$4,'TVT''s afscherming'!$A$10:$J$23,2)</f>
        <v>41</v>
      </c>
      <c r="E21" s="255">
        <f>VLOOKUP($E$4,'TVT''s afscherming'!$A$10:$J$23,2)</f>
        <v>45</v>
      </c>
      <c r="F21" s="255">
        <f>VLOOKUP($F$4,'TVT''s afscherming'!$A$10:$J$23,2)</f>
        <v>30</v>
      </c>
      <c r="G21" s="256">
        <f>VLOOKUP($G$4,'TVT''s afscherming'!$A$10:$J$23,2)</f>
        <v>36</v>
      </c>
      <c r="H21" s="221"/>
      <c r="I21" s="225"/>
      <c r="J21" s="220"/>
      <c r="K21" s="220"/>
      <c r="L21" s="222"/>
      <c r="M21" s="222"/>
      <c r="N21" s="222"/>
      <c r="O21" s="222"/>
      <c r="P21" s="225"/>
      <c r="Q21" s="222"/>
      <c r="R21" s="222"/>
      <c r="S21" s="222"/>
      <c r="T21" s="233"/>
      <c r="U21" s="222"/>
      <c r="V21" s="225"/>
      <c r="W21" s="225"/>
      <c r="X21" s="225"/>
      <c r="Y21" s="225"/>
      <c r="Z21" s="225"/>
      <c r="AA21" s="225"/>
      <c r="AB21" s="225"/>
      <c r="AC21" s="225"/>
    </row>
    <row r="22" spans="1:29" s="262" customFormat="1" ht="19.5" customHeight="1" x14ac:dyDescent="0.25">
      <c r="A22" s="257"/>
      <c r="B22" s="222" t="s">
        <v>267</v>
      </c>
      <c r="C22" s="258">
        <f>VLOOKUP($C$4,'TVT''s afscherming'!$A$10:$J$23,3)</f>
        <v>33</v>
      </c>
      <c r="D22" s="258">
        <f>VLOOKUP($D$4,'TVT''s afscherming'!$A$10:$J$23,3)</f>
        <v>37</v>
      </c>
      <c r="E22" s="258">
        <f>VLOOKUP($E$4,'TVT''s afscherming'!$A$10:$J$23,3)</f>
        <v>43</v>
      </c>
      <c r="F22" s="258">
        <f>VLOOKUP($F$4,'TVT''s afscherming'!$A$10:$J$23,3)</f>
        <v>27</v>
      </c>
      <c r="G22" s="259">
        <f>VLOOKUP($G$4,'TVT''s afscherming'!$A$10:$J$23,3)</f>
        <v>36</v>
      </c>
      <c r="H22" s="260"/>
      <c r="I22" s="261"/>
      <c r="J22" s="220"/>
      <c r="K22" s="220"/>
      <c r="L22" s="222"/>
      <c r="M22" s="222"/>
      <c r="N22" s="222"/>
      <c r="O22" s="222"/>
      <c r="P22" s="261"/>
      <c r="Q22" s="222"/>
      <c r="R22" s="222"/>
      <c r="S22" s="222"/>
      <c r="U22" s="222"/>
      <c r="V22" s="222"/>
      <c r="W22" s="222"/>
      <c r="X22" s="261"/>
      <c r="Y22" s="261"/>
      <c r="Z22" s="225"/>
      <c r="AA22" s="225"/>
      <c r="AB22" s="225"/>
      <c r="AC22" s="225"/>
    </row>
    <row r="23" spans="1:29" s="262" customFormat="1" ht="19.5" customHeight="1" x14ac:dyDescent="0.25">
      <c r="A23" s="221"/>
      <c r="B23" s="211" t="s">
        <v>61</v>
      </c>
      <c r="C23" s="263">
        <f>VLOOKUP($C$4,'TVT''s afscherming'!$A$10:$J$23,4)</f>
        <v>24.2</v>
      </c>
      <c r="D23" s="258">
        <f>VLOOKUP($D$4,'TVT''s afscherming'!$A$10:$J$23,4)</f>
        <v>27</v>
      </c>
      <c r="E23" s="258">
        <f>VLOOKUP($E$4,'TVT''s afscherming'!$A$10:$J$23,4)</f>
        <v>27</v>
      </c>
      <c r="F23" s="258">
        <f>VLOOKUP($F$4,'TVT''s afscherming'!$A$10:$J$23,4)</f>
        <v>19.7</v>
      </c>
      <c r="G23" s="259">
        <f>VLOOKUP($G$4,'TVT''s afscherming'!$A$10:$J$23,4)</f>
        <v>23.6</v>
      </c>
      <c r="H23" s="264"/>
      <c r="I23" s="261"/>
      <c r="J23" s="220"/>
      <c r="K23" s="220"/>
      <c r="L23" s="222"/>
      <c r="M23" s="222"/>
      <c r="N23" s="222"/>
      <c r="O23" s="222"/>
      <c r="P23" s="261"/>
      <c r="Q23" s="222"/>
      <c r="R23" s="222"/>
      <c r="S23" s="222"/>
      <c r="U23" s="222"/>
      <c r="V23" s="222"/>
      <c r="W23" s="222"/>
      <c r="X23" s="261"/>
      <c r="Y23" s="261"/>
      <c r="Z23" s="261"/>
      <c r="AA23" s="225"/>
      <c r="AB23" s="225"/>
      <c r="AC23" s="225"/>
    </row>
    <row r="24" spans="1:29" s="212" customFormat="1" ht="19.5" customHeight="1" x14ac:dyDescent="0.25">
      <c r="A24" s="221"/>
      <c r="B24" s="211" t="s">
        <v>3</v>
      </c>
      <c r="C24" s="263">
        <f>VLOOKUP($C$4,'TVT''s afscherming'!$A$10:$J$23,5)</f>
        <v>9.9</v>
      </c>
      <c r="D24" s="258">
        <f>VLOOKUP($D$4,'TVT''s afscherming'!$A$10:$J$23,5)</f>
        <v>10</v>
      </c>
      <c r="E24" s="258">
        <f>VLOOKUP($E$4,'TVT''s afscherming'!$A$10:$J$23,5)</f>
        <v>11</v>
      </c>
      <c r="F24" s="258">
        <f>VLOOKUP($F$4,'TVT''s afscherming'!$A$10:$J$23,5)</f>
        <v>10.199999999999999</v>
      </c>
      <c r="G24" s="259">
        <f>VLOOKUP($G$4,'TVT''s afscherming'!$A$10:$J$23,5)</f>
        <v>10.199999999999999</v>
      </c>
      <c r="H24" s="257"/>
      <c r="I24" s="225"/>
      <c r="J24" s="220"/>
      <c r="K24" s="220"/>
      <c r="L24" s="222"/>
      <c r="M24" s="222"/>
      <c r="N24" s="222"/>
      <c r="O24" s="261"/>
      <c r="P24" s="225"/>
      <c r="Q24" s="262"/>
      <c r="R24" s="262"/>
      <c r="S24" s="262"/>
      <c r="T24" s="233"/>
      <c r="U24" s="222"/>
      <c r="V24" s="265"/>
      <c r="W24" s="266"/>
      <c r="X24" s="225"/>
      <c r="Y24" s="225"/>
      <c r="Z24" s="261"/>
      <c r="AA24" s="225"/>
      <c r="AB24" s="225"/>
      <c r="AC24" s="225"/>
    </row>
    <row r="25" spans="1:29" s="212" customFormat="1" ht="19.5" customHeight="1" x14ac:dyDescent="0.25">
      <c r="A25" s="221"/>
      <c r="B25" s="211" t="s">
        <v>22</v>
      </c>
      <c r="C25" s="263">
        <f>VLOOKUP($C$4,'TVT''s afscherming'!$A$10:$J$23,6)</f>
        <v>5.7</v>
      </c>
      <c r="D25" s="258">
        <f>VLOOKUP($D$4,'TVT''s afscherming'!$A$10:$J$23,6)</f>
        <v>5.7</v>
      </c>
      <c r="E25" s="258">
        <f>VLOOKUP($E$4,'TVT''s afscherming'!$A$10:$J$23,6)</f>
        <v>5.6</v>
      </c>
      <c r="F25" s="258">
        <f>VLOOKUP($F$4,'TVT''s afscherming'!$A$10:$J$23,6)</f>
        <v>5.7</v>
      </c>
      <c r="G25" s="259">
        <f>VLOOKUP($G$4,'TVT''s afscherming'!$A$10:$J$23,6)</f>
        <v>5.7</v>
      </c>
      <c r="H25" s="257"/>
      <c r="I25" s="225"/>
      <c r="J25" s="267"/>
      <c r="K25" s="267"/>
      <c r="L25" s="222"/>
      <c r="M25" s="222"/>
      <c r="N25" s="222"/>
      <c r="O25" s="261"/>
      <c r="P25" s="225"/>
      <c r="Q25" s="262"/>
      <c r="R25" s="262"/>
      <c r="S25" s="262"/>
      <c r="U25" s="222"/>
      <c r="V25" s="222"/>
      <c r="W25" s="222"/>
      <c r="X25" s="225"/>
      <c r="Y25" s="225"/>
      <c r="Z25" s="225"/>
      <c r="AA25" s="225"/>
      <c r="AB25" s="225"/>
      <c r="AC25" s="225"/>
    </row>
    <row r="26" spans="1:29" s="212" customFormat="1" ht="19.5" customHeight="1" x14ac:dyDescent="0.25">
      <c r="A26" s="257"/>
      <c r="B26" s="268"/>
      <c r="C26" s="269" t="s">
        <v>139</v>
      </c>
      <c r="D26" s="270"/>
      <c r="E26" s="270"/>
      <c r="F26" s="270"/>
      <c r="G26" s="271"/>
      <c r="H26" s="257"/>
      <c r="I26" s="225"/>
      <c r="J26" s="240"/>
      <c r="K26" s="225"/>
      <c r="L26" s="225"/>
      <c r="M26" s="225"/>
      <c r="N26" s="225"/>
      <c r="O26" s="225"/>
      <c r="P26" s="225"/>
      <c r="Q26" s="225"/>
      <c r="S26" s="222"/>
      <c r="U26" s="222"/>
      <c r="V26" s="222"/>
      <c r="W26" s="222"/>
      <c r="X26" s="225"/>
      <c r="Y26" s="225"/>
      <c r="Z26" s="225"/>
      <c r="AA26" s="225"/>
      <c r="AB26" s="225"/>
      <c r="AC26" s="225"/>
    </row>
    <row r="27" spans="1:29" s="212" customFormat="1" ht="19.5" customHeight="1" x14ac:dyDescent="0.25">
      <c r="A27" s="257"/>
      <c r="B27" s="253" t="s">
        <v>2</v>
      </c>
      <c r="C27" s="254">
        <f>VLOOKUP($C$4,'TVT''s afscherming'!$A$10:$J$23,7)</f>
        <v>34</v>
      </c>
      <c r="D27" s="254">
        <f>VLOOKUP($D$4,'TVT''s afscherming'!$A$10:$J$23,7)</f>
        <v>38</v>
      </c>
      <c r="E27" s="255">
        <f>VLOOKUP($E$4,'TVT''s afscherming'!$A$10:$J$23,7)</f>
        <v>44</v>
      </c>
      <c r="F27" s="254">
        <f>VLOOKUP($F$4,'TVT''s afscherming'!$A$10:$J$23,7)</f>
        <v>30.5</v>
      </c>
      <c r="G27" s="256">
        <f>VLOOKUP($G$4,'TVT''s afscherming'!$A$10:$J$23,7)</f>
        <v>35.6</v>
      </c>
      <c r="H27" s="257"/>
      <c r="I27" s="225"/>
      <c r="J27" s="272"/>
      <c r="K27" s="272"/>
      <c r="L27" s="222"/>
      <c r="M27" s="222"/>
      <c r="N27" s="222"/>
      <c r="O27" s="222"/>
      <c r="P27" s="225"/>
      <c r="Q27" s="222"/>
      <c r="U27" s="222"/>
      <c r="V27" s="225"/>
      <c r="W27" s="225"/>
      <c r="X27" s="225"/>
      <c r="Y27" s="225"/>
      <c r="Z27" s="225"/>
      <c r="AA27" s="261"/>
      <c r="AB27" s="261"/>
      <c r="AC27" s="261"/>
    </row>
    <row r="28" spans="1:29" s="212" customFormat="1" ht="19.5" customHeight="1" x14ac:dyDescent="0.25">
      <c r="A28" s="257"/>
      <c r="B28" s="211" t="s">
        <v>61</v>
      </c>
      <c r="C28" s="263">
        <f>VLOOKUP($C$4,'TVT''s afscherming'!$A$10:$J$23,8)</f>
        <v>20</v>
      </c>
      <c r="D28" s="263">
        <f>VLOOKUP($D$4,'TVT''s afscherming'!$A$10:$J$23,8)</f>
        <v>24</v>
      </c>
      <c r="E28" s="258">
        <f>VLOOKUP($E$4,'TVT''s afscherming'!$A$10:$J$23,8)</f>
        <v>26.8</v>
      </c>
      <c r="F28" s="263">
        <f>VLOOKUP($F$4,'TVT''s afscherming'!$A$10:$J$23,8)</f>
        <v>20.3</v>
      </c>
      <c r="G28" s="259">
        <f>VLOOKUP($G$4,'TVT''s afscherming'!$A$10:$J$23,8)</f>
        <v>23.7</v>
      </c>
      <c r="J28" s="272"/>
      <c r="K28" s="272"/>
      <c r="L28" s="222"/>
      <c r="M28" s="222"/>
      <c r="N28" s="222"/>
      <c r="O28" s="222"/>
      <c r="P28" s="225"/>
      <c r="Q28" s="222"/>
      <c r="U28" s="222"/>
      <c r="V28" s="222"/>
      <c r="W28" s="222"/>
      <c r="X28" s="222"/>
    </row>
    <row r="29" spans="1:29" s="212" customFormat="1" ht="19.5" customHeight="1" x14ac:dyDescent="0.25">
      <c r="A29" s="257"/>
      <c r="B29" s="211" t="s">
        <v>3</v>
      </c>
      <c r="C29" s="263">
        <f>VLOOKUP($C$4,'TVT''s afscherming'!$A$10:$J$23,9)</f>
        <v>9.9</v>
      </c>
      <c r="D29" s="263">
        <f>VLOOKUP($D$4,'TVT''s afscherming'!$A$10:$J$23,9)</f>
        <v>10</v>
      </c>
      <c r="E29" s="258">
        <f>VLOOKUP($E$4,'TVT''s afscherming'!$A$10:$J$23,9)</f>
        <v>11</v>
      </c>
      <c r="F29" s="263">
        <f>VLOOKUP($F$4,'TVT''s afscherming'!$A$10:$J$23,9)</f>
        <v>10.199999999999999</v>
      </c>
      <c r="G29" s="259">
        <f>VLOOKUP($G$4,'TVT''s afscherming'!$A$10:$J$23,9)</f>
        <v>10.7</v>
      </c>
      <c r="I29" s="211"/>
      <c r="J29" s="272"/>
      <c r="K29" s="272"/>
      <c r="L29" s="222"/>
      <c r="M29" s="222"/>
      <c r="N29" s="222"/>
      <c r="O29" s="222"/>
      <c r="P29" s="225"/>
      <c r="Q29" s="222"/>
      <c r="U29" s="222"/>
      <c r="V29" s="222"/>
      <c r="W29" s="222"/>
      <c r="X29" s="222"/>
    </row>
    <row r="30" spans="1:29" s="212" customFormat="1" ht="19.5" customHeight="1" thickBot="1" x14ac:dyDescent="0.3">
      <c r="A30" s="273"/>
      <c r="B30" s="274" t="s">
        <v>22</v>
      </c>
      <c r="C30" s="275">
        <f>VLOOKUP($C$4,'TVT''s afscherming'!$A$10:$J$23,10)</f>
        <v>5.7</v>
      </c>
      <c r="D30" s="275">
        <f>VLOOKUP($D$4,'TVT''s afscherming'!$A$10:$J$23,10)</f>
        <v>5.7</v>
      </c>
      <c r="E30" s="276">
        <f>VLOOKUP($E$4,'TVT''s afscherming'!$A$10:$J$23,10)</f>
        <v>5.6</v>
      </c>
      <c r="F30" s="275">
        <f>VLOOKUP($F$4,'TVT''s afscherming'!$A$10:$J$23,10)</f>
        <v>5</v>
      </c>
      <c r="G30" s="277">
        <f>VLOOKUP($G$4,'TVT''s afscherming'!$A$10:$J$23,10)</f>
        <v>5.7</v>
      </c>
      <c r="J30" s="272"/>
      <c r="K30" s="272"/>
      <c r="L30" s="222"/>
      <c r="M30" s="222"/>
      <c r="N30" s="222"/>
      <c r="O30" s="222"/>
      <c r="P30" s="225"/>
      <c r="Q30" s="222"/>
      <c r="T30" s="222"/>
      <c r="U30" s="242"/>
      <c r="V30" s="222"/>
      <c r="W30" s="222"/>
      <c r="X30" s="222"/>
      <c r="Y30" s="222"/>
    </row>
    <row r="31" spans="1:29" s="212" customFormat="1" ht="19.5" customHeight="1" x14ac:dyDescent="0.25">
      <c r="A31" s="222"/>
      <c r="J31" s="272"/>
      <c r="K31" s="272"/>
      <c r="L31" s="222"/>
      <c r="M31" s="222"/>
      <c r="N31" s="222"/>
      <c r="O31" s="222"/>
      <c r="P31" s="225"/>
      <c r="Q31" s="222"/>
      <c r="T31" s="222"/>
      <c r="U31" s="242"/>
      <c r="V31" s="222"/>
      <c r="W31" s="222"/>
      <c r="X31" s="222"/>
      <c r="Y31" s="222"/>
    </row>
    <row r="32" spans="1:29" s="212" customFormat="1" ht="22.5" customHeight="1" x14ac:dyDescent="0.25">
      <c r="T32" s="222"/>
      <c r="U32" s="233"/>
      <c r="V32" s="233"/>
      <c r="W32" s="222"/>
      <c r="X32" s="222"/>
      <c r="Y32" s="222"/>
    </row>
    <row r="33" spans="1:52" s="212" customFormat="1" ht="22.5" customHeight="1" x14ac:dyDescent="0.25">
      <c r="I33" s="189"/>
      <c r="T33" s="222"/>
      <c r="U33" s="233"/>
      <c r="V33" s="233"/>
      <c r="W33" s="222"/>
      <c r="X33" s="222"/>
      <c r="Y33" s="222"/>
    </row>
    <row r="34" spans="1:52" ht="19.5" customHeight="1" thickBot="1" x14ac:dyDescent="0.3">
      <c r="A34" s="283" t="s">
        <v>506</v>
      </c>
      <c r="B34" s="284"/>
      <c r="C34" s="284"/>
      <c r="D34" s="280"/>
      <c r="L34" s="289"/>
      <c r="M34" s="290"/>
      <c r="N34" s="290"/>
      <c r="O34" s="290"/>
      <c r="P34" s="290"/>
      <c r="Q34" s="290"/>
      <c r="R34" s="290"/>
      <c r="S34" s="290"/>
      <c r="T34" s="290"/>
      <c r="U34" s="290"/>
      <c r="V34" s="290"/>
      <c r="W34" s="290"/>
      <c r="X34" s="290"/>
      <c r="AB34" s="189"/>
      <c r="AF34" s="281"/>
      <c r="AG34" s="281"/>
      <c r="AH34" s="282"/>
      <c r="AI34" s="282"/>
    </row>
    <row r="35" spans="1:52" s="212" customFormat="1" ht="19.5" customHeight="1" x14ac:dyDescent="0.25">
      <c r="J35" s="653"/>
      <c r="K35" s="292">
        <f>$C$4</f>
        <v>6</v>
      </c>
      <c r="L35" s="293"/>
      <c r="M35" s="294"/>
      <c r="N35" s="292">
        <f>$D$4</f>
        <v>10</v>
      </c>
      <c r="O35" s="293"/>
      <c r="P35" s="294"/>
      <c r="Q35" s="292">
        <f>$E$4</f>
        <v>18</v>
      </c>
      <c r="R35" s="293"/>
      <c r="S35" s="294"/>
      <c r="T35" s="292" t="str">
        <f>$F$4</f>
        <v>6 FFF</v>
      </c>
      <c r="U35" s="293"/>
      <c r="V35" s="294"/>
      <c r="W35" s="292" t="str">
        <f>$G$4</f>
        <v>10 FFF</v>
      </c>
      <c r="X35" s="295"/>
      <c r="Y35" s="296"/>
      <c r="Z35" s="297" t="s">
        <v>16</v>
      </c>
      <c r="AA35" s="298"/>
      <c r="AB35" s="257"/>
      <c r="AC35" s="225"/>
      <c r="AG35" s="299"/>
      <c r="AH35" s="299"/>
      <c r="AI35" s="299"/>
      <c r="AJ35" s="299"/>
      <c r="AK35" s="299"/>
      <c r="AL35" s="299"/>
      <c r="AP35" s="222"/>
      <c r="AQ35" s="211"/>
      <c r="AR35" s="266"/>
      <c r="AS35" s="222"/>
      <c r="AT35" s="187"/>
      <c r="AU35" s="187"/>
      <c r="AV35" s="187"/>
      <c r="AW35" s="187"/>
      <c r="AX35" s="187"/>
      <c r="AY35" s="300"/>
      <c r="AZ35" s="300"/>
    </row>
    <row r="36" spans="1:52" s="212" customFormat="1" ht="19.5" customHeight="1" x14ac:dyDescent="0.25">
      <c r="A36" s="301" t="s">
        <v>50</v>
      </c>
      <c r="B36" s="301" t="s">
        <v>15</v>
      </c>
      <c r="C36" s="302" t="s">
        <v>25</v>
      </c>
      <c r="D36" s="302" t="s">
        <v>158</v>
      </c>
      <c r="E36" s="301" t="s">
        <v>524</v>
      </c>
      <c r="F36" s="303"/>
      <c r="G36" s="304" t="s">
        <v>77</v>
      </c>
      <c r="H36" s="305"/>
      <c r="I36" s="306"/>
      <c r="J36" s="301" t="s">
        <v>86</v>
      </c>
      <c r="K36" s="301" t="s">
        <v>206</v>
      </c>
      <c r="L36" s="301" t="s">
        <v>16</v>
      </c>
      <c r="M36" s="301" t="s">
        <v>86</v>
      </c>
      <c r="N36" s="301" t="s">
        <v>206</v>
      </c>
      <c r="O36" s="301" t="s">
        <v>16</v>
      </c>
      <c r="P36" s="301" t="s">
        <v>86</v>
      </c>
      <c r="Q36" s="301" t="s">
        <v>206</v>
      </c>
      <c r="R36" s="301" t="s">
        <v>16</v>
      </c>
      <c r="S36" s="301" t="s">
        <v>86</v>
      </c>
      <c r="T36" s="301" t="s">
        <v>206</v>
      </c>
      <c r="U36" s="301" t="s">
        <v>16</v>
      </c>
      <c r="V36" s="301" t="s">
        <v>86</v>
      </c>
      <c r="W36" s="301" t="s">
        <v>206</v>
      </c>
      <c r="X36" s="301" t="s">
        <v>16</v>
      </c>
      <c r="Y36" s="307" t="s">
        <v>23</v>
      </c>
      <c r="Z36" s="308" t="s">
        <v>11</v>
      </c>
      <c r="AA36" s="309" t="s">
        <v>11</v>
      </c>
      <c r="AG36" s="310"/>
      <c r="AH36" s="310"/>
      <c r="AI36" s="310"/>
      <c r="AJ36" s="310"/>
      <c r="AK36" s="310"/>
      <c r="AL36" s="310"/>
      <c r="AP36" s="222"/>
      <c r="AQ36" s="211"/>
      <c r="AR36" s="242"/>
      <c r="AS36" s="222"/>
      <c r="AT36" s="225"/>
      <c r="AU36" s="225"/>
      <c r="AV36" s="311"/>
      <c r="AW36" s="225"/>
      <c r="AX36" s="225"/>
      <c r="AY36" s="300"/>
      <c r="AZ36" s="300"/>
    </row>
    <row r="37" spans="1:52" s="212" customFormat="1" ht="19.5" customHeight="1" thickBot="1" x14ac:dyDescent="0.3">
      <c r="A37" s="308"/>
      <c r="B37" s="308"/>
      <c r="C37" s="313"/>
      <c r="D37" s="313" t="s">
        <v>383</v>
      </c>
      <c r="E37" s="312" t="s">
        <v>528</v>
      </c>
      <c r="F37" s="312" t="s">
        <v>1</v>
      </c>
      <c r="G37" s="312" t="s">
        <v>61</v>
      </c>
      <c r="H37" s="312" t="s">
        <v>3</v>
      </c>
      <c r="I37" s="312" t="s">
        <v>22</v>
      </c>
      <c r="J37" s="314" t="s">
        <v>208</v>
      </c>
      <c r="K37" s="314" t="s">
        <v>207</v>
      </c>
      <c r="L37" s="315" t="s">
        <v>174</v>
      </c>
      <c r="M37" s="314" t="s">
        <v>208</v>
      </c>
      <c r="N37" s="314" t="s">
        <v>207</v>
      </c>
      <c r="O37" s="315" t="s">
        <v>174</v>
      </c>
      <c r="P37" s="314" t="s">
        <v>208</v>
      </c>
      <c r="Q37" s="314" t="s">
        <v>207</v>
      </c>
      <c r="R37" s="315" t="s">
        <v>174</v>
      </c>
      <c r="S37" s="314" t="s">
        <v>208</v>
      </c>
      <c r="T37" s="314" t="s">
        <v>207</v>
      </c>
      <c r="U37" s="315" t="s">
        <v>174</v>
      </c>
      <c r="V37" s="314" t="s">
        <v>208</v>
      </c>
      <c r="W37" s="314" t="s">
        <v>207</v>
      </c>
      <c r="X37" s="315" t="s">
        <v>174</v>
      </c>
      <c r="Y37" s="316" t="s">
        <v>173</v>
      </c>
      <c r="Z37" s="179" t="s">
        <v>173</v>
      </c>
      <c r="AA37" s="309" t="s">
        <v>166</v>
      </c>
      <c r="AG37" s="310"/>
      <c r="AH37" s="310"/>
      <c r="AI37" s="310"/>
      <c r="AJ37" s="310"/>
      <c r="AK37" s="310"/>
      <c r="AL37" s="310"/>
      <c r="AP37" s="222"/>
      <c r="AQ37" s="211"/>
      <c r="AR37" s="222"/>
      <c r="AS37" s="222"/>
      <c r="AT37" s="225"/>
      <c r="AU37" s="225"/>
      <c r="AV37" s="225"/>
      <c r="AW37" s="225"/>
      <c r="AX37" s="225"/>
      <c r="AY37" s="300"/>
      <c r="AZ37" s="300"/>
    </row>
    <row r="38" spans="1:52" s="212" customFormat="1" ht="19.5" hidden="1" customHeight="1" thickBot="1" x14ac:dyDescent="0.3">
      <c r="A38" s="694"/>
      <c r="B38" s="694"/>
      <c r="C38" s="695"/>
      <c r="D38" s="695"/>
      <c r="E38" s="694"/>
      <c r="F38" s="694"/>
      <c r="G38" s="694"/>
      <c r="H38" s="694"/>
      <c r="I38" s="694"/>
      <c r="J38" s="97"/>
      <c r="K38" s="97"/>
      <c r="L38" s="58"/>
      <c r="M38" s="97"/>
      <c r="N38" s="97"/>
      <c r="O38" s="58"/>
      <c r="P38" s="97"/>
      <c r="Q38" s="97"/>
      <c r="R38" s="58"/>
      <c r="S38" s="97"/>
      <c r="T38" s="97"/>
      <c r="U38" s="58"/>
      <c r="V38" s="97"/>
      <c r="W38" s="97"/>
      <c r="X38" s="90"/>
      <c r="Y38" s="319"/>
      <c r="Z38" s="320"/>
      <c r="AA38" s="321"/>
      <c r="AG38" s="310"/>
      <c r="AH38" s="310"/>
      <c r="AI38" s="310"/>
      <c r="AJ38" s="310"/>
      <c r="AK38" s="310"/>
      <c r="AL38" s="310"/>
      <c r="AP38" s="222"/>
      <c r="AQ38" s="211"/>
      <c r="AR38" s="222"/>
      <c r="AS38" s="222"/>
      <c r="AT38" s="225"/>
      <c r="AU38" s="225"/>
      <c r="AV38" s="225"/>
      <c r="AW38" s="225"/>
      <c r="AX38" s="225"/>
      <c r="AY38" s="300"/>
      <c r="AZ38" s="300"/>
    </row>
    <row r="39" spans="1:52" s="212" customFormat="1" ht="30" customHeight="1" x14ac:dyDescent="0.25">
      <c r="A39" s="322"/>
      <c r="B39" s="322"/>
      <c r="C39" s="323" t="s">
        <v>569</v>
      </c>
      <c r="D39" s="1834">
        <v>6</v>
      </c>
      <c r="E39" s="1834">
        <v>1</v>
      </c>
      <c r="F39" s="1834">
        <v>250</v>
      </c>
      <c r="G39" s="1834">
        <v>0</v>
      </c>
      <c r="H39" s="1834">
        <v>0</v>
      </c>
      <c r="I39" s="1835">
        <v>0</v>
      </c>
      <c r="J39" s="91">
        <f>IF($F39=0,0,1+($F39-$C$21)/$C$22)+$G39/$C$23+$H39/$C$24+$I39/$C$25</f>
        <v>7.4545454545454541</v>
      </c>
      <c r="K39" s="97">
        <f t="shared" ref="K39:K91" si="0">10^(-J39)</f>
        <v>3.5111917342151263E-8</v>
      </c>
      <c r="L39" s="91">
        <f>($C$7*$C$14*$C$8*$E39/$D39^2*K39*10^6)</f>
        <v>7.8026482982558355E-3</v>
      </c>
      <c r="M39" s="91">
        <f>IF($F39=0,0,1+($F39-$D$21)/$D$22)+$G39/$D$23+$H39/$D$24+$I39/$D$25</f>
        <v>6.6486486486486482</v>
      </c>
      <c r="N39" s="97">
        <f t="shared" ref="N39:N91" si="1">10^(-M39)</f>
        <v>2.2456979955397711E-7</v>
      </c>
      <c r="O39" s="91">
        <f>($C$7*$D$14*$D$8*$E39/$D39^2*N39*10^6)</f>
        <v>4.99043999008838E-2</v>
      </c>
      <c r="P39" s="91">
        <f>IF($F39=0,0,1+($F39-$E$21)/$E$22)+$G39/$E$23+$H39/$E$24+$I39/$E$25</f>
        <v>5.7674418604651159</v>
      </c>
      <c r="Q39" s="97">
        <f t="shared" ref="Q39:Q91" si="2">10^(-P39)</f>
        <v>1.7082763938087111E-6</v>
      </c>
      <c r="R39" s="91">
        <f>($C$7*$E$14*$E$8*$E39/$D39^2*Q39*10^6)</f>
        <v>0.37961697640193576</v>
      </c>
      <c r="S39" s="91">
        <f>IF($F39=0,0,1+($F39-$F$21)/$F$22)+$G39/$F$23+$H39/$F$24+$I39/$F$25</f>
        <v>9.1481481481481488</v>
      </c>
      <c r="T39" s="97">
        <f t="shared" ref="T39:T91" si="3">10^(-S39)</f>
        <v>7.1097094323124171E-10</v>
      </c>
      <c r="U39" s="91">
        <f>($C$7*$F$14*$F$8*$E39/$D39^2*T39*10^6)</f>
        <v>1.5799354294027593E-4</v>
      </c>
      <c r="V39" s="91">
        <f>IF($F39=0,0,1+($F39-$G$21)/$G$22)+$G39/$G$23+$H39/$G$24+$I39/$G$25</f>
        <v>6.9444444444444446</v>
      </c>
      <c r="W39" s="97">
        <f t="shared" ref="W39:W91" si="4">10^(-V39)</f>
        <v>1.136463666385722E-7</v>
      </c>
      <c r="X39" s="76">
        <f>($C$7*$G$14*$G$8*$E39/$D39^2*W39*10^6)</f>
        <v>2.5254748141904933E-2</v>
      </c>
      <c r="Y39" s="654">
        <f t="shared" ref="Y39:Y49" si="5">SUM(L39,O39,R39,U39,X39)</f>
        <v>0.46273676628592059</v>
      </c>
      <c r="Z39" s="325"/>
      <c r="AA39" s="326"/>
      <c r="AG39" s="328"/>
      <c r="AI39" s="328"/>
      <c r="AJ39" s="328"/>
      <c r="AK39" s="328"/>
      <c r="AL39" s="328"/>
      <c r="AP39" s="222"/>
      <c r="AQ39" s="211"/>
      <c r="AR39" s="222"/>
      <c r="AS39" s="222"/>
      <c r="AT39" s="225"/>
      <c r="AU39" s="225"/>
      <c r="AV39" s="225"/>
      <c r="AW39" s="225"/>
      <c r="AX39" s="225"/>
      <c r="AY39" s="300"/>
      <c r="AZ39" s="300"/>
    </row>
    <row r="40" spans="1:52" s="212" customFormat="1" ht="30" customHeight="1" thickBot="1" x14ac:dyDescent="0.3">
      <c r="A40" s="329" t="str">
        <f>Samenvatting!A13</f>
        <v>B1</v>
      </c>
      <c r="B40" s="330" t="str">
        <f>Samenvatting!B13</f>
        <v>bedieningsruimte Linac 1</v>
      </c>
      <c r="C40" s="331" t="s">
        <v>568</v>
      </c>
      <c r="D40" s="1836">
        <v>5</v>
      </c>
      <c r="E40" s="89"/>
      <c r="F40" s="1834">
        <v>250</v>
      </c>
      <c r="G40" s="1834">
        <v>0</v>
      </c>
      <c r="H40" s="1834">
        <v>0</v>
      </c>
      <c r="I40" s="1835">
        <v>0</v>
      </c>
      <c r="J40" s="91">
        <f>$F40/$C$27+$G40/$C$28+$H40/$C$29+$I40/$C$30</f>
        <v>7.3529411764705879</v>
      </c>
      <c r="K40" s="97">
        <f t="shared" si="0"/>
        <v>4.4366873309786093E-8</v>
      </c>
      <c r="L40" s="91">
        <f>($C$7*$C$15*$C$8*($C$9+$C$10*$C$11)/$D40^2*K40*10^6)</f>
        <v>1.0648049594348663E-3</v>
      </c>
      <c r="M40" s="91">
        <f>$F40/$D$27+$G40/$D$28+$H40/$D$29+$I40/$D$30</f>
        <v>6.5789473684210522</v>
      </c>
      <c r="N40" s="97">
        <f t="shared" si="1"/>
        <v>2.636650898730358E-7</v>
      </c>
      <c r="O40" s="91">
        <f>($C$7*$C$15*$D$8*($D$9+$D$10*$D$11)/$D40^2*N40*10^6)</f>
        <v>6.3279621569528599E-3</v>
      </c>
      <c r="P40" s="91">
        <f>$F40/$E$27+$G40/$E$28+$H40/$E$29+$I40/$E$30</f>
        <v>5.6818181818181817</v>
      </c>
      <c r="Q40" s="97">
        <f t="shared" si="2"/>
        <v>2.0805675382171676E-6</v>
      </c>
      <c r="R40" s="91">
        <f>($C$7*$C$15*$E$8*($E$9+$E$10*$E$11)/$D40^2*Q40*10^6)</f>
        <v>4.9933620917212027E-2</v>
      </c>
      <c r="S40" s="91">
        <f>$F40/$F$27+$G40/$F$28+$H40/$F$29+$I40/$F$30</f>
        <v>8.1967213114754092</v>
      </c>
      <c r="T40" s="97">
        <f t="shared" si="3"/>
        <v>6.3573875711648393E-9</v>
      </c>
      <c r="U40" s="91">
        <f>($C$7*$C$15*$F$8*($F$9+$F$10*$F$11)/$D40^2*T40*10^6)</f>
        <v>1.5257730170795616E-4</v>
      </c>
      <c r="V40" s="91">
        <f>$F40/$G$27+$G40/$G$28+$H40/$G$29+$I40/$G$30</f>
        <v>7.0224719101123592</v>
      </c>
      <c r="W40" s="97">
        <f t="shared" si="4"/>
        <v>9.4957241494880226E-8</v>
      </c>
      <c r="X40" s="76">
        <f>($C$7*$C$15*$G$8*($G$9+$G$10*$G$11)/$D40^2*W40*10^6)</f>
        <v>2.278973795877126E-3</v>
      </c>
      <c r="Y40" s="655">
        <f t="shared" si="5"/>
        <v>5.9757939131184837E-2</v>
      </c>
      <c r="Z40" s="333">
        <f>SUM(Y38:Y41)</f>
        <v>0.52249470541710541</v>
      </c>
      <c r="AA40" s="334">
        <f>Z40*52/10^3</f>
        <v>2.7169724681689482E-2</v>
      </c>
      <c r="AG40" s="328"/>
      <c r="AH40" s="328"/>
      <c r="AI40" s="328"/>
      <c r="AJ40" s="328"/>
      <c r="AK40" s="328"/>
      <c r="AL40" s="328"/>
      <c r="AP40" s="222"/>
      <c r="AQ40" s="211"/>
      <c r="AR40" s="222"/>
      <c r="AS40" s="222"/>
      <c r="AT40" s="225"/>
      <c r="AU40" s="225"/>
      <c r="AV40" s="225"/>
      <c r="AW40" s="225"/>
      <c r="AX40" s="225"/>
      <c r="AY40" s="300"/>
      <c r="AZ40" s="300"/>
    </row>
    <row r="41" spans="1:52" s="212" customFormat="1" ht="30" hidden="1" customHeight="1" thickBot="1" x14ac:dyDescent="0.3">
      <c r="A41" s="317"/>
      <c r="B41" s="317"/>
      <c r="C41" s="318"/>
      <c r="D41" s="1838"/>
      <c r="E41" s="1839"/>
      <c r="F41" s="1839"/>
      <c r="G41" s="1839"/>
      <c r="H41" s="1839"/>
      <c r="I41" s="1839"/>
      <c r="J41" s="91"/>
      <c r="K41" s="97"/>
      <c r="L41" s="91"/>
      <c r="M41" s="91"/>
      <c r="N41" s="97"/>
      <c r="O41" s="91"/>
      <c r="P41" s="91"/>
      <c r="Q41" s="97"/>
      <c r="R41" s="91"/>
      <c r="S41" s="91"/>
      <c r="T41" s="97"/>
      <c r="U41" s="91"/>
      <c r="V41" s="91"/>
      <c r="W41" s="97"/>
      <c r="X41" s="76"/>
      <c r="Y41" s="335"/>
      <c r="Z41" s="336"/>
      <c r="AA41" s="309"/>
      <c r="AG41" s="328"/>
      <c r="AH41" s="328"/>
      <c r="AI41" s="328"/>
      <c r="AJ41" s="328"/>
      <c r="AK41" s="328"/>
      <c r="AL41" s="328"/>
      <c r="AP41" s="222"/>
      <c r="AQ41" s="211"/>
      <c r="AR41" s="222"/>
      <c r="AS41" s="222"/>
      <c r="AT41" s="225"/>
      <c r="AU41" s="225"/>
      <c r="AV41" s="225"/>
      <c r="AW41" s="225"/>
      <c r="AX41" s="225"/>
      <c r="AY41" s="300"/>
      <c r="AZ41" s="300"/>
    </row>
    <row r="42" spans="1:52" s="212" customFormat="1" ht="30" customHeight="1" x14ac:dyDescent="0.25">
      <c r="A42" s="322"/>
      <c r="B42" s="322"/>
      <c r="C42" s="323" t="s">
        <v>569</v>
      </c>
      <c r="D42" s="1840">
        <v>6</v>
      </c>
      <c r="E42" s="1840">
        <v>1</v>
      </c>
      <c r="F42" s="1834">
        <v>250</v>
      </c>
      <c r="G42" s="1834">
        <v>0</v>
      </c>
      <c r="H42" s="1834">
        <v>0</v>
      </c>
      <c r="I42" s="1835">
        <v>0</v>
      </c>
      <c r="J42" s="91">
        <f>IF($F42=0,0,1+($F42-$C$21)/$C$22)+$G42/$C$23+$H42/$C$24+$I42/$C$25</f>
        <v>7.4545454545454541</v>
      </c>
      <c r="K42" s="97">
        <f t="shared" si="0"/>
        <v>3.5111917342151263E-8</v>
      </c>
      <c r="L42" s="91">
        <f>($C$7*$C$14*$C$8*$E42/$D42^2*K42*10^6)</f>
        <v>7.8026482982558355E-3</v>
      </c>
      <c r="M42" s="91">
        <f>IF($F42=0,0,1+($F42-$D$21)/$D$22)+$G42/$D$23+$H42/$D$24+$I42/$D$25</f>
        <v>6.6486486486486482</v>
      </c>
      <c r="N42" s="97">
        <f t="shared" si="1"/>
        <v>2.2456979955397711E-7</v>
      </c>
      <c r="O42" s="91">
        <f>($C$7*$D$14*$D$8*$E42/$D42^2*N42*10^6)</f>
        <v>4.99043999008838E-2</v>
      </c>
      <c r="P42" s="91">
        <f>IF($F42=0,0,1+($F42-$E$21)/$E$22)+$G42/$E$23+$H42/$E$24+$I42/$E$25</f>
        <v>5.7674418604651159</v>
      </c>
      <c r="Q42" s="97">
        <f t="shared" si="2"/>
        <v>1.7082763938087111E-6</v>
      </c>
      <c r="R42" s="91">
        <f>($C$7*$E$14*$E$8*$E42/$D42^2*Q42*10^6)</f>
        <v>0.37961697640193576</v>
      </c>
      <c r="S42" s="91">
        <f>IF($F42=0,0,1+($F42-$F$21)/$F$22)+$G42/$F$23+$H42/$F$24+$I42/$F$25</f>
        <v>9.1481481481481488</v>
      </c>
      <c r="T42" s="97">
        <f t="shared" si="3"/>
        <v>7.1097094323124171E-10</v>
      </c>
      <c r="U42" s="91">
        <f>($C$7*$F$14*$F$8*$E42/$D42^2*T42*10^6)</f>
        <v>1.5799354294027593E-4</v>
      </c>
      <c r="V42" s="91">
        <f>IF($F42=0,0,1+($F42-$G$21)/$G$22)+$G42/$G$23+$H42/$G$24+$I42/$G$25</f>
        <v>6.9444444444444446</v>
      </c>
      <c r="W42" s="97">
        <f t="shared" si="4"/>
        <v>1.136463666385722E-7</v>
      </c>
      <c r="X42" s="76">
        <f>($C$7*$G$14*$G$8*$E42/$D42^2*W42*10^6)</f>
        <v>2.5254748141904933E-2</v>
      </c>
      <c r="Y42" s="324">
        <f t="shared" si="5"/>
        <v>0.46273676628592059</v>
      </c>
      <c r="Z42" s="325"/>
      <c r="AA42" s="326"/>
      <c r="AG42" s="328"/>
      <c r="AI42" s="328"/>
      <c r="AJ42" s="328"/>
      <c r="AK42" s="328"/>
      <c r="AL42" s="328"/>
      <c r="AP42" s="222"/>
      <c r="AQ42" s="211"/>
      <c r="AR42" s="222"/>
      <c r="AS42" s="222"/>
      <c r="AT42" s="225"/>
      <c r="AU42" s="225"/>
      <c r="AV42" s="225"/>
      <c r="AW42" s="225"/>
      <c r="AX42" s="225"/>
      <c r="AY42" s="300"/>
      <c r="AZ42" s="300"/>
    </row>
    <row r="43" spans="1:52" s="212" customFormat="1" ht="30" customHeight="1" thickBot="1" x14ac:dyDescent="0.3">
      <c r="A43" s="337" t="str">
        <f>Samenvatting!A25</f>
        <v>B2</v>
      </c>
      <c r="B43" s="338" t="str">
        <f>Samenvatting!B25</f>
        <v>bedieningsruimte Linac 2</v>
      </c>
      <c r="C43" s="331" t="s">
        <v>568</v>
      </c>
      <c r="D43" s="1836">
        <v>5</v>
      </c>
      <c r="E43" s="89"/>
      <c r="F43" s="1834">
        <v>250</v>
      </c>
      <c r="G43" s="1834">
        <v>0</v>
      </c>
      <c r="H43" s="1834">
        <v>0</v>
      </c>
      <c r="I43" s="1835">
        <v>0</v>
      </c>
      <c r="J43" s="91">
        <f>$F43/$C$27+$G43/$C$28+$H43/$C$29+$I43/$C$30</f>
        <v>7.3529411764705879</v>
      </c>
      <c r="K43" s="97">
        <f t="shared" si="0"/>
        <v>4.4366873309786093E-8</v>
      </c>
      <c r="L43" s="91">
        <f>($C$7*$C$15*$C$8*($C$9+$C$10*$C$11)/$D43^2*K43*10^6)</f>
        <v>1.0648049594348663E-3</v>
      </c>
      <c r="M43" s="91">
        <f>$F43/$D$27+$G43/$D$28+$H43/$D$29+$I43/$D$30</f>
        <v>6.5789473684210522</v>
      </c>
      <c r="N43" s="97">
        <f t="shared" si="1"/>
        <v>2.636650898730358E-7</v>
      </c>
      <c r="O43" s="91">
        <f>($C$7*$C$15*$D$8*($D$9+$D$10*$D$11)/$D43^2*N43*10^6)</f>
        <v>6.3279621569528599E-3</v>
      </c>
      <c r="P43" s="91">
        <f>$F43/$E$27+$G43/$E$28+$H43/$E$29+$I43/$E$30</f>
        <v>5.6818181818181817</v>
      </c>
      <c r="Q43" s="97">
        <f t="shared" si="2"/>
        <v>2.0805675382171676E-6</v>
      </c>
      <c r="R43" s="91">
        <f>($C$7*$C$15*$E$8*($E$9+$E$10*$E$11)/$D43^2*Q43*10^6)</f>
        <v>4.9933620917212027E-2</v>
      </c>
      <c r="S43" s="91">
        <f>$F43/$F$27+$G43/$F$28+$H43/$F$29+$I43/$F$30</f>
        <v>8.1967213114754092</v>
      </c>
      <c r="T43" s="97">
        <f t="shared" si="3"/>
        <v>6.3573875711648393E-9</v>
      </c>
      <c r="U43" s="91">
        <f>($C$7*$C$15*$F$8*($F$9+$F$10*$F$11)/$D43^2*T43*10^6)</f>
        <v>1.5257730170795616E-4</v>
      </c>
      <c r="V43" s="91">
        <f>$F43/$G$27+$G43/$G$28+$H43/$G$29+$I43/$G$30</f>
        <v>7.0224719101123592</v>
      </c>
      <c r="W43" s="97">
        <f t="shared" si="4"/>
        <v>9.4957241494880226E-8</v>
      </c>
      <c r="X43" s="76">
        <f>($C$7*$C$15*$G$8*($G$9+$G$10*$G$11)/$D43^2*W43*10^6)</f>
        <v>2.278973795877126E-3</v>
      </c>
      <c r="Y43" s="339">
        <f t="shared" si="5"/>
        <v>5.9757939131184837E-2</v>
      </c>
      <c r="Z43" s="333">
        <f>SUM(Y41:Y44)</f>
        <v>0.52249470541710541</v>
      </c>
      <c r="AA43" s="334">
        <f>Z43*52/10^3</f>
        <v>2.7169724681689482E-2</v>
      </c>
      <c r="AG43" s="328"/>
      <c r="AH43" s="328"/>
      <c r="AI43" s="328"/>
      <c r="AJ43" s="328"/>
      <c r="AK43" s="328"/>
      <c r="AL43" s="328"/>
      <c r="AP43" s="222"/>
      <c r="AQ43" s="211"/>
      <c r="AR43" s="222"/>
      <c r="AS43" s="222"/>
      <c r="AT43" s="225"/>
      <c r="AU43" s="225"/>
      <c r="AV43" s="225"/>
      <c r="AW43" s="225"/>
      <c r="AX43" s="225"/>
      <c r="AY43" s="300"/>
      <c r="AZ43" s="300"/>
    </row>
    <row r="44" spans="1:52" s="212" customFormat="1" ht="30" hidden="1" customHeight="1" thickBot="1" x14ac:dyDescent="0.3">
      <c r="A44" s="317"/>
      <c r="B44" s="317"/>
      <c r="C44" s="341"/>
      <c r="D44" s="1841"/>
      <c r="E44" s="1842"/>
      <c r="F44" s="1842"/>
      <c r="G44" s="1842"/>
      <c r="H44" s="1842"/>
      <c r="I44" s="1842"/>
      <c r="J44" s="91"/>
      <c r="K44" s="97"/>
      <c r="L44" s="91"/>
      <c r="M44" s="91"/>
      <c r="N44" s="97"/>
      <c r="O44" s="91"/>
      <c r="P44" s="91"/>
      <c r="Q44" s="97"/>
      <c r="R44" s="91"/>
      <c r="S44" s="91"/>
      <c r="T44" s="97"/>
      <c r="U44" s="91"/>
      <c r="V44" s="91"/>
      <c r="W44" s="97"/>
      <c r="X44" s="76"/>
      <c r="Y44" s="316"/>
      <c r="Z44" s="344"/>
      <c r="AA44" s="345"/>
      <c r="AG44" s="328"/>
      <c r="AH44" s="328"/>
      <c r="AI44" s="328"/>
      <c r="AJ44" s="328"/>
      <c r="AK44" s="328"/>
      <c r="AL44" s="328"/>
      <c r="AP44" s="222"/>
      <c r="AQ44" s="211"/>
      <c r="AR44" s="222"/>
      <c r="AS44" s="222"/>
      <c r="AT44" s="225"/>
      <c r="AU44" s="225"/>
      <c r="AV44" s="225"/>
      <c r="AW44" s="225"/>
      <c r="AX44" s="225"/>
      <c r="AY44" s="300"/>
      <c r="AZ44" s="300"/>
    </row>
    <row r="45" spans="1:52" s="212" customFormat="1" ht="30" customHeight="1" x14ac:dyDescent="0.25">
      <c r="A45" s="322"/>
      <c r="B45" s="322"/>
      <c r="C45" s="323" t="s">
        <v>569</v>
      </c>
      <c r="D45" s="1840">
        <v>6</v>
      </c>
      <c r="E45" s="1840">
        <v>1</v>
      </c>
      <c r="F45" s="1834">
        <v>250</v>
      </c>
      <c r="G45" s="1834">
        <v>0</v>
      </c>
      <c r="H45" s="1834">
        <v>0</v>
      </c>
      <c r="I45" s="1835">
        <v>0</v>
      </c>
      <c r="J45" s="91">
        <f>IF($F45=0,0,1+($F45-$C$21)/$C$22)+$G45/$C$23+$H45/$C$24+$I45/$C$25</f>
        <v>7.4545454545454541</v>
      </c>
      <c r="K45" s="97">
        <f t="shared" si="0"/>
        <v>3.5111917342151263E-8</v>
      </c>
      <c r="L45" s="91">
        <f>($C$7*$C$14*$C$8*$E45/$D45^2*K45*10^6)</f>
        <v>7.8026482982558355E-3</v>
      </c>
      <c r="M45" s="91">
        <f>IF($F45=0,0,1+($F45-$D$21)/$D$22)+$G45/$D$23+$H45/$D$24+$I45/$D$25</f>
        <v>6.6486486486486482</v>
      </c>
      <c r="N45" s="97">
        <f t="shared" si="1"/>
        <v>2.2456979955397711E-7</v>
      </c>
      <c r="O45" s="91">
        <f>($C$7*$E$14*$D$8*$E45/$D45^2*N45*10^6)</f>
        <v>4.99043999008838E-2</v>
      </c>
      <c r="P45" s="91">
        <f>IF($F45=0,0,1+($F45-$E$21)/$E$22)+$G45/$E$23+$H45/$E$24+$I45/$E$25</f>
        <v>5.7674418604651159</v>
      </c>
      <c r="Q45" s="97">
        <f t="shared" si="2"/>
        <v>1.7082763938087111E-6</v>
      </c>
      <c r="R45" s="91">
        <f>($C$7*$E$14*$E$8*$E45/$D45^2*Q45*10^6)</f>
        <v>0.37961697640193576</v>
      </c>
      <c r="S45" s="91">
        <f>IF($F45=0,0,1+($F45-$F$21)/$F$22)+$G45/$F$23+$H45/$F$24+$I45/$F$25</f>
        <v>9.1481481481481488</v>
      </c>
      <c r="T45" s="97">
        <f t="shared" si="3"/>
        <v>7.1097094323124171E-10</v>
      </c>
      <c r="U45" s="91">
        <f>($C$7*$F$14*$F$8*$E45/$D45^2*T45*10^6)</f>
        <v>1.5799354294027593E-4</v>
      </c>
      <c r="V45" s="91">
        <f>IF($F45=0,0,1+($F45-$G$21)/$G$22)+$G45/$G$23+$H45/$G$24+$I45/$G$25</f>
        <v>6.9444444444444446</v>
      </c>
      <c r="W45" s="97">
        <f t="shared" si="4"/>
        <v>1.136463666385722E-7</v>
      </c>
      <c r="X45" s="76">
        <f>($C$7*$G$14*$G$8*$E45/$D45^2*W45*10^6)</f>
        <v>2.5254748141904933E-2</v>
      </c>
      <c r="Y45" s="324">
        <f t="shared" si="5"/>
        <v>0.46273676628592059</v>
      </c>
      <c r="Z45" s="325"/>
      <c r="AA45" s="326"/>
      <c r="AG45" s="328"/>
      <c r="AI45" s="328"/>
      <c r="AJ45" s="328"/>
      <c r="AK45" s="328"/>
      <c r="AL45" s="328"/>
      <c r="AP45" s="222"/>
      <c r="AQ45" s="211"/>
      <c r="AR45" s="222"/>
      <c r="AS45" s="222"/>
      <c r="AT45" s="225"/>
      <c r="AU45" s="225"/>
      <c r="AV45" s="225"/>
      <c r="AW45" s="225"/>
      <c r="AX45" s="225"/>
      <c r="AY45" s="300"/>
      <c r="AZ45" s="300"/>
    </row>
    <row r="46" spans="1:52" s="212" customFormat="1" ht="30" customHeight="1" thickBot="1" x14ac:dyDescent="0.3">
      <c r="A46" s="343" t="str">
        <f>Samenvatting!A37</f>
        <v>B3</v>
      </c>
      <c r="B46" s="338" t="str">
        <f>Samenvatting!B37</f>
        <v>bedieningsruimte Linac 3</v>
      </c>
      <c r="C46" s="331" t="s">
        <v>568</v>
      </c>
      <c r="D46" s="1836">
        <v>5</v>
      </c>
      <c r="E46" s="89"/>
      <c r="F46" s="1834">
        <v>250</v>
      </c>
      <c r="G46" s="1834">
        <v>0</v>
      </c>
      <c r="H46" s="1834">
        <v>0</v>
      </c>
      <c r="I46" s="1835">
        <v>0</v>
      </c>
      <c r="J46" s="91">
        <f>$F46/$C$27+$G46/$C$28+$H46/$C$29+$I46/$C$30</f>
        <v>7.3529411764705879</v>
      </c>
      <c r="K46" s="97">
        <f t="shared" si="0"/>
        <v>4.4366873309786093E-8</v>
      </c>
      <c r="L46" s="91">
        <f>($C$7*$C$15*$C$8*($C$9+$C$10*$C$11)/$D46^2*K46*10^6)</f>
        <v>1.0648049594348663E-3</v>
      </c>
      <c r="M46" s="91">
        <f>$F46/$D$27+$G46/$D$28+$H46/$D$29+$I46/$D$30</f>
        <v>6.5789473684210522</v>
      </c>
      <c r="N46" s="97">
        <f t="shared" si="1"/>
        <v>2.636650898730358E-7</v>
      </c>
      <c r="O46" s="91">
        <f>($C$7*$C$15*$D$8*($D$9+$D$10*$D$11)/$D46^2*N46*10^6)</f>
        <v>6.3279621569528599E-3</v>
      </c>
      <c r="P46" s="91">
        <f>$F46/$E$27+$G46/$E$28+$H46/$E$29+$I46/$E$30</f>
        <v>5.6818181818181817</v>
      </c>
      <c r="Q46" s="97">
        <f t="shared" si="2"/>
        <v>2.0805675382171676E-6</v>
      </c>
      <c r="R46" s="91">
        <f>($C$7*$C$15*$E$8*($E$9+$E$10*$E$11)/$D46^2*Q46*10^6)</f>
        <v>4.9933620917212027E-2</v>
      </c>
      <c r="S46" s="91">
        <f>$F46/$F$27+$G46/$F$28+$H46/$F$29+$I46/$F$30</f>
        <v>8.1967213114754092</v>
      </c>
      <c r="T46" s="97">
        <f t="shared" si="3"/>
        <v>6.3573875711648393E-9</v>
      </c>
      <c r="U46" s="91">
        <f>($C$7*$C$15*$F$8*($F$9+$F$10*$F$11)/$D46^2*T46*10^6)</f>
        <v>1.5257730170795616E-4</v>
      </c>
      <c r="V46" s="91">
        <f>$F46/$G$27+$G46/$G$28+$H46/$G$29+$I46/$G$30</f>
        <v>7.0224719101123592</v>
      </c>
      <c r="W46" s="97">
        <f t="shared" si="4"/>
        <v>9.4957241494880226E-8</v>
      </c>
      <c r="X46" s="76">
        <f>($C$7*$C$15*$G$8*($G$9+$G$10*$G$11)/$D46^2*W46*10^6)</f>
        <v>2.278973795877126E-3</v>
      </c>
      <c r="Y46" s="339">
        <f t="shared" si="5"/>
        <v>5.9757939131184837E-2</v>
      </c>
      <c r="Z46" s="333">
        <f>SUM(Y44:Y47)</f>
        <v>0.52249470541710541</v>
      </c>
      <c r="AA46" s="334">
        <f>Z46*52/10^3</f>
        <v>2.7169724681689482E-2</v>
      </c>
      <c r="AG46" s="328"/>
      <c r="AH46" s="328"/>
      <c r="AI46" s="328"/>
      <c r="AJ46" s="328"/>
      <c r="AK46" s="328"/>
      <c r="AL46" s="328"/>
      <c r="AP46" s="222"/>
      <c r="AQ46" s="211"/>
      <c r="AR46" s="222"/>
      <c r="AS46" s="222"/>
      <c r="AT46" s="225"/>
      <c r="AU46" s="225"/>
      <c r="AV46" s="225"/>
      <c r="AW46" s="225"/>
      <c r="AX46" s="225"/>
      <c r="AY46" s="300"/>
      <c r="AZ46" s="300"/>
    </row>
    <row r="47" spans="1:52" s="212" customFormat="1" ht="30" hidden="1" customHeight="1" thickBot="1" x14ac:dyDescent="0.3">
      <c r="A47" s="317"/>
      <c r="B47" s="317"/>
      <c r="C47" s="318"/>
      <c r="D47" s="1838"/>
      <c r="E47" s="1839"/>
      <c r="F47" s="1839"/>
      <c r="G47" s="1839"/>
      <c r="H47" s="1839"/>
      <c r="I47" s="1839"/>
      <c r="J47" s="91"/>
      <c r="K47" s="97"/>
      <c r="L47" s="91"/>
      <c r="M47" s="91"/>
      <c r="N47" s="97"/>
      <c r="O47" s="91"/>
      <c r="P47" s="91"/>
      <c r="Q47" s="97"/>
      <c r="R47" s="91"/>
      <c r="S47" s="91"/>
      <c r="T47" s="97"/>
      <c r="U47" s="91"/>
      <c r="V47" s="91"/>
      <c r="W47" s="97"/>
      <c r="X47" s="76"/>
      <c r="Y47" s="335"/>
      <c r="Z47" s="344"/>
      <c r="AA47" s="345"/>
      <c r="AG47" s="328"/>
      <c r="AH47" s="328"/>
      <c r="AI47" s="328"/>
      <c r="AJ47" s="328"/>
      <c r="AK47" s="328"/>
      <c r="AL47" s="328"/>
      <c r="AP47" s="222"/>
      <c r="AQ47" s="211"/>
      <c r="AR47" s="222"/>
      <c r="AS47" s="222"/>
      <c r="AT47" s="225"/>
      <c r="AU47" s="225"/>
      <c r="AV47" s="225"/>
      <c r="AW47" s="225"/>
      <c r="AX47" s="225"/>
      <c r="AY47" s="300"/>
      <c r="AZ47" s="300"/>
    </row>
    <row r="48" spans="1:52" s="212" customFormat="1" ht="30" customHeight="1" x14ac:dyDescent="0.25">
      <c r="A48" s="322"/>
      <c r="B48" s="322"/>
      <c r="C48" s="323" t="s">
        <v>569</v>
      </c>
      <c r="D48" s="1840">
        <v>6</v>
      </c>
      <c r="E48" s="1840">
        <v>1</v>
      </c>
      <c r="F48" s="1834">
        <v>250</v>
      </c>
      <c r="G48" s="1834">
        <v>0</v>
      </c>
      <c r="H48" s="1834">
        <v>0</v>
      </c>
      <c r="I48" s="1835">
        <v>0</v>
      </c>
      <c r="J48" s="91">
        <f>IF($F48=0,0,1+($F48-$C$21)/$C$22)+$G48/$C$23+$H48/$C$24+$I48/$C$25</f>
        <v>7.4545454545454541</v>
      </c>
      <c r="K48" s="97">
        <f t="shared" si="0"/>
        <v>3.5111917342151263E-8</v>
      </c>
      <c r="L48" s="91">
        <f>($C$7*$C$14*$C$8*$E48/$D48^2*K48*10^6)</f>
        <v>7.8026482982558355E-3</v>
      </c>
      <c r="M48" s="91">
        <f>IF($F48=0,0,1+($F48-$D$21)/$D$22)+$G48/$D$23+$H48/$D$24+$I48/$D$25</f>
        <v>6.6486486486486482</v>
      </c>
      <c r="N48" s="97">
        <f t="shared" si="1"/>
        <v>2.2456979955397711E-7</v>
      </c>
      <c r="O48" s="91">
        <f>($C$7*$D$14*$D$8*$E48/$D48^2*N48*10^6)</f>
        <v>4.99043999008838E-2</v>
      </c>
      <c r="P48" s="91">
        <f>IF($F48=0,0,1+($F48-$E$21)/$E$22)+$G48/$E$23+$H48/$E$24+$I48/$E$25</f>
        <v>5.7674418604651159</v>
      </c>
      <c r="Q48" s="97">
        <f t="shared" si="2"/>
        <v>1.7082763938087111E-6</v>
      </c>
      <c r="R48" s="91">
        <f>($C$7*$E$14*$E$8*$E48/$D48^2*Q48*10^6)</f>
        <v>0.37961697640193576</v>
      </c>
      <c r="S48" s="91">
        <f>IF($F48=0,0,1+($F48-$F$21)/$F$22)+$G48/$F$23+$H48/$F$24+$I48/$F$25</f>
        <v>9.1481481481481488</v>
      </c>
      <c r="T48" s="97">
        <f t="shared" si="3"/>
        <v>7.1097094323124171E-10</v>
      </c>
      <c r="U48" s="91">
        <f>($C$7*$F$14*$F$8*$E48/$D48^2*T48*10^6)</f>
        <v>1.5799354294027593E-4</v>
      </c>
      <c r="V48" s="91">
        <f>IF($F48=0,0,1+($F48-$G$21)/$G$22)+$G48/$G$23+$H48/$G$24+$I48/$G$25</f>
        <v>6.9444444444444446</v>
      </c>
      <c r="W48" s="97">
        <f t="shared" si="4"/>
        <v>1.136463666385722E-7</v>
      </c>
      <c r="X48" s="76">
        <f>($C$7*$G$14*$G$8*$E48/$D48^2*W48*10^6)</f>
        <v>2.5254748141904933E-2</v>
      </c>
      <c r="Y48" s="324">
        <f t="shared" si="5"/>
        <v>0.46273676628592059</v>
      </c>
      <c r="Z48" s="325"/>
      <c r="AA48" s="326"/>
      <c r="AG48" s="328"/>
      <c r="AI48" s="328"/>
      <c r="AJ48" s="328"/>
      <c r="AK48" s="328"/>
      <c r="AL48" s="328"/>
      <c r="AP48" s="222"/>
      <c r="AQ48" s="211"/>
      <c r="AR48" s="222"/>
      <c r="AS48" s="222"/>
      <c r="AT48" s="225"/>
      <c r="AU48" s="225"/>
      <c r="AV48" s="225"/>
      <c r="AW48" s="225"/>
      <c r="AX48" s="225"/>
      <c r="AY48" s="300"/>
      <c r="AZ48" s="300"/>
    </row>
    <row r="49" spans="1:52" s="212" customFormat="1" ht="30" customHeight="1" thickBot="1" x14ac:dyDescent="0.3">
      <c r="A49" s="343" t="str">
        <f>Samenvatting!A49</f>
        <v>B4</v>
      </c>
      <c r="B49" s="338" t="str">
        <f>Samenvatting!B49</f>
        <v>bedieningsruimte Linac 4</v>
      </c>
      <c r="C49" s="331" t="s">
        <v>568</v>
      </c>
      <c r="D49" s="1836">
        <v>5</v>
      </c>
      <c r="E49" s="89"/>
      <c r="F49" s="1834">
        <v>250</v>
      </c>
      <c r="G49" s="1834">
        <v>0</v>
      </c>
      <c r="H49" s="1834">
        <v>0</v>
      </c>
      <c r="I49" s="1835">
        <v>0</v>
      </c>
      <c r="J49" s="91">
        <f>$F49/$C$27+$G49/$C$28+$H49/$C$29+$I49/$C$30</f>
        <v>7.3529411764705879</v>
      </c>
      <c r="K49" s="97">
        <f t="shared" si="0"/>
        <v>4.4366873309786093E-8</v>
      </c>
      <c r="L49" s="91">
        <f>($C$7*$C$15*$C$8*($C$9+$C$10*$C$11)/$D49^2*K49*10^6)</f>
        <v>1.0648049594348663E-3</v>
      </c>
      <c r="M49" s="91">
        <f>$F49/$D$27+$G49/$D$28+$H49/$D$29+$I49/$D$30</f>
        <v>6.5789473684210522</v>
      </c>
      <c r="N49" s="97">
        <f t="shared" si="1"/>
        <v>2.636650898730358E-7</v>
      </c>
      <c r="O49" s="91">
        <f>($C$7*$C$15*$D$8*($D$9+$D$10*$D$11)/$D49^2*N49*10^6)</f>
        <v>6.3279621569528599E-3</v>
      </c>
      <c r="P49" s="91">
        <f>$F49/$E$27+$G49/$E$28+$H49/$E$29+$I49/$E$30</f>
        <v>5.6818181818181817</v>
      </c>
      <c r="Q49" s="97">
        <f t="shared" si="2"/>
        <v>2.0805675382171676E-6</v>
      </c>
      <c r="R49" s="91">
        <f>($C$7*$C$15*$E$8*($E$9+$E$10*$E$11)/$D49^2*Q49*10^6)</f>
        <v>4.9933620917212027E-2</v>
      </c>
      <c r="S49" s="91">
        <f>$F49/$F$27+$G49/$F$28+$H49/$F$29+$I49/$F$30</f>
        <v>8.1967213114754092</v>
      </c>
      <c r="T49" s="97">
        <f t="shared" si="3"/>
        <v>6.3573875711648393E-9</v>
      </c>
      <c r="U49" s="91">
        <f>($C$7*$C$15*$F$8*($F$9+$F$10*$F$11)/$D49^2*T49*10^6)</f>
        <v>1.5257730170795616E-4</v>
      </c>
      <c r="V49" s="91">
        <f>$F49/$G$27+$G49/$G$28+$H49/$G$29+$I49/$G$30</f>
        <v>7.0224719101123592</v>
      </c>
      <c r="W49" s="97">
        <f t="shared" si="4"/>
        <v>9.4957241494880226E-8</v>
      </c>
      <c r="X49" s="76">
        <f>($C$7*$C$15*$G$8*($G$9+$G$10*$G$11)/$D49^2*W49*10^6)</f>
        <v>2.278973795877126E-3</v>
      </c>
      <c r="Y49" s="339">
        <f t="shared" si="5"/>
        <v>5.9757939131184837E-2</v>
      </c>
      <c r="Z49" s="333">
        <f>SUM(Y47:Y50)</f>
        <v>0.52249470541710541</v>
      </c>
      <c r="AA49" s="334">
        <f>Z49*52/10^3</f>
        <v>2.7169724681689482E-2</v>
      </c>
      <c r="AG49" s="328"/>
      <c r="AH49" s="328"/>
      <c r="AI49" s="328"/>
      <c r="AJ49" s="328"/>
      <c r="AK49" s="328"/>
      <c r="AL49" s="328"/>
      <c r="AP49" s="222"/>
      <c r="AQ49" s="211"/>
      <c r="AR49" s="222"/>
      <c r="AS49" s="222"/>
      <c r="AT49" s="225"/>
      <c r="AU49" s="225"/>
      <c r="AV49" s="225"/>
      <c r="AW49" s="225"/>
      <c r="AX49" s="225"/>
      <c r="AY49" s="300"/>
      <c r="AZ49" s="300"/>
    </row>
    <row r="50" spans="1:52" s="212" customFormat="1" ht="30" hidden="1" customHeight="1" thickBot="1" x14ac:dyDescent="0.3">
      <c r="A50" s="317"/>
      <c r="B50" s="317"/>
      <c r="C50" s="318"/>
      <c r="D50" s="1838"/>
      <c r="E50" s="1839"/>
      <c r="F50" s="1839"/>
      <c r="G50" s="1839"/>
      <c r="H50" s="1839"/>
      <c r="I50" s="1839"/>
      <c r="J50" s="91"/>
      <c r="K50" s="97"/>
      <c r="L50" s="91"/>
      <c r="M50" s="91"/>
      <c r="N50" s="97"/>
      <c r="O50" s="91"/>
      <c r="P50" s="91"/>
      <c r="Q50" s="97"/>
      <c r="R50" s="91"/>
      <c r="S50" s="91"/>
      <c r="T50" s="97"/>
      <c r="U50" s="91"/>
      <c r="V50" s="91"/>
      <c r="W50" s="97"/>
      <c r="X50" s="76"/>
      <c r="Y50" s="316"/>
      <c r="Z50" s="344"/>
      <c r="AA50" s="345"/>
      <c r="AG50" s="328"/>
      <c r="AH50" s="328"/>
      <c r="AI50" s="328"/>
      <c r="AJ50" s="328"/>
      <c r="AK50" s="328"/>
      <c r="AL50" s="328"/>
      <c r="AP50" s="222"/>
      <c r="AQ50" s="211"/>
      <c r="AR50" s="222"/>
      <c r="AS50" s="222"/>
      <c r="AT50" s="225"/>
      <c r="AU50" s="225"/>
      <c r="AV50" s="225"/>
      <c r="AW50" s="225"/>
      <c r="AX50" s="225"/>
      <c r="AY50" s="300"/>
      <c r="AZ50" s="300"/>
    </row>
    <row r="51" spans="1:52" s="212" customFormat="1" ht="30" customHeight="1" x14ac:dyDescent="0.25">
      <c r="A51" s="322"/>
      <c r="B51" s="322"/>
      <c r="C51" s="323" t="s">
        <v>569</v>
      </c>
      <c r="D51" s="1840">
        <v>6</v>
      </c>
      <c r="E51" s="1840">
        <v>1</v>
      </c>
      <c r="F51" s="1834">
        <v>250</v>
      </c>
      <c r="G51" s="1834">
        <v>0</v>
      </c>
      <c r="H51" s="1834">
        <v>0</v>
      </c>
      <c r="I51" s="1835">
        <v>0</v>
      </c>
      <c r="J51" s="91">
        <f>IF($F51=0,0,1+($F51-$C$21)/$C$22)+$G51/$C$23+$H51/$C$24+$I51/$C$25</f>
        <v>7.4545454545454541</v>
      </c>
      <c r="K51" s="97">
        <f t="shared" si="0"/>
        <v>3.5111917342151263E-8</v>
      </c>
      <c r="L51" s="91">
        <f>($C$7*$C$14*$C$8*$E51/$D51^2*K51*10^6)</f>
        <v>7.8026482982558355E-3</v>
      </c>
      <c r="M51" s="91">
        <f>IF($F51=0,0,1+($F51-$D$21)/$D$22)+$G51/$D$23+$H51/$D$24+$I51/$D$25</f>
        <v>6.6486486486486482</v>
      </c>
      <c r="N51" s="97">
        <f t="shared" si="1"/>
        <v>2.2456979955397711E-7</v>
      </c>
      <c r="O51" s="91">
        <f>($C$7*$D$14*$D$8*$E51/$D51^2*N51*10^6)</f>
        <v>4.99043999008838E-2</v>
      </c>
      <c r="P51" s="91">
        <f>IF($F51=0,0,1+($F51-$E$21)/$E$22)+$G51/$E$23+$H51/$E$24+$I51/$E$25</f>
        <v>5.7674418604651159</v>
      </c>
      <c r="Q51" s="97">
        <f t="shared" si="2"/>
        <v>1.7082763938087111E-6</v>
      </c>
      <c r="R51" s="91">
        <f>($C$7*$E$14*$E$8*$E51/$D51^2*Q51*10^6)</f>
        <v>0.37961697640193576</v>
      </c>
      <c r="S51" s="91">
        <f>IF($F51=0,0,1+($F51-$F$21)/$F$22)+$G51/$F$23+$H51/$F$24+$I51/$F$25</f>
        <v>9.1481481481481488</v>
      </c>
      <c r="T51" s="97">
        <f t="shared" si="3"/>
        <v>7.1097094323124171E-10</v>
      </c>
      <c r="U51" s="91">
        <f>($C$7*$F$14*$F$8*$E51/$D51^2*T51*10^6)</f>
        <v>1.5799354294027593E-4</v>
      </c>
      <c r="V51" s="91">
        <f>IF($F51=0,0,1+($F51-$G$21)/$G$22)+$G51/$G$23+$H51/$G$24+$I51/$G$25</f>
        <v>6.9444444444444446</v>
      </c>
      <c r="W51" s="97">
        <f t="shared" si="4"/>
        <v>1.136463666385722E-7</v>
      </c>
      <c r="X51" s="76">
        <f>($C$7*$G$14*$G$8*$E51/$D51^2*W51*10^6)</f>
        <v>2.5254748141904933E-2</v>
      </c>
      <c r="Y51" s="324">
        <f>SUM(L51,O51,R51,U51,X51)</f>
        <v>0.46273676628592059</v>
      </c>
      <c r="Z51" s="325"/>
      <c r="AA51" s="326"/>
      <c r="AG51" s="328"/>
      <c r="AI51" s="328"/>
      <c r="AJ51" s="328"/>
      <c r="AK51" s="328"/>
      <c r="AL51" s="328"/>
      <c r="AP51" s="222"/>
      <c r="AQ51" s="211"/>
      <c r="AR51" s="222"/>
      <c r="AS51" s="222"/>
      <c r="AT51" s="225"/>
      <c r="AU51" s="225"/>
      <c r="AV51" s="225"/>
      <c r="AW51" s="225"/>
      <c r="AX51" s="225"/>
      <c r="AY51" s="300"/>
      <c r="AZ51" s="300"/>
    </row>
    <row r="52" spans="1:52" s="212" customFormat="1" ht="30" customHeight="1" thickBot="1" x14ac:dyDescent="0.3">
      <c r="A52" s="343" t="str">
        <f>Samenvatting!A61</f>
        <v>B5</v>
      </c>
      <c r="B52" s="346" t="str">
        <f>Samenvatting!B61</f>
        <v>bedieningsruimte Linac 5</v>
      </c>
      <c r="C52" s="331" t="s">
        <v>568</v>
      </c>
      <c r="D52" s="1843">
        <v>5</v>
      </c>
      <c r="E52" s="347"/>
      <c r="F52" s="1834">
        <v>250</v>
      </c>
      <c r="G52" s="1834">
        <v>0</v>
      </c>
      <c r="H52" s="1834">
        <v>0</v>
      </c>
      <c r="I52" s="1835">
        <v>0</v>
      </c>
      <c r="J52" s="91">
        <f>$F52/$C$27+$G52/$C$28+$H52/$C$29+$I52/$C$30</f>
        <v>7.3529411764705879</v>
      </c>
      <c r="K52" s="97">
        <f t="shared" si="0"/>
        <v>4.4366873309786093E-8</v>
      </c>
      <c r="L52" s="91">
        <f>($C$7*$C$15*$C$8*($C$9+$C$10*$C$11)/$D52^2*K52*10^6)</f>
        <v>1.0648049594348663E-3</v>
      </c>
      <c r="M52" s="91">
        <f>$F52/$D$27+$G52/$D$28+$H52/$D$29+$I52/$D$30</f>
        <v>6.5789473684210522</v>
      </c>
      <c r="N52" s="97">
        <f t="shared" si="1"/>
        <v>2.636650898730358E-7</v>
      </c>
      <c r="O52" s="91">
        <f>($C$7*$C$15*$D$8*($D$9+$D$10*$D$11)/$D52^2*N52*10^6)</f>
        <v>6.3279621569528599E-3</v>
      </c>
      <c r="P52" s="91">
        <f>$F52/$E$27+$G52/$E$28+$H52/$E$29+$I52/$E$30</f>
        <v>5.6818181818181817</v>
      </c>
      <c r="Q52" s="97">
        <f t="shared" si="2"/>
        <v>2.0805675382171676E-6</v>
      </c>
      <c r="R52" s="91">
        <f>($C$7*$C$15*$E$8*($E$9+$E$10*$E$11)/$D52^2*Q52*10^6)</f>
        <v>4.9933620917212027E-2</v>
      </c>
      <c r="S52" s="91">
        <f>$F52/$F$27+$G52/$F$28+$H52/$F$29+$I52/$F$30</f>
        <v>8.1967213114754092</v>
      </c>
      <c r="T52" s="97">
        <f t="shared" si="3"/>
        <v>6.3573875711648393E-9</v>
      </c>
      <c r="U52" s="91">
        <f>($C$7*$C$15*$F$8*($F$9+$F$10*$F$11)/$D52^2*T52*10^6)</f>
        <v>1.5257730170795616E-4</v>
      </c>
      <c r="V52" s="91">
        <f>$F52/$G$27+$G52/$G$28+$H52/$G$29+$I52/$G$30</f>
        <v>7.0224719101123592</v>
      </c>
      <c r="W52" s="97">
        <f t="shared" si="4"/>
        <v>9.4957241494880226E-8</v>
      </c>
      <c r="X52" s="76">
        <f>($C$7*$C$15*$G$8*($G$9+$G$10*$G$11)/$D52^2*W52*10^6)</f>
        <v>2.278973795877126E-3</v>
      </c>
      <c r="Y52" s="339">
        <f>SUM(L52,O52,R52,U52,X52)</f>
        <v>5.9757939131184837E-2</v>
      </c>
      <c r="Z52" s="333">
        <f>SUM(Y50:Y53)</f>
        <v>0.52249470541710541</v>
      </c>
      <c r="AA52" s="334">
        <f>Z52*52/10^3</f>
        <v>2.7169724681689482E-2</v>
      </c>
      <c r="AG52" s="328"/>
      <c r="AH52" s="328"/>
      <c r="AI52" s="328"/>
      <c r="AJ52" s="328"/>
      <c r="AK52" s="328"/>
      <c r="AL52" s="328"/>
      <c r="AP52" s="222"/>
      <c r="AQ52" s="211"/>
      <c r="AR52" s="222"/>
      <c r="AS52" s="222"/>
      <c r="AT52" s="225"/>
      <c r="AU52" s="225"/>
      <c r="AV52" s="225"/>
      <c r="AW52" s="225"/>
      <c r="AX52" s="225"/>
      <c r="AY52" s="300"/>
      <c r="AZ52" s="300"/>
    </row>
    <row r="53" spans="1:52" s="212" customFormat="1" ht="30" hidden="1" customHeight="1" thickBot="1" x14ac:dyDescent="0.3">
      <c r="A53" s="317"/>
      <c r="B53" s="317"/>
      <c r="C53" s="318"/>
      <c r="D53" s="1838"/>
      <c r="E53" s="1839"/>
      <c r="F53" s="1839"/>
      <c r="G53" s="1839"/>
      <c r="H53" s="1839"/>
      <c r="I53" s="1839"/>
      <c r="J53" s="91"/>
      <c r="K53" s="97"/>
      <c r="L53" s="91"/>
      <c r="M53" s="91"/>
      <c r="N53" s="97"/>
      <c r="O53" s="91"/>
      <c r="P53" s="91"/>
      <c r="Q53" s="97"/>
      <c r="R53" s="91"/>
      <c r="S53" s="91"/>
      <c r="T53" s="97"/>
      <c r="U53" s="91"/>
      <c r="V53" s="91"/>
      <c r="W53" s="97"/>
      <c r="X53" s="76"/>
      <c r="Y53" s="316"/>
      <c r="Z53" s="344"/>
      <c r="AA53" s="345"/>
      <c r="AG53" s="328"/>
      <c r="AH53" s="328"/>
      <c r="AI53" s="328"/>
      <c r="AJ53" s="328"/>
      <c r="AK53" s="328"/>
      <c r="AL53" s="328"/>
      <c r="AP53" s="222"/>
      <c r="AQ53" s="211"/>
      <c r="AR53" s="222"/>
      <c r="AS53" s="222"/>
      <c r="AT53" s="225"/>
      <c r="AU53" s="225"/>
      <c r="AV53" s="225"/>
      <c r="AW53" s="225"/>
      <c r="AX53" s="225"/>
      <c r="AY53" s="300"/>
      <c r="AZ53" s="300"/>
    </row>
    <row r="54" spans="1:52" s="212" customFormat="1" ht="30" customHeight="1" x14ac:dyDescent="0.25">
      <c r="A54" s="322"/>
      <c r="B54" s="322"/>
      <c r="C54" s="323" t="s">
        <v>569</v>
      </c>
      <c r="D54" s="1840">
        <v>6</v>
      </c>
      <c r="E54" s="1840">
        <v>1</v>
      </c>
      <c r="F54" s="1834">
        <v>250</v>
      </c>
      <c r="G54" s="1834">
        <v>0</v>
      </c>
      <c r="H54" s="1834">
        <v>0</v>
      </c>
      <c r="I54" s="1835">
        <v>0</v>
      </c>
      <c r="J54" s="91">
        <f>IF($F54=0,0,1+($F54-$C$21)/$C$22)+$G54/$C$23+$H54/$C$24+$I54/$C$25</f>
        <v>7.4545454545454541</v>
      </c>
      <c r="K54" s="97">
        <f t="shared" si="0"/>
        <v>3.5111917342151263E-8</v>
      </c>
      <c r="L54" s="91">
        <f>($C$7*$C$14*$C$8*$E54/$D54^2*K54*10^6)</f>
        <v>7.8026482982558355E-3</v>
      </c>
      <c r="M54" s="91">
        <f>IF($F54=0,0,1+($F54-$D$21)/$D$22)+$G54/$D$23+$H54/$D$24+$I54/$D$25</f>
        <v>6.6486486486486482</v>
      </c>
      <c r="N54" s="97">
        <f t="shared" si="1"/>
        <v>2.2456979955397711E-7</v>
      </c>
      <c r="O54" s="91">
        <f>($C$7*$D$14*$D$8*$E54/$D54^2*N54*10^6)</f>
        <v>4.99043999008838E-2</v>
      </c>
      <c r="P54" s="91">
        <f>IF($F54=0,0,1+($F54-$E$21)/$E$22)+$G54/$E$23+$H54/$E$24+$I54/$E$25</f>
        <v>5.7674418604651159</v>
      </c>
      <c r="Q54" s="97">
        <f t="shared" si="2"/>
        <v>1.7082763938087111E-6</v>
      </c>
      <c r="R54" s="91">
        <f>($C$7*$E$14*$E$8*$E54/$D54^2*Q54*10^6)</f>
        <v>0.37961697640193576</v>
      </c>
      <c r="S54" s="91">
        <f>IF($F54=0,0,1+($F54-$F$21)/$F$22)+$G54/$F$23+$H54/$F$24+$I54/$F$25</f>
        <v>9.1481481481481488</v>
      </c>
      <c r="T54" s="97">
        <f t="shared" si="3"/>
        <v>7.1097094323124171E-10</v>
      </c>
      <c r="U54" s="91">
        <f>($C$7*$F$14*$F$8*$E54/$D54^2*T54*10^6)</f>
        <v>1.5799354294027593E-4</v>
      </c>
      <c r="V54" s="91">
        <f>IF($F54=0,0,1+($F54-$G$21)/$G$22)+$G54/$G$23+$H54/$G$24+$I54/$G$25</f>
        <v>6.9444444444444446</v>
      </c>
      <c r="W54" s="97">
        <f t="shared" si="4"/>
        <v>1.136463666385722E-7</v>
      </c>
      <c r="X54" s="76">
        <f>($C$7*$G$14*$G$8*$E54/$D54^2*W54*10^6)</f>
        <v>2.5254748141904933E-2</v>
      </c>
      <c r="Y54" s="324">
        <f>SUM(L54,O54,R54,U54,X54)</f>
        <v>0.46273676628592059</v>
      </c>
      <c r="Z54" s="325"/>
      <c r="AA54" s="326"/>
      <c r="AG54" s="328"/>
      <c r="AI54" s="328"/>
      <c r="AJ54" s="328"/>
      <c r="AK54" s="328"/>
      <c r="AL54" s="328"/>
      <c r="AP54" s="222"/>
      <c r="AQ54" s="211"/>
      <c r="AR54" s="222"/>
      <c r="AS54" s="222"/>
      <c r="AT54" s="225"/>
      <c r="AU54" s="225"/>
      <c r="AV54" s="225"/>
      <c r="AW54" s="225"/>
      <c r="AX54" s="225"/>
      <c r="AY54" s="300"/>
      <c r="AZ54" s="300"/>
    </row>
    <row r="55" spans="1:52" s="212" customFormat="1" ht="30" customHeight="1" thickBot="1" x14ac:dyDescent="0.3">
      <c r="A55" s="343" t="str">
        <f>Samenvatting!A73</f>
        <v>B6</v>
      </c>
      <c r="B55" s="338" t="str">
        <f>Samenvatting!B73</f>
        <v>bedieningsruimte Linac 6</v>
      </c>
      <c r="C55" s="331" t="s">
        <v>568</v>
      </c>
      <c r="D55" s="1836">
        <v>5</v>
      </c>
      <c r="E55" s="89"/>
      <c r="F55" s="1834">
        <v>250</v>
      </c>
      <c r="G55" s="1834">
        <v>0</v>
      </c>
      <c r="H55" s="1834">
        <v>0</v>
      </c>
      <c r="I55" s="1835">
        <v>0</v>
      </c>
      <c r="J55" s="91">
        <f>$F55/$C$27+$G55/$C$28+$H55/$C$29+$I55/$C$30</f>
        <v>7.3529411764705879</v>
      </c>
      <c r="K55" s="97">
        <f t="shared" si="0"/>
        <v>4.4366873309786093E-8</v>
      </c>
      <c r="L55" s="91">
        <f>($C$7*$C$15*$C$8*($C$9+$C$10*$C$11)/$D55^2*K55*10^6)</f>
        <v>1.0648049594348663E-3</v>
      </c>
      <c r="M55" s="91">
        <f>$F55/$D$27+$G55/$D$28+$H55/$D$29+$I55/$D$30</f>
        <v>6.5789473684210522</v>
      </c>
      <c r="N55" s="97">
        <f t="shared" si="1"/>
        <v>2.636650898730358E-7</v>
      </c>
      <c r="O55" s="91">
        <f>($C$7*$C$15*$D$8*($D$9+$D$10*$D$11)/$D55^2*N55*10^6)</f>
        <v>6.3279621569528599E-3</v>
      </c>
      <c r="P55" s="91">
        <f>$F55/$E$27+$G55/$E$28+$H55/$E$29+$I55/$E$30</f>
        <v>5.6818181818181817</v>
      </c>
      <c r="Q55" s="97">
        <f t="shared" si="2"/>
        <v>2.0805675382171676E-6</v>
      </c>
      <c r="R55" s="91">
        <f>($C$7*$C$15*$E$8*($E$9+$E$10*$E$11)/$D55^2*Q55*10^6)</f>
        <v>4.9933620917212027E-2</v>
      </c>
      <c r="S55" s="91">
        <f>$F55/$F$27+$G55/$F$28+$H55/$F$29+$I55/$F$30</f>
        <v>8.1967213114754092</v>
      </c>
      <c r="T55" s="97">
        <f t="shared" si="3"/>
        <v>6.3573875711648393E-9</v>
      </c>
      <c r="U55" s="91">
        <f>($C$7*$C$15*$F$8*($F$9+$F$10*$F$11)/$D55^2*T55*10^6)</f>
        <v>1.5257730170795616E-4</v>
      </c>
      <c r="V55" s="91">
        <f>$F55/$G$27+$G55/$G$28+$H55/$G$29+$I55/$G$30</f>
        <v>7.0224719101123592</v>
      </c>
      <c r="W55" s="97">
        <f t="shared" si="4"/>
        <v>9.4957241494880226E-8</v>
      </c>
      <c r="X55" s="76">
        <f>($C$7*$C$15*$G$8*($G$9+$G$10*$G$11)/$D55^2*W55*10^6)</f>
        <v>2.278973795877126E-3</v>
      </c>
      <c r="Y55" s="339">
        <f>SUM(L55,O55,R55,U55,X55)</f>
        <v>5.9757939131184837E-2</v>
      </c>
      <c r="Z55" s="333">
        <f>SUM(Y53:Y56)</f>
        <v>0.52249470541710541</v>
      </c>
      <c r="AA55" s="334">
        <f>Z55*52/10^3</f>
        <v>2.7169724681689482E-2</v>
      </c>
      <c r="AG55" s="328"/>
      <c r="AH55" s="328"/>
      <c r="AI55" s="328"/>
      <c r="AJ55" s="328"/>
      <c r="AK55" s="328"/>
      <c r="AL55" s="328"/>
      <c r="AP55" s="222"/>
      <c r="AQ55" s="211"/>
      <c r="AR55" s="222"/>
      <c r="AS55" s="222"/>
      <c r="AT55" s="225"/>
      <c r="AU55" s="225"/>
      <c r="AV55" s="225"/>
      <c r="AW55" s="225"/>
      <c r="AX55" s="225"/>
      <c r="AY55" s="300"/>
      <c r="AZ55" s="300"/>
    </row>
    <row r="56" spans="1:52" s="212" customFormat="1" ht="30" hidden="1" customHeight="1" thickBot="1" x14ac:dyDescent="0.3">
      <c r="A56" s="317"/>
      <c r="B56" s="317"/>
      <c r="C56" s="318"/>
      <c r="D56" s="1838"/>
      <c r="E56" s="1839"/>
      <c r="F56" s="1839"/>
      <c r="G56" s="1839"/>
      <c r="H56" s="1839"/>
      <c r="I56" s="1839"/>
      <c r="J56" s="91"/>
      <c r="K56" s="97"/>
      <c r="L56" s="91"/>
      <c r="M56" s="91"/>
      <c r="N56" s="97"/>
      <c r="O56" s="91"/>
      <c r="P56" s="91"/>
      <c r="Q56" s="97"/>
      <c r="R56" s="91"/>
      <c r="S56" s="91"/>
      <c r="T56" s="97"/>
      <c r="U56" s="91"/>
      <c r="V56" s="91"/>
      <c r="W56" s="97"/>
      <c r="X56" s="76"/>
      <c r="Y56" s="316"/>
      <c r="Z56" s="344"/>
      <c r="AA56" s="345"/>
      <c r="AG56" s="328"/>
      <c r="AH56" s="328"/>
      <c r="AI56" s="328"/>
      <c r="AJ56" s="328"/>
      <c r="AK56" s="328"/>
      <c r="AL56" s="328"/>
      <c r="AP56" s="222"/>
      <c r="AQ56" s="211"/>
      <c r="AR56" s="222"/>
      <c r="AS56" s="222"/>
      <c r="AT56" s="225"/>
      <c r="AU56" s="225"/>
      <c r="AV56" s="225"/>
      <c r="AW56" s="225"/>
      <c r="AX56" s="225"/>
      <c r="AY56" s="300"/>
      <c r="AZ56" s="300"/>
    </row>
    <row r="57" spans="1:52" s="212" customFormat="1" ht="30" customHeight="1" x14ac:dyDescent="0.25">
      <c r="A57" s="322"/>
      <c r="B57" s="322"/>
      <c r="C57" s="323" t="s">
        <v>569</v>
      </c>
      <c r="D57" s="1840">
        <v>6</v>
      </c>
      <c r="E57" s="1840">
        <v>1</v>
      </c>
      <c r="F57" s="1834">
        <v>250</v>
      </c>
      <c r="G57" s="1834">
        <v>0</v>
      </c>
      <c r="H57" s="1834">
        <v>0</v>
      </c>
      <c r="I57" s="1835">
        <v>0</v>
      </c>
      <c r="J57" s="91">
        <f>IF($F57=0,0,1+($F57-$C$21)/$C$22)+$G57/$C$23+$H57/$C$24+$I57/$C$25</f>
        <v>7.4545454545454541</v>
      </c>
      <c r="K57" s="97">
        <f t="shared" si="0"/>
        <v>3.5111917342151263E-8</v>
      </c>
      <c r="L57" s="91">
        <f>($C$7*$C$14*$C$8*$E57/$D57^2*K57*10^6)</f>
        <v>7.8026482982558355E-3</v>
      </c>
      <c r="M57" s="91">
        <f>IF($F57=0,0,1+($F57-$D$21)/$D$22)+$G57/$D$23+$H57/$D$24+$I57/$D$25</f>
        <v>6.6486486486486482</v>
      </c>
      <c r="N57" s="97">
        <f t="shared" si="1"/>
        <v>2.2456979955397711E-7</v>
      </c>
      <c r="O57" s="91">
        <f>($C$7*$D$14*$D$8*$E57/$D57^2*N57*10^6)</f>
        <v>4.99043999008838E-2</v>
      </c>
      <c r="P57" s="91">
        <f>IF($F57=0,0,1+($F57-$E$21)/$E$22)+$G57/$E$23+$H57/$E$24+$I57/$E$25</f>
        <v>5.7674418604651159</v>
      </c>
      <c r="Q57" s="97">
        <f t="shared" si="2"/>
        <v>1.7082763938087111E-6</v>
      </c>
      <c r="R57" s="91">
        <f>($C$7*$E$14*$E$8*$E57/$D57^2*Q57*10^6)</f>
        <v>0.37961697640193576</v>
      </c>
      <c r="S57" s="91">
        <f>IF($F57=0,0,1+($F57-$F$21)/$F$22)+$G57/$F$23+$H57/$F$24+$I57/$F$25</f>
        <v>9.1481481481481488</v>
      </c>
      <c r="T57" s="97">
        <f t="shared" si="3"/>
        <v>7.1097094323124171E-10</v>
      </c>
      <c r="U57" s="91">
        <f>($C$7*$F$14*$F$8*$E57/$D57^2*T57*10^6)</f>
        <v>1.5799354294027593E-4</v>
      </c>
      <c r="V57" s="91">
        <f>IF($F57=0,0,1+($F57-$G$21)/$G$22)+$G57/$G$23+$H57/$G$24+$I57/$G$25</f>
        <v>6.9444444444444446</v>
      </c>
      <c r="W57" s="97">
        <f t="shared" si="4"/>
        <v>1.136463666385722E-7</v>
      </c>
      <c r="X57" s="76">
        <f>($C$7*$G$14*$G$8*$E57/$D57^2*W57*10^6)</f>
        <v>2.5254748141904933E-2</v>
      </c>
      <c r="Y57" s="324">
        <f>SUM(L57,O57,R57,U57,X57)</f>
        <v>0.46273676628592059</v>
      </c>
      <c r="Z57" s="325"/>
      <c r="AA57" s="326"/>
      <c r="AG57" s="328"/>
      <c r="AI57" s="328"/>
      <c r="AJ57" s="328"/>
      <c r="AK57" s="328"/>
      <c r="AL57" s="328"/>
      <c r="AP57" s="222"/>
      <c r="AQ57" s="211"/>
      <c r="AR57" s="222"/>
      <c r="AS57" s="222"/>
      <c r="AT57" s="225"/>
      <c r="AU57" s="225"/>
      <c r="AV57" s="225"/>
      <c r="AW57" s="225"/>
      <c r="AX57" s="225"/>
      <c r="AY57" s="300"/>
      <c r="AZ57" s="300"/>
    </row>
    <row r="58" spans="1:52" s="212" customFormat="1" ht="30" customHeight="1" thickBot="1" x14ac:dyDescent="0.3">
      <c r="A58" s="343" t="str">
        <f>Samenvatting!A85</f>
        <v>B7</v>
      </c>
      <c r="B58" s="338" t="str">
        <f>Samenvatting!B85</f>
        <v>bedieningsruimte Linac 7</v>
      </c>
      <c r="C58" s="331" t="s">
        <v>568</v>
      </c>
      <c r="D58" s="1836">
        <v>5</v>
      </c>
      <c r="E58" s="89"/>
      <c r="F58" s="1834">
        <v>250</v>
      </c>
      <c r="G58" s="1834">
        <v>0</v>
      </c>
      <c r="H58" s="1834">
        <v>0</v>
      </c>
      <c r="I58" s="1835">
        <v>0</v>
      </c>
      <c r="J58" s="91">
        <f>$F58/$C$27+$G58/$C$28+$H58/$C$29+$I58/$C$30</f>
        <v>7.3529411764705879</v>
      </c>
      <c r="K58" s="97">
        <f t="shared" si="0"/>
        <v>4.4366873309786093E-8</v>
      </c>
      <c r="L58" s="91">
        <f>($C$7*$C$15*$C$8*($C$9+$C$10*$C$11)/$D58^2*K58*10^6)</f>
        <v>1.0648049594348663E-3</v>
      </c>
      <c r="M58" s="91">
        <f>$F58/$D$27+$G58/$D$28+$H58/$D$29+$I58/$D$30</f>
        <v>6.5789473684210522</v>
      </c>
      <c r="N58" s="97">
        <f t="shared" si="1"/>
        <v>2.636650898730358E-7</v>
      </c>
      <c r="O58" s="91">
        <f>($C$7*$C$15*$D$8*($D$9+$D$10*$D$11)/$D58^2*N58*10^6)</f>
        <v>6.3279621569528599E-3</v>
      </c>
      <c r="P58" s="91">
        <f>$F58/$E$27+$G58/$E$28+$H58/$E$29+$I58/$E$30</f>
        <v>5.6818181818181817</v>
      </c>
      <c r="Q58" s="97">
        <f t="shared" si="2"/>
        <v>2.0805675382171676E-6</v>
      </c>
      <c r="R58" s="91">
        <f>($C$7*$C$15*$E$8*($E$9+$E$10*$E$11)/$D58^2*Q58*10^6)</f>
        <v>4.9933620917212027E-2</v>
      </c>
      <c r="S58" s="91">
        <f>$F58/$F$27+$G58/$F$28+$H58/$F$29+$I58/$F$30</f>
        <v>8.1967213114754092</v>
      </c>
      <c r="T58" s="97">
        <f t="shared" si="3"/>
        <v>6.3573875711648393E-9</v>
      </c>
      <c r="U58" s="91">
        <f>($C$7*$C$15*$F$8*($F$9+$F$10*$F$11)/$D58^2*T58*10^6)</f>
        <v>1.5257730170795616E-4</v>
      </c>
      <c r="V58" s="91">
        <f>$F58/$G$27+$G58/$G$28+$H58/$G$29+$I58/$G$30</f>
        <v>7.0224719101123592</v>
      </c>
      <c r="W58" s="97">
        <f t="shared" si="4"/>
        <v>9.4957241494880226E-8</v>
      </c>
      <c r="X58" s="76">
        <f>($C$7*$C$15*$G$8*($G$9+$G$10*$G$11)/$D58^2*W58*10^6)</f>
        <v>2.278973795877126E-3</v>
      </c>
      <c r="Y58" s="339">
        <f>SUM(L58,O58,R58,U58,X58)</f>
        <v>5.9757939131184837E-2</v>
      </c>
      <c r="Z58" s="333">
        <f>SUM(Y56:Y59)</f>
        <v>0.52249470541710541</v>
      </c>
      <c r="AA58" s="334">
        <f>Z58*52/10^3</f>
        <v>2.7169724681689482E-2</v>
      </c>
      <c r="AG58" s="328"/>
      <c r="AH58" s="328"/>
      <c r="AI58" s="328"/>
      <c r="AJ58" s="328"/>
      <c r="AK58" s="328"/>
      <c r="AL58" s="328"/>
      <c r="AP58" s="222"/>
      <c r="AQ58" s="211"/>
      <c r="AR58" s="222"/>
      <c r="AS58" s="222"/>
      <c r="AT58" s="225"/>
      <c r="AU58" s="225"/>
      <c r="AV58" s="225"/>
      <c r="AW58" s="225"/>
      <c r="AX58" s="225"/>
      <c r="AY58" s="300"/>
      <c r="AZ58" s="300"/>
    </row>
    <row r="59" spans="1:52" s="212" customFormat="1" ht="30" hidden="1" customHeight="1" thickBot="1" x14ac:dyDescent="0.3">
      <c r="A59" s="317"/>
      <c r="B59" s="317"/>
      <c r="C59" s="318"/>
      <c r="D59" s="1838"/>
      <c r="E59" s="1839"/>
      <c r="F59" s="1839"/>
      <c r="G59" s="1839"/>
      <c r="H59" s="1839"/>
      <c r="I59" s="1839"/>
      <c r="J59" s="91"/>
      <c r="K59" s="97"/>
      <c r="L59" s="91"/>
      <c r="M59" s="91"/>
      <c r="N59" s="97"/>
      <c r="O59" s="91"/>
      <c r="P59" s="91"/>
      <c r="Q59" s="97"/>
      <c r="R59" s="91"/>
      <c r="S59" s="91"/>
      <c r="T59" s="97"/>
      <c r="U59" s="91"/>
      <c r="V59" s="91"/>
      <c r="W59" s="97"/>
      <c r="X59" s="76"/>
      <c r="Y59" s="316"/>
      <c r="Z59" s="344"/>
      <c r="AA59" s="345"/>
      <c r="AG59" s="328"/>
      <c r="AH59" s="328"/>
      <c r="AI59" s="328"/>
      <c r="AJ59" s="328"/>
      <c r="AK59" s="328"/>
      <c r="AL59" s="328"/>
      <c r="AP59" s="222"/>
      <c r="AQ59" s="211"/>
      <c r="AR59" s="222"/>
      <c r="AS59" s="222"/>
      <c r="AT59" s="225"/>
      <c r="AU59" s="225"/>
      <c r="AV59" s="225"/>
      <c r="AW59" s="225"/>
      <c r="AX59" s="225"/>
      <c r="AY59" s="300"/>
      <c r="AZ59" s="300"/>
    </row>
    <row r="60" spans="1:52" s="212" customFormat="1" ht="30" customHeight="1" x14ac:dyDescent="0.25">
      <c r="A60" s="322"/>
      <c r="B60" s="322"/>
      <c r="C60" s="323" t="s">
        <v>569</v>
      </c>
      <c r="D60" s="1840">
        <v>6</v>
      </c>
      <c r="E60" s="1840">
        <v>1</v>
      </c>
      <c r="F60" s="1834">
        <v>250</v>
      </c>
      <c r="G60" s="1834">
        <v>0</v>
      </c>
      <c r="H60" s="1834">
        <v>0</v>
      </c>
      <c r="I60" s="1835">
        <v>0</v>
      </c>
      <c r="J60" s="91">
        <f>IF($F60=0,0,1+($F60-$C$21)/$C$22)+$G60/$C$23+$H60/$C$24+$I60/$C$25</f>
        <v>7.4545454545454541</v>
      </c>
      <c r="K60" s="97">
        <f t="shared" si="0"/>
        <v>3.5111917342151263E-8</v>
      </c>
      <c r="L60" s="91">
        <f>($C$7*$C$14*$C$8*$E60/$D60^2*K60*10^6)</f>
        <v>7.8026482982558355E-3</v>
      </c>
      <c r="M60" s="91">
        <f>IF($F60=0,0,1+($F60-$D$21)/$D$22)+$G60/$D$23+$H60/$D$24+$I60/$D$25</f>
        <v>6.6486486486486482</v>
      </c>
      <c r="N60" s="97">
        <f t="shared" si="1"/>
        <v>2.2456979955397711E-7</v>
      </c>
      <c r="O60" s="91">
        <f>($C$7*$D$14*$D$8*$E60/$D60^2*N60*10^6)</f>
        <v>4.99043999008838E-2</v>
      </c>
      <c r="P60" s="91">
        <f>IF($F60=0,0,1+($F60-$E$21)/$E$22)+$G60/$E$23+$H60/$E$24+$I60/$E$25</f>
        <v>5.7674418604651159</v>
      </c>
      <c r="Q60" s="97">
        <f t="shared" si="2"/>
        <v>1.7082763938087111E-6</v>
      </c>
      <c r="R60" s="91">
        <f>($C$7*$E$14*$E$8*$E60/$D60^2*Q60*10^6)</f>
        <v>0.37961697640193576</v>
      </c>
      <c r="S60" s="91">
        <f>IF($F60=0,0,1+($F60-$F$21)/$F$22)+$G60/$F$23+$H60/$F$24+$I60/$F$25</f>
        <v>9.1481481481481488</v>
      </c>
      <c r="T60" s="97">
        <f t="shared" si="3"/>
        <v>7.1097094323124171E-10</v>
      </c>
      <c r="U60" s="91">
        <f>($C$7*$F$14*$F$8*$E60/$D60^2*T60*10^6)</f>
        <v>1.5799354294027593E-4</v>
      </c>
      <c r="V60" s="91">
        <f>IF($F60=0,0,1+($F60-$G$21)/$G$22)+$G60/$G$23+$H60/$G$24+$I60/$G$25</f>
        <v>6.9444444444444446</v>
      </c>
      <c r="W60" s="97">
        <f t="shared" si="4"/>
        <v>1.136463666385722E-7</v>
      </c>
      <c r="X60" s="76">
        <f>($C$7*$G$14*$G$8*$E60/$D60^2*W60*10^6)</f>
        <v>2.5254748141904933E-2</v>
      </c>
      <c r="Y60" s="324">
        <f>SUM(L60,O60,R60,U60,X60)</f>
        <v>0.46273676628592059</v>
      </c>
      <c r="Z60" s="325"/>
      <c r="AA60" s="326"/>
      <c r="AG60" s="328"/>
      <c r="AI60" s="328"/>
      <c r="AJ60" s="328"/>
      <c r="AK60" s="328"/>
      <c r="AL60" s="328"/>
      <c r="AP60" s="222"/>
      <c r="AQ60" s="211"/>
      <c r="AR60" s="222"/>
      <c r="AS60" s="222"/>
      <c r="AT60" s="225"/>
      <c r="AU60" s="225"/>
      <c r="AV60" s="225"/>
      <c r="AW60" s="225"/>
      <c r="AX60" s="225"/>
      <c r="AY60" s="300"/>
      <c r="AZ60" s="300"/>
    </row>
    <row r="61" spans="1:52" s="212" customFormat="1" ht="30" customHeight="1" thickBot="1" x14ac:dyDescent="0.3">
      <c r="A61" s="343" t="str">
        <f>Samenvatting!A97</f>
        <v>B8</v>
      </c>
      <c r="B61" s="338" t="str">
        <f>Samenvatting!B97</f>
        <v>bedieningsruimte Linac 8</v>
      </c>
      <c r="C61" s="331" t="s">
        <v>568</v>
      </c>
      <c r="D61" s="1836">
        <v>5</v>
      </c>
      <c r="E61" s="89"/>
      <c r="F61" s="1834">
        <v>250</v>
      </c>
      <c r="G61" s="1834">
        <v>0</v>
      </c>
      <c r="H61" s="1834">
        <v>0</v>
      </c>
      <c r="I61" s="1835">
        <v>0</v>
      </c>
      <c r="J61" s="91">
        <f>$F61/$C$27+$G61/$C$28+$H61/$C$29+$I61/$C$30</f>
        <v>7.3529411764705879</v>
      </c>
      <c r="K61" s="97">
        <f t="shared" si="0"/>
        <v>4.4366873309786093E-8</v>
      </c>
      <c r="L61" s="91">
        <f>($C$7*$C$15*$C$8*($C$9+$C$10*$C$11)/$D61^2*K61*10^6)</f>
        <v>1.0648049594348663E-3</v>
      </c>
      <c r="M61" s="91">
        <f>$F61/$D$27+$G61/$D$28+$H61/$D$29+$I61/$D$30</f>
        <v>6.5789473684210522</v>
      </c>
      <c r="N61" s="97">
        <f t="shared" si="1"/>
        <v>2.636650898730358E-7</v>
      </c>
      <c r="O61" s="91">
        <f>($C$7*$C$15*$D$8*($D$9+$D$10*$D$11)/$D61^2*N61*10^6)</f>
        <v>6.3279621569528599E-3</v>
      </c>
      <c r="P61" s="91">
        <f>$F61/$E$27+$G61/$E$28+$H61/$E$29+$I61/$E$30</f>
        <v>5.6818181818181817</v>
      </c>
      <c r="Q61" s="97">
        <f t="shared" si="2"/>
        <v>2.0805675382171676E-6</v>
      </c>
      <c r="R61" s="91">
        <f>($C$7*$C$15*$E$8*($E$9+$E$10*$E$11)/$D61^2*Q61*10^6)</f>
        <v>4.9933620917212027E-2</v>
      </c>
      <c r="S61" s="91">
        <f>$F61/$F$27+$G61/$F$28+$H61/$F$29+$I61/$F$30</f>
        <v>8.1967213114754092</v>
      </c>
      <c r="T61" s="97">
        <f t="shared" si="3"/>
        <v>6.3573875711648393E-9</v>
      </c>
      <c r="U61" s="91">
        <f>($C$7*$C$15*$F$8*($F$9+$F$10*$F$11)/$D61^2*T61*10^6)</f>
        <v>1.5257730170795616E-4</v>
      </c>
      <c r="V61" s="91">
        <f>$F61/$G$27+$G61/$G$28+$H61/$G$29+$I61/$G$30</f>
        <v>7.0224719101123592</v>
      </c>
      <c r="W61" s="97">
        <f t="shared" si="4"/>
        <v>9.4957241494880226E-8</v>
      </c>
      <c r="X61" s="76">
        <f>($C$7*$C$15*$G$8*($G$9+$G$10*$G$11)/$D61^2*W61*10^6)</f>
        <v>2.278973795877126E-3</v>
      </c>
      <c r="Y61" s="339">
        <f>SUM(L61,O61,R61,U61,X61)</f>
        <v>5.9757939131184837E-2</v>
      </c>
      <c r="Z61" s="333">
        <f>SUM(Y59:Y62)</f>
        <v>0.52249470541710541</v>
      </c>
      <c r="AA61" s="334">
        <f>Z61*52/10^3</f>
        <v>2.7169724681689482E-2</v>
      </c>
      <c r="AG61" s="328"/>
      <c r="AH61" s="328"/>
      <c r="AI61" s="328"/>
      <c r="AJ61" s="328"/>
      <c r="AK61" s="328"/>
      <c r="AL61" s="328"/>
      <c r="AP61" s="222"/>
      <c r="AQ61" s="211"/>
      <c r="AR61" s="222"/>
      <c r="AS61" s="222"/>
      <c r="AT61" s="225"/>
      <c r="AU61" s="225"/>
      <c r="AV61" s="225"/>
      <c r="AW61" s="225"/>
      <c r="AX61" s="225"/>
      <c r="AY61" s="300"/>
      <c r="AZ61" s="300"/>
    </row>
    <row r="62" spans="1:52" s="212" customFormat="1" ht="30" hidden="1" customHeight="1" thickBot="1" x14ac:dyDescent="0.3">
      <c r="A62" s="317"/>
      <c r="B62" s="317"/>
      <c r="C62" s="318"/>
      <c r="D62" s="1838"/>
      <c r="E62" s="1839"/>
      <c r="F62" s="1839"/>
      <c r="G62" s="1839"/>
      <c r="H62" s="1839"/>
      <c r="I62" s="1839"/>
      <c r="J62" s="91"/>
      <c r="K62" s="97"/>
      <c r="L62" s="91"/>
      <c r="M62" s="91"/>
      <c r="N62" s="97"/>
      <c r="O62" s="91"/>
      <c r="P62" s="91"/>
      <c r="Q62" s="97"/>
      <c r="R62" s="91"/>
      <c r="S62" s="91"/>
      <c r="T62" s="97"/>
      <c r="U62" s="91"/>
      <c r="V62" s="91"/>
      <c r="W62" s="97"/>
      <c r="X62" s="76"/>
      <c r="Y62" s="316"/>
      <c r="Z62" s="344"/>
      <c r="AA62" s="345"/>
      <c r="AG62" s="328"/>
      <c r="AH62" s="328"/>
      <c r="AI62" s="328"/>
      <c r="AJ62" s="328"/>
      <c r="AK62" s="328"/>
      <c r="AL62" s="328"/>
      <c r="AP62" s="222"/>
      <c r="AQ62" s="211"/>
      <c r="AR62" s="222"/>
      <c r="AS62" s="222"/>
      <c r="AT62" s="225"/>
      <c r="AU62" s="225"/>
      <c r="AV62" s="225"/>
      <c r="AW62" s="225"/>
      <c r="AX62" s="225"/>
      <c r="AY62" s="300"/>
      <c r="AZ62" s="300"/>
    </row>
    <row r="63" spans="1:52" s="212" customFormat="1" ht="30" customHeight="1" x14ac:dyDescent="0.25">
      <c r="A63" s="322"/>
      <c r="B63" s="322"/>
      <c r="C63" s="323" t="s">
        <v>569</v>
      </c>
      <c r="D63" s="1840">
        <v>6</v>
      </c>
      <c r="E63" s="1840">
        <v>1</v>
      </c>
      <c r="F63" s="1834">
        <v>250</v>
      </c>
      <c r="G63" s="1834">
        <v>0</v>
      </c>
      <c r="H63" s="1834">
        <v>0</v>
      </c>
      <c r="I63" s="1835">
        <v>0</v>
      </c>
      <c r="J63" s="91">
        <f>IF($F63=0,0,1+($F63-$C$21)/$C$22)+$G63/$C$23+$H63/$C$24+$I63/$C$25</f>
        <v>7.4545454545454541</v>
      </c>
      <c r="K63" s="97">
        <f t="shared" si="0"/>
        <v>3.5111917342151263E-8</v>
      </c>
      <c r="L63" s="91">
        <f>($C$7*$C$14*$C$8*$E63/$D63^2*K63*10^6)</f>
        <v>7.8026482982558355E-3</v>
      </c>
      <c r="M63" s="91">
        <f>IF($F63=0,0,1+($F63-$D$21)/$D$22)+$G63/$D$23+$H63/$D$24+$I63/$D$25</f>
        <v>6.6486486486486482</v>
      </c>
      <c r="N63" s="97">
        <f t="shared" si="1"/>
        <v>2.2456979955397711E-7</v>
      </c>
      <c r="O63" s="91">
        <f>($C$7*$D$14*$D$8*$E63/$D63^2*N63*10^6)</f>
        <v>4.99043999008838E-2</v>
      </c>
      <c r="P63" s="91">
        <f>IF($F63=0,0,1+($F63-$E$21)/$E$22)+$G63/$E$23+$H63/$E$24+$I63/$E$25</f>
        <v>5.7674418604651159</v>
      </c>
      <c r="Q63" s="97">
        <f t="shared" si="2"/>
        <v>1.7082763938087111E-6</v>
      </c>
      <c r="R63" s="91">
        <f>($C$7*$E$14*$E$8*$E63/$D63^2*Q63*10^6)</f>
        <v>0.37961697640193576</v>
      </c>
      <c r="S63" s="91">
        <f>IF($F63=0,0,1+($F63-$F$21)/$F$22)+$G63/$F$23+$H63/$F$24+$I63/$F$25</f>
        <v>9.1481481481481488</v>
      </c>
      <c r="T63" s="97">
        <f t="shared" si="3"/>
        <v>7.1097094323124171E-10</v>
      </c>
      <c r="U63" s="91">
        <f>($C$7*$F$14*$F$8*$E63/$D63^2*T63*10^6)</f>
        <v>1.5799354294027593E-4</v>
      </c>
      <c r="V63" s="91">
        <f>IF($F63=0,0,1+($F63-$G$21)/$G$22)+$G63/$G$23+$H63/$G$24+$I63/$G$25</f>
        <v>6.9444444444444446</v>
      </c>
      <c r="W63" s="97">
        <f t="shared" si="4"/>
        <v>1.136463666385722E-7</v>
      </c>
      <c r="X63" s="76">
        <f>($C$7*$G$14*$G$8*$E63/$D63^2*W63*10^6)</f>
        <v>2.5254748141904933E-2</v>
      </c>
      <c r="Y63" s="324">
        <f>SUM(L63,O63,R63,U63,X63)</f>
        <v>0.46273676628592059</v>
      </c>
      <c r="Z63" s="325"/>
      <c r="AA63" s="326"/>
      <c r="AG63" s="328"/>
      <c r="AI63" s="328"/>
      <c r="AJ63" s="328"/>
      <c r="AK63" s="328"/>
      <c r="AL63" s="328"/>
      <c r="AP63" s="222"/>
      <c r="AQ63" s="211"/>
      <c r="AR63" s="222"/>
      <c r="AS63" s="222"/>
      <c r="AT63" s="225"/>
      <c r="AU63" s="225"/>
      <c r="AV63" s="225"/>
      <c r="AW63" s="225"/>
      <c r="AX63" s="225"/>
      <c r="AY63" s="300"/>
      <c r="AZ63" s="300"/>
    </row>
    <row r="64" spans="1:52" s="212" customFormat="1" ht="30" customHeight="1" thickBot="1" x14ac:dyDescent="0.3">
      <c r="A64" s="343" t="str">
        <f>Samenvatting!A109</f>
        <v>B9</v>
      </c>
      <c r="B64" s="338" t="str">
        <f>Samenvatting!B109</f>
        <v>bedieningsruimte Linac 9</v>
      </c>
      <c r="C64" s="331" t="s">
        <v>568</v>
      </c>
      <c r="D64" s="1843">
        <v>5</v>
      </c>
      <c r="E64" s="347"/>
      <c r="F64" s="1834">
        <v>250</v>
      </c>
      <c r="G64" s="1834">
        <v>0</v>
      </c>
      <c r="H64" s="1834">
        <v>0</v>
      </c>
      <c r="I64" s="1835">
        <v>0</v>
      </c>
      <c r="J64" s="91">
        <f>$F64/$C$27+$G64/$C$28+$H64/$C$29+$I64/$C$30</f>
        <v>7.3529411764705879</v>
      </c>
      <c r="K64" s="97">
        <f t="shared" si="0"/>
        <v>4.4366873309786093E-8</v>
      </c>
      <c r="L64" s="91">
        <f>($C$7*$C$15*$C$8*($C$9+$C$10*$C$11)/$D64^2*K64*10^6)</f>
        <v>1.0648049594348663E-3</v>
      </c>
      <c r="M64" s="91">
        <f>$F64/$D$27+$G64/$D$28+$H64/$D$29+$I64/$D$30</f>
        <v>6.5789473684210522</v>
      </c>
      <c r="N64" s="97">
        <f t="shared" si="1"/>
        <v>2.636650898730358E-7</v>
      </c>
      <c r="O64" s="91">
        <f>($C$7*$C$15*$D$8*($D$9+$D$10*$D$11)/$D64^2*N64*10^6)</f>
        <v>6.3279621569528599E-3</v>
      </c>
      <c r="P64" s="91">
        <f>$F64/$E$27+$G64/$E$28+$H64/$E$29+$I64/$E$30</f>
        <v>5.6818181818181817</v>
      </c>
      <c r="Q64" s="97">
        <f t="shared" si="2"/>
        <v>2.0805675382171676E-6</v>
      </c>
      <c r="R64" s="91">
        <f>($C$7*$C$15*$E$8*($E$9+$E$10*$E$11)/$D64^2*Q64*10^6)</f>
        <v>4.9933620917212027E-2</v>
      </c>
      <c r="S64" s="91">
        <f>$F64/$F$27+$G64/$F$28+$H64/$F$29+$I64/$F$30</f>
        <v>8.1967213114754092</v>
      </c>
      <c r="T64" s="97">
        <f t="shared" si="3"/>
        <v>6.3573875711648393E-9</v>
      </c>
      <c r="U64" s="91">
        <f>($C$7*$C$15*$F$8*($F$9+$F$10*$F$11)/$D64^2*T64*10^6)</f>
        <v>1.5257730170795616E-4</v>
      </c>
      <c r="V64" s="91">
        <f>$F64/$G$27+$G64/$G$28+$H64/$G$29+$I64/$G$30</f>
        <v>7.0224719101123592</v>
      </c>
      <c r="W64" s="97">
        <f t="shared" si="4"/>
        <v>9.4957241494880226E-8</v>
      </c>
      <c r="X64" s="76">
        <f>($C$7*$C$15*$G$8*($G$9+$G$10*$G$11)/$D64^2*W64*10^6)</f>
        <v>2.278973795877126E-3</v>
      </c>
      <c r="Y64" s="339">
        <f>SUM(L64,O64,R64,U64,X64)</f>
        <v>5.9757939131184837E-2</v>
      </c>
      <c r="Z64" s="333">
        <f>SUM(Y62:Y65)</f>
        <v>0.52249470541710541</v>
      </c>
      <c r="AA64" s="334">
        <f>Z64*52/10^3</f>
        <v>2.7169724681689482E-2</v>
      </c>
      <c r="AG64" s="328"/>
      <c r="AH64" s="328"/>
      <c r="AI64" s="328"/>
      <c r="AJ64" s="328"/>
      <c r="AK64" s="328"/>
      <c r="AL64" s="328"/>
      <c r="AP64" s="222"/>
      <c r="AQ64" s="211"/>
      <c r="AR64" s="222"/>
      <c r="AS64" s="222"/>
      <c r="AT64" s="225"/>
      <c r="AU64" s="225"/>
      <c r="AV64" s="225"/>
      <c r="AW64" s="225"/>
      <c r="AX64" s="225"/>
      <c r="AY64" s="300"/>
      <c r="AZ64" s="300"/>
    </row>
    <row r="65" spans="1:52" s="212" customFormat="1" ht="30" hidden="1" customHeight="1" thickBot="1" x14ac:dyDescent="0.3">
      <c r="A65" s="317"/>
      <c r="B65" s="317"/>
      <c r="C65" s="318"/>
      <c r="D65" s="1838"/>
      <c r="E65" s="1839"/>
      <c r="F65" s="1839"/>
      <c r="G65" s="1839"/>
      <c r="H65" s="1839"/>
      <c r="I65" s="1839"/>
      <c r="J65" s="91"/>
      <c r="K65" s="97"/>
      <c r="L65" s="91"/>
      <c r="M65" s="91"/>
      <c r="N65" s="97"/>
      <c r="O65" s="91"/>
      <c r="P65" s="91"/>
      <c r="Q65" s="97"/>
      <c r="R65" s="91"/>
      <c r="S65" s="91"/>
      <c r="T65" s="97"/>
      <c r="U65" s="91"/>
      <c r="V65" s="91"/>
      <c r="W65" s="97"/>
      <c r="X65" s="76"/>
      <c r="Y65" s="316"/>
      <c r="Z65" s="344"/>
      <c r="AA65" s="345"/>
      <c r="AG65" s="328"/>
      <c r="AH65" s="328"/>
      <c r="AI65" s="328"/>
      <c r="AJ65" s="328"/>
      <c r="AK65" s="328"/>
      <c r="AL65" s="328"/>
      <c r="AP65" s="222"/>
      <c r="AQ65" s="211"/>
      <c r="AR65" s="222"/>
      <c r="AS65" s="222"/>
      <c r="AT65" s="225"/>
      <c r="AU65" s="225"/>
      <c r="AV65" s="225"/>
      <c r="AW65" s="225"/>
      <c r="AX65" s="225"/>
      <c r="AY65" s="300"/>
      <c r="AZ65" s="300"/>
    </row>
    <row r="66" spans="1:52" s="212" customFormat="1" ht="30" customHeight="1" x14ac:dyDescent="0.25">
      <c r="A66" s="322"/>
      <c r="B66" s="322"/>
      <c r="C66" s="323" t="s">
        <v>569</v>
      </c>
      <c r="D66" s="1840">
        <v>6</v>
      </c>
      <c r="E66" s="1840">
        <v>1</v>
      </c>
      <c r="F66" s="1834">
        <v>250</v>
      </c>
      <c r="G66" s="1834">
        <v>0</v>
      </c>
      <c r="H66" s="1834">
        <v>0</v>
      </c>
      <c r="I66" s="1835">
        <v>0</v>
      </c>
      <c r="J66" s="91">
        <f>IF($F66=0,0,1+($F66-$C$21)/$C$22)+$G66/$C$23+$H66/$C$24+$I66/$C$25</f>
        <v>7.4545454545454541</v>
      </c>
      <c r="K66" s="97">
        <f t="shared" si="0"/>
        <v>3.5111917342151263E-8</v>
      </c>
      <c r="L66" s="91">
        <f>($C$7*$C$14*$C$8*$E66/$D66^2*K66*10^6)</f>
        <v>7.8026482982558355E-3</v>
      </c>
      <c r="M66" s="91">
        <f>IF($F66=0,0,1+($F66-$D$21)/$D$22)+$G66/$D$23+$H66/$D$24+$I66/$D$25</f>
        <v>6.6486486486486482</v>
      </c>
      <c r="N66" s="97">
        <f t="shared" si="1"/>
        <v>2.2456979955397711E-7</v>
      </c>
      <c r="O66" s="91">
        <f>($C$7*$D$14*$D$8*$E66/$D66^2*N66*10^6)</f>
        <v>4.99043999008838E-2</v>
      </c>
      <c r="P66" s="91">
        <f>IF($F66=0,0,1+($F66-$E$21)/$E$22)+$G66/$E$23+$H66/$E$24+$I66/$E$25</f>
        <v>5.7674418604651159</v>
      </c>
      <c r="Q66" s="97">
        <f t="shared" si="2"/>
        <v>1.7082763938087111E-6</v>
      </c>
      <c r="R66" s="91">
        <f>($C$7*$E$14*$E$8*$E66/$D66^2*Q66*10^6)</f>
        <v>0.37961697640193576</v>
      </c>
      <c r="S66" s="91">
        <f>IF($F66=0,0,1+($F66-$F$21)/$F$22)+$G66/$F$23+$H66/$F$24+$I66/$F$25</f>
        <v>9.1481481481481488</v>
      </c>
      <c r="T66" s="97">
        <f t="shared" si="3"/>
        <v>7.1097094323124171E-10</v>
      </c>
      <c r="U66" s="91">
        <f>($C$7*$F$14*$F$8*$E66/$D66^2*T66*10^6)</f>
        <v>1.5799354294027593E-4</v>
      </c>
      <c r="V66" s="91">
        <f>IF($F66=0,0,1+($F66-$G$21)/$G$22)+$G66/$G$23+$H66/$G$24+$I66/$G$25</f>
        <v>6.9444444444444446</v>
      </c>
      <c r="W66" s="97">
        <f t="shared" si="4"/>
        <v>1.136463666385722E-7</v>
      </c>
      <c r="X66" s="76">
        <f>($C$7*$G$14*$G$8*$E66/$D66^2*W66*10^6)</f>
        <v>2.5254748141904933E-2</v>
      </c>
      <c r="Y66" s="324">
        <f>SUM(L66,O66,R66,U66,X66)</f>
        <v>0.46273676628592059</v>
      </c>
      <c r="Z66" s="325"/>
      <c r="AA66" s="326"/>
      <c r="AG66" s="328"/>
      <c r="AI66" s="328"/>
      <c r="AJ66" s="328"/>
      <c r="AK66" s="328"/>
      <c r="AL66" s="328"/>
      <c r="AP66" s="222"/>
      <c r="AQ66" s="211"/>
      <c r="AR66" s="222"/>
      <c r="AS66" s="222"/>
      <c r="AT66" s="225"/>
      <c r="AU66" s="225"/>
      <c r="AV66" s="225"/>
      <c r="AW66" s="225"/>
      <c r="AX66" s="225"/>
      <c r="AY66" s="300"/>
      <c r="AZ66" s="300"/>
    </row>
    <row r="67" spans="1:52" s="212" customFormat="1" ht="30" customHeight="1" thickBot="1" x14ac:dyDescent="0.3">
      <c r="A67" s="343" t="str">
        <f>Samenvatting!A121</f>
        <v>B10</v>
      </c>
      <c r="B67" s="656" t="str">
        <f>Samenvatting!B121</f>
        <v>bedieningsruimte Linac 10</v>
      </c>
      <c r="C67" s="331" t="s">
        <v>568</v>
      </c>
      <c r="D67" s="1836">
        <v>5</v>
      </c>
      <c r="E67" s="89"/>
      <c r="F67" s="1834">
        <v>250</v>
      </c>
      <c r="G67" s="1834">
        <v>0</v>
      </c>
      <c r="H67" s="1834">
        <v>0</v>
      </c>
      <c r="I67" s="1835">
        <v>0</v>
      </c>
      <c r="J67" s="91">
        <f>$F67/$C$27+$G67/$C$28+$H67/$C$29+$I67/$C$30</f>
        <v>7.3529411764705879</v>
      </c>
      <c r="K67" s="97">
        <f t="shared" si="0"/>
        <v>4.4366873309786093E-8</v>
      </c>
      <c r="L67" s="91">
        <f>($C$7*$C$15*$C$8*($C$9+$C$10*$C$11)/$D67^2*K67*10^6)</f>
        <v>1.0648049594348663E-3</v>
      </c>
      <c r="M67" s="91">
        <f>$F67/$D$27+$G67/$D$28+$H67/$D$29+$I67/$D$30</f>
        <v>6.5789473684210522</v>
      </c>
      <c r="N67" s="97">
        <f t="shared" si="1"/>
        <v>2.636650898730358E-7</v>
      </c>
      <c r="O67" s="91">
        <f>($C$7*$C$15*$D$8*($D$9+$D$10*$D$11)/$D67^2*N67*10^6)</f>
        <v>6.3279621569528599E-3</v>
      </c>
      <c r="P67" s="91">
        <f>$F67/$E$27+$G67/$E$28+$H67/$E$29+$I67/$E$30</f>
        <v>5.6818181818181817</v>
      </c>
      <c r="Q67" s="97">
        <f t="shared" si="2"/>
        <v>2.0805675382171676E-6</v>
      </c>
      <c r="R67" s="91">
        <f>($C$7*$C$15*$E$8*($E$9+$E$10*$E$11)/$D67^2*Q67*10^6)</f>
        <v>4.9933620917212027E-2</v>
      </c>
      <c r="S67" s="91">
        <f>$F67/$F$27+$G67/$F$28+$H67/$F$29+$I67/$F$30</f>
        <v>8.1967213114754092</v>
      </c>
      <c r="T67" s="97">
        <f t="shared" si="3"/>
        <v>6.3573875711648393E-9</v>
      </c>
      <c r="U67" s="91">
        <f>($C$7*$C$15*$F$8*($F$9+$F$10*$F$11)/$D67^2*T67*10^6)</f>
        <v>1.5257730170795616E-4</v>
      </c>
      <c r="V67" s="91">
        <f>$F67/$G$27+$G67/$G$28+$H67/$G$29+$I67/$G$30</f>
        <v>7.0224719101123592</v>
      </c>
      <c r="W67" s="97">
        <f t="shared" si="4"/>
        <v>9.4957241494880226E-8</v>
      </c>
      <c r="X67" s="76">
        <f>($C$7*$C$15*$G$8*($G$9+$G$10*$G$11)/$D67^2*W67*10^6)</f>
        <v>2.278973795877126E-3</v>
      </c>
      <c r="Y67" s="339">
        <f>SUM(L67,O67,R67,U67,X67)</f>
        <v>5.9757939131184837E-2</v>
      </c>
      <c r="Z67" s="333">
        <f>SUM(Y65:Y68)</f>
        <v>0.52249470541710541</v>
      </c>
      <c r="AA67" s="334">
        <f>Z67*52/10^3</f>
        <v>2.7169724681689482E-2</v>
      </c>
      <c r="AG67" s="328"/>
      <c r="AH67" s="328"/>
      <c r="AI67" s="328"/>
      <c r="AJ67" s="328"/>
      <c r="AK67" s="328"/>
      <c r="AL67" s="328"/>
      <c r="AP67" s="222"/>
      <c r="AQ67" s="211"/>
      <c r="AR67" s="222"/>
      <c r="AS67" s="222"/>
      <c r="AT67" s="225"/>
      <c r="AU67" s="225"/>
      <c r="AV67" s="225"/>
      <c r="AW67" s="225"/>
      <c r="AX67" s="225"/>
      <c r="AY67" s="300"/>
      <c r="AZ67" s="300"/>
    </row>
    <row r="68" spans="1:52" s="212" customFormat="1" ht="30" hidden="1" customHeight="1" thickBot="1" x14ac:dyDescent="0.3">
      <c r="A68" s="312"/>
      <c r="B68" s="450"/>
      <c r="C68" s="318"/>
      <c r="D68" s="58"/>
      <c r="E68" s="58"/>
      <c r="F68" s="58"/>
      <c r="G68" s="58"/>
      <c r="H68" s="58"/>
      <c r="I68" s="58"/>
      <c r="J68" s="91"/>
      <c r="K68" s="97"/>
      <c r="L68" s="91"/>
      <c r="M68" s="91"/>
      <c r="N68" s="97"/>
      <c r="O68" s="91"/>
      <c r="P68" s="91"/>
      <c r="Q68" s="97"/>
      <c r="R68" s="91"/>
      <c r="S68" s="91"/>
      <c r="T68" s="97"/>
      <c r="U68" s="91"/>
      <c r="V68" s="91"/>
      <c r="W68" s="97"/>
      <c r="X68" s="76"/>
      <c r="Y68" s="335"/>
      <c r="Z68" s="344"/>
      <c r="AA68" s="345"/>
      <c r="AG68" s="328"/>
      <c r="AH68" s="328"/>
      <c r="AI68" s="328"/>
      <c r="AJ68" s="328"/>
      <c r="AK68" s="328"/>
      <c r="AL68" s="328"/>
      <c r="AP68" s="222"/>
      <c r="AQ68" s="211"/>
      <c r="AR68" s="222"/>
      <c r="AS68" s="222"/>
      <c r="AT68" s="225"/>
      <c r="AU68" s="225"/>
      <c r="AV68" s="225"/>
      <c r="AW68" s="225"/>
      <c r="AX68" s="225"/>
      <c r="AY68" s="300"/>
      <c r="AZ68" s="300"/>
    </row>
    <row r="69" spans="1:52" s="212" customFormat="1" ht="30" customHeight="1" x14ac:dyDescent="0.25">
      <c r="A69" s="322"/>
      <c r="B69" s="322"/>
      <c r="C69" s="323" t="s">
        <v>569</v>
      </c>
      <c r="D69" s="1859">
        <v>6</v>
      </c>
      <c r="E69" s="1859">
        <v>1</v>
      </c>
      <c r="F69" s="1859">
        <v>250</v>
      </c>
      <c r="G69" s="1859">
        <v>0</v>
      </c>
      <c r="H69" s="1859">
        <v>0</v>
      </c>
      <c r="I69" s="1859">
        <v>0</v>
      </c>
      <c r="J69" s="91">
        <f>IF($F69=0,0,1+($F69-$C$21)/$C$22)+$G69/$C$23+$H69/$C$24+$I69/$C$25</f>
        <v>7.4545454545454541</v>
      </c>
      <c r="K69" s="97">
        <f t="shared" si="0"/>
        <v>3.5111917342151263E-8</v>
      </c>
      <c r="L69" s="91">
        <f>($C$7*$C$14*$C$8*$E69/$D69^2*K69*10^6)</f>
        <v>7.8026482982558355E-3</v>
      </c>
      <c r="M69" s="91">
        <f>IF($F69=0,0,1+($F69-$D$21)/$D$22)+$G69/$D$23+$H69/$D$24+$I69/$D$25</f>
        <v>6.6486486486486482</v>
      </c>
      <c r="N69" s="97">
        <f t="shared" si="1"/>
        <v>2.2456979955397711E-7</v>
      </c>
      <c r="O69" s="91">
        <f>($C$7*$D$14*$D$8*$E69/$D69^2*N69*10^6)</f>
        <v>4.99043999008838E-2</v>
      </c>
      <c r="P69" s="91">
        <f>IF($F69=0,0,1+($F69-$E$21)/$E$22)+$G69/$E$23+$H69/$E$24+$I69/$E$25</f>
        <v>5.7674418604651159</v>
      </c>
      <c r="Q69" s="97">
        <f t="shared" si="2"/>
        <v>1.7082763938087111E-6</v>
      </c>
      <c r="R69" s="91">
        <f>($C$7*$D$14*$E$8*$E69/$D69^2*Q69*10^6)</f>
        <v>0.37961697640193576</v>
      </c>
      <c r="S69" s="91">
        <f>IF($F69=0,0,1+($F69-$F$21)/$F$22)+$G69/$F$23+$H69/$F$24+$I69/$F$25</f>
        <v>9.1481481481481488</v>
      </c>
      <c r="T69" s="97">
        <f t="shared" si="3"/>
        <v>7.1097094323124171E-10</v>
      </c>
      <c r="U69" s="91">
        <f>($C$7*$F$14*$F$8*$E69/$D69^2*T69*10^6)</f>
        <v>1.5799354294027593E-4</v>
      </c>
      <c r="V69" s="91">
        <f>IF($F69=0,0,1+($F69-$G$21)/$G$22)+$G69/$G$23+$H69/$G$24+$I69/$G$25</f>
        <v>6.9444444444444446</v>
      </c>
      <c r="W69" s="97">
        <f t="shared" si="4"/>
        <v>1.136463666385722E-7</v>
      </c>
      <c r="X69" s="76">
        <f>($C$7*$G$14*$G$8*$E69/$D69^2*W69*10^6)</f>
        <v>2.5254748141904933E-2</v>
      </c>
      <c r="Y69" s="324">
        <f>SUM(L69,O69,R69,U69,X69)</f>
        <v>0.46273676628592059</v>
      </c>
      <c r="Z69" s="325"/>
      <c r="AA69" s="350"/>
      <c r="AG69" s="328"/>
      <c r="AI69" s="328"/>
      <c r="AJ69" s="328"/>
      <c r="AK69" s="328"/>
      <c r="AL69" s="328"/>
      <c r="AP69" s="222"/>
      <c r="AQ69" s="211"/>
      <c r="AR69" s="222"/>
      <c r="AS69" s="222"/>
      <c r="AT69" s="225"/>
      <c r="AU69" s="225"/>
      <c r="AV69" s="225"/>
      <c r="AW69" s="225"/>
      <c r="AX69" s="225"/>
      <c r="AY69" s="300"/>
      <c r="AZ69" s="300"/>
    </row>
    <row r="70" spans="1:52" s="212" customFormat="1" ht="30" customHeight="1" thickBot="1" x14ac:dyDescent="0.3">
      <c r="A70" s="329" t="str">
        <f>Samenvatting!A123</f>
        <v>L1</v>
      </c>
      <c r="B70" s="656" t="str">
        <f>Samenvatting!B123</f>
        <v>ingang labyrint linac 1</v>
      </c>
      <c r="C70" s="331" t="s">
        <v>568</v>
      </c>
      <c r="D70" s="1859">
        <v>5</v>
      </c>
      <c r="E70" s="58"/>
      <c r="F70" s="1859">
        <v>250</v>
      </c>
      <c r="G70" s="1859">
        <v>0</v>
      </c>
      <c r="H70" s="1859">
        <v>0</v>
      </c>
      <c r="I70" s="1859">
        <v>0</v>
      </c>
      <c r="J70" s="91">
        <f>$F70/$C$27+$G70/$C$28+$H70/$C$29+$I70/$C$30</f>
        <v>7.3529411764705879</v>
      </c>
      <c r="K70" s="97">
        <f t="shared" si="0"/>
        <v>4.4366873309786093E-8</v>
      </c>
      <c r="L70" s="91">
        <f>($C$7*$C$15*$C$8*($C$9+$C$10*$C$11)/$D70^2*K70*10^6)</f>
        <v>1.0648049594348663E-3</v>
      </c>
      <c r="M70" s="91">
        <f>$F70/$D$27+$G70/$D$28+$H70/$D$29+$I70/$D$30</f>
        <v>6.5789473684210522</v>
      </c>
      <c r="N70" s="97">
        <f t="shared" si="1"/>
        <v>2.636650898730358E-7</v>
      </c>
      <c r="O70" s="91">
        <f>($C$7*$C$15*$D$8*($D$9+$D$10*$D$11)/$D70^2*N70*10^6)</f>
        <v>6.3279621569528599E-3</v>
      </c>
      <c r="P70" s="91">
        <f>$F70/$E$27+$G70/$E$28+$H70/$E$29+$I70/$E$30</f>
        <v>5.6818181818181817</v>
      </c>
      <c r="Q70" s="97">
        <f t="shared" si="2"/>
        <v>2.0805675382171676E-6</v>
      </c>
      <c r="R70" s="91">
        <f>($C$7*$C$15*$E$8*($E$9+$E$10*$E$11)/$D70^2*Q70*10^6)</f>
        <v>4.9933620917212027E-2</v>
      </c>
      <c r="S70" s="91">
        <f>$F70/$F$27+$G70/$F$28+$H70/$F$29+$I70/$F$30</f>
        <v>8.1967213114754092</v>
      </c>
      <c r="T70" s="97">
        <f t="shared" si="3"/>
        <v>6.3573875711648393E-9</v>
      </c>
      <c r="U70" s="91">
        <f>($C$7*$C$15*$F$8*($F$9+$F$10*$F$11)/$D70^2*T70*10^6)</f>
        <v>1.5257730170795616E-4</v>
      </c>
      <c r="V70" s="91">
        <f>$F70/$G$27+$G70/$G$28+$H70/$G$29+$I70/$G$30</f>
        <v>7.0224719101123592</v>
      </c>
      <c r="W70" s="97">
        <f t="shared" si="4"/>
        <v>9.4957241494880226E-8</v>
      </c>
      <c r="X70" s="76">
        <f>($C$7*$C$15*$G$8*($G$9+$G$10*$G$11)/$D70^2*W70*10^6)</f>
        <v>2.278973795877126E-3</v>
      </c>
      <c r="Y70" s="339">
        <f>SUM(L70,O70,R70,U70,X70)</f>
        <v>5.9757939131184837E-2</v>
      </c>
      <c r="Z70" s="363">
        <f>SUM(Y68:Y71)</f>
        <v>0.52249470541710541</v>
      </c>
      <c r="AA70" s="334">
        <f>Z70*52/10^3</f>
        <v>2.7169724681689482E-2</v>
      </c>
      <c r="AG70" s="328"/>
      <c r="AH70" s="328"/>
      <c r="AI70" s="328"/>
      <c r="AJ70" s="328"/>
      <c r="AK70" s="328"/>
      <c r="AL70" s="328"/>
      <c r="AP70" s="222"/>
      <c r="AQ70" s="211"/>
      <c r="AR70" s="222"/>
      <c r="AS70" s="222"/>
      <c r="AT70" s="225"/>
      <c r="AU70" s="225"/>
      <c r="AV70" s="225"/>
      <c r="AW70" s="225"/>
      <c r="AX70" s="225"/>
      <c r="AY70" s="300"/>
      <c r="AZ70" s="300"/>
    </row>
    <row r="71" spans="1:52" s="212" customFormat="1" ht="30" hidden="1" customHeight="1" thickBot="1" x14ac:dyDescent="0.3">
      <c r="A71" s="317"/>
      <c r="B71" s="317"/>
      <c r="C71" s="318"/>
      <c r="D71" s="1871"/>
      <c r="E71" s="1871"/>
      <c r="F71" s="1871"/>
      <c r="G71" s="1871"/>
      <c r="H71" s="1871"/>
      <c r="I71" s="1871"/>
      <c r="J71" s="91"/>
      <c r="K71" s="97"/>
      <c r="L71" s="91"/>
      <c r="M71" s="91"/>
      <c r="N71" s="97"/>
      <c r="O71" s="91"/>
      <c r="P71" s="91"/>
      <c r="Q71" s="97"/>
      <c r="R71" s="91"/>
      <c r="S71" s="91"/>
      <c r="T71" s="97"/>
      <c r="U71" s="91"/>
      <c r="V71" s="91"/>
      <c r="W71" s="97"/>
      <c r="X71" s="76"/>
      <c r="Y71" s="577"/>
      <c r="Z71" s="659"/>
      <c r="AA71" s="660"/>
      <c r="AG71" s="328"/>
      <c r="AH71" s="328"/>
      <c r="AI71" s="328"/>
      <c r="AJ71" s="328"/>
      <c r="AK71" s="328"/>
      <c r="AL71" s="328"/>
      <c r="AP71" s="222"/>
      <c r="AQ71" s="211"/>
      <c r="AR71" s="222"/>
      <c r="AS71" s="222"/>
      <c r="AT71" s="225"/>
      <c r="AU71" s="225"/>
      <c r="AV71" s="225"/>
      <c r="AW71" s="225"/>
      <c r="AX71" s="225"/>
      <c r="AY71" s="300"/>
      <c r="AZ71" s="300"/>
    </row>
    <row r="72" spans="1:52" s="212" customFormat="1" ht="30" customHeight="1" x14ac:dyDescent="0.25">
      <c r="A72" s="322"/>
      <c r="B72" s="322"/>
      <c r="C72" s="323" t="s">
        <v>569</v>
      </c>
      <c r="D72" s="1859">
        <v>6</v>
      </c>
      <c r="E72" s="1859">
        <v>1</v>
      </c>
      <c r="F72" s="1859">
        <v>250</v>
      </c>
      <c r="G72" s="1859">
        <v>0</v>
      </c>
      <c r="H72" s="1859">
        <v>0</v>
      </c>
      <c r="I72" s="1859">
        <v>0</v>
      </c>
      <c r="J72" s="91">
        <f>IF($F72=0,0,1+($F72-$C$21)/$C$22)+$G72/$C$23+$H72/$C$24+$I72/$C$25</f>
        <v>7.4545454545454541</v>
      </c>
      <c r="K72" s="97">
        <f t="shared" si="0"/>
        <v>3.5111917342151263E-8</v>
      </c>
      <c r="L72" s="91">
        <f>($C$7*$C$14*$C$8*$E72/$D72^2*K72*10^6)</f>
        <v>7.8026482982558355E-3</v>
      </c>
      <c r="M72" s="91">
        <f>IF($F72=0,0,1+($F72-$D$21)/$D$22)+$G72/$D$23+$H72/$D$24+$I72/$D$25</f>
        <v>6.6486486486486482</v>
      </c>
      <c r="N72" s="97">
        <f t="shared" si="1"/>
        <v>2.2456979955397711E-7</v>
      </c>
      <c r="O72" s="91">
        <f>($C$7*$D$14*$D$8*$E72/$D72^2*N72*10^6)</f>
        <v>4.99043999008838E-2</v>
      </c>
      <c r="P72" s="91">
        <f>IF($F$72=0,0,1+($F72-$E$21)/$E$22)+$G72/$E$23+$H72/$E$24+$I72/$E$25</f>
        <v>5.7674418604651159</v>
      </c>
      <c r="Q72" s="97">
        <f t="shared" si="2"/>
        <v>1.7082763938087111E-6</v>
      </c>
      <c r="R72" s="91">
        <f>($C$7*$D$14*$E$8*$E72/$D72^2*Q72*10^6)</f>
        <v>0.37961697640193576</v>
      </c>
      <c r="S72" s="91">
        <f>IF($F72=0,0,1+($F72-$F$21)/$F$22)+$G72/$F$23+$H72/$F$24+$I72/$F$25</f>
        <v>9.1481481481481488</v>
      </c>
      <c r="T72" s="97">
        <f t="shared" si="3"/>
        <v>7.1097094323124171E-10</v>
      </c>
      <c r="U72" s="91">
        <f>($C$7*$F$14*$F$8*$E72/$D72^2*T72*10^6)</f>
        <v>1.5799354294027593E-4</v>
      </c>
      <c r="V72" s="91">
        <f>IF($F72=0,0,1+($F72-$G$21)/$G$22)+$G72/$G$23+$H72/$G$24+$I72/$G$25</f>
        <v>6.9444444444444446</v>
      </c>
      <c r="W72" s="97">
        <f t="shared" si="4"/>
        <v>1.136463666385722E-7</v>
      </c>
      <c r="X72" s="76">
        <f>($C$7*$G$14*$G$8*$E72/$D72^2*W72*10^6)</f>
        <v>2.5254748141904933E-2</v>
      </c>
      <c r="Y72" s="324">
        <f>SUM(L72,O72,R72,U72,X72)</f>
        <v>0.46273676628592059</v>
      </c>
      <c r="Z72" s="325"/>
      <c r="AA72" s="350"/>
      <c r="AG72" s="328"/>
      <c r="AI72" s="328"/>
      <c r="AJ72" s="328"/>
      <c r="AK72" s="328"/>
      <c r="AL72" s="328"/>
      <c r="AP72" s="222"/>
      <c r="AQ72" s="211"/>
      <c r="AR72" s="222"/>
      <c r="AS72" s="222"/>
      <c r="AT72" s="225"/>
      <c r="AU72" s="225"/>
      <c r="AV72" s="225"/>
      <c r="AW72" s="225"/>
      <c r="AX72" s="225"/>
      <c r="AY72" s="300"/>
      <c r="AZ72" s="300"/>
    </row>
    <row r="73" spans="1:52" s="212" customFormat="1" ht="30" customHeight="1" thickBot="1" x14ac:dyDescent="0.3">
      <c r="A73" s="343" t="str">
        <f>Samenvatting!A135</f>
        <v>L2</v>
      </c>
      <c r="B73" s="338" t="str">
        <f>Samenvatting!B135</f>
        <v>ingang labyrint linac 2</v>
      </c>
      <c r="C73" s="331" t="s">
        <v>568</v>
      </c>
      <c r="D73" s="1859">
        <v>5</v>
      </c>
      <c r="E73" s="58"/>
      <c r="F73" s="1859">
        <v>250</v>
      </c>
      <c r="G73" s="1859">
        <v>0</v>
      </c>
      <c r="H73" s="1859">
        <v>0</v>
      </c>
      <c r="I73" s="1859">
        <v>0</v>
      </c>
      <c r="J73" s="91">
        <f>$F73/$C$27+$G73/$C$28+$H73/$C$29+$I73/$C$30</f>
        <v>7.3529411764705879</v>
      </c>
      <c r="K73" s="97">
        <f t="shared" si="0"/>
        <v>4.4366873309786093E-8</v>
      </c>
      <c r="L73" s="91">
        <f>($C$7*$C$15*$C$8*($C$9+$C$10*$C$11)/$D73^2*K73*10^6)</f>
        <v>1.0648049594348663E-3</v>
      </c>
      <c r="M73" s="91">
        <f>$F73/$D$27+$G73/$D$28+$H73/$D$29+$I73/$D$30</f>
        <v>6.5789473684210522</v>
      </c>
      <c r="N73" s="97">
        <f t="shared" si="1"/>
        <v>2.636650898730358E-7</v>
      </c>
      <c r="O73" s="91">
        <f>($C$7*$C$15*$D$8*($D$9+$D$10*$D$11)/$D73^2*N73*10^6)</f>
        <v>6.3279621569528599E-3</v>
      </c>
      <c r="P73" s="91">
        <f>$F73/$E$27+$G73/$E$28+$H73/$E$29+$I73/$E$30</f>
        <v>5.6818181818181817</v>
      </c>
      <c r="Q73" s="97">
        <f t="shared" si="2"/>
        <v>2.0805675382171676E-6</v>
      </c>
      <c r="R73" s="91">
        <f>($C$7*$C$15*$E$8*($E$9+$E$10*$E$11)/$D73^2*Q73*10^6)</f>
        <v>4.9933620917212027E-2</v>
      </c>
      <c r="S73" s="91">
        <f>$F73/$F$27+$G73/$F$28+$H73/$F$29+$I73/$F$30</f>
        <v>8.1967213114754092</v>
      </c>
      <c r="T73" s="97">
        <f t="shared" si="3"/>
        <v>6.3573875711648393E-9</v>
      </c>
      <c r="U73" s="91">
        <f>($C$7*$C$15*$F$8*($F$9+$F$10*$F$11)/$D73^2*T73*10^6)</f>
        <v>1.5257730170795616E-4</v>
      </c>
      <c r="V73" s="91">
        <f>$F73/$G$27+$G73/$G$28+$H73/$G$29+$I73/$G$30</f>
        <v>7.0224719101123592</v>
      </c>
      <c r="W73" s="97">
        <f t="shared" si="4"/>
        <v>9.4957241494880226E-8</v>
      </c>
      <c r="X73" s="76">
        <f>($C$7*$C$15*$G$8*($G$9+$G$10*$G$11)/$D73^2*W73*10^6)</f>
        <v>2.278973795877126E-3</v>
      </c>
      <c r="Y73" s="339">
        <f>SUM(L73,O73,R73,U73,X73)</f>
        <v>5.9757939131184837E-2</v>
      </c>
      <c r="Z73" s="363">
        <f>SUM(Y71:Y74)</f>
        <v>0.52249470541710541</v>
      </c>
      <c r="AA73" s="334">
        <f>Z73*52/10^3</f>
        <v>2.7169724681689482E-2</v>
      </c>
      <c r="AG73" s="328"/>
      <c r="AH73" s="328"/>
      <c r="AI73" s="328"/>
      <c r="AJ73" s="328"/>
      <c r="AK73" s="328"/>
      <c r="AL73" s="328"/>
      <c r="AP73" s="222"/>
      <c r="AQ73" s="211"/>
      <c r="AR73" s="222"/>
      <c r="AS73" s="222"/>
      <c r="AT73" s="225"/>
      <c r="AU73" s="225"/>
      <c r="AV73" s="225"/>
      <c r="AW73" s="225"/>
      <c r="AX73" s="225"/>
      <c r="AY73" s="300"/>
      <c r="AZ73" s="300"/>
    </row>
    <row r="74" spans="1:52" s="212" customFormat="1" ht="30" hidden="1" customHeight="1" thickBot="1" x14ac:dyDescent="0.3">
      <c r="A74" s="317"/>
      <c r="B74" s="317"/>
      <c r="C74" s="318"/>
      <c r="D74" s="1871"/>
      <c r="E74" s="1871"/>
      <c r="F74" s="1871"/>
      <c r="G74" s="1871"/>
      <c r="H74" s="1871"/>
      <c r="I74" s="1871"/>
      <c r="J74" s="91"/>
      <c r="K74" s="97"/>
      <c r="L74" s="91"/>
      <c r="M74" s="91"/>
      <c r="N74" s="97"/>
      <c r="O74" s="91"/>
      <c r="P74" s="91"/>
      <c r="Q74" s="97"/>
      <c r="R74" s="91"/>
      <c r="S74" s="91"/>
      <c r="T74" s="97"/>
      <c r="U74" s="91"/>
      <c r="V74" s="91"/>
      <c r="W74" s="97"/>
      <c r="X74" s="76"/>
      <c r="Y74" s="577"/>
      <c r="Z74" s="659"/>
      <c r="AA74" s="660"/>
      <c r="AG74" s="328"/>
      <c r="AH74" s="328"/>
      <c r="AI74" s="328"/>
      <c r="AJ74" s="328"/>
      <c r="AK74" s="328"/>
      <c r="AL74" s="328"/>
      <c r="AP74" s="222"/>
      <c r="AQ74" s="211"/>
      <c r="AR74" s="222"/>
      <c r="AS74" s="222"/>
      <c r="AT74" s="225"/>
      <c r="AU74" s="225"/>
      <c r="AV74" s="225"/>
      <c r="AW74" s="225"/>
      <c r="AX74" s="225"/>
      <c r="AY74" s="300"/>
      <c r="AZ74" s="300"/>
    </row>
    <row r="75" spans="1:52" s="212" customFormat="1" ht="30" customHeight="1" x14ac:dyDescent="0.25">
      <c r="A75" s="322"/>
      <c r="B75" s="322"/>
      <c r="C75" s="323" t="s">
        <v>569</v>
      </c>
      <c r="D75" s="1859">
        <v>6</v>
      </c>
      <c r="E75" s="1859">
        <v>1</v>
      </c>
      <c r="F75" s="1859">
        <v>250</v>
      </c>
      <c r="G75" s="1859">
        <v>0</v>
      </c>
      <c r="H75" s="1859">
        <v>0</v>
      </c>
      <c r="I75" s="1859">
        <v>0</v>
      </c>
      <c r="J75" s="91">
        <f>IF($F75=0,0,1+($F75-$C$21)/$C$22)+$G75/$C$23+$H75/$C$24+$I75/$C$25</f>
        <v>7.4545454545454541</v>
      </c>
      <c r="K75" s="97">
        <f t="shared" si="0"/>
        <v>3.5111917342151263E-8</v>
      </c>
      <c r="L75" s="91">
        <f>($C$7*$C$14*$C$8*$E75/$D75^2*K75*10^6)</f>
        <v>7.8026482982558355E-3</v>
      </c>
      <c r="M75" s="91">
        <f>IF($F75=0,0,1+($F75-$D$21)/$D$22)+$G75/$D$23+$H75/$D$24+$I75/$D$25</f>
        <v>6.6486486486486482</v>
      </c>
      <c r="N75" s="97">
        <f t="shared" si="1"/>
        <v>2.2456979955397711E-7</v>
      </c>
      <c r="O75" s="91">
        <f>($C$7*$D$14*$D$8*$E75/$D75^2*N75*10^6)</f>
        <v>4.99043999008838E-2</v>
      </c>
      <c r="P75" s="91">
        <f>IF($F75=0,0,1+($F75-$E$21)/$E$22)+$G75/$E$23+$H75/$E$24+$I75/$E$25</f>
        <v>5.7674418604651159</v>
      </c>
      <c r="Q75" s="97">
        <f t="shared" si="2"/>
        <v>1.7082763938087111E-6</v>
      </c>
      <c r="R75" s="91">
        <f>($C$7*$D$14*$E$8*$E75/$D75^2*Q75*10^6)</f>
        <v>0.37961697640193576</v>
      </c>
      <c r="S75" s="91">
        <f>IF($F75=0,0,1+($F75-$F$21)/$F$22)+$G75/$F$23+$H75/$F$24+$I75/$F$25</f>
        <v>9.1481481481481488</v>
      </c>
      <c r="T75" s="97">
        <f t="shared" si="3"/>
        <v>7.1097094323124171E-10</v>
      </c>
      <c r="U75" s="91">
        <f>($C$7*$F$14*$F$8*$E75/$D75^2*T75*10^6)</f>
        <v>1.5799354294027593E-4</v>
      </c>
      <c r="V75" s="91">
        <f>IF($F75=0,0,1+($F75-$G$21)/$G$22)+$G75/$G$23+$H75/$G$24+$I75/$G$25</f>
        <v>6.9444444444444446</v>
      </c>
      <c r="W75" s="97">
        <f t="shared" si="4"/>
        <v>1.136463666385722E-7</v>
      </c>
      <c r="X75" s="76">
        <f>($C$7*$G$14*$G$8*$E75/$D75^2*W75*10^6)</f>
        <v>2.5254748141904933E-2</v>
      </c>
      <c r="Y75" s="324">
        <f>SUM(L75,O75,R75,U75,X75)</f>
        <v>0.46273676628592059</v>
      </c>
      <c r="Z75" s="325"/>
      <c r="AA75" s="350"/>
      <c r="AG75" s="328"/>
      <c r="AI75" s="328"/>
      <c r="AJ75" s="328"/>
      <c r="AK75" s="328"/>
      <c r="AL75" s="328"/>
      <c r="AP75" s="222"/>
      <c r="AQ75" s="211"/>
      <c r="AR75" s="222"/>
      <c r="AS75" s="222"/>
      <c r="AT75" s="225"/>
      <c r="AU75" s="225"/>
      <c r="AV75" s="225"/>
      <c r="AW75" s="225"/>
      <c r="AX75" s="225"/>
      <c r="AY75" s="300"/>
      <c r="AZ75" s="300"/>
    </row>
    <row r="76" spans="1:52" s="212" customFormat="1" ht="30" customHeight="1" thickBot="1" x14ac:dyDescent="0.3">
      <c r="A76" s="657" t="str">
        <f>Samenvatting!A147</f>
        <v>L3</v>
      </c>
      <c r="B76" s="656" t="str">
        <f>Samenvatting!B147</f>
        <v>ingang labyrint linac 3</v>
      </c>
      <c r="C76" s="331" t="s">
        <v>568</v>
      </c>
      <c r="D76" s="1859">
        <v>5</v>
      </c>
      <c r="E76" s="58"/>
      <c r="F76" s="1859">
        <v>250</v>
      </c>
      <c r="G76" s="1859">
        <v>0</v>
      </c>
      <c r="H76" s="1859">
        <v>0</v>
      </c>
      <c r="I76" s="1859">
        <v>0</v>
      </c>
      <c r="J76" s="91">
        <f>$F76/$C$27+$G76/$C$28+$H76/$C$29+$I76/$C$30</f>
        <v>7.3529411764705879</v>
      </c>
      <c r="K76" s="97">
        <f t="shared" si="0"/>
        <v>4.4366873309786093E-8</v>
      </c>
      <c r="L76" s="91">
        <f>($C$7*$C$15*$C$8*($C$9+$C$10*$C$11)/$D76^2*K76*10^6)</f>
        <v>1.0648049594348663E-3</v>
      </c>
      <c r="M76" s="91">
        <f>$F76/$D$27+$G76/$D$28+$H76/$D$29+$I76/$D$30</f>
        <v>6.5789473684210522</v>
      </c>
      <c r="N76" s="97">
        <f t="shared" si="1"/>
        <v>2.636650898730358E-7</v>
      </c>
      <c r="O76" s="91">
        <f>($C$7*$C$15*$D$8*($D$9+$D$10*$D$11)/$D76^2*N76*10^6)</f>
        <v>6.3279621569528599E-3</v>
      </c>
      <c r="P76" s="91">
        <f>$F76/$E$27+$G76/$E$28+$H76/$E$29+$I76/$E$30</f>
        <v>5.6818181818181817</v>
      </c>
      <c r="Q76" s="97">
        <f t="shared" si="2"/>
        <v>2.0805675382171676E-6</v>
      </c>
      <c r="R76" s="91">
        <f>($C$7*$C$15*$E$8*($E$9+$E$10*$E$11)/$D76^2*Q76*10^6)</f>
        <v>4.9933620917212027E-2</v>
      </c>
      <c r="S76" s="91">
        <f>$F76/$F$27+$G76/$F$28+$H76/$F$29+$I76/$F$30</f>
        <v>8.1967213114754092</v>
      </c>
      <c r="T76" s="97">
        <f t="shared" si="3"/>
        <v>6.3573875711648393E-9</v>
      </c>
      <c r="U76" s="91">
        <f>($C$7*$C$15*$F$8*($F$9+$F$10*$F$11)/$D76^2*T76*10^6)</f>
        <v>1.5257730170795616E-4</v>
      </c>
      <c r="V76" s="91">
        <f>$F76/$G$27+$G76/$G$28+$H76/$G$29+$I76/$G$30</f>
        <v>7.0224719101123592</v>
      </c>
      <c r="W76" s="97">
        <f t="shared" si="4"/>
        <v>9.4957241494880226E-8</v>
      </c>
      <c r="X76" s="76">
        <f>($C$7*$C$15*$G$8*($G$9+$G$10*$G$11)/$D76^2*W76*10^6)</f>
        <v>2.278973795877126E-3</v>
      </c>
      <c r="Y76" s="339">
        <f>SUM(L76,O76,R76,U76,X76)</f>
        <v>5.9757939131184837E-2</v>
      </c>
      <c r="Z76" s="363">
        <f>SUM(Y74:Y77)</f>
        <v>0.52249470541710541</v>
      </c>
      <c r="AA76" s="334">
        <f>Z76*52/10^3</f>
        <v>2.7169724681689482E-2</v>
      </c>
      <c r="AG76" s="328"/>
      <c r="AH76" s="328"/>
      <c r="AI76" s="328"/>
      <c r="AJ76" s="328"/>
      <c r="AK76" s="328"/>
      <c r="AL76" s="328"/>
      <c r="AP76" s="222"/>
      <c r="AQ76" s="211"/>
      <c r="AR76" s="222"/>
      <c r="AS76" s="222"/>
      <c r="AT76" s="225"/>
      <c r="AU76" s="225"/>
      <c r="AV76" s="225"/>
      <c r="AW76" s="225"/>
      <c r="AX76" s="225"/>
      <c r="AY76" s="300"/>
      <c r="AZ76" s="300"/>
    </row>
    <row r="77" spans="1:52" s="212" customFormat="1" ht="30" hidden="1" customHeight="1" thickBot="1" x14ac:dyDescent="0.3">
      <c r="A77" s="715"/>
      <c r="B77" s="716"/>
      <c r="C77" s="318"/>
      <c r="D77" s="1871"/>
      <c r="E77" s="1871"/>
      <c r="F77" s="1871"/>
      <c r="G77" s="1871"/>
      <c r="H77" s="1871"/>
      <c r="I77" s="1871"/>
      <c r="J77" s="91"/>
      <c r="K77" s="97"/>
      <c r="L77" s="91"/>
      <c r="M77" s="91"/>
      <c r="N77" s="97"/>
      <c r="O77" s="91"/>
      <c r="P77" s="91"/>
      <c r="Q77" s="97"/>
      <c r="R77" s="91"/>
      <c r="S77" s="91"/>
      <c r="T77" s="97"/>
      <c r="U77" s="91"/>
      <c r="V77" s="91"/>
      <c r="W77" s="97"/>
      <c r="X77" s="76"/>
      <c r="Y77" s="577"/>
      <c r="Z77" s="659"/>
      <c r="AA77" s="660"/>
      <c r="AG77" s="328"/>
      <c r="AH77" s="328"/>
      <c r="AI77" s="328"/>
      <c r="AJ77" s="328"/>
      <c r="AK77" s="328"/>
      <c r="AL77" s="328"/>
      <c r="AP77" s="222"/>
      <c r="AQ77" s="211"/>
      <c r="AR77" s="222"/>
      <c r="AS77" s="222"/>
      <c r="AT77" s="225"/>
      <c r="AU77" s="225"/>
      <c r="AV77" s="225"/>
      <c r="AW77" s="225"/>
      <c r="AX77" s="225"/>
      <c r="AY77" s="300"/>
      <c r="AZ77" s="300"/>
    </row>
    <row r="78" spans="1:52" s="212" customFormat="1" ht="30" customHeight="1" x14ac:dyDescent="0.25">
      <c r="A78" s="552"/>
      <c r="B78" s="322"/>
      <c r="C78" s="323" t="s">
        <v>569</v>
      </c>
      <c r="D78" s="1859">
        <v>6</v>
      </c>
      <c r="E78" s="1859">
        <v>1</v>
      </c>
      <c r="F78" s="1859">
        <v>250</v>
      </c>
      <c r="G78" s="1859">
        <v>0</v>
      </c>
      <c r="H78" s="1859">
        <v>0</v>
      </c>
      <c r="I78" s="1859">
        <v>0</v>
      </c>
      <c r="J78" s="91">
        <f>IF($F78=0,0,1+($F78-$C$21)/$C$22)+$G78/$C$23+$H78/$C$24+$I78/$C$25</f>
        <v>7.4545454545454541</v>
      </c>
      <c r="K78" s="97">
        <f t="shared" si="0"/>
        <v>3.5111917342151263E-8</v>
      </c>
      <c r="L78" s="91">
        <f>($C$7*$C$14*$C$8*$E78/$D78^2*K78*10^6)</f>
        <v>7.8026482982558355E-3</v>
      </c>
      <c r="M78" s="91">
        <f>IF($F78=0,0,1+($F78-$D$21)/$D$22)+$G78/$D$23+$H78/$D$24+$I78/$D$25</f>
        <v>6.6486486486486482</v>
      </c>
      <c r="N78" s="97">
        <f t="shared" si="1"/>
        <v>2.2456979955397711E-7</v>
      </c>
      <c r="O78" s="91">
        <f>($C$7*$D$14*$D$8*$E78/$D78^2*N78*10^6)</f>
        <v>4.99043999008838E-2</v>
      </c>
      <c r="P78" s="91">
        <f>IF($F78=0,0,1+($F78-$E$21)/$E$22)+$G78/$E$23+$H78/$E$24+$I78/$E$25</f>
        <v>5.7674418604651159</v>
      </c>
      <c r="Q78" s="97">
        <f t="shared" si="2"/>
        <v>1.7082763938087111E-6</v>
      </c>
      <c r="R78" s="91">
        <f>($C$7*$D$14*$E$8*$E78/$D78^2*Q78*10^6)</f>
        <v>0.37961697640193576</v>
      </c>
      <c r="S78" s="91">
        <f>IF($F78=0,0,1+($F78-$F$21)/$F$22)+$G78/$F$23+$H78/$F$24+$I78/$F$25</f>
        <v>9.1481481481481488</v>
      </c>
      <c r="T78" s="97">
        <f t="shared" si="3"/>
        <v>7.1097094323124171E-10</v>
      </c>
      <c r="U78" s="91">
        <f>($C$7*$F$14*$F$8*$E78/$D78^2*T78*10^6)</f>
        <v>1.5799354294027593E-4</v>
      </c>
      <c r="V78" s="91">
        <f>IF($F78=0,0,1+($F78-$G$21)/$G$22)+$G78/$G$23+$H78/$G$24+$I78/$G$25</f>
        <v>6.9444444444444446</v>
      </c>
      <c r="W78" s="97">
        <f t="shared" si="4"/>
        <v>1.136463666385722E-7</v>
      </c>
      <c r="X78" s="76">
        <f>($C$7*$G$14*$G$8*$E78/$D78^2*W78*10^6)</f>
        <v>2.5254748141904933E-2</v>
      </c>
      <c r="Y78" s="324">
        <f>SUM(L78,O78,R78,U78,X78)</f>
        <v>0.46273676628592059</v>
      </c>
      <c r="Z78" s="325"/>
      <c r="AA78" s="350"/>
      <c r="AG78" s="328"/>
      <c r="AI78" s="328"/>
      <c r="AJ78" s="328"/>
      <c r="AK78" s="328"/>
      <c r="AL78" s="328"/>
      <c r="AP78" s="222"/>
      <c r="AQ78" s="211"/>
      <c r="AR78" s="222"/>
      <c r="AS78" s="222"/>
      <c r="AT78" s="225"/>
      <c r="AU78" s="225"/>
      <c r="AV78" s="225"/>
      <c r="AW78" s="225"/>
      <c r="AX78" s="225"/>
      <c r="AY78" s="300"/>
      <c r="AZ78" s="300"/>
    </row>
    <row r="79" spans="1:52" s="212" customFormat="1" ht="30" customHeight="1" thickBot="1" x14ac:dyDescent="0.3">
      <c r="A79" s="657" t="str">
        <f>Samenvatting!A159</f>
        <v>L4</v>
      </c>
      <c r="B79" s="330" t="str">
        <f>Samenvatting!B159</f>
        <v>ingang labyrint linac 4</v>
      </c>
      <c r="C79" s="331" t="s">
        <v>568</v>
      </c>
      <c r="D79" s="1859">
        <v>5</v>
      </c>
      <c r="E79" s="58"/>
      <c r="F79" s="1859">
        <v>250</v>
      </c>
      <c r="G79" s="1859">
        <v>0</v>
      </c>
      <c r="H79" s="1859">
        <v>0</v>
      </c>
      <c r="I79" s="1859">
        <v>0</v>
      </c>
      <c r="J79" s="91">
        <f>$F79/$C$27+$G79/$C$28+$H79/$C$29+$I79/$C$30</f>
        <v>7.3529411764705879</v>
      </c>
      <c r="K79" s="97">
        <f t="shared" si="0"/>
        <v>4.4366873309786093E-8</v>
      </c>
      <c r="L79" s="91">
        <f>($C$7*$C$15*$C$8*($C$9+$C$10*$C$11)/$D79^2*K79*10^6)</f>
        <v>1.0648049594348663E-3</v>
      </c>
      <c r="M79" s="91">
        <f>$F79/$D$27+$G79/$D$28+$H79/$D$29+$I79/$D$30</f>
        <v>6.5789473684210522</v>
      </c>
      <c r="N79" s="97">
        <f t="shared" si="1"/>
        <v>2.636650898730358E-7</v>
      </c>
      <c r="O79" s="91">
        <f>($C$7*$C$15*$D$8*($D$9+$D$10*$D$11)/$D79^2*N79*10^6)</f>
        <v>6.3279621569528599E-3</v>
      </c>
      <c r="P79" s="91">
        <f>$F79/$E$27+$G79/$E$28+$H79/$E$29+$I79/$E$30</f>
        <v>5.6818181818181817</v>
      </c>
      <c r="Q79" s="97">
        <f t="shared" si="2"/>
        <v>2.0805675382171676E-6</v>
      </c>
      <c r="R79" s="91">
        <f>($C$7*$C$15*$E$8*($E$9+$E$10*$E$11)/$D79^2*Q79*10^6)</f>
        <v>4.9933620917212027E-2</v>
      </c>
      <c r="S79" s="91">
        <f>$F79/$F$27+$G79/$F$28+$H79/$F$29+$I79/$F$30</f>
        <v>8.1967213114754092</v>
      </c>
      <c r="T79" s="97">
        <f t="shared" si="3"/>
        <v>6.3573875711648393E-9</v>
      </c>
      <c r="U79" s="91">
        <f>($C$7*$C$15*$F$8*($F$9+$F$10*$F$11)/$D79^2*T79*10^6)</f>
        <v>1.5257730170795616E-4</v>
      </c>
      <c r="V79" s="91">
        <f>$F79/$G$27+$G79/$G$28+$H79/$G$29+$I79/$G$30</f>
        <v>7.0224719101123592</v>
      </c>
      <c r="W79" s="97">
        <f t="shared" si="4"/>
        <v>9.4957241494880226E-8</v>
      </c>
      <c r="X79" s="76">
        <f>($C$7*$C$15*$G$8*($G$9+$G$10*$G$11)/$D79^2*W79*10^6)</f>
        <v>2.278973795877126E-3</v>
      </c>
      <c r="Y79" s="339">
        <f>SUM(L79,O79,R79,U79,X79)</f>
        <v>5.9757939131184837E-2</v>
      </c>
      <c r="Z79" s="363">
        <f>SUM(Y77:Y80)</f>
        <v>0.52249470541710541</v>
      </c>
      <c r="AA79" s="334">
        <f>Z79*52/10^3</f>
        <v>2.7169724681689482E-2</v>
      </c>
      <c r="AG79" s="328"/>
      <c r="AH79" s="328"/>
      <c r="AI79" s="328"/>
      <c r="AJ79" s="328"/>
      <c r="AK79" s="328"/>
      <c r="AL79" s="328"/>
      <c r="AP79" s="222"/>
      <c r="AQ79" s="211"/>
      <c r="AR79" s="222"/>
      <c r="AS79" s="222"/>
      <c r="AT79" s="225"/>
      <c r="AU79" s="225"/>
      <c r="AV79" s="225"/>
      <c r="AW79" s="225"/>
      <c r="AX79" s="225"/>
      <c r="AY79" s="300"/>
      <c r="AZ79" s="300"/>
    </row>
    <row r="80" spans="1:52" s="212" customFormat="1" ht="30" hidden="1" customHeight="1" thickBot="1" x14ac:dyDescent="0.3">
      <c r="A80" s="312"/>
      <c r="B80" s="450"/>
      <c r="C80" s="318"/>
      <c r="D80" s="1871"/>
      <c r="E80" s="1871"/>
      <c r="F80" s="1871"/>
      <c r="G80" s="1871"/>
      <c r="H80" s="1871"/>
      <c r="I80" s="1871"/>
      <c r="J80" s="91"/>
      <c r="K80" s="97"/>
      <c r="L80" s="91"/>
      <c r="M80" s="91"/>
      <c r="N80" s="97"/>
      <c r="O80" s="91"/>
      <c r="P80" s="91"/>
      <c r="Q80" s="97"/>
      <c r="R80" s="91"/>
      <c r="S80" s="91"/>
      <c r="T80" s="97"/>
      <c r="U80" s="91"/>
      <c r="V80" s="91"/>
      <c r="W80" s="97"/>
      <c r="X80" s="76"/>
      <c r="Y80" s="577"/>
      <c r="Z80" s="659"/>
      <c r="AA80" s="660"/>
      <c r="AG80" s="328"/>
      <c r="AH80" s="328"/>
      <c r="AI80" s="328"/>
      <c r="AJ80" s="328"/>
      <c r="AK80" s="328"/>
      <c r="AL80" s="328"/>
      <c r="AP80" s="222"/>
      <c r="AQ80" s="211"/>
      <c r="AR80" s="222"/>
      <c r="AS80" s="222"/>
      <c r="AT80" s="225"/>
      <c r="AU80" s="225"/>
      <c r="AV80" s="225"/>
      <c r="AW80" s="225"/>
      <c r="AX80" s="225"/>
      <c r="AY80" s="300"/>
      <c r="AZ80" s="300"/>
    </row>
    <row r="81" spans="1:52" s="212" customFormat="1" ht="30" customHeight="1" x14ac:dyDescent="0.25">
      <c r="A81" s="322"/>
      <c r="B81" s="322"/>
      <c r="C81" s="323" t="s">
        <v>569</v>
      </c>
      <c r="D81" s="1859">
        <v>6</v>
      </c>
      <c r="E81" s="1859">
        <v>1</v>
      </c>
      <c r="F81" s="1859">
        <v>250</v>
      </c>
      <c r="G81" s="1859">
        <v>0</v>
      </c>
      <c r="H81" s="1859">
        <v>0</v>
      </c>
      <c r="I81" s="1859">
        <v>0</v>
      </c>
      <c r="J81" s="91">
        <f>IF($F81=0,0,1+($F81-$C$21)/$C$22)+$G81/$C$23+$H81/$C$24+$I81/$C$25</f>
        <v>7.4545454545454541</v>
      </c>
      <c r="K81" s="97">
        <f t="shared" si="0"/>
        <v>3.5111917342151263E-8</v>
      </c>
      <c r="L81" s="91">
        <f>($C$7*$C$14*$C$8*$E81/$D81^2*K81*10^6)</f>
        <v>7.8026482982558355E-3</v>
      </c>
      <c r="M81" s="91">
        <f>IF($F81=0,0,1+($F81-$D$21)/$D$22)+$G81/$D$23+$H81/$D$24+$I81/$D$25</f>
        <v>6.6486486486486482</v>
      </c>
      <c r="N81" s="97">
        <f t="shared" si="1"/>
        <v>2.2456979955397711E-7</v>
      </c>
      <c r="O81" s="91">
        <f>($C$7*$D$14*$D$8*$E81/$D81^2*N81*10^6)</f>
        <v>4.99043999008838E-2</v>
      </c>
      <c r="P81" s="91">
        <f>IF($F81=0,0,1+($F81-$E$21)/$E$22)+$G81/$E$23+$H81/$E$24+$I81/$E$25</f>
        <v>5.7674418604651159</v>
      </c>
      <c r="Q81" s="97">
        <f t="shared" si="2"/>
        <v>1.7082763938087111E-6</v>
      </c>
      <c r="R81" s="91">
        <f>($C$7*$D$14*$E$8*$E81/$D81^2*Q81*10^6)</f>
        <v>0.37961697640193576</v>
      </c>
      <c r="S81" s="91">
        <f>IF($F81=0,0,1+($F81-$F$21)/$F$22)+$G81/$F$23+$H81/$F$24+$I81/$F$25</f>
        <v>9.1481481481481488</v>
      </c>
      <c r="T81" s="97">
        <f t="shared" si="3"/>
        <v>7.1097094323124171E-10</v>
      </c>
      <c r="U81" s="91">
        <f>($C$7*$F$14*$F$8*$E81/$D81^2*T81*10^6)</f>
        <v>1.5799354294027593E-4</v>
      </c>
      <c r="V81" s="91">
        <f>IF($F81=0,0,1+($F81-$G$21)/$G$22)+$G81/$G$23+$H81/$G$24+$I81/$G$25</f>
        <v>6.9444444444444446</v>
      </c>
      <c r="W81" s="97">
        <f t="shared" si="4"/>
        <v>1.136463666385722E-7</v>
      </c>
      <c r="X81" s="76">
        <f>($C$7*$G$14*$G$8*$E81/$D81^2*W81*10^6)</f>
        <v>2.5254748141904933E-2</v>
      </c>
      <c r="Y81" s="324">
        <f>SUM(L81,O81,R81,U81,X81)</f>
        <v>0.46273676628592059</v>
      </c>
      <c r="Z81" s="325"/>
      <c r="AA81" s="350"/>
      <c r="AG81" s="328"/>
      <c r="AI81" s="328"/>
      <c r="AJ81" s="328"/>
      <c r="AK81" s="328"/>
      <c r="AL81" s="328"/>
      <c r="AP81" s="222"/>
      <c r="AQ81" s="211"/>
      <c r="AR81" s="222"/>
      <c r="AS81" s="222"/>
      <c r="AT81" s="225"/>
      <c r="AU81" s="225"/>
      <c r="AV81" s="225"/>
      <c r="AW81" s="225"/>
      <c r="AX81" s="225"/>
      <c r="AY81" s="300"/>
      <c r="AZ81" s="300"/>
    </row>
    <row r="82" spans="1:52" s="212" customFormat="1" ht="30" customHeight="1" thickBot="1" x14ac:dyDescent="0.3">
      <c r="A82" s="657" t="str">
        <f>Samenvatting!A171</f>
        <v>L5</v>
      </c>
      <c r="B82" s="330" t="str">
        <f>Samenvatting!B171</f>
        <v>ingang labyrint linac 5</v>
      </c>
      <c r="C82" s="331" t="s">
        <v>568</v>
      </c>
      <c r="D82" s="1859">
        <v>5</v>
      </c>
      <c r="E82" s="58"/>
      <c r="F82" s="1859">
        <v>250</v>
      </c>
      <c r="G82" s="1859">
        <v>0</v>
      </c>
      <c r="H82" s="1859">
        <v>0</v>
      </c>
      <c r="I82" s="1859">
        <v>0</v>
      </c>
      <c r="J82" s="91">
        <f>$F82/$C$27+$G82/$C$28+$H82/$C$29+$I82/$C$30</f>
        <v>7.3529411764705879</v>
      </c>
      <c r="K82" s="97">
        <f t="shared" si="0"/>
        <v>4.4366873309786093E-8</v>
      </c>
      <c r="L82" s="91">
        <f>($C$7*$C$15*$C$8*($C$9+$C$10*$C$11)/$D82^2*K82*10^6)</f>
        <v>1.0648049594348663E-3</v>
      </c>
      <c r="M82" s="91">
        <f>$F82/$D$27+$G82/$D$28+$H82/$D$29+$I82/$D$30</f>
        <v>6.5789473684210522</v>
      </c>
      <c r="N82" s="97">
        <f t="shared" si="1"/>
        <v>2.636650898730358E-7</v>
      </c>
      <c r="O82" s="91">
        <f>($C$7*$C$15*$D$8*($D$9+$D$10*$D$11)/$D82^2*N82*10^6)</f>
        <v>6.3279621569528599E-3</v>
      </c>
      <c r="P82" s="91">
        <f>$F82/$E$27+$G82/$E$28+$H82/$E$29+$I82/$E$30</f>
        <v>5.6818181818181817</v>
      </c>
      <c r="Q82" s="97">
        <f t="shared" si="2"/>
        <v>2.0805675382171676E-6</v>
      </c>
      <c r="R82" s="91">
        <f>($C$7*$C$15*$E$8*($E$9+$E$10*$E$11)/$D82^2*Q82*10^6)</f>
        <v>4.9933620917212027E-2</v>
      </c>
      <c r="S82" s="91">
        <f>$F82/$F$27+$G82/$F$28+$H82/$F$29+$I82/$F$30</f>
        <v>8.1967213114754092</v>
      </c>
      <c r="T82" s="97">
        <f t="shared" si="3"/>
        <v>6.3573875711648393E-9</v>
      </c>
      <c r="U82" s="91">
        <f>($C$7*$C$15*$F$8*($F$9+$F$10*$F$11)/$D82^2*T82*10^6)</f>
        <v>1.5257730170795616E-4</v>
      </c>
      <c r="V82" s="91">
        <f>$F82/$G$27+$G82/$G$28+$H82/$G$29+$I82/$G$30</f>
        <v>7.0224719101123592</v>
      </c>
      <c r="W82" s="97">
        <f t="shared" si="4"/>
        <v>9.4957241494880226E-8</v>
      </c>
      <c r="X82" s="76">
        <f>($C$7*$C$15*$G$8*($G$9+$G$10*$G$11)/$D82^2*W82*10^6)</f>
        <v>2.278973795877126E-3</v>
      </c>
      <c r="Y82" s="339">
        <f>SUM(L82,O82,R82,U82,X82)</f>
        <v>5.9757939131184837E-2</v>
      </c>
      <c r="Z82" s="363">
        <f>SUM(Y80:Y83)</f>
        <v>0.52249470541710541</v>
      </c>
      <c r="AA82" s="334">
        <f>Z82*52/10^3</f>
        <v>2.7169724681689482E-2</v>
      </c>
      <c r="AG82" s="328"/>
      <c r="AH82" s="328"/>
      <c r="AI82" s="328"/>
      <c r="AJ82" s="328"/>
      <c r="AK82" s="328"/>
      <c r="AL82" s="328"/>
      <c r="AP82" s="222"/>
      <c r="AQ82" s="211"/>
      <c r="AR82" s="222"/>
      <c r="AS82" s="222"/>
      <c r="AT82" s="225"/>
      <c r="AU82" s="225"/>
      <c r="AV82" s="225"/>
      <c r="AW82" s="225"/>
      <c r="AX82" s="225"/>
      <c r="AY82" s="300"/>
      <c r="AZ82" s="300"/>
    </row>
    <row r="83" spans="1:52" s="212" customFormat="1" ht="30" hidden="1" customHeight="1" thickBot="1" x14ac:dyDescent="0.3">
      <c r="A83" s="312"/>
      <c r="B83" s="450"/>
      <c r="C83" s="318"/>
      <c r="D83" s="1871"/>
      <c r="E83" s="1871"/>
      <c r="F83" s="1871"/>
      <c r="G83" s="1871"/>
      <c r="H83" s="1871"/>
      <c r="I83" s="1871"/>
      <c r="J83" s="91"/>
      <c r="K83" s="97"/>
      <c r="L83" s="91"/>
      <c r="M83" s="91"/>
      <c r="N83" s="97"/>
      <c r="O83" s="91"/>
      <c r="P83" s="91"/>
      <c r="Q83" s="97"/>
      <c r="R83" s="91"/>
      <c r="S83" s="91"/>
      <c r="T83" s="97"/>
      <c r="U83" s="91"/>
      <c r="V83" s="91"/>
      <c r="W83" s="97"/>
      <c r="X83" s="76"/>
      <c r="Y83" s="577"/>
      <c r="Z83" s="659"/>
      <c r="AA83" s="660"/>
      <c r="AG83" s="328"/>
      <c r="AH83" s="328"/>
      <c r="AI83" s="328"/>
      <c r="AJ83" s="328"/>
      <c r="AK83" s="328"/>
      <c r="AL83" s="328"/>
      <c r="AP83" s="222"/>
      <c r="AQ83" s="211"/>
      <c r="AR83" s="222"/>
      <c r="AS83" s="222"/>
      <c r="AT83" s="225"/>
      <c r="AU83" s="225"/>
      <c r="AV83" s="225"/>
      <c r="AW83" s="225"/>
      <c r="AX83" s="225"/>
      <c r="AY83" s="300"/>
      <c r="AZ83" s="300"/>
    </row>
    <row r="84" spans="1:52" s="212" customFormat="1" ht="30" customHeight="1" x14ac:dyDescent="0.25">
      <c r="A84" s="322"/>
      <c r="B84" s="322"/>
      <c r="C84" s="323" t="s">
        <v>569</v>
      </c>
      <c r="D84" s="1859">
        <v>6</v>
      </c>
      <c r="E84" s="1859">
        <v>1</v>
      </c>
      <c r="F84" s="1859">
        <v>250</v>
      </c>
      <c r="G84" s="1859">
        <v>0</v>
      </c>
      <c r="H84" s="1859">
        <v>0</v>
      </c>
      <c r="I84" s="1859">
        <v>0</v>
      </c>
      <c r="J84" s="91">
        <f>IF($F84=0,0,1+($F84-$C$21)/$C$22)+$G84/$C$23+$H84/$C$24+$I84/$C$25</f>
        <v>7.4545454545454541</v>
      </c>
      <c r="K84" s="97">
        <f t="shared" si="0"/>
        <v>3.5111917342151263E-8</v>
      </c>
      <c r="L84" s="91">
        <f>($C$7*$C$14*$C$8*$E84/$D84^2*K84*10^6)</f>
        <v>7.8026482982558355E-3</v>
      </c>
      <c r="M84" s="91">
        <f>IF($F84=0,0,1+($F84-$D$21)/$D$22)+$G84/$D$23+$H84/$D$24+$I84/$D$25</f>
        <v>6.6486486486486482</v>
      </c>
      <c r="N84" s="97">
        <f t="shared" si="1"/>
        <v>2.2456979955397711E-7</v>
      </c>
      <c r="O84" s="91">
        <f>($C$7*$D$14*$D$8*$E84/$D84^2*N84*10^6)</f>
        <v>4.99043999008838E-2</v>
      </c>
      <c r="P84" s="91">
        <f>IF($F84=0,0,1+($F84-$E$21)/$E$22)+$G84/$E$23+$H84/$E$24+$I84/$E$25</f>
        <v>5.7674418604651159</v>
      </c>
      <c r="Q84" s="97">
        <f t="shared" si="2"/>
        <v>1.7082763938087111E-6</v>
      </c>
      <c r="R84" s="91">
        <f>($C$7*$D$14*$E$8*$E84/$D84^2*Q84*10^6)</f>
        <v>0.37961697640193576</v>
      </c>
      <c r="S84" s="91">
        <f>IF($F84=0,0,1+($F84-$F$21)/$F$22)+$G84/$F$23+$H84/$F$24+$I84/$F$25</f>
        <v>9.1481481481481488</v>
      </c>
      <c r="T84" s="97">
        <f t="shared" si="3"/>
        <v>7.1097094323124171E-10</v>
      </c>
      <c r="U84" s="91">
        <f>($C$7*$F$14*$F$8*$E84/$D84^2*T84*10^6)</f>
        <v>1.5799354294027593E-4</v>
      </c>
      <c r="V84" s="91">
        <f>IF($F84=0,0,1+($F84-$G$21)/$G$22)+$G84/$G$23+$H84/$G$24+$I84/$G$25</f>
        <v>6.9444444444444446</v>
      </c>
      <c r="W84" s="97">
        <f t="shared" si="4"/>
        <v>1.136463666385722E-7</v>
      </c>
      <c r="X84" s="76">
        <f>($C$7*$G$14*$G$8*$E84/$D84^2*W84*10^6)</f>
        <v>2.5254748141904933E-2</v>
      </c>
      <c r="Y84" s="324">
        <f>SUM(L84,O84,R84,U84,X84)</f>
        <v>0.46273676628592059</v>
      </c>
      <c r="Z84" s="325"/>
      <c r="AA84" s="350"/>
      <c r="AG84" s="328"/>
      <c r="AI84" s="328"/>
      <c r="AJ84" s="328"/>
      <c r="AK84" s="328"/>
      <c r="AL84" s="328"/>
      <c r="AP84" s="222"/>
      <c r="AQ84" s="211"/>
      <c r="AR84" s="222"/>
      <c r="AS84" s="222"/>
      <c r="AT84" s="225"/>
      <c r="AU84" s="225"/>
      <c r="AV84" s="225"/>
      <c r="AW84" s="225"/>
      <c r="AX84" s="225"/>
      <c r="AY84" s="300"/>
      <c r="AZ84" s="300"/>
    </row>
    <row r="85" spans="1:52" s="212" customFormat="1" ht="30" customHeight="1" thickBot="1" x14ac:dyDescent="0.3">
      <c r="A85" s="657" t="str">
        <f>Samenvatting!A183</f>
        <v>L6</v>
      </c>
      <c r="B85" s="330" t="str">
        <f>Samenvatting!B183</f>
        <v>ingang labyrint linac 6</v>
      </c>
      <c r="C85" s="331" t="s">
        <v>568</v>
      </c>
      <c r="D85" s="1859">
        <v>5</v>
      </c>
      <c r="E85" s="58"/>
      <c r="F85" s="1859">
        <v>250</v>
      </c>
      <c r="G85" s="1859">
        <v>0</v>
      </c>
      <c r="H85" s="1859">
        <v>0</v>
      </c>
      <c r="I85" s="1859">
        <v>0</v>
      </c>
      <c r="J85" s="91">
        <f>$F85/$C$27+$G85/$C$28+$H85/$C$29+$I85/$C$30</f>
        <v>7.3529411764705879</v>
      </c>
      <c r="K85" s="97">
        <f t="shared" si="0"/>
        <v>4.4366873309786093E-8</v>
      </c>
      <c r="L85" s="91">
        <f>($C$7*$C$15*$C$8*($C$9+$C$10*$C$11)/$D85^2*K85*10^6)</f>
        <v>1.0648049594348663E-3</v>
      </c>
      <c r="M85" s="91">
        <f>$F85/$D$27+$G85/$D$28+$H85/$D$29+$I85/$D$30</f>
        <v>6.5789473684210522</v>
      </c>
      <c r="N85" s="97">
        <f t="shared" si="1"/>
        <v>2.636650898730358E-7</v>
      </c>
      <c r="O85" s="91">
        <f>($C$7*$C$15*$D$8*($D$9+$D$10*$D$11)/$D85^2*N85*10^6)</f>
        <v>6.3279621569528599E-3</v>
      </c>
      <c r="P85" s="91">
        <f>$F85/$E$27+$G85/$E$28+$H85/$E$29+$I85/$E$30</f>
        <v>5.6818181818181817</v>
      </c>
      <c r="Q85" s="97">
        <f t="shared" si="2"/>
        <v>2.0805675382171676E-6</v>
      </c>
      <c r="R85" s="91">
        <f>($C$7*$C$15*$E$8*($E$9+$E$10*$E$11)/$D85^2*Q85*10^6)</f>
        <v>4.9933620917212027E-2</v>
      </c>
      <c r="S85" s="91">
        <f>$F85/$F$27+$G85/$F$28+$H85/$F$29+$I85/$F$30</f>
        <v>8.1967213114754092</v>
      </c>
      <c r="T85" s="97">
        <f t="shared" si="3"/>
        <v>6.3573875711648393E-9</v>
      </c>
      <c r="U85" s="91">
        <f>($C$7*$C$15*$F$8*($F$9+$F$10*$F$11)/$D85^2*T85*10^6)</f>
        <v>1.5257730170795616E-4</v>
      </c>
      <c r="V85" s="91">
        <f>$F85/$G$27+$G85/$G$28+$H85/$G$29+$I85/$G$30</f>
        <v>7.0224719101123592</v>
      </c>
      <c r="W85" s="97">
        <f t="shared" si="4"/>
        <v>9.4957241494880226E-8</v>
      </c>
      <c r="X85" s="76">
        <f>($C$7*$C$15*$G$8*($G$9+$G$10*$G$11)/$D85^2*W85*10^6)</f>
        <v>2.278973795877126E-3</v>
      </c>
      <c r="Y85" s="339">
        <f>SUM(L85,O85,R85,U85,X85)</f>
        <v>5.9757939131184837E-2</v>
      </c>
      <c r="Z85" s="363">
        <f>SUM(Y83:Y86)</f>
        <v>0.52249470541710541</v>
      </c>
      <c r="AA85" s="334">
        <f>Z85*52/10^3</f>
        <v>2.7169724681689482E-2</v>
      </c>
      <c r="AG85" s="328"/>
      <c r="AH85" s="328"/>
      <c r="AI85" s="328"/>
      <c r="AJ85" s="328"/>
      <c r="AK85" s="328"/>
      <c r="AL85" s="328"/>
      <c r="AP85" s="222"/>
      <c r="AQ85" s="211"/>
      <c r="AR85" s="222"/>
      <c r="AS85" s="222"/>
      <c r="AT85" s="225"/>
      <c r="AU85" s="225"/>
      <c r="AV85" s="225"/>
      <c r="AW85" s="225"/>
      <c r="AX85" s="225"/>
      <c r="AY85" s="300"/>
      <c r="AZ85" s="300"/>
    </row>
    <row r="86" spans="1:52" s="212" customFormat="1" ht="30" hidden="1" customHeight="1" thickBot="1" x14ac:dyDescent="0.3">
      <c r="A86" s="715"/>
      <c r="B86" s="716"/>
      <c r="C86" s="318"/>
      <c r="D86" s="1871"/>
      <c r="E86" s="1871"/>
      <c r="F86" s="1871"/>
      <c r="G86" s="1871"/>
      <c r="H86" s="1871"/>
      <c r="I86" s="1871"/>
      <c r="J86" s="91"/>
      <c r="K86" s="97"/>
      <c r="L86" s="91"/>
      <c r="M86" s="91"/>
      <c r="N86" s="97"/>
      <c r="O86" s="91"/>
      <c r="P86" s="91"/>
      <c r="Q86" s="97"/>
      <c r="R86" s="91"/>
      <c r="S86" s="91"/>
      <c r="T86" s="97"/>
      <c r="U86" s="91"/>
      <c r="V86" s="91"/>
      <c r="W86" s="97"/>
      <c r="X86" s="76"/>
      <c r="Y86" s="577"/>
      <c r="Z86" s="659"/>
      <c r="AA86" s="660"/>
      <c r="AG86" s="328"/>
      <c r="AH86" s="328"/>
      <c r="AI86" s="328"/>
      <c r="AJ86" s="328"/>
      <c r="AK86" s="328"/>
      <c r="AL86" s="328"/>
      <c r="AP86" s="222"/>
      <c r="AQ86" s="211"/>
      <c r="AR86" s="222"/>
      <c r="AS86" s="222"/>
      <c r="AT86" s="225"/>
      <c r="AU86" s="225"/>
      <c r="AV86" s="225"/>
      <c r="AW86" s="225"/>
      <c r="AX86" s="225"/>
      <c r="AY86" s="300"/>
      <c r="AZ86" s="300"/>
    </row>
    <row r="87" spans="1:52" s="212" customFormat="1" ht="30" customHeight="1" x14ac:dyDescent="0.25">
      <c r="A87" s="552"/>
      <c r="B87" s="322"/>
      <c r="C87" s="323" t="s">
        <v>569</v>
      </c>
      <c r="D87" s="1859">
        <v>6</v>
      </c>
      <c r="E87" s="1859">
        <v>1</v>
      </c>
      <c r="F87" s="1859">
        <v>250</v>
      </c>
      <c r="G87" s="1859">
        <v>0</v>
      </c>
      <c r="H87" s="1859">
        <v>0</v>
      </c>
      <c r="I87" s="1859">
        <v>0</v>
      </c>
      <c r="J87" s="91">
        <f>IF($F87=0,0,1+($F87-$C$21)/$C$22)+$G87/$C$23+$H87/$C$24+$I87/$C$25</f>
        <v>7.4545454545454541</v>
      </c>
      <c r="K87" s="97">
        <f t="shared" si="0"/>
        <v>3.5111917342151263E-8</v>
      </c>
      <c r="L87" s="91">
        <f>($C$7*$C$14*$C$8*$E87/$D87^2*K87*10^6)</f>
        <v>7.8026482982558355E-3</v>
      </c>
      <c r="M87" s="91">
        <f>IF($F87=0,0,1+($F87-$D$21)/$D$22)+$G87/$D$23+$H87/$D$24+$I87/$D$25</f>
        <v>6.6486486486486482</v>
      </c>
      <c r="N87" s="97">
        <f t="shared" si="1"/>
        <v>2.2456979955397711E-7</v>
      </c>
      <c r="O87" s="91">
        <f>($C$7*$D$14*$D$8*$E87/$D87^2*N87*10^6)</f>
        <v>4.99043999008838E-2</v>
      </c>
      <c r="P87" s="91">
        <f>IF($F87=0,0,1+($F87-$E$21)/$E$22)+$G87/$E$23+$H87/$E$24+$I87/$E$25</f>
        <v>5.7674418604651159</v>
      </c>
      <c r="Q87" s="97">
        <f t="shared" si="2"/>
        <v>1.7082763938087111E-6</v>
      </c>
      <c r="R87" s="91">
        <f>($C$7*$D$14*$E$8*$E87/$D87^2*Q87*10^6)</f>
        <v>0.37961697640193576</v>
      </c>
      <c r="S87" s="91">
        <f>IF($F87=0,0,1+($F87-$F$21)/$F$22)+$G87/$F$23+$H87/$F$24+$I87/$F$25</f>
        <v>9.1481481481481488</v>
      </c>
      <c r="T87" s="97">
        <f t="shared" si="3"/>
        <v>7.1097094323124171E-10</v>
      </c>
      <c r="U87" s="91">
        <f>($C$7*$F$14*$F$8*$E87/$D87^2*T87*10^6)</f>
        <v>1.5799354294027593E-4</v>
      </c>
      <c r="V87" s="91">
        <f>IF($F87=0,0,1+($F87-$G$21)/$G$22)+$G87/$G$23+$H87/$G$24+$I87/$G$25</f>
        <v>6.9444444444444446</v>
      </c>
      <c r="W87" s="97">
        <f t="shared" si="4"/>
        <v>1.136463666385722E-7</v>
      </c>
      <c r="X87" s="76">
        <f>($C$7*$G$14*$G$8*$E87/$D87^2*W87*10^6)</f>
        <v>2.5254748141904933E-2</v>
      </c>
      <c r="Y87" s="324">
        <f>SUM(L87,O87,R87,U87,X87)</f>
        <v>0.46273676628592059</v>
      </c>
      <c r="Z87" s="325"/>
      <c r="AA87" s="350"/>
      <c r="AG87" s="328"/>
      <c r="AI87" s="328"/>
      <c r="AJ87" s="328"/>
      <c r="AK87" s="328"/>
      <c r="AL87" s="328"/>
      <c r="AP87" s="222"/>
      <c r="AQ87" s="211"/>
      <c r="AR87" s="222"/>
      <c r="AS87" s="222"/>
      <c r="AT87" s="225"/>
      <c r="AU87" s="225"/>
      <c r="AV87" s="225"/>
      <c r="AW87" s="225"/>
      <c r="AX87" s="225"/>
      <c r="AY87" s="300"/>
      <c r="AZ87" s="300"/>
    </row>
    <row r="88" spans="1:52" s="212" customFormat="1" ht="30" customHeight="1" thickBot="1" x14ac:dyDescent="0.3">
      <c r="A88" s="727" t="str">
        <f>Samenvatting!A195</f>
        <v>L7</v>
      </c>
      <c r="B88" s="330" t="str">
        <f>Samenvatting!B195</f>
        <v>ingang labyrint linac 7</v>
      </c>
      <c r="C88" s="331" t="s">
        <v>568</v>
      </c>
      <c r="D88" s="1859">
        <v>5</v>
      </c>
      <c r="E88" s="58"/>
      <c r="F88" s="1859">
        <v>250</v>
      </c>
      <c r="G88" s="1859">
        <v>0</v>
      </c>
      <c r="H88" s="1859">
        <v>0</v>
      </c>
      <c r="I88" s="1859">
        <v>0</v>
      </c>
      <c r="J88" s="91">
        <f>$F88/$C$27+$G88/$C$28+$H88/$C$29+$I88/$C$30</f>
        <v>7.3529411764705879</v>
      </c>
      <c r="K88" s="97">
        <f t="shared" si="0"/>
        <v>4.4366873309786093E-8</v>
      </c>
      <c r="L88" s="91">
        <f>($C$7*$C$15*$C$8*($C$9+$C$10*$C$11)/$D88^2*K88*10^6)</f>
        <v>1.0648049594348663E-3</v>
      </c>
      <c r="M88" s="91">
        <f>$F88/$D$27+$G88/$D$28+$H88/$D$29+$I88/$D$30</f>
        <v>6.5789473684210522</v>
      </c>
      <c r="N88" s="97">
        <f t="shared" si="1"/>
        <v>2.636650898730358E-7</v>
      </c>
      <c r="O88" s="91">
        <f>($C$7*$C$15*$D$8*($D$9+$D$10*$D$11)/$D88^2*N88*10^6)</f>
        <v>6.3279621569528599E-3</v>
      </c>
      <c r="P88" s="91">
        <f>$F88/$E$27+$G88/$E$28+$H88/$E$29+$I88/$E$30</f>
        <v>5.6818181818181817</v>
      </c>
      <c r="Q88" s="97">
        <f t="shared" si="2"/>
        <v>2.0805675382171676E-6</v>
      </c>
      <c r="R88" s="91">
        <f>($C$7*$C$15*$E$8*($E$9+$E$10*$E$11)/$D88^2*Q88*10^6)</f>
        <v>4.9933620917212027E-2</v>
      </c>
      <c r="S88" s="91">
        <f>$F88/$F$27+$G88/$F$28+$H88/$F$29+$I88/$F$30</f>
        <v>8.1967213114754092</v>
      </c>
      <c r="T88" s="97">
        <f t="shared" si="3"/>
        <v>6.3573875711648393E-9</v>
      </c>
      <c r="U88" s="91">
        <f>($C$7*$C$15*$F$8*($F$9+$F$10*$F$11)/$D88^2*T88*10^6)</f>
        <v>1.5257730170795616E-4</v>
      </c>
      <c r="V88" s="91">
        <f>$F88/$G$27+$G88/$G$28+$H88/$G$29+$I88/$G$30</f>
        <v>7.0224719101123592</v>
      </c>
      <c r="W88" s="97">
        <f t="shared" si="4"/>
        <v>9.4957241494880226E-8</v>
      </c>
      <c r="X88" s="76">
        <f>($C$7*$C$15*$G$8*($G$9+$G$10*$G$11)/$D88^2*W88*10^6)</f>
        <v>2.278973795877126E-3</v>
      </c>
      <c r="Y88" s="339">
        <f>SUM(L88,O88,R88,U88,X88)</f>
        <v>5.9757939131184837E-2</v>
      </c>
      <c r="Z88" s="363">
        <f>SUM(Y86:Y89)</f>
        <v>0.52249470541710541</v>
      </c>
      <c r="AA88" s="334">
        <f>Z88*52/10^3</f>
        <v>2.7169724681689482E-2</v>
      </c>
      <c r="AG88" s="328"/>
      <c r="AH88" s="328"/>
      <c r="AI88" s="328"/>
      <c r="AJ88" s="328"/>
      <c r="AK88" s="328"/>
      <c r="AL88" s="328"/>
      <c r="AP88" s="222"/>
      <c r="AQ88" s="211"/>
      <c r="AR88" s="222"/>
      <c r="AS88" s="222"/>
      <c r="AT88" s="225"/>
      <c r="AU88" s="225"/>
      <c r="AV88" s="225"/>
      <c r="AW88" s="225"/>
      <c r="AX88" s="225"/>
      <c r="AY88" s="300"/>
      <c r="AZ88" s="300"/>
    </row>
    <row r="89" spans="1:52" s="212" customFormat="1" ht="30" hidden="1" customHeight="1" thickBot="1" x14ac:dyDescent="0.3">
      <c r="A89" s="312"/>
      <c r="B89" s="450"/>
      <c r="C89" s="318"/>
      <c r="D89" s="1871"/>
      <c r="E89" s="1871"/>
      <c r="F89" s="1871"/>
      <c r="G89" s="1871"/>
      <c r="H89" s="1871"/>
      <c r="I89" s="1871"/>
      <c r="J89" s="91"/>
      <c r="K89" s="97"/>
      <c r="L89" s="91"/>
      <c r="M89" s="91"/>
      <c r="N89" s="97"/>
      <c r="O89" s="91"/>
      <c r="P89" s="91"/>
      <c r="Q89" s="97"/>
      <c r="R89" s="91"/>
      <c r="S89" s="91"/>
      <c r="T89" s="97"/>
      <c r="U89" s="91"/>
      <c r="V89" s="91"/>
      <c r="W89" s="97"/>
      <c r="X89" s="76"/>
      <c r="Y89" s="577"/>
      <c r="Z89" s="659"/>
      <c r="AA89" s="660"/>
      <c r="AG89" s="328"/>
      <c r="AH89" s="328"/>
      <c r="AI89" s="328"/>
      <c r="AJ89" s="328"/>
      <c r="AK89" s="328"/>
      <c r="AL89" s="328"/>
      <c r="AP89" s="222"/>
      <c r="AQ89" s="211"/>
      <c r="AR89" s="222"/>
      <c r="AS89" s="222"/>
      <c r="AT89" s="225"/>
      <c r="AU89" s="225"/>
      <c r="AV89" s="225"/>
      <c r="AW89" s="225"/>
      <c r="AX89" s="225"/>
      <c r="AY89" s="300"/>
      <c r="AZ89" s="300"/>
    </row>
    <row r="90" spans="1:52" s="212" customFormat="1" ht="30" customHeight="1" x14ac:dyDescent="0.25">
      <c r="A90" s="322"/>
      <c r="B90" s="322"/>
      <c r="C90" s="323" t="s">
        <v>569</v>
      </c>
      <c r="D90" s="1859">
        <v>6</v>
      </c>
      <c r="E90" s="1859">
        <v>1</v>
      </c>
      <c r="F90" s="1859">
        <v>250</v>
      </c>
      <c r="G90" s="1859">
        <v>0</v>
      </c>
      <c r="H90" s="1859">
        <v>0</v>
      </c>
      <c r="I90" s="1859">
        <v>0</v>
      </c>
      <c r="J90" s="91">
        <f>IF($F90=0,0,1+($F90-$C$21)/$C$22)+$G90/$C$23+$H90/$C$24+$I90/$C$25</f>
        <v>7.4545454545454541</v>
      </c>
      <c r="K90" s="97">
        <f t="shared" si="0"/>
        <v>3.5111917342151263E-8</v>
      </c>
      <c r="L90" s="91">
        <f>($C$7*$C$14*$C$8*$E90/$D90^2*K90*10^6)</f>
        <v>7.8026482982558355E-3</v>
      </c>
      <c r="M90" s="91">
        <f>IF($F90=0,0,1+($F90-$D$21)/$D$22)+$G90/$D$23+$H90/$D$24+$I90/$D$25</f>
        <v>6.6486486486486482</v>
      </c>
      <c r="N90" s="97">
        <f t="shared" si="1"/>
        <v>2.2456979955397711E-7</v>
      </c>
      <c r="O90" s="91">
        <f>($C$7*$D$14*$D$8*$E90/$D90^2*N90*10^6)</f>
        <v>4.99043999008838E-2</v>
      </c>
      <c r="P90" s="91">
        <f>IF($F90=0,0,1+($F90-$E$21)/$E$22)+$G90/$E$23+$H90/$E$24+$I90/$E$25</f>
        <v>5.7674418604651159</v>
      </c>
      <c r="Q90" s="97">
        <f t="shared" si="2"/>
        <v>1.7082763938087111E-6</v>
      </c>
      <c r="R90" s="91">
        <f>($C$7*$D$14*$E$8*$E90/$D90^2*Q90*10^6)</f>
        <v>0.37961697640193576</v>
      </c>
      <c r="S90" s="91">
        <f>IF($F90=0,0,1+($F90-$F$21)/$F$22)+$G90/$F$23+$H90/$F$24+$I90/$F$25</f>
        <v>9.1481481481481488</v>
      </c>
      <c r="T90" s="97">
        <f t="shared" si="3"/>
        <v>7.1097094323124171E-10</v>
      </c>
      <c r="U90" s="91">
        <f>($C$7*$F$14*$F$8*$E90/$D90^2*T90*10^6)</f>
        <v>1.5799354294027593E-4</v>
      </c>
      <c r="V90" s="91">
        <f>IF($F90=0,0,1+($F90-$G$21)/$G$22)+$G90/$G$23+$H90/$G$24+$I90/$G$25</f>
        <v>6.9444444444444446</v>
      </c>
      <c r="W90" s="97">
        <f t="shared" si="4"/>
        <v>1.136463666385722E-7</v>
      </c>
      <c r="X90" s="76">
        <f>($C$7*$G$14*$G$8*$E90/$D90^2*W90*10^6)</f>
        <v>2.5254748141904933E-2</v>
      </c>
      <c r="Y90" s="324">
        <f>SUM(L90,O90,R90,U90,X90)</f>
        <v>0.46273676628592059</v>
      </c>
      <c r="Z90" s="325"/>
      <c r="AA90" s="350"/>
      <c r="AG90" s="328"/>
      <c r="AI90" s="328"/>
      <c r="AJ90" s="328"/>
      <c r="AK90" s="328"/>
      <c r="AL90" s="328"/>
      <c r="AP90" s="222"/>
      <c r="AQ90" s="211"/>
      <c r="AR90" s="222"/>
      <c r="AS90" s="222"/>
      <c r="AT90" s="225"/>
      <c r="AU90" s="225"/>
      <c r="AV90" s="225"/>
      <c r="AW90" s="225"/>
      <c r="AX90" s="225"/>
      <c r="AY90" s="300"/>
      <c r="AZ90" s="300"/>
    </row>
    <row r="91" spans="1:52" s="212" customFormat="1" ht="30" customHeight="1" thickBot="1" x14ac:dyDescent="0.3">
      <c r="A91" s="657" t="str">
        <f>Samenvatting!A207</f>
        <v>L8</v>
      </c>
      <c r="B91" s="330" t="str">
        <f>Samenvatting!B207</f>
        <v>ingang labyrint linac 8</v>
      </c>
      <c r="C91" s="331" t="s">
        <v>568</v>
      </c>
      <c r="D91" s="1859">
        <v>5</v>
      </c>
      <c r="E91" s="58"/>
      <c r="F91" s="1859">
        <v>250</v>
      </c>
      <c r="G91" s="1859">
        <v>0</v>
      </c>
      <c r="H91" s="1859">
        <v>0</v>
      </c>
      <c r="I91" s="1859">
        <v>0</v>
      </c>
      <c r="J91" s="91">
        <f>$F91/$C$27+$G91/$C$28+$H91/$C$29+$I91/$C$30</f>
        <v>7.3529411764705879</v>
      </c>
      <c r="K91" s="97">
        <f t="shared" si="0"/>
        <v>4.4366873309786093E-8</v>
      </c>
      <c r="L91" s="91">
        <f>($C$7*$C$15*$C$8*($C$9+$C$10*$C$11)/$D91^2*K91*10^6)</f>
        <v>1.0648049594348663E-3</v>
      </c>
      <c r="M91" s="91">
        <f>$F91/$D$27+$G91/$D$28+$H91/$D$29+$I91/$D$30</f>
        <v>6.5789473684210522</v>
      </c>
      <c r="N91" s="97">
        <f t="shared" si="1"/>
        <v>2.636650898730358E-7</v>
      </c>
      <c r="O91" s="91">
        <f>($C$7*$C$15*$D$8*($D$9+$D$10*$D$11)/$D91^2*N91*10^6)</f>
        <v>6.3279621569528599E-3</v>
      </c>
      <c r="P91" s="91">
        <f>$F91/$E$27+$G91/$E$28+$H91/$E$29+$I91/$E$30</f>
        <v>5.6818181818181817</v>
      </c>
      <c r="Q91" s="97">
        <f t="shared" si="2"/>
        <v>2.0805675382171676E-6</v>
      </c>
      <c r="R91" s="91">
        <f>($C$7*$C$15*$E$8*($E$9+$E$10*$E$11)/$D91^2*Q91*10^6)</f>
        <v>4.9933620917212027E-2</v>
      </c>
      <c r="S91" s="91">
        <f>$F91/$F$27+$G91/$F$28+$H91/$F$29+$I91/$F$30</f>
        <v>8.1967213114754092</v>
      </c>
      <c r="T91" s="97">
        <f t="shared" si="3"/>
        <v>6.3573875711648393E-9</v>
      </c>
      <c r="U91" s="91">
        <f>($C$7*$C$15*$F$8*($F$9+$F$10*$F$11)/$D91^2*T91*10^6)</f>
        <v>1.5257730170795616E-4</v>
      </c>
      <c r="V91" s="91">
        <f>$F91/$G$27+$G91/$G$28+$H91/$G$29+$I91/$G$30</f>
        <v>7.0224719101123592</v>
      </c>
      <c r="W91" s="97">
        <f t="shared" si="4"/>
        <v>9.4957241494880226E-8</v>
      </c>
      <c r="X91" s="76">
        <f>($C$7*$C$15*$G$8*($G$9+$G$10*$G$11)/$D91^2*W91*10^6)</f>
        <v>2.278973795877126E-3</v>
      </c>
      <c r="Y91" s="339">
        <f>SUM(L91,O91,R91,U91,X91)</f>
        <v>5.9757939131184837E-2</v>
      </c>
      <c r="Z91" s="363">
        <f>SUM(Y89:Y92)</f>
        <v>0.52249470541710541</v>
      </c>
      <c r="AA91" s="334">
        <f>Z91*52/10^3</f>
        <v>2.7169724681689482E-2</v>
      </c>
      <c r="AG91" s="328"/>
      <c r="AH91" s="328"/>
      <c r="AI91" s="328"/>
      <c r="AJ91" s="328"/>
      <c r="AK91" s="328"/>
      <c r="AL91" s="328"/>
      <c r="AP91" s="222"/>
      <c r="AQ91" s="211"/>
      <c r="AR91" s="222"/>
      <c r="AS91" s="222"/>
      <c r="AT91" s="225"/>
      <c r="AU91" s="225"/>
      <c r="AV91" s="225"/>
      <c r="AW91" s="225"/>
      <c r="AX91" s="225"/>
      <c r="AY91" s="300"/>
      <c r="AZ91" s="300"/>
    </row>
    <row r="92" spans="1:52" s="212" customFormat="1" ht="30" hidden="1" customHeight="1" thickBot="1" x14ac:dyDescent="0.3">
      <c r="A92" s="312"/>
      <c r="B92" s="450"/>
      <c r="C92" s="318"/>
      <c r="D92" s="1871"/>
      <c r="E92" s="1871"/>
      <c r="F92" s="1871"/>
      <c r="G92" s="1871"/>
      <c r="H92" s="1871"/>
      <c r="I92" s="1871"/>
      <c r="J92" s="91"/>
      <c r="K92" s="97"/>
      <c r="L92" s="91"/>
      <c r="M92" s="91"/>
      <c r="N92" s="97"/>
      <c r="O92" s="91"/>
      <c r="P92" s="91"/>
      <c r="Q92" s="97"/>
      <c r="R92" s="91"/>
      <c r="S92" s="91"/>
      <c r="T92" s="97"/>
      <c r="U92" s="91"/>
      <c r="V92" s="91"/>
      <c r="W92" s="97"/>
      <c r="X92" s="76"/>
      <c r="Y92" s="577"/>
      <c r="Z92" s="659"/>
      <c r="AA92" s="660"/>
      <c r="AG92" s="328"/>
      <c r="AH92" s="328"/>
      <c r="AI92" s="328"/>
      <c r="AJ92" s="328"/>
      <c r="AK92" s="328"/>
      <c r="AL92" s="328"/>
      <c r="AP92" s="222"/>
      <c r="AQ92" s="211"/>
      <c r="AR92" s="222"/>
      <c r="AS92" s="222"/>
      <c r="AT92" s="225"/>
      <c r="AU92" s="225"/>
      <c r="AV92" s="225"/>
      <c r="AW92" s="225"/>
      <c r="AX92" s="225"/>
      <c r="AY92" s="300"/>
      <c r="AZ92" s="300"/>
    </row>
    <row r="93" spans="1:52" s="212" customFormat="1" ht="30" customHeight="1" x14ac:dyDescent="0.25">
      <c r="A93" s="322"/>
      <c r="B93" s="322"/>
      <c r="C93" s="348" t="s">
        <v>209</v>
      </c>
      <c r="D93" s="1859">
        <v>6</v>
      </c>
      <c r="E93" s="1859">
        <v>1</v>
      </c>
      <c r="F93" s="1859">
        <v>250</v>
      </c>
      <c r="G93" s="1859">
        <v>0</v>
      </c>
      <c r="H93" s="1859">
        <v>0</v>
      </c>
      <c r="I93" s="1859">
        <v>0</v>
      </c>
      <c r="J93" s="91">
        <f>IF($F93=0,0,1+($F93-$C$21)/$C$22)+$G93/$C$23+$H93/$C$24+$I93/$C$25</f>
        <v>7.4545454545454541</v>
      </c>
      <c r="K93" s="97">
        <f>10^(-J93)</f>
        <v>3.5111917342151263E-8</v>
      </c>
      <c r="L93" s="91">
        <f>($C$7*$C$14*$C$8*$E93/$D93^2*K93*10^6)</f>
        <v>7.8026482982558355E-3</v>
      </c>
      <c r="M93" s="91">
        <f>IF($F93=0,0,1+($F93-$D$21)/$D$22)+$G93/$D$23+$H93/$D$24+$I93/$D$25</f>
        <v>6.6486486486486482</v>
      </c>
      <c r="N93" s="97">
        <f>10^(-M93)</f>
        <v>2.2456979955397711E-7</v>
      </c>
      <c r="O93" s="91">
        <f>($C$7*$D$14*$D$8*$E93/$D93^2*N93*10^6)</f>
        <v>4.99043999008838E-2</v>
      </c>
      <c r="P93" s="91">
        <f>IF($F93=0,0,1+($F93-$E$21)/$E$22)+$G93/$E$23+$H93/$E$24+$I93/$E$25</f>
        <v>5.7674418604651159</v>
      </c>
      <c r="Q93" s="97">
        <f>10^(-P93)</f>
        <v>1.7082763938087111E-6</v>
      </c>
      <c r="R93" s="91">
        <f>($C$7*$D$14*$E$8*$E93/$D93^2*Q93*10^6)</f>
        <v>0.37961697640193576</v>
      </c>
      <c r="S93" s="91">
        <f>IF($F93=0,0,1+($F93-$F$21)/$F$22)+$G93/$F$23+$H93/$F$24+$I93/$F$25</f>
        <v>9.1481481481481488</v>
      </c>
      <c r="T93" s="97">
        <f>10^(-S93)</f>
        <v>7.1097094323124171E-10</v>
      </c>
      <c r="U93" s="91">
        <f>($C$7*$F$14*$F$8*$E93/$D93^2*T93*10^6)</f>
        <v>1.5799354294027593E-4</v>
      </c>
      <c r="V93" s="91">
        <f>IF($F93=0,0,1+($F93-$G$21)/$G$22)+$G93/$G$23+$H93/$G$24+$I93/$G$25</f>
        <v>6.9444444444444446</v>
      </c>
      <c r="W93" s="97">
        <f>10^(-V93)</f>
        <v>1.136463666385722E-7</v>
      </c>
      <c r="X93" s="76">
        <f>($C$7*$G$14*$G$8*$E93/$D93^2*W93*10^6)</f>
        <v>2.5254748141904933E-2</v>
      </c>
      <c r="Y93" s="324">
        <f>SUM(L93,O93,R93,U93,X93)</f>
        <v>0.46273676628592059</v>
      </c>
      <c r="Z93" s="717"/>
      <c r="AA93" s="718"/>
      <c r="AG93" s="328"/>
      <c r="AI93" s="328"/>
      <c r="AJ93" s="328"/>
      <c r="AK93" s="328"/>
      <c r="AL93" s="328"/>
      <c r="AP93" s="222"/>
      <c r="AQ93" s="211"/>
      <c r="AR93" s="222"/>
      <c r="AS93" s="222"/>
      <c r="AT93" s="225"/>
      <c r="AU93" s="225"/>
      <c r="AV93" s="225"/>
      <c r="AW93" s="225"/>
      <c r="AX93" s="225"/>
      <c r="AY93" s="300"/>
      <c r="AZ93" s="300"/>
    </row>
    <row r="94" spans="1:52" s="212" customFormat="1" ht="30" customHeight="1" x14ac:dyDescent="0.25">
      <c r="A94" s="728" t="str">
        <f>Samenvatting!A219</f>
        <v>L9</v>
      </c>
      <c r="B94" s="352" t="str">
        <f>Samenvatting!B219</f>
        <v>ingang labyrint linac 9</v>
      </c>
      <c r="C94" s="353" t="s">
        <v>361</v>
      </c>
      <c r="D94" s="1859">
        <v>5</v>
      </c>
      <c r="E94" s="58"/>
      <c r="F94" s="1859">
        <v>250</v>
      </c>
      <c r="G94" s="1859">
        <v>0</v>
      </c>
      <c r="H94" s="1859">
        <v>0</v>
      </c>
      <c r="I94" s="1859">
        <v>0</v>
      </c>
      <c r="J94" s="91">
        <f>$F94/$C$27+$G94/$C$28+$H94/$C$29+$I94/$C$30</f>
        <v>7.3529411764705879</v>
      </c>
      <c r="K94" s="97">
        <f>10^(-J94)</f>
        <v>4.4366873309786093E-8</v>
      </c>
      <c r="L94" s="91">
        <f>($C$7*$C$15*$C$8*($C$9+$C$10*$C$11)/$D94^2*K94*10^6)</f>
        <v>1.0648049594348663E-3</v>
      </c>
      <c r="M94" s="91">
        <f>$F94/$D$27+$G94/$D$28+$H94/$D$29+$I94/$D$30</f>
        <v>6.5789473684210522</v>
      </c>
      <c r="N94" s="97">
        <f>10^(-M94)</f>
        <v>2.636650898730358E-7</v>
      </c>
      <c r="O94" s="91">
        <f>($C$7*$C$15*$D$8*($D$9+$D$10*$D$11)/$D94^2*N94*10^6)</f>
        <v>6.3279621569528599E-3</v>
      </c>
      <c r="P94" s="91">
        <f>$F94/$E$27+$G94/$E$28+$H94/$E$29+$I94/$E$30</f>
        <v>5.6818181818181817</v>
      </c>
      <c r="Q94" s="97">
        <f>10^(-P94)</f>
        <v>2.0805675382171676E-6</v>
      </c>
      <c r="R94" s="91">
        <f>($C$7*$C$15*$E$8*($E$9+$E$10*$E$11)/$D94^2*Q94*10^6)</f>
        <v>4.9933620917212027E-2</v>
      </c>
      <c r="S94" s="91">
        <f>$F94/$F$27+$G94/$F$28+$H94/$F$29+$I94/$F$30</f>
        <v>8.1967213114754092</v>
      </c>
      <c r="T94" s="97">
        <f>10^(-S94)</f>
        <v>6.3573875711648393E-9</v>
      </c>
      <c r="U94" s="91">
        <f>($C$7*$C$15*$F$8*($F$9+$F$10*$F$11)/$D94^2*T94*10^6)</f>
        <v>1.5257730170795616E-4</v>
      </c>
      <c r="V94" s="91">
        <f>$F94/$G$27+$G94/$G$28+$H94/$G$29+$I94/$G$30</f>
        <v>7.0224719101123592</v>
      </c>
      <c r="W94" s="97">
        <f>10^(-V94)</f>
        <v>9.4957241494880226E-8</v>
      </c>
      <c r="X94" s="76">
        <f>($C$7*$C$15*$G$8*($G$9+$G$10*$G$11)/$D94^2*W94*10^6)</f>
        <v>2.278973795877126E-3</v>
      </c>
      <c r="Y94" s="355">
        <f>SUM(L94,O94,R94,U94,X94)</f>
        <v>5.9757939131184837E-2</v>
      </c>
      <c r="Z94" s="662">
        <f>SUM(Y92:Y96)</f>
        <v>298.71327202141981</v>
      </c>
      <c r="AA94" s="663">
        <f>Z94*52/10^3</f>
        <v>15.53309014511383</v>
      </c>
      <c r="AG94" s="328"/>
      <c r="AH94" s="328"/>
      <c r="AI94" s="328"/>
      <c r="AJ94" s="328"/>
      <c r="AK94" s="328"/>
      <c r="AL94" s="328"/>
      <c r="AP94" s="222"/>
      <c r="AQ94" s="211"/>
      <c r="AR94" s="222"/>
      <c r="AS94" s="222"/>
      <c r="AT94" s="225"/>
      <c r="AU94" s="225"/>
      <c r="AV94" s="225"/>
      <c r="AW94" s="225"/>
      <c r="AX94" s="225"/>
      <c r="AY94" s="300"/>
      <c r="AZ94" s="300"/>
    </row>
    <row r="95" spans="1:52" s="212" customFormat="1" ht="30" customHeight="1" thickBot="1" x14ac:dyDescent="0.3">
      <c r="A95" s="729"/>
      <c r="B95" s="729"/>
      <c r="C95" s="360" t="s">
        <v>360</v>
      </c>
      <c r="D95" s="701" t="s">
        <v>362</v>
      </c>
      <c r="E95" s="58"/>
      <c r="F95" s="58"/>
      <c r="G95" s="58"/>
      <c r="H95" s="58"/>
      <c r="I95" s="58"/>
      <c r="J95" s="91"/>
      <c r="K95" s="97"/>
      <c r="L95" s="91"/>
      <c r="M95" s="702"/>
      <c r="N95" s="703"/>
      <c r="O95" s="704"/>
      <c r="P95" s="704"/>
      <c r="Q95" s="703"/>
      <c r="R95" s="704"/>
      <c r="S95" s="704"/>
      <c r="T95" s="703"/>
      <c r="U95" s="704"/>
      <c r="V95" s="704"/>
      <c r="W95" s="703"/>
      <c r="X95" s="705"/>
      <c r="Y95" s="339">
        <f>SUM(AT130:AT135)</f>
        <v>298.19077731600271</v>
      </c>
      <c r="Z95" s="720"/>
      <c r="AA95" s="364"/>
      <c r="AG95" s="328"/>
      <c r="AH95" s="328"/>
      <c r="AI95" s="328"/>
      <c r="AJ95" s="328"/>
      <c r="AK95" s="328"/>
      <c r="AL95" s="328"/>
      <c r="AP95" s="222"/>
      <c r="AQ95" s="211"/>
      <c r="AR95" s="222"/>
      <c r="AS95" s="222"/>
      <c r="AT95" s="225"/>
      <c r="AU95" s="225"/>
      <c r="AV95" s="225"/>
      <c r="AW95" s="225"/>
      <c r="AX95" s="225"/>
      <c r="AY95" s="300"/>
      <c r="AZ95" s="300"/>
    </row>
    <row r="96" spans="1:52" s="212" customFormat="1" ht="30" hidden="1" customHeight="1" thickBot="1" x14ac:dyDescent="0.3">
      <c r="A96" s="312"/>
      <c r="B96" s="312"/>
      <c r="C96" s="318"/>
      <c r="D96" s="1872"/>
      <c r="E96" s="1871"/>
      <c r="F96" s="1871"/>
      <c r="G96" s="1871"/>
      <c r="H96" s="1871"/>
      <c r="I96" s="1871"/>
      <c r="J96" s="91"/>
      <c r="K96" s="97"/>
      <c r="L96" s="91"/>
      <c r="M96" s="702"/>
      <c r="N96" s="703"/>
      <c r="O96" s="704"/>
      <c r="P96" s="704"/>
      <c r="Q96" s="703"/>
      <c r="R96" s="704"/>
      <c r="S96" s="704"/>
      <c r="T96" s="703"/>
      <c r="U96" s="704"/>
      <c r="V96" s="704"/>
      <c r="W96" s="703"/>
      <c r="X96" s="705"/>
      <c r="Y96" s="577"/>
      <c r="Z96" s="707"/>
      <c r="AA96" s="708"/>
      <c r="AG96" s="328"/>
      <c r="AH96" s="328"/>
      <c r="AI96" s="328"/>
      <c r="AJ96" s="328"/>
      <c r="AK96" s="328"/>
      <c r="AL96" s="328"/>
      <c r="AP96" s="222"/>
      <c r="AQ96" s="211"/>
      <c r="AR96" s="222"/>
      <c r="AS96" s="222"/>
      <c r="AT96" s="225"/>
      <c r="AU96" s="225"/>
      <c r="AV96" s="225"/>
      <c r="AW96" s="225"/>
      <c r="AX96" s="225"/>
      <c r="AY96" s="300"/>
      <c r="AZ96" s="300"/>
    </row>
    <row r="97" spans="1:54" s="212" customFormat="1" ht="30" customHeight="1" x14ac:dyDescent="0.25">
      <c r="A97" s="322"/>
      <c r="B97" s="322"/>
      <c r="C97" s="323" t="s">
        <v>569</v>
      </c>
      <c r="D97" s="1859">
        <v>6</v>
      </c>
      <c r="E97" s="1859">
        <v>1</v>
      </c>
      <c r="F97" s="1859">
        <v>250</v>
      </c>
      <c r="G97" s="1859">
        <v>0</v>
      </c>
      <c r="H97" s="1859">
        <v>0</v>
      </c>
      <c r="I97" s="1859">
        <v>0</v>
      </c>
      <c r="J97" s="91">
        <f>IF($F97=0,0,1+($F97-$C$21)/$C$22)+$G97/$C$23+$H97/$C$24+$I97/$C$25</f>
        <v>7.4545454545454541</v>
      </c>
      <c r="K97" s="97">
        <f>10^(-J97)</f>
        <v>3.5111917342151263E-8</v>
      </c>
      <c r="L97" s="91">
        <f>($C$7*$C$14*$C$8*$E97/$D97^2*K97*10^6)</f>
        <v>7.8026482982558355E-3</v>
      </c>
      <c r="M97" s="91">
        <f>IF($F97=0,0,1+($F97-$D$21)/$D$22)+$G97/$D$23+$H97/$D$24+$I97/$D$25</f>
        <v>6.6486486486486482</v>
      </c>
      <c r="N97" s="97">
        <f>10^(-M97)</f>
        <v>2.2456979955397711E-7</v>
      </c>
      <c r="O97" s="91">
        <f>($C$7*$D$14*$D$8*$E97/$D97^2*N97*10^6)</f>
        <v>4.99043999008838E-2</v>
      </c>
      <c r="P97" s="91">
        <f>IF($F97=0,0,1+($F97-$E$21)/$E$22)+$G97/$E$23+$H97/$E$24+$I97/$E$25</f>
        <v>5.7674418604651159</v>
      </c>
      <c r="Q97" s="97">
        <f>10^(-P97)</f>
        <v>1.7082763938087111E-6</v>
      </c>
      <c r="R97" s="91">
        <f>($C$7*$D$14*$E$8*$E97/$D97^2*Q97*10^6)</f>
        <v>0.37961697640193576</v>
      </c>
      <c r="S97" s="91">
        <f>IF($F97=0,0,1+($F97-$F$21)/$F$22)+$G97/$F$23+$H97/$F$24+$I97/$F$25</f>
        <v>9.1481481481481488</v>
      </c>
      <c r="T97" s="97">
        <f>10^(-S97)</f>
        <v>7.1097094323124171E-10</v>
      </c>
      <c r="U97" s="91">
        <f>($C$7*$F$14*$F$8*$E97/$D97^2*T97*10^6)</f>
        <v>1.5799354294027593E-4</v>
      </c>
      <c r="V97" s="91">
        <f>IF($F97=0,0,1+($F97-$G$21)/$G$22)+$G97/$G$23+$H97/$G$24+$I97/$G$25</f>
        <v>6.9444444444444446</v>
      </c>
      <c r="W97" s="97">
        <f>10^(-V97)</f>
        <v>1.136463666385722E-7</v>
      </c>
      <c r="X97" s="76">
        <f>($C$7*$G$14*$G$8*$E97/$D97^2*W97*10^6)</f>
        <v>2.5254748141904933E-2</v>
      </c>
      <c r="Y97" s="324">
        <f>SUM(L97,O97,R97,U97,X97)</f>
        <v>0.46273676628592059</v>
      </c>
      <c r="Z97" s="325"/>
      <c r="AA97" s="350"/>
      <c r="AG97" s="328"/>
      <c r="AI97" s="328"/>
      <c r="AJ97" s="328"/>
      <c r="AK97" s="328"/>
      <c r="AL97" s="328"/>
      <c r="AP97" s="222"/>
      <c r="AQ97" s="211"/>
      <c r="AR97" s="222"/>
      <c r="AS97" s="222"/>
      <c r="AT97" s="225"/>
      <c r="AU97" s="225"/>
      <c r="AV97" s="225"/>
      <c r="AW97" s="225"/>
      <c r="AX97" s="225"/>
      <c r="AY97" s="300"/>
      <c r="AZ97" s="300"/>
    </row>
    <row r="98" spans="1:54" s="212" customFormat="1" ht="30" customHeight="1" thickBot="1" x14ac:dyDescent="0.3">
      <c r="A98" s="351" t="str">
        <f>Samenvatting!A231</f>
        <v>L10</v>
      </c>
      <c r="B98" s="656" t="str">
        <f>Samenvatting!B231</f>
        <v>ingang labyrint linac 10</v>
      </c>
      <c r="C98" s="331" t="s">
        <v>568</v>
      </c>
      <c r="D98" s="1859">
        <v>5</v>
      </c>
      <c r="E98" s="58"/>
      <c r="F98" s="1859">
        <v>250</v>
      </c>
      <c r="G98" s="1859">
        <v>0</v>
      </c>
      <c r="H98" s="1859">
        <v>0</v>
      </c>
      <c r="I98" s="1859">
        <v>0</v>
      </c>
      <c r="J98" s="91">
        <f>$F98/$C$27+$G98/$C$28+$H98/$C$29+$I98/$C$30</f>
        <v>7.3529411764705879</v>
      </c>
      <c r="K98" s="97">
        <f>10^(-J98)</f>
        <v>4.4366873309786093E-8</v>
      </c>
      <c r="L98" s="91">
        <f>($C$7*$C$15*$C$8*($C$9+$C$10*$C$11)/$D98^2*K98*10^6)</f>
        <v>1.0648049594348663E-3</v>
      </c>
      <c r="M98" s="91">
        <f>$F98/$D$27+$G98/$D$28+$H98/$D$29+$I98/$D$30</f>
        <v>6.5789473684210522</v>
      </c>
      <c r="N98" s="97">
        <f>10^(-M98)</f>
        <v>2.636650898730358E-7</v>
      </c>
      <c r="O98" s="91">
        <f>($C$7*$C$15*$D$8*($D$9+$D$10*$D$11)/$D98^2*N98*10^6)</f>
        <v>6.3279621569528599E-3</v>
      </c>
      <c r="P98" s="91">
        <f>$F98/$E$27+$G98/$E$28+$H98/$E$29+$I98/$E$30</f>
        <v>5.6818181818181817</v>
      </c>
      <c r="Q98" s="97">
        <f>10^(-P98)</f>
        <v>2.0805675382171676E-6</v>
      </c>
      <c r="R98" s="91">
        <f>($C$7*$C$15*$E$8*($E$9+$E$10*$E$11)/$D98^2*Q98*10^6)</f>
        <v>4.9933620917212027E-2</v>
      </c>
      <c r="S98" s="91">
        <f>$F98/$F$27+$G98/$F$28+$H98/$F$29+$I98/$F$30</f>
        <v>8.1967213114754092</v>
      </c>
      <c r="T98" s="97">
        <f>10^(-S98)</f>
        <v>6.3573875711648393E-9</v>
      </c>
      <c r="U98" s="91">
        <f>($C$7*$C$15*$F$8*($F$9+$F$10*$F$11)/$D98^2*T98*10^6)</f>
        <v>1.5257730170795616E-4</v>
      </c>
      <c r="V98" s="91">
        <f>$F98/$G$27+$G98/$G$28+$H98/$G$29+$I98/$G$30</f>
        <v>7.0224719101123592</v>
      </c>
      <c r="W98" s="97">
        <f>10^(-V98)</f>
        <v>9.4957241494880226E-8</v>
      </c>
      <c r="X98" s="76">
        <f>($C$7*$C$15*$G$8*($G$9+$G$10*$G$11)/$D98^2*W98*10^6)</f>
        <v>2.278973795877126E-3</v>
      </c>
      <c r="Y98" s="339">
        <f>SUM(L98,O98,R98,U98,X98)</f>
        <v>5.9757939131184837E-2</v>
      </c>
      <c r="Z98" s="363">
        <f>SUM(Y96:Y99)</f>
        <v>0.52249470541710541</v>
      </c>
      <c r="AA98" s="334">
        <f>Z98*52/10^3</f>
        <v>2.7169724681689482E-2</v>
      </c>
      <c r="AG98" s="328"/>
      <c r="AH98" s="328"/>
      <c r="AI98" s="328"/>
      <c r="AJ98" s="328"/>
      <c r="AK98" s="328"/>
      <c r="AL98" s="328"/>
      <c r="AP98" s="222"/>
      <c r="AQ98" s="211"/>
      <c r="AR98" s="222"/>
      <c r="AS98" s="222"/>
      <c r="AT98" s="225"/>
      <c r="AU98" s="225"/>
      <c r="AV98" s="225"/>
      <c r="AW98" s="225"/>
      <c r="AX98" s="225"/>
      <c r="AY98" s="300"/>
      <c r="AZ98" s="300"/>
    </row>
    <row r="99" spans="1:54" s="212" customFormat="1" ht="30" hidden="1" customHeight="1" thickBot="1" x14ac:dyDescent="0.3">
      <c r="A99" s="317"/>
      <c r="B99" s="312"/>
      <c r="C99" s="318"/>
      <c r="D99" s="1871"/>
      <c r="E99" s="1871"/>
      <c r="F99" s="1871"/>
      <c r="G99" s="1871"/>
      <c r="H99" s="1871"/>
      <c r="I99" s="1871"/>
      <c r="J99" s="91"/>
      <c r="K99" s="97"/>
      <c r="L99" s="91"/>
      <c r="M99" s="91"/>
      <c r="N99" s="97"/>
      <c r="O99" s="91"/>
      <c r="P99" s="91"/>
      <c r="Q99" s="97"/>
      <c r="R99" s="91"/>
      <c r="S99" s="91"/>
      <c r="T99" s="97"/>
      <c r="U99" s="91"/>
      <c r="V99" s="91"/>
      <c r="W99" s="97"/>
      <c r="X99" s="76"/>
      <c r="Y99" s="577"/>
      <c r="Z99" s="659"/>
      <c r="AA99" s="660"/>
      <c r="AG99" s="328"/>
      <c r="AH99" s="328"/>
      <c r="AI99" s="328"/>
      <c r="AJ99" s="328"/>
      <c r="AK99" s="328"/>
      <c r="AL99" s="328"/>
      <c r="AP99" s="222"/>
      <c r="AQ99" s="211"/>
      <c r="AR99" s="222"/>
      <c r="AS99" s="222"/>
      <c r="AT99" s="225"/>
      <c r="AU99" s="225"/>
      <c r="AV99" s="225"/>
      <c r="AW99" s="225"/>
      <c r="AX99" s="225"/>
      <c r="AY99" s="300"/>
      <c r="AZ99" s="300"/>
    </row>
    <row r="100" spans="1:54" s="212" customFormat="1" ht="30" customHeight="1" x14ac:dyDescent="0.25">
      <c r="A100" s="322"/>
      <c r="B100" s="322"/>
      <c r="C100" s="323" t="s">
        <v>569</v>
      </c>
      <c r="D100" s="1859">
        <v>6</v>
      </c>
      <c r="E100" s="1859">
        <v>1</v>
      </c>
      <c r="F100" s="1859">
        <v>250</v>
      </c>
      <c r="G100" s="1859">
        <v>0</v>
      </c>
      <c r="H100" s="1859">
        <v>0</v>
      </c>
      <c r="I100" s="1859">
        <v>0</v>
      </c>
      <c r="J100" s="91">
        <f>IF($F100=0,0,1+($F100-$C$21)/$C$22)+$G100/$C$23+$H100/$C$24+$I100/$C$25</f>
        <v>7.4545454545454541</v>
      </c>
      <c r="K100" s="97">
        <f>10^(-J100)</f>
        <v>3.5111917342151263E-8</v>
      </c>
      <c r="L100" s="91">
        <f>($C$7*$C$14*$C$8*$E100/$D100^2*K100*10^6)</f>
        <v>7.8026482982558355E-3</v>
      </c>
      <c r="M100" s="91">
        <f>IF($F100=0,0,1+($F100-$D$21)/$D$22)+$G100/$D$23+$H100/$D$24+$I100/$D$25</f>
        <v>6.6486486486486482</v>
      </c>
      <c r="N100" s="97">
        <f>10^(-M100)</f>
        <v>2.2456979955397711E-7</v>
      </c>
      <c r="O100" s="91">
        <f>($C$7*$D$14*$D$8*$E100/$D100^2*N100*10^6)</f>
        <v>4.99043999008838E-2</v>
      </c>
      <c r="P100" s="91">
        <f>IF($F100=0,0,1+($F100-$E$21)/$E$22)+$G100/$E$23+$H100/$E$24+$I100/$E$25</f>
        <v>5.7674418604651159</v>
      </c>
      <c r="Q100" s="97">
        <f>10^(-P100)</f>
        <v>1.7082763938087111E-6</v>
      </c>
      <c r="R100" s="91">
        <f>($C$7*$D$14*$E$8*$E100/$D100^2*Q100*10^6)</f>
        <v>0.37961697640193576</v>
      </c>
      <c r="S100" s="91">
        <f>IF($F100=0,0,1+($F100-$F$21)/$F$22)+$G100/$F$23+$H100/$F$24+$I100/$F$25</f>
        <v>9.1481481481481488</v>
      </c>
      <c r="T100" s="97">
        <f>10^(-S100)</f>
        <v>7.1097094323124171E-10</v>
      </c>
      <c r="U100" s="91">
        <f>($C$7*$F$14*$F$8*$E100/$D100^2*T100*10^6)</f>
        <v>1.5799354294027593E-4</v>
      </c>
      <c r="V100" s="91">
        <f>IF($F100=0,0,1+($F100-$G$21)/$G$22)+$G100/$G$23+$H100/$G$24+$I100/$G$25</f>
        <v>6.9444444444444446</v>
      </c>
      <c r="W100" s="97">
        <f>10^(-V100)</f>
        <v>1.136463666385722E-7</v>
      </c>
      <c r="X100" s="76">
        <f>($C$7*$G$14*$G$8*$E100/$D100^2*W100*10^6)</f>
        <v>2.5254748141904933E-2</v>
      </c>
      <c r="Y100" s="324">
        <f>SUM(L100,O100,R100,U100,X100)</f>
        <v>0.46273676628592059</v>
      </c>
      <c r="Z100" s="325"/>
      <c r="AA100" s="350"/>
      <c r="AG100" s="328"/>
      <c r="AI100" s="328"/>
      <c r="AJ100" s="328"/>
      <c r="AK100" s="328"/>
      <c r="AL100" s="328"/>
      <c r="AP100" s="222"/>
      <c r="AQ100" s="211"/>
      <c r="AR100" s="222"/>
      <c r="AS100" s="222"/>
      <c r="AT100" s="225"/>
      <c r="AU100" s="225"/>
      <c r="AV100" s="225"/>
      <c r="AW100" s="225"/>
      <c r="AX100" s="225"/>
      <c r="AY100" s="300"/>
      <c r="AZ100" s="300"/>
    </row>
    <row r="101" spans="1:54" s="212" customFormat="1" ht="30" customHeight="1" thickBot="1" x14ac:dyDescent="0.3">
      <c r="A101" s="343" t="str">
        <f>Samenvatting!A233</f>
        <v>vrij</v>
      </c>
      <c r="B101" s="338" t="str">
        <f>Samenvatting!B233</f>
        <v>vrij te kiezen</v>
      </c>
      <c r="C101" s="331" t="s">
        <v>568</v>
      </c>
      <c r="D101" s="1859">
        <v>5</v>
      </c>
      <c r="E101" s="58"/>
      <c r="F101" s="1859">
        <v>250</v>
      </c>
      <c r="G101" s="1859">
        <v>0</v>
      </c>
      <c r="H101" s="1859">
        <v>0</v>
      </c>
      <c r="I101" s="1859">
        <v>0</v>
      </c>
      <c r="J101" s="91">
        <f>$F101/$C$27+$G101/$C$28+$H101/$C$29+$I101/$C$30</f>
        <v>7.3529411764705879</v>
      </c>
      <c r="K101" s="97">
        <f>10^(-J101)</f>
        <v>4.4366873309786093E-8</v>
      </c>
      <c r="L101" s="91">
        <f>($C$7*$C$15*$C$8*($C$9+$C$10*$C$11)/$D101^2*K101*10^6)</f>
        <v>1.0648049594348663E-3</v>
      </c>
      <c r="M101" s="91">
        <f>$F101/$D$27+$G101/$D$28+$H101/$D$29+$I101/$D$30</f>
        <v>6.5789473684210522</v>
      </c>
      <c r="N101" s="97">
        <f>10^(-M101)</f>
        <v>2.636650898730358E-7</v>
      </c>
      <c r="O101" s="91">
        <f>($C$7*$C$15*$D$8*($D$9+$D$10*$D$11)/$D101^2*N101*10^6)</f>
        <v>6.3279621569528599E-3</v>
      </c>
      <c r="P101" s="91">
        <f>$F101/$E$27+$G101/$E$28+$H101/$E$29+$I101/$E$30</f>
        <v>5.6818181818181817</v>
      </c>
      <c r="Q101" s="97">
        <f>10^(-P101)</f>
        <v>2.0805675382171676E-6</v>
      </c>
      <c r="R101" s="91">
        <f>($C$7*$C$15*$E$8*($E$9+$E$10*$E$11)/$D101^2*Q101*10^6)</f>
        <v>4.9933620917212027E-2</v>
      </c>
      <c r="S101" s="91">
        <f>$F101/$F$27+$G101/$F$28+$H101/$F$29+$I101/$F$30</f>
        <v>8.1967213114754092</v>
      </c>
      <c r="T101" s="97">
        <f>10^(-S101)</f>
        <v>6.3573875711648393E-9</v>
      </c>
      <c r="U101" s="91">
        <f>($C$7*$C$15*$F$8*($F$9+$F$10*$F$11)/$D101^2*T101*10^6)</f>
        <v>1.5257730170795616E-4</v>
      </c>
      <c r="V101" s="91">
        <f>$F101/$G$27+$G101/$G$28+$H101/$G$29+$I101/$G$30</f>
        <v>7.0224719101123592</v>
      </c>
      <c r="W101" s="97">
        <f>10^(-V101)</f>
        <v>9.4957241494880226E-8</v>
      </c>
      <c r="X101" s="76">
        <f>($C$7*$C$15*$G$8*($G$9+$G$10*$G$11)/$D101^2*W101*10^6)</f>
        <v>2.278973795877126E-3</v>
      </c>
      <c r="Y101" s="339">
        <f>SUM(L101,O101,R101,U101,X101)</f>
        <v>5.9757939131184837E-2</v>
      </c>
      <c r="Z101" s="363">
        <f>SUM(Y99:Y102)</f>
        <v>0.52249470541710541</v>
      </c>
      <c r="AA101" s="334">
        <f>Z101*52/10^3</f>
        <v>2.7169724681689482E-2</v>
      </c>
      <c r="AG101" s="328"/>
      <c r="AH101" s="328"/>
      <c r="AI101" s="328"/>
      <c r="AJ101" s="328"/>
      <c r="AK101" s="328"/>
      <c r="AL101" s="328"/>
      <c r="AP101" s="222"/>
      <c r="AQ101" s="211"/>
      <c r="AR101" s="222"/>
      <c r="AS101" s="222"/>
      <c r="AT101" s="225"/>
      <c r="AU101" s="225"/>
      <c r="AV101" s="225"/>
      <c r="AW101" s="225"/>
      <c r="AX101" s="225"/>
      <c r="AY101" s="300"/>
      <c r="AZ101" s="300"/>
    </row>
    <row r="102" spans="1:54" s="225" customFormat="1" ht="30" hidden="1" customHeight="1" x14ac:dyDescent="0.25">
      <c r="A102" s="211"/>
      <c r="B102" s="220"/>
      <c r="C102" s="310"/>
      <c r="D102" s="57"/>
      <c r="E102" s="57"/>
      <c r="F102" s="57"/>
      <c r="G102" s="57"/>
      <c r="H102" s="57"/>
      <c r="I102" s="57"/>
      <c r="J102" s="369"/>
      <c r="K102" s="328"/>
      <c r="L102" s="369"/>
      <c r="M102" s="369"/>
      <c r="N102" s="328"/>
      <c r="O102" s="369"/>
      <c r="P102" s="369"/>
      <c r="Q102" s="328"/>
      <c r="R102" s="369"/>
      <c r="S102" s="369"/>
      <c r="T102" s="328"/>
      <c r="U102" s="369"/>
      <c r="V102" s="369"/>
      <c r="W102" s="328"/>
      <c r="X102" s="369"/>
      <c r="Y102" s="369"/>
      <c r="Z102" s="233"/>
      <c r="AA102" s="233"/>
      <c r="AG102" s="328"/>
      <c r="AH102" s="328"/>
      <c r="AI102" s="328"/>
      <c r="AJ102" s="328"/>
      <c r="AK102" s="328"/>
      <c r="AL102" s="328"/>
      <c r="AP102" s="222"/>
      <c r="AQ102" s="211"/>
      <c r="AR102" s="222"/>
      <c r="AS102" s="222"/>
      <c r="AY102" s="300"/>
      <c r="AZ102" s="300"/>
    </row>
    <row r="103" spans="1:54" s="225" customFormat="1" ht="19.5" customHeight="1" thickBot="1" x14ac:dyDescent="0.3">
      <c r="A103" s="222"/>
      <c r="B103" s="222"/>
      <c r="C103" s="368"/>
      <c r="D103" s="57"/>
      <c r="E103" s="57"/>
      <c r="F103" s="57"/>
      <c r="G103" s="57"/>
      <c r="H103" s="57"/>
      <c r="I103" s="57"/>
      <c r="J103" s="369"/>
      <c r="K103" s="328"/>
      <c r="L103" s="369"/>
      <c r="M103" s="369"/>
      <c r="N103" s="328"/>
      <c r="O103" s="369"/>
      <c r="P103" s="369"/>
      <c r="Q103" s="328"/>
      <c r="R103" s="369"/>
      <c r="S103" s="369"/>
      <c r="T103" s="328"/>
      <c r="U103" s="369"/>
      <c r="V103" s="369"/>
      <c r="W103" s="328"/>
      <c r="X103" s="369"/>
      <c r="Y103" s="369"/>
      <c r="Z103" s="233"/>
      <c r="AA103" s="233"/>
      <c r="AG103" s="328"/>
      <c r="AH103" s="328"/>
      <c r="AI103" s="328"/>
      <c r="AJ103" s="328"/>
      <c r="AK103" s="328"/>
      <c r="AL103" s="328"/>
      <c r="AP103" s="222"/>
      <c r="AQ103" s="211"/>
      <c r="AR103" s="222"/>
      <c r="AS103" s="222"/>
      <c r="AY103" s="300"/>
      <c r="AZ103" s="300"/>
    </row>
    <row r="104" spans="1:54" ht="19.5" customHeight="1" x14ac:dyDescent="0.25">
      <c r="A104" s="373" t="s">
        <v>363</v>
      </c>
      <c r="B104" s="374"/>
      <c r="C104" s="375"/>
      <c r="D104" s="376"/>
      <c r="E104" s="377"/>
      <c r="F104" s="378"/>
      <c r="G104" s="379"/>
      <c r="H104" s="379"/>
      <c r="I104" s="379"/>
      <c r="J104" s="379"/>
      <c r="K104" s="379"/>
      <c r="L104" s="380"/>
      <c r="M104" s="380"/>
      <c r="N104" s="379"/>
      <c r="O104" s="379"/>
      <c r="P104" s="379"/>
      <c r="Q104" s="379"/>
      <c r="R104" s="379"/>
      <c r="S104" s="381"/>
      <c r="T104" s="379"/>
      <c r="U104" s="379"/>
      <c r="V104" s="379"/>
      <c r="W104" s="379"/>
      <c r="X104" s="379"/>
      <c r="Y104" s="379"/>
      <c r="Z104" s="379"/>
      <c r="AA104" s="216"/>
      <c r="AB104" s="297"/>
      <c r="AC104" s="216"/>
      <c r="AD104" s="216"/>
      <c r="AE104" s="216"/>
      <c r="AF104" s="216"/>
      <c r="AG104" s="382"/>
      <c r="AH104" s="382"/>
      <c r="AI104" s="382"/>
      <c r="AJ104" s="383"/>
      <c r="AK104" s="383"/>
      <c r="AL104" s="383"/>
      <c r="AM104" s="383"/>
      <c r="AN104" s="383"/>
      <c r="AO104" s="383"/>
      <c r="AP104" s="383"/>
      <c r="AQ104" s="383"/>
      <c r="AR104" s="382"/>
      <c r="AS104" s="382"/>
      <c r="AT104" s="382"/>
      <c r="AU104" s="382"/>
      <c r="AV104" s="186"/>
    </row>
    <row r="105" spans="1:54" ht="19.5" customHeight="1" thickBot="1" x14ac:dyDescent="0.3">
      <c r="A105" s="384"/>
      <c r="B105" s="385"/>
      <c r="C105" s="386"/>
      <c r="D105" s="387"/>
      <c r="E105" s="388"/>
      <c r="F105" s="388"/>
      <c r="G105" s="388"/>
      <c r="H105" s="288"/>
      <c r="I105" s="288"/>
      <c r="J105" s="288"/>
      <c r="K105" s="288"/>
      <c r="L105" s="299"/>
      <c r="M105" s="299"/>
      <c r="N105" s="288"/>
      <c r="O105" s="288"/>
      <c r="P105" s="288"/>
      <c r="Q105" s="288"/>
      <c r="R105" s="288"/>
      <c r="S105" s="289"/>
      <c r="T105" s="288"/>
      <c r="U105" s="288"/>
      <c r="V105" s="288"/>
      <c r="W105" s="288"/>
      <c r="X105" s="288"/>
      <c r="Y105" s="288"/>
      <c r="Z105" s="288"/>
      <c r="AA105" s="222"/>
      <c r="AB105" s="211"/>
      <c r="AC105" s="222"/>
      <c r="AD105" s="222"/>
      <c r="AE105" s="222"/>
      <c r="AF105" s="222"/>
      <c r="AG105" s="187"/>
      <c r="AH105" s="187"/>
      <c r="AI105" s="187"/>
      <c r="AJ105" s="282"/>
      <c r="AK105" s="282"/>
      <c r="AL105" s="282"/>
      <c r="AM105" s="282"/>
      <c r="AN105" s="282"/>
      <c r="AO105" s="282"/>
      <c r="AP105" s="282"/>
      <c r="AQ105" s="282"/>
      <c r="AR105" s="187"/>
      <c r="AS105" s="187"/>
      <c r="AT105" s="187"/>
      <c r="AU105" s="187"/>
      <c r="AV105" s="186"/>
    </row>
    <row r="106" spans="1:54" ht="19.5" customHeight="1" x14ac:dyDescent="0.25">
      <c r="A106" s="215" t="s">
        <v>247</v>
      </c>
      <c r="B106" s="389"/>
      <c r="C106" s="389"/>
      <c r="D106" s="389"/>
      <c r="E106" s="389"/>
      <c r="F106" s="389"/>
      <c r="G106" s="1845" t="s">
        <v>387</v>
      </c>
      <c r="H106" s="288"/>
      <c r="I106" s="288"/>
      <c r="J106" s="288"/>
      <c r="K106" s="288"/>
      <c r="L106" s="299"/>
      <c r="M106" s="299"/>
      <c r="N106" s="288"/>
      <c r="O106" s="288"/>
      <c r="P106" s="288"/>
      <c r="Q106" s="288"/>
      <c r="R106" s="288"/>
      <c r="S106" s="289"/>
      <c r="T106" s="288"/>
      <c r="U106" s="288"/>
      <c r="V106" s="288"/>
      <c r="W106" s="288"/>
      <c r="X106" s="288"/>
      <c r="Y106" s="288"/>
      <c r="Z106" s="288"/>
      <c r="AA106" s="222"/>
      <c r="AB106" s="211"/>
      <c r="AC106" s="222"/>
      <c r="AD106" s="222"/>
      <c r="AE106" s="222"/>
      <c r="AF106" s="222"/>
      <c r="AG106" s="187"/>
      <c r="AH106" s="187"/>
      <c r="AI106" s="187"/>
      <c r="AJ106" s="282"/>
      <c r="AK106" s="282"/>
      <c r="AL106" s="282"/>
      <c r="AM106" s="282"/>
      <c r="AN106" s="282"/>
      <c r="AO106" s="282"/>
      <c r="AP106" s="282"/>
      <c r="AQ106" s="282"/>
      <c r="AR106" s="187"/>
      <c r="AS106" s="187"/>
      <c r="AT106" s="187"/>
      <c r="AU106" s="187"/>
      <c r="AV106" s="186"/>
    </row>
    <row r="107" spans="1:54" ht="19.5" customHeight="1" thickBot="1" x14ac:dyDescent="0.3">
      <c r="A107" s="226" t="s">
        <v>246</v>
      </c>
      <c r="B107" s="390"/>
      <c r="C107" s="390"/>
      <c r="D107" s="390"/>
      <c r="E107" s="390"/>
      <c r="F107" s="390"/>
      <c r="G107" s="1846">
        <v>1</v>
      </c>
      <c r="H107" s="288"/>
      <c r="I107" s="288"/>
      <c r="J107" s="288"/>
      <c r="K107" s="288"/>
      <c r="L107" s="299"/>
      <c r="M107" s="299"/>
      <c r="N107" s="288"/>
      <c r="O107" s="288"/>
      <c r="P107" s="288"/>
      <c r="Q107" s="288"/>
      <c r="R107" s="288"/>
      <c r="S107" s="289"/>
      <c r="T107" s="288"/>
      <c r="U107" s="288"/>
      <c r="V107" s="288"/>
      <c r="W107" s="288"/>
      <c r="X107" s="288"/>
      <c r="Y107" s="288"/>
      <c r="Z107" s="288"/>
      <c r="AA107" s="222"/>
      <c r="AB107" s="211"/>
      <c r="AC107" s="222"/>
      <c r="AD107" s="222"/>
      <c r="AE107" s="222"/>
      <c r="AF107" s="222"/>
      <c r="AG107" s="187"/>
      <c r="AH107" s="187"/>
      <c r="AI107" s="187"/>
      <c r="AJ107" s="282"/>
      <c r="AK107" s="282"/>
      <c r="AL107" s="282"/>
      <c r="AM107" s="282"/>
      <c r="AN107" s="282"/>
      <c r="AO107" s="282"/>
      <c r="AP107" s="282"/>
      <c r="AQ107" s="282"/>
      <c r="AR107" s="187"/>
      <c r="AS107" s="187"/>
      <c r="AT107" s="187"/>
      <c r="AU107" s="187"/>
      <c r="AV107" s="186"/>
    </row>
    <row r="108" spans="1:54" ht="19.5" customHeight="1" thickBot="1" x14ac:dyDescent="0.3">
      <c r="A108" s="221"/>
      <c r="B108" s="225"/>
      <c r="C108" s="225"/>
      <c r="D108" s="225"/>
      <c r="E108" s="225"/>
      <c r="F108" s="225"/>
      <c r="G108" s="57"/>
      <c r="H108" s="288"/>
      <c r="I108" s="288"/>
      <c r="J108" s="288"/>
      <c r="K108" s="288"/>
      <c r="L108" s="225"/>
      <c r="M108" s="187"/>
      <c r="N108" s="187"/>
      <c r="O108" s="187"/>
      <c r="P108" s="187"/>
      <c r="Q108" s="187"/>
      <c r="R108" s="288"/>
      <c r="Y108" s="288"/>
      <c r="Z108" s="288"/>
      <c r="AA108" s="222"/>
      <c r="AB108" s="211"/>
      <c r="AC108" s="222"/>
      <c r="AD108" s="222"/>
      <c r="AE108" s="222"/>
      <c r="AF108" s="222"/>
      <c r="AG108" s="187"/>
      <c r="AH108" s="187"/>
      <c r="AI108" s="187"/>
      <c r="AJ108" s="282"/>
      <c r="AK108" s="282"/>
      <c r="AL108" s="282"/>
      <c r="AM108" s="282"/>
      <c r="AN108" s="282"/>
      <c r="AO108" s="282"/>
      <c r="AP108" s="282"/>
      <c r="AQ108" s="282"/>
      <c r="AR108" s="187"/>
      <c r="AS108" s="187"/>
      <c r="AT108" s="187"/>
      <c r="AU108" s="187"/>
      <c r="AV108" s="186"/>
    </row>
    <row r="109" spans="1:54" s="212" customFormat="1" ht="19.5" customHeight="1" thickBot="1" x14ac:dyDescent="0.3">
      <c r="A109" s="391" t="s">
        <v>243</v>
      </c>
      <c r="B109" s="392"/>
      <c r="C109" s="216"/>
      <c r="D109" s="216"/>
      <c r="E109" s="393"/>
      <c r="F109" s="216"/>
      <c r="G109" s="389"/>
      <c r="H109" s="216"/>
      <c r="I109" s="297"/>
      <c r="J109" s="394"/>
      <c r="K109" s="395"/>
      <c r="L109" s="396" t="s">
        <v>163</v>
      </c>
      <c r="M109" s="379"/>
      <c r="N109" s="379"/>
      <c r="O109" s="397"/>
      <c r="Q109" s="396" t="s">
        <v>581</v>
      </c>
      <c r="R109" s="398"/>
      <c r="S109" s="389"/>
      <c r="T109" s="389"/>
      <c r="U109" s="399"/>
      <c r="Y109" s="400"/>
      <c r="Z109" s="400"/>
      <c r="AA109" s="400"/>
      <c r="AB109" s="400"/>
      <c r="AC109" s="400"/>
      <c r="AD109" s="400"/>
      <c r="AE109" s="225"/>
      <c r="AF109" s="299"/>
      <c r="AG109" s="299"/>
      <c r="AH109" s="225"/>
      <c r="AI109" s="299"/>
      <c r="AJ109" s="299"/>
      <c r="AK109" s="225"/>
      <c r="AL109" s="299"/>
      <c r="AM109" s="299"/>
      <c r="AN109" s="225"/>
      <c r="AO109" s="299"/>
      <c r="AP109" s="299"/>
      <c r="AQ109" s="225"/>
      <c r="AR109" s="299"/>
      <c r="AS109" s="299"/>
      <c r="AT109" s="220"/>
      <c r="AU109" s="211"/>
      <c r="AV109" s="221"/>
      <c r="AW109" s="222"/>
      <c r="AX109" s="225"/>
      <c r="AY109" s="225"/>
      <c r="AZ109" s="225"/>
      <c r="BA109" s="225"/>
      <c r="BB109" s="225"/>
    </row>
    <row r="110" spans="1:54" s="212" customFormat="1" ht="19.5" customHeight="1" thickBot="1" x14ac:dyDescent="0.3">
      <c r="A110" s="401"/>
      <c r="B110" s="222"/>
      <c r="C110" s="225"/>
      <c r="D110" s="240"/>
      <c r="E110" s="402"/>
      <c r="F110" s="403" t="s">
        <v>55</v>
      </c>
      <c r="G110" s="211"/>
      <c r="H110" s="222"/>
      <c r="I110" s="211"/>
      <c r="J110" s="404"/>
      <c r="K110" s="395"/>
      <c r="L110" s="405" t="s">
        <v>577</v>
      </c>
      <c r="M110" s="406"/>
      <c r="N110" s="406"/>
      <c r="O110" s="407"/>
      <c r="Q110" s="408" t="s">
        <v>579</v>
      </c>
      <c r="R110" s="398"/>
      <c r="S110" s="389"/>
      <c r="T110" s="389"/>
      <c r="U110" s="399"/>
      <c r="Y110" s="400"/>
      <c r="Z110" s="400"/>
      <c r="AA110" s="400"/>
      <c r="AB110" s="400"/>
      <c r="AC110" s="400"/>
      <c r="AD110" s="400"/>
      <c r="AE110" s="225"/>
      <c r="AF110" s="299"/>
      <c r="AG110" s="299"/>
      <c r="AH110" s="225"/>
      <c r="AI110" s="299"/>
      <c r="AJ110" s="299"/>
      <c r="AK110" s="225"/>
      <c r="AL110" s="299"/>
      <c r="AM110" s="299"/>
      <c r="AN110" s="225"/>
      <c r="AO110" s="299"/>
      <c r="AP110" s="299"/>
      <c r="AQ110" s="225"/>
      <c r="AR110" s="299"/>
      <c r="AS110" s="299"/>
      <c r="AT110" s="220"/>
      <c r="AU110" s="211"/>
      <c r="AV110" s="221"/>
      <c r="AW110" s="222"/>
      <c r="AX110" s="225"/>
      <c r="AY110" s="225"/>
      <c r="AZ110" s="225"/>
      <c r="BA110" s="225"/>
      <c r="BB110" s="225"/>
    </row>
    <row r="111" spans="1:54" s="212" customFormat="1" ht="19.5" customHeight="1" thickBot="1" x14ac:dyDescent="0.3">
      <c r="A111" s="221"/>
      <c r="B111" s="308" t="s">
        <v>68</v>
      </c>
      <c r="C111" s="409" t="s">
        <v>81</v>
      </c>
      <c r="D111" s="410"/>
      <c r="E111" s="58">
        <v>0.5</v>
      </c>
      <c r="F111" s="411">
        <f>$C$4</f>
        <v>6</v>
      </c>
      <c r="G111" s="411">
        <f>$D$4</f>
        <v>10</v>
      </c>
      <c r="H111" s="411">
        <f>$E$4</f>
        <v>18</v>
      </c>
      <c r="I111" s="411" t="str">
        <f>$F$4</f>
        <v>6 FFF</v>
      </c>
      <c r="J111" s="412" t="str">
        <f>$G$4</f>
        <v>10 FFF</v>
      </c>
      <c r="K111" s="395"/>
      <c r="L111" s="413"/>
      <c r="M111" s="414" t="s">
        <v>38</v>
      </c>
      <c r="N111" s="415" t="s">
        <v>38</v>
      </c>
      <c r="O111" s="416" t="s">
        <v>156</v>
      </c>
      <c r="Q111" s="1847">
        <v>5.6999999999999999E-16</v>
      </c>
      <c r="R111" s="390"/>
      <c r="S111" s="390"/>
      <c r="T111" s="390"/>
      <c r="U111" s="417"/>
      <c r="Y111" s="400"/>
      <c r="Z111" s="400"/>
      <c r="AA111" s="400"/>
      <c r="AB111" s="400"/>
      <c r="AC111" s="400"/>
      <c r="AD111" s="400"/>
      <c r="AE111" s="225"/>
      <c r="AF111" s="299"/>
      <c r="AG111" s="299"/>
      <c r="AH111" s="225"/>
      <c r="AI111" s="299"/>
      <c r="AJ111" s="299"/>
      <c r="AK111" s="225"/>
      <c r="AL111" s="299"/>
      <c r="AM111" s="299"/>
      <c r="AN111" s="225"/>
      <c r="AO111" s="299"/>
      <c r="AP111" s="299"/>
      <c r="AQ111" s="225"/>
      <c r="AR111" s="299"/>
      <c r="AS111" s="299"/>
      <c r="AT111" s="220"/>
      <c r="AU111" s="211"/>
      <c r="AV111" s="221"/>
      <c r="AW111" s="222"/>
      <c r="AX111" s="225"/>
      <c r="AY111" s="225"/>
      <c r="AZ111" s="225"/>
      <c r="BA111" s="225"/>
      <c r="BB111" s="225"/>
    </row>
    <row r="112" spans="1:54" s="212" customFormat="1" ht="19.5" customHeight="1" thickBot="1" x14ac:dyDescent="0.3">
      <c r="A112" s="418" t="s">
        <v>293</v>
      </c>
      <c r="B112" s="419" t="s">
        <v>282</v>
      </c>
      <c r="C112" s="420">
        <f>IF($G$106="parallel",75,30)</f>
        <v>75</v>
      </c>
      <c r="D112" s="421"/>
      <c r="E112" s="422"/>
      <c r="F112" s="423">
        <f>IF($G$106="parallel",VLOOKUP($F$111,reflectiecoefficienten!$A$11:$F$20,2),VLOOKUP($F$111,reflectiecoefficienten!$A$28:$F$37,2))</f>
        <v>2.7000000000000001E-3</v>
      </c>
      <c r="G112" s="423">
        <f>IF($G$106="parallel",VLOOKUP($G$111,reflectiecoefficienten!$A$11:$F$20,2),VLOOKUP($G$111,reflectiecoefficienten!$A$28:$F$37,2))</f>
        <v>2.0999999999999999E-3</v>
      </c>
      <c r="H112" s="423">
        <f>IF($G$106="parallel",VLOOKUP($H$111,reflectiecoefficienten!$A$11:$F$20,2),VLOOKUP($H$111,reflectiecoefficienten!$A$28:$F$37,2))</f>
        <v>1.6000000000000001E-3</v>
      </c>
      <c r="I112" s="424">
        <f>IF($G$106="parallel",VLOOKUP($I$111,reflectiecoefficienten!$A$11:$F$20,2),VLOOKUP($I$111,reflectiecoefficienten!$A$28:$F$37,2))</f>
        <v>3.5000000000000001E-3</v>
      </c>
      <c r="J112" s="425">
        <f>IF($G$106="parallel",VLOOKUP($J$111,reflectiecoefficienten!$A$11:$F$20,2),VLOOKUP($J$111,reflectiecoefficienten!$A$28:$F$37,2))</f>
        <v>3.3E-3</v>
      </c>
      <c r="K112" s="395"/>
      <c r="L112" s="257"/>
      <c r="M112" s="312" t="s">
        <v>578</v>
      </c>
      <c r="N112" s="308" t="s">
        <v>33</v>
      </c>
      <c r="O112" s="309" t="s">
        <v>245</v>
      </c>
      <c r="Q112" s="426" t="s">
        <v>580</v>
      </c>
      <c r="R112" s="400"/>
      <c r="S112" s="225"/>
      <c r="T112" s="225"/>
      <c r="U112" s="427"/>
      <c r="Y112" s="400"/>
      <c r="Z112" s="400"/>
      <c r="AA112" s="400"/>
      <c r="AB112" s="400"/>
      <c r="AC112" s="400"/>
      <c r="AD112" s="400"/>
      <c r="AE112" s="225"/>
      <c r="AF112" s="299"/>
      <c r="AG112" s="299"/>
      <c r="AH112" s="225"/>
      <c r="AI112" s="299"/>
      <c r="AJ112" s="299"/>
      <c r="AK112" s="225"/>
      <c r="AL112" s="299"/>
      <c r="AM112" s="299"/>
      <c r="AN112" s="225"/>
      <c r="AO112" s="299"/>
      <c r="AP112" s="299"/>
      <c r="AQ112" s="225"/>
      <c r="AR112" s="299"/>
      <c r="AS112" s="299"/>
      <c r="AT112" s="220"/>
      <c r="AU112" s="211"/>
      <c r="AV112" s="221"/>
      <c r="AW112" s="222"/>
      <c r="AX112" s="225"/>
      <c r="AY112" s="225"/>
      <c r="AZ112" s="225"/>
      <c r="BA112" s="225"/>
      <c r="BB112" s="225"/>
    </row>
    <row r="113" spans="1:54" s="212" customFormat="1" ht="19.5" customHeight="1" thickBot="1" x14ac:dyDescent="0.3">
      <c r="A113" s="428" t="s">
        <v>294</v>
      </c>
      <c r="B113" s="179" t="s">
        <v>282</v>
      </c>
      <c r="C113" s="308">
        <v>75</v>
      </c>
      <c r="D113" s="421"/>
      <c r="E113" s="429"/>
      <c r="F113" s="423">
        <f>IF($G$106="parallel",VLOOKUP($F$111,reflectiecoefficienten!$A$11:$F$20,3),VLOOKUP($F$111,reflectiecoefficienten!$A$28:$F$37,3))</f>
        <v>2.7000000000000001E-3</v>
      </c>
      <c r="G113" s="423">
        <f>IF($G$106="parallel",VLOOKUP($G$111,reflectiecoefficienten!$A$11:$F$20,3),VLOOKUP($G$111,reflectiecoefficienten!$A$28:$F$37,3))</f>
        <v>2.0999999999999999E-3</v>
      </c>
      <c r="H113" s="423">
        <f>IF($G$106="parallel",VLOOKUP($H$111,reflectiecoefficienten!$A$11:$F$20,3),VLOOKUP($H$111,reflectiecoefficienten!$A$28:$F$37,3))</f>
        <v>1.6000000000000001E-3</v>
      </c>
      <c r="I113" s="424">
        <f>IF($G$106="parallel",VLOOKUP($I$111,reflectiecoefficienten!$A$11:$F$20,3),VLOOKUP($I$111,reflectiecoefficienten!$A$28:$F$37,3))</f>
        <v>3.5000000000000001E-3</v>
      </c>
      <c r="J113" s="425">
        <f>IF($G$106="parallel",VLOOKUP($J$111,reflectiecoefficienten!$A$11:$F$20,3),VLOOKUP($J$111,reflectiecoefficienten!$A$28:$F$37,3))</f>
        <v>3.3E-3</v>
      </c>
      <c r="K113" s="395"/>
      <c r="L113" s="307" t="s">
        <v>55</v>
      </c>
      <c r="M113" s="430">
        <v>0.5</v>
      </c>
      <c r="N113" s="415">
        <v>0.1</v>
      </c>
      <c r="O113" s="416">
        <v>3.6</v>
      </c>
      <c r="Q113" s="1848">
        <v>6.2</v>
      </c>
      <c r="R113" s="431"/>
      <c r="S113" s="390"/>
      <c r="T113" s="390"/>
      <c r="U113" s="417"/>
      <c r="Y113" s="400"/>
      <c r="Z113" s="400"/>
      <c r="AA113" s="400"/>
      <c r="AB113" s="400"/>
      <c r="AC113" s="400"/>
      <c r="AD113" s="400"/>
      <c r="AE113" s="225"/>
      <c r="AF113" s="299"/>
      <c r="AG113" s="299"/>
      <c r="AH113" s="225"/>
      <c r="AI113" s="299"/>
      <c r="AJ113" s="299"/>
      <c r="AK113" s="225"/>
      <c r="AL113" s="299"/>
      <c r="AM113" s="299"/>
      <c r="AN113" s="225"/>
      <c r="AO113" s="299"/>
      <c r="AP113" s="299"/>
      <c r="AQ113" s="225"/>
      <c r="AR113" s="299"/>
      <c r="AS113" s="299"/>
      <c r="AT113" s="220"/>
      <c r="AU113" s="211"/>
      <c r="AV113" s="221"/>
      <c r="AW113" s="222"/>
      <c r="AX113" s="225"/>
      <c r="AY113" s="225"/>
      <c r="AZ113" s="225"/>
      <c r="BA113" s="225"/>
      <c r="BB113" s="225"/>
    </row>
    <row r="114" spans="1:54" s="212" customFormat="1" ht="19.5" customHeight="1" thickBot="1" x14ac:dyDescent="0.3">
      <c r="A114" s="428" t="s">
        <v>295</v>
      </c>
      <c r="B114" s="308" t="str">
        <f>IF($G$106="parallel","loodrecht",45)</f>
        <v>loodrecht</v>
      </c>
      <c r="C114" s="308">
        <f>IF($G$106="parallel",75,0)</f>
        <v>75</v>
      </c>
      <c r="D114" s="421"/>
      <c r="E114" s="432">
        <f>IF($G$106="parallel",VLOOKUP($E$111,reflectiecoefficienten!$A$11:$F$20,4),VLOOKUP($E$111,reflectiecoefficienten!$A$28:$F$37,4))</f>
        <v>8.0000000000000002E-3</v>
      </c>
      <c r="F114" s="433"/>
      <c r="G114" s="423"/>
      <c r="H114" s="423"/>
      <c r="I114" s="424"/>
      <c r="J114" s="425"/>
      <c r="K114" s="395"/>
      <c r="L114" s="434" t="s">
        <v>3</v>
      </c>
      <c r="M114" s="263">
        <f>VLOOKUP($M$113,'TVT''s afscherming'!$A$10:$J$23,5)</f>
        <v>5.5</v>
      </c>
      <c r="N114" s="435">
        <f>VLOOKUP($N$113,'TVT''s afscherming'!$A$45:$J$45,3)</f>
        <v>37</v>
      </c>
      <c r="O114" s="436">
        <f>VLOOKUP($O$113,'TVT''s afscherming'!$A$47:$J$47,3)</f>
        <v>13.5</v>
      </c>
      <c r="R114" s="400"/>
      <c r="Y114" s="400"/>
      <c r="Z114" s="400"/>
      <c r="AA114" s="400"/>
      <c r="AB114" s="400"/>
      <c r="AC114" s="400"/>
      <c r="AD114" s="400"/>
      <c r="AE114" s="225"/>
      <c r="AF114" s="299"/>
      <c r="AG114" s="299"/>
      <c r="AH114" s="225"/>
      <c r="AI114" s="299"/>
      <c r="AJ114" s="299"/>
      <c r="AK114" s="225"/>
      <c r="AL114" s="299"/>
      <c r="AM114" s="299"/>
      <c r="AN114" s="225"/>
      <c r="AO114" s="299"/>
      <c r="AP114" s="299"/>
      <c r="AQ114" s="225"/>
      <c r="AR114" s="299"/>
      <c r="AS114" s="299"/>
      <c r="AT114" s="220"/>
      <c r="AU114" s="211"/>
      <c r="AV114" s="221"/>
      <c r="AW114" s="222"/>
      <c r="AX114" s="225"/>
      <c r="AY114" s="225"/>
      <c r="AZ114" s="225"/>
      <c r="BA114" s="225"/>
      <c r="BB114" s="225"/>
    </row>
    <row r="115" spans="1:54" s="212" customFormat="1" ht="19.5" customHeight="1" thickBot="1" x14ac:dyDescent="0.3">
      <c r="A115" s="428" t="s">
        <v>296</v>
      </c>
      <c r="B115" s="308">
        <v>45</v>
      </c>
      <c r="C115" s="308">
        <v>0</v>
      </c>
      <c r="D115" s="421"/>
      <c r="E115" s="432">
        <f>IF($G$106="parallel",VLOOKUP($E$111,reflectiecoefficienten!$A$11:$F$20,5),VLOOKUP($E$111,reflectiecoefficienten!$A$28:$F$37,5))</f>
        <v>2.1999999999999999E-2</v>
      </c>
      <c r="F115" s="423">
        <f>IF($G$106="parallel",VLOOKUP($F$111,reflectiecoefficienten!$A$11:$F$20,5),VLOOKUP($F$111,reflectiecoefficienten!$A$28:$F$37,5))</f>
        <v>6.4000000000000003E-3</v>
      </c>
      <c r="G115" s="423">
        <f>IF($G$106="parallel",VLOOKUP($G$111,reflectiecoefficienten!$A$11:$F$20,5),VLOOKUP($G$111,reflectiecoefficienten!$A$28:$F$37,5))</f>
        <v>5.1000000000000004E-3</v>
      </c>
      <c r="H115" s="423">
        <f>IF($G$106="parallel",VLOOKUP($H$111,reflectiecoefficienten!$A$11:$F$20,5),VLOOKUP($H$111,reflectiecoefficienten!$A$28:$F$37,5))</f>
        <v>4.4999999999999997E-3</v>
      </c>
      <c r="I115" s="424">
        <f>IF($G$106="parallel",VLOOKUP($I$111,reflectiecoefficienten!$A$11:$F$20,5),VLOOKUP($I$111,reflectiecoefficienten!$A$28:$F$37,5))</f>
        <v>8.3000000000000001E-3</v>
      </c>
      <c r="J115" s="425">
        <f>IF($G$106="parallel",VLOOKUP($J$111,reflectiecoefficienten!$A$11:$F$20,5),VLOOKUP($J$111,reflectiecoefficienten!$A$28:$F$37,5))</f>
        <v>7.3000000000000001E-3</v>
      </c>
      <c r="K115" s="395"/>
      <c r="L115" s="307" t="s">
        <v>22</v>
      </c>
      <c r="M115" s="263">
        <f>VLOOKUP($M$113,'TVT''s afscherming'!$A$10:$J$23,6)</f>
        <v>1.6</v>
      </c>
      <c r="N115" s="263">
        <f>VLOOKUP($N$113,'TVT''s afscherming'!$A$45:$J$45,4)</f>
        <v>37</v>
      </c>
      <c r="O115" s="437">
        <f>IF(M134&gt;5,'TVT''s afscherming'!$D$48,'TVT''s afscherming'!$D$47)</f>
        <v>0.6</v>
      </c>
      <c r="R115" s="400"/>
      <c r="Y115" s="400"/>
      <c r="Z115" s="400"/>
      <c r="AA115" s="400"/>
      <c r="AB115" s="400"/>
      <c r="AC115" s="400"/>
      <c r="AD115" s="400"/>
      <c r="AE115" s="225"/>
      <c r="AF115" s="299"/>
      <c r="AG115" s="299"/>
      <c r="AH115" s="225"/>
      <c r="AI115" s="299"/>
      <c r="AJ115" s="299"/>
      <c r="AK115" s="225"/>
      <c r="AL115" s="299"/>
      <c r="AM115" s="299"/>
      <c r="AN115" s="225"/>
      <c r="AO115" s="299"/>
      <c r="AP115" s="299"/>
      <c r="AQ115" s="225"/>
      <c r="AR115" s="299"/>
      <c r="AS115" s="299"/>
      <c r="AT115" s="220"/>
      <c r="AU115" s="211"/>
      <c r="AV115" s="221"/>
      <c r="AW115" s="222"/>
      <c r="AX115" s="225"/>
      <c r="AY115" s="225"/>
      <c r="AZ115" s="225"/>
      <c r="BA115" s="225"/>
      <c r="BB115" s="225"/>
    </row>
    <row r="116" spans="1:54" s="212" customFormat="1" ht="19.5" customHeight="1" thickBot="1" x14ac:dyDescent="0.3">
      <c r="A116" s="428" t="s">
        <v>297</v>
      </c>
      <c r="B116" s="179" t="s">
        <v>282</v>
      </c>
      <c r="C116" s="308">
        <v>75</v>
      </c>
      <c r="D116" s="222"/>
      <c r="E116" s="424">
        <f>IF(G107=1,1,(IF($G$106="parallel",VLOOKUP($E$111,reflectiecoefficienten!$A$11:$F$20,6),VLOOKUP($E$111,reflectiecoefficienten!$A$28:$F$37,6))))</f>
        <v>1</v>
      </c>
      <c r="F116" s="429"/>
      <c r="G116" s="423"/>
      <c r="H116" s="424"/>
      <c r="I116" s="424"/>
      <c r="J116" s="425"/>
      <c r="K116" s="395"/>
      <c r="L116" s="438" t="s">
        <v>39</v>
      </c>
      <c r="M116" s="439"/>
      <c r="N116" s="276">
        <f>VLOOKUP($N$113,'TVT''s afscherming'!$A$45:$J$45,5)</f>
        <v>4.5</v>
      </c>
      <c r="O116" s="440"/>
      <c r="R116" s="400"/>
      <c r="Y116" s="400"/>
      <c r="Z116" s="400"/>
      <c r="AA116" s="400"/>
      <c r="AB116" s="400"/>
      <c r="AC116" s="400"/>
      <c r="AD116" s="400"/>
      <c r="AE116" s="225"/>
      <c r="AF116" s="299"/>
      <c r="AG116" s="299"/>
      <c r="AH116" s="225"/>
      <c r="AI116" s="299"/>
      <c r="AJ116" s="299"/>
      <c r="AK116" s="225"/>
      <c r="AL116" s="299"/>
      <c r="AM116" s="299"/>
      <c r="AN116" s="225"/>
      <c r="AO116" s="299"/>
      <c r="AP116" s="299"/>
      <c r="AQ116" s="225"/>
      <c r="AR116" s="299"/>
      <c r="AS116" s="299"/>
      <c r="AT116" s="220"/>
      <c r="AU116" s="211"/>
      <c r="AV116" s="221"/>
      <c r="AW116" s="222"/>
      <c r="AX116" s="225"/>
      <c r="AY116" s="225"/>
      <c r="AZ116" s="225"/>
      <c r="BA116" s="225"/>
      <c r="BB116" s="225"/>
    </row>
    <row r="117" spans="1:54" s="212" customFormat="1" ht="19.5" customHeight="1" thickBot="1" x14ac:dyDescent="0.3">
      <c r="A117" s="441"/>
      <c r="B117" s="442"/>
      <c r="C117" s="443"/>
      <c r="D117" s="444"/>
      <c r="E117" s="445"/>
      <c r="F117" s="446"/>
      <c r="G117" s="445"/>
      <c r="H117" s="445"/>
      <c r="I117" s="445"/>
      <c r="J117" s="445"/>
      <c r="K117" s="395"/>
      <c r="R117" s="400"/>
      <c r="Y117" s="400"/>
      <c r="Z117" s="400"/>
      <c r="AA117" s="400"/>
      <c r="AB117" s="400"/>
      <c r="AC117" s="400"/>
      <c r="AD117" s="400"/>
      <c r="AE117" s="225"/>
      <c r="AF117" s="299"/>
      <c r="AG117" s="299"/>
      <c r="AH117" s="225"/>
      <c r="AI117" s="299"/>
      <c r="AJ117" s="299"/>
      <c r="AK117" s="225"/>
      <c r="AL117" s="299"/>
      <c r="AM117" s="299"/>
      <c r="AN117" s="225"/>
      <c r="AO117" s="299"/>
      <c r="AP117" s="299"/>
      <c r="AQ117" s="225"/>
      <c r="AR117" s="299"/>
      <c r="AS117" s="299"/>
      <c r="AT117" s="220"/>
      <c r="AU117" s="211"/>
      <c r="AV117" s="221"/>
      <c r="AW117" s="222"/>
      <c r="AX117" s="225"/>
      <c r="AY117" s="225"/>
      <c r="AZ117" s="225"/>
      <c r="BA117" s="225"/>
      <c r="BB117" s="225"/>
    </row>
    <row r="118" spans="1:54" s="212" customFormat="1" ht="19.5" customHeight="1" x14ac:dyDescent="0.25">
      <c r="A118" s="447" t="s">
        <v>280</v>
      </c>
      <c r="B118" s="272"/>
      <c r="C118" s="222"/>
      <c r="D118" s="222"/>
      <c r="E118" s="310"/>
      <c r="F118" s="448" t="s">
        <v>55</v>
      </c>
      <c r="J118" s="449"/>
      <c r="K118" s="395"/>
      <c r="R118" s="400"/>
      <c r="S118" s="400"/>
      <c r="T118" s="400"/>
      <c r="U118" s="400"/>
      <c r="V118" s="400"/>
      <c r="W118" s="400"/>
      <c r="X118" s="400"/>
      <c r="Y118" s="400"/>
      <c r="Z118" s="400"/>
      <c r="AA118" s="400"/>
      <c r="AB118" s="400"/>
      <c r="AC118" s="400"/>
      <c r="AD118" s="400"/>
      <c r="AE118" s="225"/>
      <c r="AF118" s="299"/>
      <c r="AG118" s="299"/>
      <c r="AH118" s="225"/>
      <c r="AI118" s="299"/>
      <c r="AJ118" s="299"/>
      <c r="AK118" s="225"/>
      <c r="AL118" s="299"/>
      <c r="AM118" s="299"/>
      <c r="AN118" s="225"/>
      <c r="AO118" s="299"/>
      <c r="AP118" s="299"/>
      <c r="AQ118" s="225"/>
      <c r="AR118" s="299"/>
      <c r="AS118" s="299"/>
      <c r="AT118" s="220"/>
      <c r="AU118" s="211"/>
      <c r="AV118" s="221"/>
      <c r="AW118" s="222"/>
      <c r="AX118" s="225"/>
      <c r="AY118" s="225"/>
      <c r="AZ118" s="225"/>
      <c r="BA118" s="225"/>
      <c r="BB118" s="225"/>
    </row>
    <row r="119" spans="1:54" s="212" customFormat="1" ht="19.5" customHeight="1" x14ac:dyDescent="0.25">
      <c r="A119" s="221" t="s">
        <v>291</v>
      </c>
      <c r="B119" s="220"/>
      <c r="C119" s="450" t="s">
        <v>289</v>
      </c>
      <c r="D119" s="266"/>
      <c r="E119" s="451"/>
      <c r="F119" s="411">
        <f>$C$4</f>
        <v>6</v>
      </c>
      <c r="G119" s="269">
        <f>$D$4</f>
        <v>10</v>
      </c>
      <c r="H119" s="269">
        <f>$E$4</f>
        <v>18</v>
      </c>
      <c r="I119" s="411" t="str">
        <f>$F$4</f>
        <v>6 FFF</v>
      </c>
      <c r="J119" s="412" t="str">
        <f>$G$4</f>
        <v>10 FFF</v>
      </c>
      <c r="K119" s="395"/>
      <c r="L119" s="211"/>
      <c r="M119" s="452"/>
      <c r="N119" s="453"/>
      <c r="O119" s="453"/>
      <c r="P119" s="453"/>
      <c r="Q119" s="453"/>
      <c r="R119" s="400"/>
      <c r="S119" s="400"/>
      <c r="T119" s="400"/>
      <c r="U119" s="400"/>
      <c r="V119" s="400"/>
      <c r="W119" s="400"/>
      <c r="X119" s="400"/>
      <c r="Y119" s="400"/>
      <c r="Z119" s="400"/>
      <c r="AA119" s="400"/>
      <c r="AB119" s="400"/>
      <c r="AC119" s="400"/>
      <c r="AD119" s="400"/>
      <c r="AE119" s="225"/>
      <c r="AF119" s="299"/>
      <c r="AG119" s="299"/>
      <c r="AH119" s="225"/>
      <c r="AI119" s="299"/>
      <c r="AJ119" s="299"/>
      <c r="AK119" s="225"/>
      <c r="AL119" s="299"/>
      <c r="AM119" s="299"/>
      <c r="AN119" s="225"/>
      <c r="AO119" s="299"/>
      <c r="AP119" s="299"/>
      <c r="AQ119" s="225"/>
      <c r="AR119" s="299"/>
      <c r="AS119" s="299"/>
      <c r="AT119" s="220"/>
      <c r="AU119" s="211"/>
      <c r="AV119" s="221"/>
      <c r="AW119" s="222"/>
      <c r="AX119" s="225"/>
      <c r="AY119" s="225"/>
      <c r="AZ119" s="225"/>
      <c r="BA119" s="225"/>
      <c r="BB119" s="225"/>
    </row>
    <row r="120" spans="1:54" s="212" customFormat="1" ht="19.5" customHeight="1" x14ac:dyDescent="0.25">
      <c r="A120" s="454" t="s">
        <v>281</v>
      </c>
      <c r="B120" s="455"/>
      <c r="C120" s="456" t="s">
        <v>287</v>
      </c>
      <c r="D120" s="457"/>
      <c r="E120" s="458"/>
      <c r="F120" s="423">
        <f>VLOOKUP($F$119,patientscatterfactoren!$A$18:$I$29,5)</f>
        <v>1.39E-3</v>
      </c>
      <c r="G120" s="423">
        <f>VLOOKUP($G$119,patientscatterfactoren!$A$18:$I$29,5)</f>
        <v>1.3500000000000001E-3</v>
      </c>
      <c r="H120" s="423">
        <f>VLOOKUP($H$119,patientscatterfactoren!$A$18:$I$29,5)</f>
        <v>8.6399999999999997E-4</v>
      </c>
      <c r="I120" s="423">
        <f>VLOOKUP($I$119,patientscatterfactoren!$A$18:$I$29,5)</f>
        <v>1.2999999999999999E-3</v>
      </c>
      <c r="J120" s="425">
        <f>VLOOKUP($J$119,patientscatterfactoren!$A$18:$I$29,5)</f>
        <v>1.1999999999999999E-3</v>
      </c>
      <c r="K120" s="395"/>
      <c r="L120" s="211"/>
      <c r="M120" s="453"/>
      <c r="N120" s="453"/>
      <c r="O120" s="453"/>
      <c r="P120" s="453"/>
      <c r="Q120" s="453"/>
      <c r="R120" s="400"/>
      <c r="S120" s="400"/>
      <c r="T120" s="400"/>
      <c r="U120" s="400"/>
      <c r="V120" s="400"/>
      <c r="W120" s="400"/>
      <c r="X120" s="400"/>
      <c r="Y120" s="400"/>
      <c r="Z120" s="400"/>
      <c r="AA120" s="400"/>
      <c r="AB120" s="400"/>
      <c r="AC120" s="400"/>
      <c r="AD120" s="400"/>
      <c r="AE120" s="225"/>
      <c r="AF120" s="299"/>
      <c r="AG120" s="299"/>
      <c r="AH120" s="225"/>
      <c r="AI120" s="299"/>
      <c r="AJ120" s="299"/>
      <c r="AK120" s="225"/>
      <c r="AL120" s="299"/>
      <c r="AM120" s="299"/>
      <c r="AN120" s="225"/>
      <c r="AO120" s="299"/>
      <c r="AP120" s="299"/>
      <c r="AQ120" s="225"/>
      <c r="AR120" s="299"/>
      <c r="AS120" s="299"/>
      <c r="AT120" s="220"/>
      <c r="AU120" s="211"/>
      <c r="AV120" s="221"/>
      <c r="AW120" s="222"/>
      <c r="AX120" s="225"/>
      <c r="AY120" s="225"/>
      <c r="AZ120" s="225"/>
      <c r="BA120" s="225"/>
      <c r="BB120" s="225"/>
    </row>
    <row r="121" spans="1:54" s="212" customFormat="1" ht="19.5" customHeight="1" x14ac:dyDescent="0.25">
      <c r="A121" s="459" t="s">
        <v>284</v>
      </c>
      <c r="B121" s="272"/>
      <c r="C121" s="460" t="s">
        <v>285</v>
      </c>
      <c r="D121" s="222"/>
      <c r="E121" s="461"/>
      <c r="F121" s="423">
        <f>VLOOKUP($F$119,patientscatterfactoren!$A$18:$I$29,7)</f>
        <v>4.26E-4</v>
      </c>
      <c r="G121" s="423">
        <f>VLOOKUP($G$119,patientscatterfactoren!$A$18:$I$29,7)</f>
        <v>3.8099999999999999E-4</v>
      </c>
      <c r="H121" s="423">
        <f>VLOOKUP($H$119,patientscatterfactoren!$A$18:$I$29,7)</f>
        <v>1.8900000000000001E-4</v>
      </c>
      <c r="I121" s="423">
        <f>VLOOKUP($I$119,patientscatterfactoren!$A$18:$I$29,7)</f>
        <v>4.46E-4</v>
      </c>
      <c r="J121" s="425">
        <f>VLOOKUP($J$119,patientscatterfactoren!$A$18:$I$29,7)</f>
        <v>4.0299999999999998E-4</v>
      </c>
      <c r="K121" s="395"/>
      <c r="L121" s="211"/>
      <c r="M121" s="453"/>
      <c r="N121" s="453"/>
      <c r="O121" s="453"/>
      <c r="P121" s="453"/>
      <c r="Q121" s="453"/>
      <c r="R121" s="400"/>
      <c r="S121" s="400"/>
      <c r="T121" s="400"/>
      <c r="U121" s="400"/>
      <c r="V121" s="400"/>
      <c r="W121" s="400"/>
      <c r="X121" s="400"/>
      <c r="Y121" s="400"/>
      <c r="Z121" s="400"/>
      <c r="AA121" s="400"/>
      <c r="AB121" s="400"/>
      <c r="AC121" s="400"/>
      <c r="AD121" s="400"/>
      <c r="AE121" s="225"/>
      <c r="AF121" s="299"/>
      <c r="AG121" s="299"/>
      <c r="AH121" s="225"/>
      <c r="AI121" s="299"/>
      <c r="AJ121" s="299"/>
      <c r="AK121" s="225"/>
      <c r="AL121" s="299"/>
      <c r="AM121" s="299"/>
      <c r="AN121" s="225"/>
      <c r="AO121" s="299"/>
      <c r="AP121" s="299"/>
      <c r="AQ121" s="225"/>
      <c r="AR121" s="299"/>
      <c r="AS121" s="299"/>
      <c r="AT121" s="220"/>
      <c r="AU121" s="211"/>
      <c r="AV121" s="221"/>
      <c r="AW121" s="222"/>
      <c r="AX121" s="225"/>
      <c r="AY121" s="225"/>
      <c r="AZ121" s="225"/>
      <c r="BA121" s="225"/>
      <c r="BB121" s="225"/>
    </row>
    <row r="122" spans="1:54" s="212" customFormat="1" ht="19.5" customHeight="1" thickBot="1" x14ac:dyDescent="0.3">
      <c r="A122" s="459" t="s">
        <v>286</v>
      </c>
      <c r="B122" s="272"/>
      <c r="C122" s="460" t="s">
        <v>288</v>
      </c>
      <c r="D122" s="222"/>
      <c r="E122" s="462"/>
      <c r="F122" s="423">
        <f>VLOOKUP($F$119,patientscatterfactoren!$A$18:$I$29,8)</f>
        <v>2.9999999999999997E-4</v>
      </c>
      <c r="G122" s="423">
        <f>VLOOKUP($G$119,patientscatterfactoren!$A$18:$I$29,8)</f>
        <v>3.0200000000000002E-4</v>
      </c>
      <c r="H122" s="463">
        <f>VLOOKUP($H$119,patientscatterfactoren!$A$18:$I$29,8)</f>
        <v>1.2400000000000001E-4</v>
      </c>
      <c r="I122" s="463">
        <f>VLOOKUP($I$119,patientscatterfactoren!$A$18:$I$29,8)</f>
        <v>3.4200000000000002E-4</v>
      </c>
      <c r="J122" s="464">
        <f>VLOOKUP($J$119,patientscatterfactoren!$A$18:$I$29,8)</f>
        <v>3.8200000000000002E-4</v>
      </c>
      <c r="K122" s="395"/>
      <c r="L122" s="211"/>
      <c r="M122" s="453"/>
      <c r="N122" s="453"/>
      <c r="O122" s="453"/>
      <c r="P122" s="453"/>
      <c r="Q122" s="453"/>
      <c r="R122" s="400"/>
      <c r="S122" s="400"/>
      <c r="T122" s="400"/>
      <c r="U122" s="400"/>
      <c r="V122" s="400"/>
      <c r="W122" s="400"/>
      <c r="X122" s="400"/>
      <c r="Y122" s="400"/>
      <c r="Z122" s="400"/>
      <c r="AA122" s="400"/>
      <c r="AB122" s="400"/>
      <c r="AC122" s="400"/>
      <c r="AD122" s="400"/>
      <c r="AE122" s="225"/>
      <c r="AF122" s="299"/>
      <c r="AG122" s="299"/>
      <c r="AH122" s="225"/>
      <c r="AI122" s="299"/>
      <c r="AJ122" s="299"/>
      <c r="AK122" s="225"/>
      <c r="AL122" s="299"/>
      <c r="AM122" s="299"/>
      <c r="AN122" s="225"/>
      <c r="AO122" s="299"/>
      <c r="AP122" s="299"/>
      <c r="AQ122" s="225"/>
      <c r="AR122" s="299"/>
      <c r="AS122" s="299"/>
      <c r="AT122" s="220"/>
      <c r="AU122" s="211"/>
      <c r="AV122" s="221"/>
      <c r="AW122" s="222"/>
      <c r="AX122" s="225"/>
      <c r="AY122" s="225"/>
      <c r="AZ122" s="225"/>
      <c r="BA122" s="225"/>
      <c r="BB122" s="225"/>
    </row>
    <row r="123" spans="1:54" s="212" customFormat="1" ht="19.5" customHeight="1" thickBot="1" x14ac:dyDescent="0.3">
      <c r="A123" s="465"/>
      <c r="B123" s="466"/>
      <c r="C123" s="466"/>
      <c r="D123" s="444"/>
      <c r="E123" s="445"/>
      <c r="F123" s="445"/>
      <c r="G123" s="445"/>
      <c r="H123" s="467"/>
      <c r="I123" s="467"/>
      <c r="J123" s="467"/>
      <c r="K123" s="395"/>
      <c r="L123" s="395"/>
      <c r="M123" s="400"/>
      <c r="N123" s="400"/>
      <c r="O123" s="400"/>
      <c r="P123" s="400"/>
      <c r="Q123" s="400"/>
      <c r="R123" s="400"/>
      <c r="S123" s="400"/>
      <c r="T123" s="400"/>
      <c r="U123" s="400"/>
      <c r="V123" s="400"/>
      <c r="W123" s="400"/>
      <c r="X123" s="400"/>
      <c r="Y123" s="400"/>
      <c r="Z123" s="400"/>
      <c r="AA123" s="400"/>
      <c r="AB123" s="400"/>
      <c r="AC123" s="400"/>
      <c r="AD123" s="400"/>
      <c r="AE123" s="225"/>
      <c r="AF123" s="299"/>
      <c r="AG123" s="299"/>
      <c r="AH123" s="225"/>
      <c r="AI123" s="299"/>
      <c r="AJ123" s="299"/>
      <c r="AK123" s="225"/>
      <c r="AL123" s="299"/>
      <c r="AM123" s="299"/>
      <c r="AN123" s="225"/>
      <c r="AO123" s="299"/>
      <c r="AP123" s="299"/>
      <c r="AQ123" s="225"/>
      <c r="AR123" s="299"/>
      <c r="AS123" s="299"/>
      <c r="AT123" s="220"/>
      <c r="AU123" s="211"/>
      <c r="AV123" s="221"/>
      <c r="AW123" s="222"/>
      <c r="AX123" s="225"/>
      <c r="AY123" s="225"/>
      <c r="AZ123" s="225"/>
      <c r="BA123" s="225"/>
      <c r="BB123" s="225"/>
    </row>
    <row r="124" spans="1:54" s="212" customFormat="1" ht="19.5" customHeight="1" x14ac:dyDescent="0.25">
      <c r="A124" s="428" t="s">
        <v>244</v>
      </c>
      <c r="B124" s="225"/>
      <c r="C124" s="225"/>
      <c r="D124" s="211"/>
      <c r="E124" s="211"/>
      <c r="F124" s="225"/>
      <c r="G124" s="427"/>
      <c r="H124" s="225"/>
      <c r="I124" s="225"/>
      <c r="J124" s="222"/>
      <c r="K124" s="395"/>
      <c r="L124" s="395"/>
      <c r="M124" s="400"/>
      <c r="N124" s="400"/>
      <c r="O124" s="400"/>
      <c r="P124" s="400"/>
      <c r="Q124" s="400"/>
      <c r="R124" s="400"/>
      <c r="S124" s="400"/>
      <c r="T124" s="400"/>
      <c r="U124" s="400"/>
      <c r="V124" s="400"/>
      <c r="W124" s="400"/>
      <c r="X124" s="400"/>
      <c r="Y124" s="400"/>
      <c r="Z124" s="400"/>
      <c r="AA124" s="400"/>
      <c r="AB124" s="400"/>
      <c r="AC124" s="400"/>
      <c r="AD124" s="400"/>
      <c r="AE124" s="225"/>
      <c r="AF124" s="299"/>
      <c r="AG124" s="299"/>
      <c r="AH124" s="225"/>
      <c r="AI124" s="299"/>
      <c r="AJ124" s="299"/>
      <c r="AK124" s="225"/>
      <c r="AL124" s="299"/>
      <c r="AM124" s="299"/>
      <c r="AN124" s="225"/>
      <c r="AO124" s="299"/>
      <c r="AP124" s="299"/>
      <c r="AQ124" s="225"/>
      <c r="AR124" s="299"/>
      <c r="AS124" s="299"/>
      <c r="AT124" s="220"/>
      <c r="AU124" s="211"/>
      <c r="AV124" s="221"/>
      <c r="AW124" s="222"/>
      <c r="AX124" s="225"/>
      <c r="AY124" s="225"/>
      <c r="AZ124" s="225"/>
      <c r="BA124" s="225"/>
      <c r="BB124" s="225"/>
    </row>
    <row r="125" spans="1:54" s="212" customFormat="1" ht="19.5" customHeight="1" x14ac:dyDescent="0.25">
      <c r="A125" s="401" t="s">
        <v>241</v>
      </c>
      <c r="B125" s="267"/>
      <c r="C125" s="222"/>
      <c r="D125" s="222"/>
      <c r="E125" s="222"/>
      <c r="F125" s="222"/>
      <c r="G125" s="1849">
        <v>0.5</v>
      </c>
      <c r="H125" s="225"/>
      <c r="I125" s="225"/>
      <c r="J125" s="222"/>
      <c r="K125" s="395"/>
      <c r="L125" s="395"/>
      <c r="M125" s="400"/>
      <c r="N125" s="400"/>
      <c r="O125" s="400"/>
      <c r="P125" s="400"/>
      <c r="Q125" s="400"/>
      <c r="R125" s="400"/>
      <c r="S125" s="400"/>
      <c r="T125" s="400"/>
      <c r="U125" s="400"/>
      <c r="V125" s="400"/>
      <c r="W125" s="400"/>
      <c r="X125" s="400"/>
      <c r="Y125" s="400"/>
      <c r="Z125" s="400"/>
      <c r="AA125" s="400"/>
      <c r="AB125" s="400"/>
      <c r="AC125" s="400"/>
      <c r="AD125" s="400"/>
      <c r="AE125" s="225"/>
      <c r="AF125" s="299"/>
      <c r="AG125" s="299"/>
      <c r="AH125" s="225"/>
      <c r="AI125" s="299"/>
      <c r="AJ125" s="299"/>
      <c r="AK125" s="225"/>
      <c r="AL125" s="299"/>
      <c r="AM125" s="299"/>
      <c r="AN125" s="225"/>
      <c r="AO125" s="299"/>
      <c r="AP125" s="299"/>
      <c r="AQ125" s="225"/>
      <c r="AR125" s="299"/>
      <c r="AS125" s="299"/>
      <c r="AT125" s="220"/>
      <c r="AU125" s="211"/>
      <c r="AV125" s="221"/>
      <c r="AW125" s="222"/>
      <c r="AX125" s="225"/>
      <c r="AY125" s="225"/>
      <c r="AZ125" s="225"/>
      <c r="BA125" s="225"/>
      <c r="BB125" s="225"/>
    </row>
    <row r="126" spans="1:54" s="212" customFormat="1" ht="19.5" customHeight="1" thickBot="1" x14ac:dyDescent="0.3">
      <c r="A126" s="468" t="s">
        <v>242</v>
      </c>
      <c r="B126" s="388"/>
      <c r="C126" s="388"/>
      <c r="D126" s="388"/>
      <c r="E126" s="388"/>
      <c r="F126" s="388"/>
      <c r="G126" s="1850">
        <v>0.32</v>
      </c>
      <c r="H126" s="225"/>
      <c r="I126" s="225"/>
      <c r="J126" s="222"/>
      <c r="K126" s="395"/>
      <c r="L126" s="395"/>
      <c r="M126" s="400"/>
      <c r="N126" s="400"/>
      <c r="O126" s="400"/>
      <c r="P126" s="400"/>
      <c r="Q126" s="400"/>
      <c r="R126" s="400"/>
      <c r="S126" s="400"/>
      <c r="T126" s="400"/>
      <c r="U126" s="400"/>
      <c r="V126" s="400"/>
      <c r="W126" s="400"/>
      <c r="X126" s="400"/>
      <c r="Y126" s="400"/>
      <c r="Z126" s="400"/>
      <c r="AA126" s="400"/>
      <c r="AB126" s="400"/>
      <c r="AC126" s="400"/>
      <c r="AD126" s="400"/>
      <c r="AE126" s="225"/>
      <c r="AF126" s="299"/>
      <c r="AG126" s="299"/>
      <c r="AH126" s="225"/>
      <c r="AI126" s="299"/>
      <c r="AJ126" s="299"/>
      <c r="AK126" s="225"/>
      <c r="AL126" s="299"/>
      <c r="AM126" s="299"/>
      <c r="AN126" s="225"/>
      <c r="AO126" s="299"/>
      <c r="AP126" s="299"/>
      <c r="AQ126" s="225"/>
      <c r="AR126" s="299"/>
      <c r="AS126" s="299"/>
      <c r="AT126" s="220"/>
      <c r="AU126" s="211"/>
      <c r="AV126" s="221"/>
      <c r="AW126" s="222"/>
      <c r="AX126" s="225"/>
      <c r="AY126" s="225"/>
      <c r="AZ126" s="225"/>
      <c r="BA126" s="225"/>
      <c r="BB126" s="225"/>
    </row>
    <row r="127" spans="1:54" s="212" customFormat="1" ht="19.5" customHeight="1" x14ac:dyDescent="0.25">
      <c r="A127" s="469"/>
      <c r="B127" s="400"/>
      <c r="C127" s="400"/>
      <c r="D127" s="400"/>
      <c r="E127" s="400"/>
      <c r="F127" s="400"/>
      <c r="G127" s="395"/>
      <c r="H127" s="395"/>
      <c r="I127" s="395"/>
      <c r="J127" s="395"/>
      <c r="K127" s="395"/>
      <c r="L127" s="395"/>
      <c r="M127" s="400"/>
      <c r="N127" s="400"/>
      <c r="O127" s="400"/>
      <c r="P127" s="400"/>
      <c r="Q127" s="400"/>
      <c r="R127" s="400"/>
      <c r="S127" s="400"/>
      <c r="T127" s="400"/>
      <c r="U127" s="400"/>
      <c r="V127" s="400"/>
      <c r="W127" s="400"/>
      <c r="X127" s="400"/>
      <c r="Y127" s="400"/>
      <c r="Z127" s="400"/>
      <c r="AA127" s="400"/>
      <c r="AB127" s="400"/>
      <c r="AC127" s="400"/>
      <c r="AD127" s="400"/>
      <c r="AE127" s="472"/>
      <c r="AF127" s="473">
        <f>$C$4</f>
        <v>6</v>
      </c>
      <c r="AG127" s="474"/>
      <c r="AH127" s="475"/>
      <c r="AI127" s="473">
        <f>$D$4</f>
        <v>10</v>
      </c>
      <c r="AJ127" s="474"/>
      <c r="AK127" s="476"/>
      <c r="AL127" s="473">
        <f>$E$4</f>
        <v>18</v>
      </c>
      <c r="AM127" s="474"/>
      <c r="AN127" s="476"/>
      <c r="AO127" s="473" t="str">
        <f>$F$4</f>
        <v>6 FFF</v>
      </c>
      <c r="AP127" s="474"/>
      <c r="AQ127" s="476"/>
      <c r="AR127" s="473" t="str">
        <f>$G$4</f>
        <v>10 FFF</v>
      </c>
      <c r="AS127" s="473"/>
      <c r="AT127" s="477" t="s">
        <v>16</v>
      </c>
      <c r="AU127" s="478"/>
      <c r="AV127" s="222"/>
      <c r="AW127" s="222"/>
      <c r="AX127" s="225"/>
      <c r="AY127" s="225"/>
      <c r="AZ127" s="225"/>
      <c r="BA127" s="225"/>
      <c r="BB127" s="225"/>
    </row>
    <row r="128" spans="1:54" s="212" customFormat="1" ht="19.5" customHeight="1" x14ac:dyDescent="0.2">
      <c r="A128" s="479" t="s">
        <v>50</v>
      </c>
      <c r="B128" s="480" t="s">
        <v>15</v>
      </c>
      <c r="C128" s="481" t="s">
        <v>25</v>
      </c>
      <c r="D128" s="482" t="s">
        <v>158</v>
      </c>
      <c r="E128" s="483"/>
      <c r="F128" s="484" t="s">
        <v>386</v>
      </c>
      <c r="G128" s="485"/>
      <c r="H128" s="482"/>
      <c r="I128" s="482"/>
      <c r="J128" s="482"/>
      <c r="K128" s="482"/>
      <c r="L128" s="482"/>
      <c r="M128" s="486"/>
      <c r="N128" s="487" t="s">
        <v>381</v>
      </c>
      <c r="O128" s="484"/>
      <c r="P128" s="484" t="s">
        <v>386</v>
      </c>
      <c r="Q128" s="488"/>
      <c r="R128" s="488"/>
      <c r="S128" s="482"/>
      <c r="T128" s="482"/>
      <c r="U128" s="486"/>
      <c r="V128" s="489" t="s">
        <v>525</v>
      </c>
      <c r="W128" s="301" t="s">
        <v>524</v>
      </c>
      <c r="X128" s="1990" t="s">
        <v>77</v>
      </c>
      <c r="Y128" s="1991"/>
      <c r="Z128" s="1992"/>
      <c r="AA128" s="490"/>
      <c r="AB128" s="491"/>
      <c r="AC128" s="492" t="s">
        <v>334</v>
      </c>
      <c r="AD128" s="485"/>
      <c r="AE128" s="493"/>
      <c r="AF128" s="420" t="s">
        <v>206</v>
      </c>
      <c r="AG128" s="420" t="s">
        <v>16</v>
      </c>
      <c r="AH128" s="420" t="s">
        <v>86</v>
      </c>
      <c r="AI128" s="420" t="s">
        <v>206</v>
      </c>
      <c r="AJ128" s="420" t="s">
        <v>16</v>
      </c>
      <c r="AK128" s="420" t="s">
        <v>86</v>
      </c>
      <c r="AL128" s="420" t="s">
        <v>206</v>
      </c>
      <c r="AM128" s="420" t="s">
        <v>16</v>
      </c>
      <c r="AN128" s="420" t="s">
        <v>86</v>
      </c>
      <c r="AO128" s="420" t="s">
        <v>206</v>
      </c>
      <c r="AP128" s="420" t="s">
        <v>16</v>
      </c>
      <c r="AQ128" s="420" t="s">
        <v>86</v>
      </c>
      <c r="AR128" s="420" t="s">
        <v>206</v>
      </c>
      <c r="AS128" s="420" t="s">
        <v>16</v>
      </c>
      <c r="AT128" s="494"/>
      <c r="AU128" s="495" t="s">
        <v>11</v>
      </c>
      <c r="AV128" s="222"/>
      <c r="AW128" s="222"/>
      <c r="AX128" s="225"/>
      <c r="AY128" s="225"/>
      <c r="AZ128" s="225"/>
      <c r="BA128" s="225"/>
      <c r="BB128" s="225"/>
    </row>
    <row r="129" spans="1:90" s="212" customFormat="1" ht="19.5" customHeight="1" thickBot="1" x14ac:dyDescent="0.25">
      <c r="A129" s="496"/>
      <c r="B129" s="497"/>
      <c r="C129" s="498"/>
      <c r="D129" s="499" t="s">
        <v>367</v>
      </c>
      <c r="E129" s="498" t="s">
        <v>364</v>
      </c>
      <c r="F129" s="498" t="s">
        <v>370</v>
      </c>
      <c r="G129" s="499" t="s">
        <v>368</v>
      </c>
      <c r="H129" s="498" t="s">
        <v>365</v>
      </c>
      <c r="I129" s="499" t="s">
        <v>369</v>
      </c>
      <c r="J129" s="498" t="s">
        <v>371</v>
      </c>
      <c r="K129" s="498" t="s">
        <v>366</v>
      </c>
      <c r="L129" s="498" t="s">
        <v>373</v>
      </c>
      <c r="M129" s="498" t="s">
        <v>372</v>
      </c>
      <c r="N129" s="498" t="s">
        <v>374</v>
      </c>
      <c r="O129" s="498" t="s">
        <v>375</v>
      </c>
      <c r="P129" s="498" t="s">
        <v>376</v>
      </c>
      <c r="Q129" s="498" t="s">
        <v>377</v>
      </c>
      <c r="R129" s="498" t="s">
        <v>378</v>
      </c>
      <c r="S129" s="498" t="s">
        <v>382</v>
      </c>
      <c r="T129" s="498" t="s">
        <v>379</v>
      </c>
      <c r="U129" s="498" t="s">
        <v>380</v>
      </c>
      <c r="V129" s="498" t="s">
        <v>526</v>
      </c>
      <c r="W129" s="308" t="s">
        <v>528</v>
      </c>
      <c r="X129" s="500" t="s">
        <v>1</v>
      </c>
      <c r="Y129" s="501" t="s">
        <v>61</v>
      </c>
      <c r="Z129" s="502" t="s">
        <v>3</v>
      </c>
      <c r="AA129" s="502" t="s">
        <v>22</v>
      </c>
      <c r="AB129" s="502" t="s">
        <v>3</v>
      </c>
      <c r="AC129" s="503" t="s">
        <v>22</v>
      </c>
      <c r="AD129" s="504" t="s">
        <v>39</v>
      </c>
      <c r="AE129" s="505" t="s">
        <v>208</v>
      </c>
      <c r="AF129" s="505" t="s">
        <v>207</v>
      </c>
      <c r="AG129" s="506" t="s">
        <v>174</v>
      </c>
      <c r="AH129" s="505" t="s">
        <v>208</v>
      </c>
      <c r="AI129" s="505" t="s">
        <v>207</v>
      </c>
      <c r="AJ129" s="506" t="s">
        <v>174</v>
      </c>
      <c r="AK129" s="507" t="s">
        <v>208</v>
      </c>
      <c r="AL129" s="507" t="s">
        <v>207</v>
      </c>
      <c r="AM129" s="179" t="s">
        <v>174</v>
      </c>
      <c r="AN129" s="507" t="s">
        <v>208</v>
      </c>
      <c r="AO129" s="507" t="s">
        <v>207</v>
      </c>
      <c r="AP129" s="179" t="s">
        <v>174</v>
      </c>
      <c r="AQ129" s="507" t="s">
        <v>208</v>
      </c>
      <c r="AR129" s="507" t="s">
        <v>207</v>
      </c>
      <c r="AS129" s="179" t="s">
        <v>174</v>
      </c>
      <c r="AT129" s="508" t="s">
        <v>174</v>
      </c>
      <c r="AU129" s="509" t="s">
        <v>166</v>
      </c>
      <c r="AV129" s="211"/>
      <c r="AW129" s="222"/>
      <c r="AX129" s="225"/>
      <c r="AY129" s="225"/>
      <c r="AZ129" s="225"/>
      <c r="BA129" s="225"/>
      <c r="BB129" s="225"/>
    </row>
    <row r="130" spans="1:90" s="212" customFormat="1" ht="30" customHeight="1" thickBot="1" x14ac:dyDescent="0.3">
      <c r="A130" s="510" t="str">
        <f>A94</f>
        <v>L9</v>
      </c>
      <c r="B130" s="511" t="str">
        <f>B94</f>
        <v>ingang labyrint linac 9</v>
      </c>
      <c r="C130" s="512" t="s">
        <v>200</v>
      </c>
      <c r="D130" s="1851">
        <v>5</v>
      </c>
      <c r="E130" s="111"/>
      <c r="F130" s="116"/>
      <c r="G130" s="1851">
        <v>10</v>
      </c>
      <c r="H130" s="120"/>
      <c r="I130" s="1853">
        <v>10</v>
      </c>
      <c r="J130" s="123"/>
      <c r="K130" s="1982">
        <v>1</v>
      </c>
      <c r="L130" s="114"/>
      <c r="M130" s="113"/>
      <c r="N130" s="1851">
        <v>4</v>
      </c>
      <c r="O130" s="120"/>
      <c r="P130" s="1851">
        <v>5</v>
      </c>
      <c r="Q130" s="134"/>
      <c r="R130" s="1828">
        <v>2</v>
      </c>
      <c r="S130" s="137"/>
      <c r="T130" s="114"/>
      <c r="U130" s="138"/>
      <c r="V130" s="141"/>
      <c r="W130" s="1828">
        <v>0.25</v>
      </c>
      <c r="X130" s="149"/>
      <c r="Y130" s="150"/>
      <c r="Z130" s="151"/>
      <c r="AA130" s="152"/>
      <c r="AB130" s="1984">
        <v>0</v>
      </c>
      <c r="AC130" s="1987">
        <v>0</v>
      </c>
      <c r="AD130" s="168"/>
      <c r="AE130" s="171">
        <f>$AB130/$M$114+$AC130/$M$115</f>
        <v>0</v>
      </c>
      <c r="AF130" s="97">
        <f t="shared" ref="AF130:AF135" si="6">10^(-AE130)</f>
        <v>1</v>
      </c>
      <c r="AG130" s="91">
        <f>$C$7*$C$14*$C$8*$W$130/$D$130^2*$N$130*$F$112/$G$130^2*$P$130*$E$114/$I$130^2*$R$130*$E$116/$K$130^2*AF130*10^6</f>
        <v>6.9119999999999997E-3</v>
      </c>
      <c r="AH130" s="91">
        <f>$AB130/$M$114+$AC130/$M$115</f>
        <v>0</v>
      </c>
      <c r="AI130" s="97">
        <f t="shared" ref="AI130:AI135" si="7">10^(-AH130)</f>
        <v>1</v>
      </c>
      <c r="AJ130" s="91">
        <f>$C$7*$D$14*$D$8*$W$130/$D$130^2*$N$130*$G$112/$G$130^2*$P$130*$E$114/$I$130^2*$R$130*$E$116/$K$130^2*AI130*10^6</f>
        <v>5.3760000000000006E-3</v>
      </c>
      <c r="AK130" s="91">
        <f>$AB130/$M$114+$AC130/$M$115</f>
        <v>0</v>
      </c>
      <c r="AL130" s="97">
        <f t="shared" ref="AL130:AL135" si="8">10^(-AK130)</f>
        <v>1</v>
      </c>
      <c r="AM130" s="91">
        <f>$C$7*$E$14*$E$8*$W$130/$D$130^2*$N$130*$H$112/$G$130^2*$P$130*$E$114/$I$130^2*$R$130*$E$116/$K$130^2*AL130*10^6</f>
        <v>4.0960000000000015E-3</v>
      </c>
      <c r="AN130" s="91">
        <f>$AB130/$M$114+$AC130/$M$115</f>
        <v>0</v>
      </c>
      <c r="AO130" s="97">
        <f t="shared" ref="AO130:AO135" si="9">10^(-AN130)</f>
        <v>1</v>
      </c>
      <c r="AP130" s="91">
        <f>$C$7*$F$14*$F$8*$W$130/$D$130^2*$N$130*$I$112/$G$130^2*$P$130*$E$114/$I$130^2*$R$130*$E$116/$K$130^2*AO130*10^6</f>
        <v>8.9600000000000009E-3</v>
      </c>
      <c r="AQ130" s="91">
        <f>$AB130/$M$114+$AC130/$M$115</f>
        <v>0</v>
      </c>
      <c r="AR130" s="97">
        <f t="shared" ref="AR130:AR135" si="10">10^(-AQ130)</f>
        <v>1</v>
      </c>
      <c r="AS130" s="76">
        <f>$C$7*$G$14*$G$8*$W$130/$D$130^2*$N$130*$J$112/$G$130^2*$P$130*$E$114/$I$130^2*$R$130*$E$116/$K$130^2*AR130*10^6</f>
        <v>8.4480000000000006E-3</v>
      </c>
      <c r="AT130" s="513">
        <f t="shared" ref="AT130:AT135" si="11">SUM(AG130,AJ130,AM130,AP130,AS130)</f>
        <v>3.3792000000000003E-2</v>
      </c>
      <c r="AU130" s="514">
        <f>SUM(AT130:AT136)*52/10^3</f>
        <v>15.505920420432142</v>
      </c>
      <c r="AV130" s="222"/>
      <c r="AW130" s="222"/>
      <c r="AX130" s="225"/>
      <c r="AY130" s="225"/>
      <c r="AZ130" s="225"/>
      <c r="BA130" s="225"/>
      <c r="BB130" s="225"/>
    </row>
    <row r="131" spans="1:90" s="212" customFormat="1" ht="30" customHeight="1" thickBot="1" x14ac:dyDescent="0.3">
      <c r="A131" s="447"/>
      <c r="B131" s="460"/>
      <c r="C131" s="515" t="s">
        <v>536</v>
      </c>
      <c r="D131" s="107"/>
      <c r="E131" s="1852">
        <v>1</v>
      </c>
      <c r="F131" s="117"/>
      <c r="G131" s="118"/>
      <c r="H131" s="1828">
        <v>5</v>
      </c>
      <c r="I131" s="122"/>
      <c r="J131" s="124"/>
      <c r="K131" s="2030"/>
      <c r="L131" s="127"/>
      <c r="M131" s="128"/>
      <c r="N131" s="129"/>
      <c r="O131" s="1828">
        <v>5</v>
      </c>
      <c r="P131" s="133"/>
      <c r="Q131" s="133"/>
      <c r="R131" s="1828">
        <v>2</v>
      </c>
      <c r="S131" s="139"/>
      <c r="T131" s="132"/>
      <c r="U131" s="140"/>
      <c r="V131" s="142"/>
      <c r="W131" s="1828">
        <v>0.25</v>
      </c>
      <c r="X131" s="1856">
        <v>200</v>
      </c>
      <c r="Y131" s="1856">
        <v>0</v>
      </c>
      <c r="Z131" s="1857">
        <v>0</v>
      </c>
      <c r="AA131" s="1857">
        <v>0</v>
      </c>
      <c r="AB131" s="1985"/>
      <c r="AC131" s="1988"/>
      <c r="AD131" s="169"/>
      <c r="AE131" s="171">
        <f>IF($X131=0,0,1+($X131-$C$21)/$C$22)+$Y131/$C$23+$Z131/$C$24+$AA131/$C$25+$AB130/$M$114+$AC130/$M$115</f>
        <v>5.9393939393939394</v>
      </c>
      <c r="AF131" s="97">
        <f t="shared" si="6"/>
        <v>1.1497569953977332E-6</v>
      </c>
      <c r="AG131" s="91">
        <f>$C$7*$C$14*$C$8*$W$131/$E$131^2*$O$131*$F$113/$H$131^2*$R$131*$E$116/$K$130^2*AF131*10^6</f>
        <v>2.4834751100591044E-3</v>
      </c>
      <c r="AH131" s="91">
        <f>IF($X131=0,0,1+($X131-$D$21)/$D$22)+$Y131/$D$23+$Z131/$D$24+$AB130/$M$114+$AC130/$M$115</f>
        <v>5.2972972972972974</v>
      </c>
      <c r="AI131" s="97">
        <f t="shared" si="7"/>
        <v>5.0431594871713543E-6</v>
      </c>
      <c r="AJ131" s="91">
        <f>$C$7*$D$14*$D$8*$W$131/$E$131^2*$O$131*$G$113/$H$131^2*$R$131*$E$116/$K$130^2*AI131*10^6</f>
        <v>8.4725079384478739E-3</v>
      </c>
      <c r="AK131" s="91">
        <f>IF($X131=0,0,1+($X131-$E$21)/$E$22)+$Y131/$E$23+$Z131/$E$24+$AB130/$M$114+$AC130/$M$115</f>
        <v>4.6046511627906979</v>
      </c>
      <c r="AL131" s="97">
        <f t="shared" si="8"/>
        <v>2.485128426980553E-5</v>
      </c>
      <c r="AM131" s="91">
        <f>$C$7*$E$14*$E$8*$W$131/$E$131^2*$O$131*$H$113/$H$131^2*$R$131*$E$116/$K$130^2*AL131*10^6</f>
        <v>3.1809643865351081E-2</v>
      </c>
      <c r="AN131" s="91">
        <f>IF($X131=0,0,1+($X131-$F$21)/$F$22)+$Y131/$F$23+$Z131/$E$24+$AB130/$M$114+$AC130/$M$115</f>
        <v>7.2962962962962967</v>
      </c>
      <c r="AO131" s="97">
        <f t="shared" si="9"/>
        <v>5.0547968211912231E-8</v>
      </c>
      <c r="AP131" s="91">
        <f>$C$7*$F$14*$F$8*$W$131/$E$131^2*$O$131*$I$113/$H$131^2*$R$131*$E$116/$K$130^2*AO131*10^6</f>
        <v>1.4153431099335427E-4</v>
      </c>
      <c r="AQ131" s="91">
        <f>IF($X131=0,0,1+($X131-$G$21)/$G$22)+$Y131/$G$23+$Z131/$G$24+$AB130/$M$114+$AC130/$M$115</f>
        <v>5.5555555555555554</v>
      </c>
      <c r="AR131" s="97">
        <f t="shared" si="10"/>
        <v>2.782559402207123E-6</v>
      </c>
      <c r="AS131" s="76">
        <f>$C$7*$G$14*$G$8*$W$131/$E$131^2*$O$131*$J$113/$H$131^2*$R$131*$E$116/$K$130^2*AR131*10^6</f>
        <v>7.3459568218268044E-3</v>
      </c>
      <c r="AT131" s="513">
        <f t="shared" si="11"/>
        <v>5.0253118046678216E-2</v>
      </c>
      <c r="AU131" s="516"/>
      <c r="AV131" s="222"/>
      <c r="AW131" s="222"/>
      <c r="AX131" s="225"/>
      <c r="AY131" s="225"/>
      <c r="AZ131" s="225"/>
      <c r="BA131" s="225"/>
      <c r="BB131" s="225"/>
    </row>
    <row r="132" spans="1:90" s="212" customFormat="1" ht="30" customHeight="1" thickBot="1" x14ac:dyDescent="0.3">
      <c r="A132" s="221"/>
      <c r="B132" s="517"/>
      <c r="C132" s="518" t="s">
        <v>537</v>
      </c>
      <c r="D132" s="108"/>
      <c r="E132" s="112"/>
      <c r="F132" s="1987">
        <v>5</v>
      </c>
      <c r="G132" s="119"/>
      <c r="H132" s="121"/>
      <c r="I132" s="113"/>
      <c r="J132" s="1980">
        <v>10</v>
      </c>
      <c r="K132" s="2030"/>
      <c r="L132" s="114"/>
      <c r="M132" s="113"/>
      <c r="N132" s="119"/>
      <c r="O132" s="121"/>
      <c r="P132" s="113"/>
      <c r="Q132" s="1980">
        <v>5</v>
      </c>
      <c r="R132" s="1982">
        <v>2</v>
      </c>
      <c r="S132" s="137"/>
      <c r="T132" s="114"/>
      <c r="U132" s="138"/>
      <c r="V132" s="143"/>
      <c r="W132" s="144">
        <v>1</v>
      </c>
      <c r="X132" s="153"/>
      <c r="Y132" s="154"/>
      <c r="Z132" s="155"/>
      <c r="AA132" s="156"/>
      <c r="AB132" s="1985"/>
      <c r="AC132" s="1988"/>
      <c r="AD132" s="168"/>
      <c r="AE132" s="91">
        <f>$AB130/$M$114+$AC130/$M$115</f>
        <v>0</v>
      </c>
      <c r="AF132" s="97">
        <f t="shared" si="6"/>
        <v>1</v>
      </c>
      <c r="AG132" s="91">
        <f>$C$7*$C$15*$C$8*($C$9+$C$10*$C$11)*$W$132/$F$132^2*$Q$132*$F$115/$J$132^2*$R$132*$E$116/$K$130^2*AF132*10^6</f>
        <v>15.360000000000005</v>
      </c>
      <c r="AH132" s="91">
        <f>$AB130/$M$114+$AC130/$M$115</f>
        <v>0</v>
      </c>
      <c r="AI132" s="97">
        <f t="shared" si="7"/>
        <v>1</v>
      </c>
      <c r="AJ132" s="91">
        <f>$C$7*$C$15*$D$8*($D$9+$D$10*$D$11)*$W$132/$F$132^2*$Q$132*$G$115/$J$132^2*$R$132*$E$116/$K$130^2*AI132*10^6</f>
        <v>12.240000000000004</v>
      </c>
      <c r="AK132" s="91">
        <f>$AB130/$M$114+$AC130/$M$115</f>
        <v>0</v>
      </c>
      <c r="AL132" s="97">
        <f t="shared" si="8"/>
        <v>1</v>
      </c>
      <c r="AM132" s="91">
        <f>$C$7*$C$15*$E$8*($E$9+$E$10*$E$11)*$W$132/$F$132^2*$Q$132*$H$115/$J$132^2*$R$132*$E$116/$K$130^2*AL132*10^6</f>
        <v>10.800000000000002</v>
      </c>
      <c r="AN132" s="91">
        <f>$AB130/$M$114+$AC130/$M$115</f>
        <v>0</v>
      </c>
      <c r="AO132" s="97">
        <f t="shared" si="9"/>
        <v>1</v>
      </c>
      <c r="AP132" s="91">
        <f>$C$7*$C$15*$F$8*($F$9+$F$10*$F$11)*$W$132/$F$132^2*$Q$132*$I$115/$J$132^2*$R$132*$E$116/$K$130^2*AO132*10^6</f>
        <v>19.920000000000002</v>
      </c>
      <c r="AQ132" s="91">
        <f>$AB130/$M$114+$AC130/$M$115</f>
        <v>0</v>
      </c>
      <c r="AR132" s="97">
        <f t="shared" si="10"/>
        <v>1</v>
      </c>
      <c r="AS132" s="76">
        <f>$C$7*$C$15*$G$8*($G$9+$G$10*$G$11)*$W$132/$F$132^2*$Q$132*$J$115/$J$132^2*$R$132*$E$116/$K$130^2*AR132*10^6</f>
        <v>17.520000000000003</v>
      </c>
      <c r="AT132" s="519">
        <f t="shared" si="11"/>
        <v>75.840000000000018</v>
      </c>
      <c r="AU132" s="516"/>
      <c r="AV132" s="222"/>
      <c r="AW132" s="520"/>
      <c r="AX132" s="222"/>
      <c r="AY132" s="211"/>
      <c r="AZ132" s="222"/>
      <c r="BA132" s="222"/>
      <c r="BB132" s="225"/>
    </row>
    <row r="133" spans="1:90" s="212" customFormat="1" ht="30" customHeight="1" thickBot="1" x14ac:dyDescent="0.3">
      <c r="A133" s="221"/>
      <c r="B133" s="517"/>
      <c r="C133" s="521" t="s">
        <v>523</v>
      </c>
      <c r="D133" s="108"/>
      <c r="E133" s="113"/>
      <c r="F133" s="2029"/>
      <c r="G133" s="119"/>
      <c r="H133" s="114"/>
      <c r="I133" s="113"/>
      <c r="J133" s="1981"/>
      <c r="K133" s="1983"/>
      <c r="L133" s="114"/>
      <c r="M133" s="113"/>
      <c r="N133" s="119"/>
      <c r="O133" s="114"/>
      <c r="P133" s="113"/>
      <c r="Q133" s="1981"/>
      <c r="R133" s="1983"/>
      <c r="S133" s="137"/>
      <c r="T133" s="114"/>
      <c r="U133" s="113"/>
      <c r="V133" s="1855">
        <f>20*20</f>
        <v>400</v>
      </c>
      <c r="W133" s="1828">
        <v>0.25</v>
      </c>
      <c r="X133" s="157"/>
      <c r="Y133" s="158"/>
      <c r="Z133" s="159"/>
      <c r="AA133" s="160"/>
      <c r="AB133" s="1985"/>
      <c r="AC133" s="1988"/>
      <c r="AD133" s="168"/>
      <c r="AE133" s="98">
        <f>$AB130/$M$114+$AC130/$M$115</f>
        <v>0</v>
      </c>
      <c r="AF133" s="97">
        <f t="shared" si="6"/>
        <v>1</v>
      </c>
      <c r="AG133" s="91">
        <f>$C$7*$C$8*$W$133*$F$120*$V$133/400*$E$115*$E$116*$Q$132*$R$132/1/1/$F$132^2/$J$132^2/$K$130^2*AF133*10^6</f>
        <v>6.1159999999999988</v>
      </c>
      <c r="AH133" s="98">
        <f>$AB130/$M$114+$AC130/$M$115</f>
        <v>0</v>
      </c>
      <c r="AI133" s="97">
        <f t="shared" si="7"/>
        <v>1</v>
      </c>
      <c r="AJ133" s="91">
        <f>$C$7*$D$8*$W$133*$G$120*$V$133/400*$E$115*$E$116*$Q$132*$R$132/1/1/$F$132^2/$J$132^2/$K$130^2*AI133*10^6</f>
        <v>5.9399999999999995</v>
      </c>
      <c r="AK133" s="98">
        <f>$AB130/$M$114+$AC130/$M$115</f>
        <v>0</v>
      </c>
      <c r="AL133" s="97">
        <f t="shared" si="8"/>
        <v>1</v>
      </c>
      <c r="AM133" s="91">
        <f>$C$7*$E$8*$W$133*$H$120*$V$133/400*$E$115*$E$116*$Q$132*$R$132/1/1/$F$132^2/$J$132^2/$K$130^2*AL133*10^6</f>
        <v>3.8015999999999992</v>
      </c>
      <c r="AN133" s="98">
        <f>$AB130/$M$114+$AC130/$M$115</f>
        <v>0</v>
      </c>
      <c r="AO133" s="97">
        <f t="shared" si="9"/>
        <v>1</v>
      </c>
      <c r="AP133" s="91">
        <f>$C$7*$F$8*$W$133*$I$120*$V$133/400*$E$115*$E$116*$R$132*$Q$132/1/1/$F$132^2/$J$132^2/$K$130^2*AO133*10^6</f>
        <v>5.7200000000000006</v>
      </c>
      <c r="AQ133" s="98">
        <f>$AB130/$M$114+$AC130/$M$115</f>
        <v>0</v>
      </c>
      <c r="AR133" s="97">
        <f t="shared" si="10"/>
        <v>1</v>
      </c>
      <c r="AS133" s="76">
        <f>$C$7*$G$8*$W$133*$J$120*$V$133/400*$E$115*$E$116*$Q$132*$R$132/1/1/$F$132^2/$J$132^2/$K$130^2*AR133*10^6</f>
        <v>5.2799999999999994</v>
      </c>
      <c r="AT133" s="513">
        <f t="shared" si="11"/>
        <v>26.857599999999998</v>
      </c>
      <c r="AU133" s="516"/>
      <c r="AV133" s="222"/>
      <c r="AW133" s="520"/>
      <c r="AX133" s="222"/>
      <c r="AY133" s="211"/>
      <c r="AZ133" s="222"/>
      <c r="BA133" s="222"/>
      <c r="BB133" s="225"/>
      <c r="BC133" s="225"/>
      <c r="BD133" s="225"/>
      <c r="BE133" s="225"/>
      <c r="BF133" s="225"/>
      <c r="BG133" s="300"/>
      <c r="BH133" s="300"/>
      <c r="BI133" s="300"/>
      <c r="BJ133" s="522"/>
      <c r="BK133" s="522"/>
      <c r="BL133" s="522"/>
    </row>
    <row r="134" spans="1:90" s="212" customFormat="1" ht="30" customHeight="1" x14ac:dyDescent="0.25">
      <c r="A134" s="221"/>
      <c r="B134" s="517"/>
      <c r="C134" s="523" t="s">
        <v>33</v>
      </c>
      <c r="D134" s="109"/>
      <c r="E134" s="114"/>
      <c r="F134" s="114"/>
      <c r="G134" s="114"/>
      <c r="H134" s="114"/>
      <c r="I134" s="114"/>
      <c r="J134" s="114"/>
      <c r="K134" s="125"/>
      <c r="L134" s="2028">
        <v>5</v>
      </c>
      <c r="M134" s="2028">
        <v>10</v>
      </c>
      <c r="N134" s="130"/>
      <c r="O134" s="132"/>
      <c r="P134" s="132"/>
      <c r="Q134" s="132"/>
      <c r="R134" s="135"/>
      <c r="S134" s="1851">
        <v>225</v>
      </c>
      <c r="T134" s="1854">
        <v>1</v>
      </c>
      <c r="U134" s="1851">
        <v>1</v>
      </c>
      <c r="V134" s="145"/>
      <c r="W134" s="146"/>
      <c r="X134" s="161"/>
      <c r="Y134" s="162"/>
      <c r="Z134" s="122"/>
      <c r="AA134" s="163"/>
      <c r="AB134" s="1985"/>
      <c r="AC134" s="1988"/>
      <c r="AD134" s="1858">
        <v>0</v>
      </c>
      <c r="AE134" s="91">
        <f>$AB130/$N$114+$AC130/$N$115+$AD134/$N$116</f>
        <v>0</v>
      </c>
      <c r="AF134" s="97">
        <f t="shared" si="6"/>
        <v>1</v>
      </c>
      <c r="AG134" s="91">
        <f>$C$7*$C$8*($C$9+$C$10*$C$11)*0.0000000000000024*($C$16*$C$17*10^12/(4*PI()*$L$134^2)+5.4*$C$16*$C$17*10^12/(2*PI()*$S$134)+1.3*$C$17*10^12/(2*PI()*$S$134))*(SQRT($T$134/$U$134)*((1.64*10^(-$M$134/1.9)+10^(-$M$134/(2.06*SQRT($U$134))))*(1-$G$125)*$AF$134*10^6))</f>
        <v>0.11345901793121269</v>
      </c>
      <c r="AH134" s="91">
        <f>$AB130/$N$114+$AC130/$N$115+$AD134/$N$116</f>
        <v>0</v>
      </c>
      <c r="AI134" s="97">
        <f t="shared" si="7"/>
        <v>1</v>
      </c>
      <c r="AJ134" s="91">
        <f>$C$7*$D$8*($D$9+$D$10*$D$11)*0.0000000000000024*($C$16*$D$17*10^12/(4*PI()*$L$134^2)+5.4*$C$16*$D$17*10^12/(2*PI()*$S$134)+1.3*$D$17*10^12/(2*PI()*$S$134))*(SQRT($T$134/$U$134)*((1.64*10^(-$M$134/1.9)+10^(-$M$134/(2.06*SQRT($U$134))))*(1-$G$125)*$AI$134*10^6))</f>
        <v>0.11345901793121269</v>
      </c>
      <c r="AK134" s="91">
        <f>$AB130/$N$114+$AC130/$N$115+$AD134/$N$116</f>
        <v>0</v>
      </c>
      <c r="AL134" s="97">
        <f t="shared" si="8"/>
        <v>1</v>
      </c>
      <c r="AM134" s="91">
        <f>$C$7*$E$8*($E$9+$E$10*$E$11)*0.0000000000000024*($C$16*$E$17*10^12/(4*PI()*$L$134^2)+5.4*$C$16*$E$17*10^12/(2*PI()*$S$134)+1.3*$E$17*10^12/(2*PI()*$S$134))*(SQRT($T$134/$U$134)*((1.64*10^(-$M$134/1.9)+10^(-$M$134/(2.06*SQRT($U$134))))*(1-$G$125)*$AL$134*10^6))</f>
        <v>0.11345901793121269</v>
      </c>
      <c r="AN134" s="91">
        <f>$AB130/$N$114+$AC130/$N$115+$AD134/$N$116</f>
        <v>0</v>
      </c>
      <c r="AO134" s="97">
        <f t="shared" si="9"/>
        <v>1</v>
      </c>
      <c r="AP134" s="91">
        <f>$C$7*$F$8*($F$9+$F$10*$F$11)*0.0000000000000024*($C$16*$F$17*10^12/(4*PI()*$L$134^2)+5.4*$C$16*$F$17*10^12/(2*PI()*$S$134)+1.3*$F$17*10^12/(2*PI()*$S$134))*(SQRT($T$134/$U$134)*((1.64*10^(-$M$134/1.9)+10^(-$M$134/(2.06*SQRT($U$134))))*(1-$G$125)*$AO$134*10^6))</f>
        <v>0.11345901793121269</v>
      </c>
      <c r="AQ134" s="91">
        <f>$AB130/$N$114+$AC130/$N$115+$AD134/$N$116</f>
        <v>0</v>
      </c>
      <c r="AR134" s="97">
        <f t="shared" si="10"/>
        <v>1</v>
      </c>
      <c r="AS134" s="76">
        <f>$C$7*$G$8*($G$9+$G$10*$G$11)*0.0000000000000024*($C$16*$G$17*10^12/(4*PI()*$L$134^2)+5.4*$C$16*$G$17*10^12/(2*PI()*$S$134)+1.3*$G$17*10^12/(2*PI()*$S$134))*(SQRT($T$134/$U$134)*((1.64*10^(-$M$134/1.9)+10^(-$M$134/(2.06*SQRT($U$134))))*(1-$G$125)*$AR$134*10^6))</f>
        <v>0.11345901793121269</v>
      </c>
      <c r="AT134" s="513">
        <f t="shared" si="11"/>
        <v>0.56729508965606346</v>
      </c>
      <c r="AU134" s="516"/>
      <c r="AV134" s="222"/>
      <c r="AW134" s="189"/>
      <c r="AX134" s="222"/>
      <c r="AY134" s="211"/>
      <c r="AZ134" s="222"/>
      <c r="BA134" s="222"/>
      <c r="BB134" s="225"/>
      <c r="BC134" s="225"/>
      <c r="BD134" s="225"/>
      <c r="BE134" s="225"/>
      <c r="BF134" s="225"/>
      <c r="BG134" s="300"/>
      <c r="BH134" s="300"/>
      <c r="BI134" s="300"/>
      <c r="BJ134" s="522"/>
      <c r="BK134" s="522"/>
      <c r="BL134" s="522"/>
    </row>
    <row r="135" spans="1:90" s="212" customFormat="1" ht="30" customHeight="1" thickBot="1" x14ac:dyDescent="0.3">
      <c r="A135" s="226"/>
      <c r="B135" s="524"/>
      <c r="C135" s="525" t="s">
        <v>157</v>
      </c>
      <c r="D135" s="110"/>
      <c r="E135" s="115"/>
      <c r="F135" s="115"/>
      <c r="G135" s="115"/>
      <c r="H135" s="115"/>
      <c r="I135" s="115"/>
      <c r="J135" s="115"/>
      <c r="K135" s="126"/>
      <c r="L135" s="1989"/>
      <c r="M135" s="1989"/>
      <c r="N135" s="131"/>
      <c r="O135" s="115"/>
      <c r="P135" s="115"/>
      <c r="Q135" s="136"/>
      <c r="R135" s="136"/>
      <c r="S135" s="115"/>
      <c r="T135" s="115"/>
      <c r="U135" s="126"/>
      <c r="V135" s="147"/>
      <c r="W135" s="148"/>
      <c r="X135" s="164"/>
      <c r="Y135" s="165"/>
      <c r="Z135" s="166"/>
      <c r="AA135" s="167"/>
      <c r="AB135" s="1986"/>
      <c r="AC135" s="1989"/>
      <c r="AD135" s="170"/>
      <c r="AE135" s="172">
        <f>$AB130/$O$114+$AC130/$O$115</f>
        <v>0</v>
      </c>
      <c r="AF135" s="173">
        <f t="shared" si="6"/>
        <v>1</v>
      </c>
      <c r="AG135" s="174">
        <f>$C$7*$C$8*($C$9+$C$10*$C$11)*$Q$111*($C$16*$C$17*10^12/(4*PI()*$L$134^2)+5.4*$C$16*$C$17*10^12/(2*PI()*$S$134)+1.3*$C$17*10^12/(2*PI()*$S$134))*10^-($M$134/$Q$113)*(1-$G$126)*AF135*10^6</f>
        <v>38.968367421659991</v>
      </c>
      <c r="AH135" s="172">
        <f>$AB130/$O$114+$AC130/$O$115</f>
        <v>0</v>
      </c>
      <c r="AI135" s="173">
        <f t="shared" si="7"/>
        <v>1</v>
      </c>
      <c r="AJ135" s="175">
        <f>$C$7*$D$8*($D$9+$D$10*$D$11)*$Q$111*($C$16*$D$17*10^12/(4*PI()*$L$134^2)+5.4*$C$16*$D$17*10^12/(2*PI()*$S$134)+1.3*$D$17*10^12/(2*PI()*$S$134))*10^-($M$134/$Q$113)*(1-$G$126)*AI135*10^6</f>
        <v>38.968367421659991</v>
      </c>
      <c r="AK135" s="176">
        <f>$AB130/$O$114+$AC130/$O$115</f>
        <v>0</v>
      </c>
      <c r="AL135" s="173">
        <f t="shared" si="8"/>
        <v>1</v>
      </c>
      <c r="AM135" s="175">
        <f>$C$7*$E$8*($E$9+$E$10*$E$11)*$Q$111*($C$16*$E$17*10^12/(4*PI()*$L$134^2)+5.4*$C$16*$E$17*10^12/(2*PI()*$S$134)+1.3*$E$17*10^12/(2*PI()*$S$134))*10^-($M$134/$Q$113)*(1-$G$126)*AL135*10^6</f>
        <v>38.968367421659991</v>
      </c>
      <c r="AN135" s="172">
        <f>$AB130/$O$114+$AC130/$O$115</f>
        <v>0</v>
      </c>
      <c r="AO135" s="173">
        <f t="shared" si="9"/>
        <v>1</v>
      </c>
      <c r="AP135" s="175">
        <f>$C$7*$F$8*($F$9+$F$10*$F$11)*$Q$111*($C$16*$F$17*10^12/(4*PI()*$L$134^2)+5.4*$C$16*$F$17*10^12/(2*PI()*$S$134)+1.3*$F$17*10^12/(2*PI()*$S$134))*10^-($M$134/$Q$113)*(1-$G$126)*AO135*10^6</f>
        <v>38.968367421659991</v>
      </c>
      <c r="AQ135" s="172">
        <f>$AB130/$O$114+$AC130/$O$115</f>
        <v>0</v>
      </c>
      <c r="AR135" s="173">
        <f t="shared" si="10"/>
        <v>1</v>
      </c>
      <c r="AS135" s="177">
        <f>$C$7*$G$8*($G$9+$G$10*$G$11)*$Q$111*($C$16*$G$17*10^12/(4*PI()*$L$134^2)+5.4*$C$16*$G$17*10^12/(2*PI()*$S$134)+1.3*$G$17*10^12/(2*PI()*$S$134))*10^-($M$134/$Q$113)*(1-$G$126)*AR135*10^6</f>
        <v>38.968367421659991</v>
      </c>
      <c r="AT135" s="526">
        <f t="shared" si="11"/>
        <v>194.84183710829996</v>
      </c>
      <c r="AU135" s="527"/>
      <c r="AV135" s="222"/>
      <c r="AW135" s="189"/>
      <c r="AX135" s="222"/>
      <c r="AY135" s="211"/>
      <c r="AZ135" s="222"/>
      <c r="BA135" s="222"/>
      <c r="BB135" s="225"/>
      <c r="BC135" s="225"/>
      <c r="BD135" s="225"/>
      <c r="BE135" s="225"/>
      <c r="BF135" s="225"/>
      <c r="BG135" s="300"/>
      <c r="BH135" s="300"/>
      <c r="BI135" s="300"/>
      <c r="BJ135" s="522"/>
      <c r="BK135" s="522"/>
      <c r="BL135" s="522"/>
    </row>
    <row r="136" spans="1:90" s="212" customFormat="1" ht="30" hidden="1" customHeight="1" x14ac:dyDescent="0.25">
      <c r="A136" s="222"/>
      <c r="B136" s="222"/>
      <c r="C136" s="282"/>
      <c r="D136" s="282"/>
      <c r="E136" s="211"/>
      <c r="F136" s="211"/>
      <c r="G136" s="211"/>
      <c r="H136" s="211"/>
      <c r="I136" s="211"/>
      <c r="J136" s="211"/>
      <c r="K136" s="211"/>
      <c r="L136" s="211"/>
      <c r="M136" s="211"/>
      <c r="N136" s="211"/>
      <c r="O136" s="211"/>
      <c r="P136" s="211"/>
      <c r="Q136" s="211"/>
      <c r="R136" s="211"/>
      <c r="S136" s="211"/>
      <c r="T136" s="211"/>
      <c r="U136" s="211"/>
      <c r="V136" s="211"/>
      <c r="W136" s="211"/>
      <c r="X136" s="453"/>
      <c r="Y136" s="528"/>
      <c r="Z136" s="57"/>
      <c r="AA136" s="57"/>
      <c r="AB136" s="57"/>
      <c r="AC136" s="57"/>
      <c r="AD136" s="529"/>
      <c r="AE136" s="369"/>
      <c r="AF136" s="328"/>
      <c r="AG136" s="530"/>
      <c r="AH136" s="369"/>
      <c r="AI136" s="328"/>
      <c r="AJ136" s="530"/>
      <c r="AK136" s="369"/>
      <c r="AL136" s="328"/>
      <c r="AM136" s="530"/>
      <c r="AN136" s="369"/>
      <c r="AO136" s="328"/>
      <c r="AP136" s="530"/>
      <c r="AQ136" s="369"/>
      <c r="AR136" s="328"/>
      <c r="AS136" s="530"/>
      <c r="AT136" s="369"/>
      <c r="AU136" s="233"/>
      <c r="AV136" s="222"/>
      <c r="AW136" s="189"/>
      <c r="AX136" s="222"/>
      <c r="AY136" s="211"/>
      <c r="AZ136" s="222"/>
      <c r="BA136" s="222"/>
      <c r="BB136" s="225"/>
      <c r="BC136" s="225"/>
      <c r="BD136" s="225"/>
      <c r="BE136" s="225"/>
      <c r="BF136" s="225"/>
      <c r="BG136" s="300"/>
      <c r="BH136" s="300"/>
      <c r="BI136" s="300"/>
      <c r="BJ136" s="522"/>
      <c r="BK136" s="522"/>
      <c r="BL136" s="522"/>
    </row>
    <row r="137" spans="1:90" s="212" customFormat="1" ht="19.5" customHeight="1" x14ac:dyDescent="0.25">
      <c r="A137" s="222"/>
      <c r="B137" s="222"/>
      <c r="C137" s="282"/>
      <c r="D137" s="282"/>
      <c r="E137" s="211"/>
      <c r="F137" s="211"/>
      <c r="G137" s="211"/>
      <c r="H137" s="211"/>
      <c r="I137" s="211"/>
      <c r="J137" s="211"/>
      <c r="K137" s="211"/>
      <c r="L137" s="211"/>
      <c r="M137" s="211"/>
      <c r="N137" s="211"/>
      <c r="O137" s="211"/>
      <c r="P137" s="211"/>
      <c r="Q137" s="211"/>
      <c r="R137" s="211"/>
      <c r="S137" s="211"/>
      <c r="T137" s="211"/>
      <c r="U137" s="211"/>
      <c r="V137" s="211"/>
      <c r="W137" s="211"/>
      <c r="X137" s="57"/>
      <c r="Y137" s="453"/>
      <c r="Z137" s="528"/>
      <c r="AA137" s="57"/>
      <c r="AB137" s="57"/>
      <c r="AC137" s="57"/>
      <c r="AD137" s="57"/>
      <c r="AE137" s="529"/>
      <c r="AF137" s="369"/>
      <c r="AG137" s="328"/>
      <c r="AH137" s="530"/>
      <c r="AI137" s="369"/>
      <c r="AJ137" s="328"/>
      <c r="AK137" s="530"/>
      <c r="AL137" s="369"/>
      <c r="AM137" s="328"/>
      <c r="AN137" s="530"/>
      <c r="AO137" s="369"/>
      <c r="AP137" s="328"/>
      <c r="AQ137" s="530"/>
      <c r="AR137" s="369"/>
      <c r="AS137" s="328"/>
      <c r="AT137" s="530"/>
      <c r="AU137" s="369"/>
      <c r="AV137" s="233"/>
      <c r="AW137" s="222"/>
      <c r="AX137" s="189"/>
      <c r="AY137" s="222"/>
      <c r="AZ137" s="211"/>
      <c r="BA137" s="222"/>
      <c r="BB137" s="222"/>
      <c r="BC137" s="225"/>
      <c r="BD137" s="225"/>
      <c r="BE137" s="225"/>
      <c r="BF137" s="225"/>
      <c r="BG137" s="225"/>
      <c r="BH137" s="300"/>
      <c r="BI137" s="300"/>
      <c r="BJ137" s="300"/>
      <c r="BK137" s="522"/>
      <c r="BL137" s="522"/>
      <c r="BM137" s="522"/>
    </row>
    <row r="138" spans="1:90" s="212" customFormat="1" ht="19.5" customHeight="1" x14ac:dyDescent="0.25">
      <c r="A138" s="222"/>
      <c r="B138" s="222"/>
      <c r="C138" s="282"/>
      <c r="D138" s="282"/>
      <c r="E138" s="211"/>
      <c r="F138" s="211"/>
      <c r="G138" s="211"/>
      <c r="H138" s="211"/>
      <c r="I138" s="211"/>
      <c r="J138" s="211"/>
      <c r="K138" s="211"/>
      <c r="L138" s="211"/>
      <c r="M138" s="211"/>
      <c r="N138" s="211"/>
      <c r="O138" s="211"/>
      <c r="P138" s="211"/>
      <c r="Q138" s="211"/>
      <c r="R138" s="211"/>
      <c r="S138" s="211"/>
      <c r="T138" s="211"/>
      <c r="U138" s="211"/>
      <c r="V138" s="211"/>
      <c r="W138" s="211"/>
      <c r="X138" s="57"/>
      <c r="Y138" s="453"/>
      <c r="Z138" s="528"/>
      <c r="AA138" s="57"/>
      <c r="AB138" s="57"/>
      <c r="AC138" s="57"/>
      <c r="AD138" s="529"/>
      <c r="AE138" s="369"/>
      <c r="AF138" s="328"/>
      <c r="AG138" s="530"/>
      <c r="AH138" s="369"/>
      <c r="AI138" s="328"/>
      <c r="AJ138" s="530"/>
      <c r="AK138" s="369"/>
      <c r="AL138" s="328"/>
      <c r="AM138" s="530"/>
      <c r="AN138" s="369"/>
      <c r="AO138" s="328"/>
      <c r="AP138" s="530"/>
      <c r="AQ138" s="369"/>
      <c r="AR138" s="328"/>
      <c r="AS138" s="530"/>
      <c r="AT138" s="369"/>
      <c r="AU138" s="233"/>
      <c r="AV138" s="222"/>
      <c r="AW138" s="189"/>
      <c r="AX138" s="222"/>
      <c r="AY138" s="211"/>
      <c r="AZ138" s="222"/>
      <c r="BA138" s="222"/>
      <c r="BB138" s="225"/>
      <c r="BC138" s="225"/>
      <c r="BD138" s="225"/>
      <c r="BE138" s="225"/>
      <c r="BF138" s="225"/>
      <c r="BG138" s="300"/>
      <c r="BH138" s="300"/>
      <c r="BI138" s="300"/>
      <c r="BJ138" s="522"/>
      <c r="BK138" s="522"/>
      <c r="BL138" s="522"/>
    </row>
    <row r="139" spans="1:90" s="212" customFormat="1" ht="19.5" customHeight="1" thickBot="1" x14ac:dyDescent="0.3">
      <c r="A139" s="532" t="s">
        <v>645</v>
      </c>
      <c r="B139" s="533"/>
      <c r="C139" s="310"/>
      <c r="D139" s="57"/>
      <c r="E139" s="57"/>
      <c r="F139" s="57"/>
      <c r="G139" s="57"/>
      <c r="H139" s="57"/>
      <c r="I139" s="57"/>
      <c r="J139" s="57"/>
      <c r="K139" s="57"/>
      <c r="L139" s="529"/>
      <c r="M139" s="529"/>
      <c r="N139" s="529"/>
      <c r="O139" s="530"/>
      <c r="P139" s="328"/>
      <c r="Q139" s="369"/>
      <c r="R139" s="369"/>
      <c r="S139" s="328"/>
      <c r="T139" s="369"/>
      <c r="U139" s="369"/>
      <c r="V139" s="328"/>
      <c r="W139" s="369"/>
      <c r="X139" s="369"/>
      <c r="Y139" s="328"/>
      <c r="Z139" s="369"/>
      <c r="AA139" s="369"/>
      <c r="AB139" s="328"/>
      <c r="AC139" s="369"/>
      <c r="AD139" s="369"/>
      <c r="AE139" s="328"/>
      <c r="AF139" s="233"/>
      <c r="AG139" s="222"/>
      <c r="AH139" s="189"/>
      <c r="AI139" s="222"/>
      <c r="AJ139" s="211"/>
      <c r="AK139" s="222"/>
      <c r="AL139" s="222"/>
      <c r="AM139" s="225"/>
      <c r="AN139" s="225"/>
      <c r="AO139" s="225"/>
      <c r="AP139" s="225"/>
      <c r="AQ139" s="225"/>
      <c r="AR139" s="300"/>
      <c r="AS139" s="300"/>
      <c r="AT139" s="300"/>
      <c r="AU139" s="300"/>
      <c r="AV139" s="300"/>
      <c r="AW139" s="300"/>
      <c r="AX139" s="225"/>
      <c r="AY139" s="225"/>
      <c r="AZ139" s="225"/>
      <c r="BA139" s="225"/>
      <c r="BB139" s="225"/>
      <c r="BC139" s="225"/>
      <c r="BD139" s="225"/>
      <c r="BE139" s="225"/>
      <c r="BF139" s="225"/>
      <c r="BG139" s="225"/>
      <c r="BH139" s="225"/>
      <c r="BI139" s="225"/>
      <c r="BJ139" s="225"/>
      <c r="BK139" s="225"/>
      <c r="BL139" s="225"/>
    </row>
    <row r="140" spans="1:90" ht="19.5" customHeight="1" x14ac:dyDescent="0.25">
      <c r="C140" s="534"/>
      <c r="D140" s="535"/>
      <c r="E140" s="535"/>
      <c r="F140" s="535"/>
      <c r="G140" s="535"/>
      <c r="H140" s="536"/>
      <c r="I140" s="536"/>
      <c r="J140" s="536"/>
      <c r="K140" s="536"/>
      <c r="L140" s="536"/>
      <c r="M140" s="537"/>
      <c r="N140" s="473">
        <f>$C$4</f>
        <v>6</v>
      </c>
      <c r="O140" s="293"/>
      <c r="P140" s="2005">
        <f>$D$4</f>
        <v>10</v>
      </c>
      <c r="Q140" s="2006"/>
      <c r="R140" s="2007"/>
      <c r="S140" s="2005">
        <f>$E$4</f>
        <v>18</v>
      </c>
      <c r="T140" s="2006"/>
      <c r="U140" s="2007"/>
      <c r="V140" s="2005" t="str">
        <f>$F$4</f>
        <v>6 FFF</v>
      </c>
      <c r="W140" s="2006"/>
      <c r="X140" s="2007"/>
      <c r="Y140" s="2005" t="str">
        <f>$G$4</f>
        <v>10 FFF</v>
      </c>
      <c r="Z140" s="2006"/>
      <c r="AA140" s="2033"/>
      <c r="AB140" s="1995" t="s">
        <v>16</v>
      </c>
      <c r="AC140" s="1996"/>
      <c r="AD140" s="1997"/>
      <c r="AE140" s="538"/>
      <c r="AF140" s="538"/>
      <c r="AG140" s="538"/>
      <c r="AH140" s="538"/>
    </row>
    <row r="141" spans="1:90" s="212" customFormat="1" ht="19.5" customHeight="1" x14ac:dyDescent="0.25">
      <c r="A141" s="415" t="s">
        <v>50</v>
      </c>
      <c r="B141" s="415" t="s">
        <v>15</v>
      </c>
      <c r="C141" s="539" t="s">
        <v>25</v>
      </c>
      <c r="D141" s="402" t="s">
        <v>158</v>
      </c>
      <c r="E141" s="310"/>
      <c r="F141" s="540"/>
      <c r="G141" s="541" t="s">
        <v>529</v>
      </c>
      <c r="H141" s="301" t="s">
        <v>524</v>
      </c>
      <c r="I141" s="542"/>
      <c r="J141" s="541" t="s">
        <v>77</v>
      </c>
      <c r="K141" s="541"/>
      <c r="L141" s="543"/>
      <c r="M141" s="1998" t="s">
        <v>216</v>
      </c>
      <c r="N141" s="301" t="s">
        <v>206</v>
      </c>
      <c r="O141" s="301" t="s">
        <v>16</v>
      </c>
      <c r="P141" s="1998" t="s">
        <v>216</v>
      </c>
      <c r="Q141" s="301" t="s">
        <v>206</v>
      </c>
      <c r="R141" s="301" t="s">
        <v>16</v>
      </c>
      <c r="S141" s="1998" t="s">
        <v>216</v>
      </c>
      <c r="T141" s="301" t="s">
        <v>206</v>
      </c>
      <c r="U141" s="301" t="s">
        <v>16</v>
      </c>
      <c r="V141" s="1998" t="s">
        <v>216</v>
      </c>
      <c r="W141" s="301" t="s">
        <v>206</v>
      </c>
      <c r="X141" s="301" t="s">
        <v>16</v>
      </c>
      <c r="Y141" s="1998" t="s">
        <v>216</v>
      </c>
      <c r="Z141" s="301" t="s">
        <v>206</v>
      </c>
      <c r="AA141" s="304" t="s">
        <v>16</v>
      </c>
      <c r="AB141" s="544" t="s">
        <v>23</v>
      </c>
      <c r="AC141" s="1993" t="s">
        <v>178</v>
      </c>
      <c r="AD141" s="1994"/>
      <c r="AE141" s="538"/>
      <c r="AF141" s="538"/>
      <c r="AG141" s="538"/>
      <c r="AH141" s="538"/>
      <c r="AI141" s="538"/>
      <c r="AJ141" s="538"/>
      <c r="AK141" s="538"/>
      <c r="AL141" s="538"/>
      <c r="AM141" s="538"/>
      <c r="AN141" s="538"/>
      <c r="AO141" s="538"/>
      <c r="AP141" s="538"/>
      <c r="AQ141" s="538"/>
      <c r="AR141" s="538"/>
      <c r="AS141" s="545"/>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69"/>
      <c r="BO141" s="233"/>
      <c r="BP141" s="233"/>
      <c r="BQ141" s="222"/>
      <c r="BR141" s="233"/>
      <c r="BS141" s="222"/>
      <c r="BT141" s="211"/>
      <c r="BU141" s="222"/>
      <c r="BV141" s="222"/>
      <c r="BW141" s="225"/>
      <c r="BX141" s="225"/>
      <c r="BY141" s="225"/>
      <c r="BZ141" s="225"/>
      <c r="CA141" s="225"/>
      <c r="CB141" s="300"/>
      <c r="CC141" s="300"/>
      <c r="CD141" s="300"/>
      <c r="CE141" s="522"/>
      <c r="CF141" s="522"/>
      <c r="CG141" s="522"/>
    </row>
    <row r="142" spans="1:90" s="212" customFormat="1" ht="19.5" customHeight="1" thickBot="1" x14ac:dyDescent="0.3">
      <c r="A142" s="308"/>
      <c r="B142" s="308"/>
      <c r="C142" s="546"/>
      <c r="D142" s="313" t="s">
        <v>383</v>
      </c>
      <c r="E142" s="313" t="s">
        <v>384</v>
      </c>
      <c r="F142" s="313" t="s">
        <v>385</v>
      </c>
      <c r="G142" s="541" t="s">
        <v>28</v>
      </c>
      <c r="H142" s="312" t="s">
        <v>528</v>
      </c>
      <c r="I142" s="542" t="s">
        <v>2</v>
      </c>
      <c r="J142" s="547" t="s">
        <v>61</v>
      </c>
      <c r="K142" s="541" t="s">
        <v>3</v>
      </c>
      <c r="L142" s="547" t="s">
        <v>22</v>
      </c>
      <c r="M142" s="1999"/>
      <c r="N142" s="314" t="s">
        <v>207</v>
      </c>
      <c r="O142" s="315" t="s">
        <v>174</v>
      </c>
      <c r="P142" s="1999"/>
      <c r="Q142" s="314" t="s">
        <v>207</v>
      </c>
      <c r="R142" s="315" t="s">
        <v>174</v>
      </c>
      <c r="S142" s="1999"/>
      <c r="T142" s="314" t="s">
        <v>207</v>
      </c>
      <c r="U142" s="315" t="s">
        <v>174</v>
      </c>
      <c r="V142" s="1999"/>
      <c r="W142" s="314" t="s">
        <v>207</v>
      </c>
      <c r="X142" s="315" t="s">
        <v>174</v>
      </c>
      <c r="Y142" s="1999"/>
      <c r="Z142" s="314" t="s">
        <v>207</v>
      </c>
      <c r="AA142" s="178" t="s">
        <v>174</v>
      </c>
      <c r="AB142" s="548" t="s">
        <v>173</v>
      </c>
      <c r="AC142" s="679" t="s">
        <v>173</v>
      </c>
      <c r="AD142" s="550" t="s">
        <v>166</v>
      </c>
      <c r="AE142" s="538"/>
      <c r="AF142" s="538"/>
      <c r="AG142" s="538"/>
      <c r="AH142" s="538"/>
      <c r="AI142" s="551"/>
      <c r="AJ142" s="538"/>
      <c r="AK142" s="538"/>
      <c r="AL142" s="538"/>
      <c r="AM142" s="538"/>
      <c r="AN142" s="538"/>
      <c r="AO142" s="538"/>
      <c r="AP142" s="538"/>
      <c r="AQ142" s="538"/>
      <c r="AR142" s="538"/>
      <c r="AS142" s="538"/>
      <c r="AT142" s="538"/>
      <c r="AU142" s="538"/>
      <c r="AV142" s="538"/>
      <c r="AW142" s="538"/>
      <c r="AX142" s="545"/>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69"/>
      <c r="BT142" s="233"/>
      <c r="BU142" s="233"/>
      <c r="BV142" s="222"/>
      <c r="BW142" s="233"/>
      <c r="BX142" s="222"/>
      <c r="BY142" s="211"/>
      <c r="BZ142" s="222"/>
      <c r="CA142" s="222"/>
      <c r="CB142" s="225"/>
      <c r="CC142" s="225"/>
      <c r="CD142" s="225"/>
      <c r="CE142" s="225"/>
      <c r="CF142" s="225"/>
      <c r="CG142" s="300"/>
      <c r="CH142" s="300"/>
      <c r="CI142" s="300"/>
      <c r="CJ142" s="522"/>
      <c r="CK142" s="522"/>
      <c r="CL142" s="522"/>
    </row>
    <row r="143" spans="1:90" s="212" customFormat="1" ht="19.5" hidden="1" customHeight="1" thickBot="1" x14ac:dyDescent="0.3">
      <c r="A143" s="694"/>
      <c r="B143" s="694"/>
      <c r="C143" s="584"/>
      <c r="D143" s="695"/>
      <c r="E143" s="695"/>
      <c r="F143" s="695"/>
      <c r="G143" s="722"/>
      <c r="H143" s="694"/>
      <c r="I143" s="723"/>
      <c r="J143" s="724"/>
      <c r="K143" s="722"/>
      <c r="L143" s="724"/>
      <c r="M143" s="695"/>
      <c r="N143" s="97"/>
      <c r="O143" s="58"/>
      <c r="P143" s="695"/>
      <c r="Q143" s="97"/>
      <c r="R143" s="58"/>
      <c r="S143" s="695"/>
      <c r="T143" s="97"/>
      <c r="U143" s="58"/>
      <c r="V143" s="695"/>
      <c r="W143" s="97"/>
      <c r="X143" s="58"/>
      <c r="Y143" s="695"/>
      <c r="Z143" s="97"/>
      <c r="AA143" s="90"/>
      <c r="AB143" s="319"/>
      <c r="AC143" s="320"/>
      <c r="AD143" s="321"/>
      <c r="AE143" s="538"/>
      <c r="AF143" s="538"/>
      <c r="AG143" s="538"/>
      <c r="AH143" s="538"/>
      <c r="AI143" s="551"/>
      <c r="AJ143" s="538"/>
      <c r="AK143" s="538"/>
      <c r="AL143" s="538"/>
      <c r="AM143" s="538"/>
      <c r="AN143" s="538"/>
      <c r="AO143" s="538"/>
      <c r="AP143" s="538"/>
      <c r="AQ143" s="538"/>
      <c r="AR143" s="538"/>
      <c r="AS143" s="538"/>
      <c r="AT143" s="538"/>
      <c r="AU143" s="538"/>
      <c r="AV143" s="538"/>
      <c r="AW143" s="538"/>
      <c r="AX143" s="545"/>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69"/>
      <c r="BT143" s="233"/>
      <c r="BU143" s="233"/>
      <c r="BV143" s="222"/>
      <c r="BW143" s="233"/>
      <c r="BX143" s="222"/>
      <c r="BY143" s="211"/>
      <c r="BZ143" s="222"/>
      <c r="CA143" s="222"/>
      <c r="CB143" s="225"/>
      <c r="CC143" s="225"/>
      <c r="CD143" s="225"/>
      <c r="CE143" s="225"/>
      <c r="CF143" s="225"/>
      <c r="CG143" s="300"/>
      <c r="CH143" s="300"/>
      <c r="CI143" s="300"/>
      <c r="CJ143" s="522"/>
      <c r="CK143" s="522"/>
      <c r="CL143" s="522"/>
    </row>
    <row r="144" spans="1:90" s="212" customFormat="1" ht="30" customHeight="1" x14ac:dyDescent="0.25">
      <c r="A144" s="552"/>
      <c r="B144" s="322"/>
      <c r="C144" s="323" t="s">
        <v>569</v>
      </c>
      <c r="D144" s="1836">
        <v>1</v>
      </c>
      <c r="E144" s="89"/>
      <c r="F144" s="89"/>
      <c r="G144" s="89"/>
      <c r="H144" s="1836">
        <v>0.25</v>
      </c>
      <c r="I144" s="1836">
        <v>250</v>
      </c>
      <c r="J144" s="1836">
        <v>0</v>
      </c>
      <c r="K144" s="1836">
        <v>0</v>
      </c>
      <c r="L144" s="1836">
        <v>0</v>
      </c>
      <c r="M144" s="91">
        <f>IF($I144=0,0,1+($I144-$C$21)/$C$22)+$J144/$C$23+$K144/$C$24+$L144/$C$25</f>
        <v>7.4545454545454541</v>
      </c>
      <c r="N144" s="92">
        <f t="shared" ref="N144:N162" si="12">10^(-M144)</f>
        <v>3.5111917342151263E-8</v>
      </c>
      <c r="O144" s="93">
        <f>$C$7*$C$14*$C$8*$H144/$D144^2*N144*10^6</f>
        <v>7.022383468430253E-2</v>
      </c>
      <c r="P144" s="91">
        <f>IF($I144=0,0,1+($I144-$D$21)/$D$22)+$J144/$D$23+$K144/$D$24+$L144/$D$25</f>
        <v>6.6486486486486482</v>
      </c>
      <c r="Q144" s="92">
        <f t="shared" ref="Q144:Q162" si="13">10^(-P144)</f>
        <v>2.2456979955397711E-7</v>
      </c>
      <c r="R144" s="93">
        <f>$C$7*$D$14*$D$8*$H144/$D144^2*$Q144*10^6</f>
        <v>0.4491395991079542</v>
      </c>
      <c r="S144" s="93">
        <f>IF($I144=0,0,1+(I144-$E$21)/$E$22)+$J144/$E$23+K144/$E$24+$L144/$E$25</f>
        <v>5.7674418604651159</v>
      </c>
      <c r="T144" s="92">
        <f t="shared" ref="T144:T162" si="14">10^(-S144)</f>
        <v>1.7082763938087111E-6</v>
      </c>
      <c r="U144" s="93">
        <f>$C$7*$E$14*$E$8*$H144/$D144^2*$T144*10^6</f>
        <v>3.4165527876174222</v>
      </c>
      <c r="V144" s="93">
        <f>IF($I144=0,0,1+(I144-$F$21)/$F$22)+$J144/$F$23+K144/$F$24+$L144/$F$25</f>
        <v>9.1481481481481488</v>
      </c>
      <c r="W144" s="92">
        <f t="shared" ref="W144:W162" si="15">10^(-V144)</f>
        <v>7.1097094323124171E-10</v>
      </c>
      <c r="X144" s="93">
        <f>$C$7*$F$14*$F$8*$H144/$D144^2*$W144*10^6</f>
        <v>1.4219418864624834E-3</v>
      </c>
      <c r="Y144" s="93">
        <f>IF($I144=0,0,1+(I144-$G$21)/$G$22)+$J144/$G$23+K144/$G$24+$L144/$G$25</f>
        <v>6.9444444444444446</v>
      </c>
      <c r="Z144" s="92">
        <f t="shared" ref="Z144:Z162" si="16">10^(-Y144)</f>
        <v>1.136463666385722E-7</v>
      </c>
      <c r="AA144" s="94">
        <f>$C$7*$G$14*$G$8*$H144/$D144^2*$Z144*10^6</f>
        <v>0.22729273327714439</v>
      </c>
      <c r="AB144" s="553">
        <f>SUM(O144,R144,U144,X144,AA144)</f>
        <v>4.1646308965732857</v>
      </c>
      <c r="AC144" s="554"/>
      <c r="AD144" s="555"/>
      <c r="AE144" s="538"/>
      <c r="AF144" s="538"/>
      <c r="AG144" s="538"/>
      <c r="AH144" s="556"/>
      <c r="AI144" s="551"/>
      <c r="AJ144" s="551"/>
      <c r="AK144" s="551"/>
      <c r="AL144" s="538"/>
      <c r="AM144" s="538"/>
      <c r="AN144" s="538"/>
      <c r="AO144" s="538"/>
      <c r="AP144" s="538"/>
      <c r="AQ144" s="538"/>
      <c r="AR144" s="538"/>
      <c r="AS144" s="538"/>
      <c r="AT144" s="538"/>
      <c r="AU144" s="538"/>
      <c r="AV144" s="538"/>
      <c r="AW144" s="538"/>
      <c r="AX144" s="545"/>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69"/>
      <c r="BT144" s="233"/>
      <c r="BU144" s="233"/>
      <c r="BV144" s="222"/>
      <c r="BW144" s="222"/>
      <c r="BX144" s="222"/>
      <c r="BY144" s="211"/>
      <c r="BZ144" s="222"/>
      <c r="CA144" s="222"/>
      <c r="CB144" s="225"/>
      <c r="CC144" s="225"/>
      <c r="CD144" s="225"/>
      <c r="CE144" s="225"/>
      <c r="CF144" s="225"/>
      <c r="CG144" s="300"/>
      <c r="CH144" s="300"/>
      <c r="CI144" s="300"/>
      <c r="CJ144" s="522"/>
      <c r="CK144" s="522"/>
      <c r="CL144" s="522"/>
    </row>
    <row r="145" spans="1:90" s="212" customFormat="1" ht="30" customHeight="1" x14ac:dyDescent="0.25">
      <c r="A145" s="557" t="str">
        <f>Samenvatting!A332</f>
        <v>T1</v>
      </c>
      <c r="B145" s="558" t="str">
        <f>Samenvatting!B332</f>
        <v>terreingrens 1</v>
      </c>
      <c r="C145" s="331" t="s">
        <v>568</v>
      </c>
      <c r="D145" s="1836">
        <v>25</v>
      </c>
      <c r="E145" s="89"/>
      <c r="F145" s="89"/>
      <c r="G145" s="89"/>
      <c r="H145" s="559"/>
      <c r="I145" s="1836">
        <v>250</v>
      </c>
      <c r="J145" s="1836">
        <v>0</v>
      </c>
      <c r="K145" s="1836">
        <v>0</v>
      </c>
      <c r="L145" s="1836">
        <v>0</v>
      </c>
      <c r="M145" s="93">
        <f>$I145/$C$27+$J145/$C$28+K145/$C$29+$L145/$C$30</f>
        <v>7.3529411764705879</v>
      </c>
      <c r="N145" s="92">
        <f t="shared" si="12"/>
        <v>4.4366873309786093E-8</v>
      </c>
      <c r="O145" s="93">
        <f>$C$7*$C$15*$C$8*($C$9+$C$10*$C$11)/$D145^2*$N145*10^6</f>
        <v>4.2592198377394652E-5</v>
      </c>
      <c r="P145" s="93">
        <f>$I145/$D$27+$J145/$D$28+K145/$D$29+$L145/$D$30</f>
        <v>6.5789473684210522</v>
      </c>
      <c r="Q145" s="92">
        <f t="shared" si="13"/>
        <v>2.636650898730358E-7</v>
      </c>
      <c r="R145" s="93">
        <f>$C$7*$C$15*$D$8*($D$9+$D$10*$D$11)/$D145^2*$Q145*10^6</f>
        <v>2.5311848627811444E-4</v>
      </c>
      <c r="S145" s="93">
        <f>$I145/$E$27+$J145/$E$28+K145/$E$29+$L145/$E$30</f>
        <v>5.6818181818181817</v>
      </c>
      <c r="T145" s="92">
        <f t="shared" si="14"/>
        <v>2.0805675382171676E-6</v>
      </c>
      <c r="U145" s="93">
        <f>$C$7*$C$15*$E$8*($E$9+$E$10*$E$11)/$D145^2*$T145*10^6</f>
        <v>1.9973448366884814E-3</v>
      </c>
      <c r="V145" s="93">
        <f>$I145/$F$27+$J145/$F$28+K145/$F$29+$L145/$F$30</f>
        <v>8.1967213114754092</v>
      </c>
      <c r="W145" s="92">
        <f t="shared" si="15"/>
        <v>6.3573875711648393E-9</v>
      </c>
      <c r="X145" s="93">
        <f>$C$7*$C$15*$F$8*($F$9+$F$10*$F$11)/$D145^2*$W145*10^6</f>
        <v>6.1030920683182469E-6</v>
      </c>
      <c r="Y145" s="93">
        <f>$I145/$G$27+$J145/$G$28+K145/$G$29+$L145/$G$30</f>
        <v>7.0224719101123592</v>
      </c>
      <c r="Z145" s="92">
        <f t="shared" si="16"/>
        <v>9.4957241494880226E-8</v>
      </c>
      <c r="AA145" s="94">
        <f>$C$7*$C$15*$G$8*($G$9+$G$10*$G$11)/$D145^2*$Z145*10^6</f>
        <v>9.1158951835085031E-5</v>
      </c>
      <c r="AB145" s="560">
        <f>SUM(O145,R145,U145,X145,AA145)</f>
        <v>2.3903175652473939E-3</v>
      </c>
      <c r="AC145" s="561">
        <f>SUM(AB143:AB148)</f>
        <v>4.1670929152189826</v>
      </c>
      <c r="AD145" s="562">
        <f>AC145*52/10^3</f>
        <v>0.2166888315913871</v>
      </c>
      <c r="AE145" s="538"/>
      <c r="AF145" s="538"/>
      <c r="AG145" s="538"/>
      <c r="AH145" s="556"/>
      <c r="AI145" s="563"/>
      <c r="AJ145" s="551"/>
      <c r="AK145" s="551"/>
      <c r="AL145" s="538"/>
      <c r="AM145" s="538"/>
      <c r="AN145" s="538"/>
      <c r="AO145" s="538"/>
      <c r="AP145" s="538"/>
      <c r="AQ145" s="538"/>
      <c r="AR145" s="538"/>
      <c r="AS145" s="538"/>
      <c r="AT145" s="538"/>
      <c r="AU145" s="538"/>
      <c r="AV145" s="538"/>
      <c r="AW145" s="538"/>
      <c r="AX145" s="545"/>
      <c r="AY145" s="545"/>
      <c r="AZ145" s="545"/>
      <c r="BA145" s="545"/>
      <c r="BB145" s="328"/>
      <c r="BC145" s="328"/>
      <c r="BD145" s="328"/>
      <c r="BE145" s="328"/>
      <c r="BF145" s="328"/>
      <c r="BG145" s="328"/>
      <c r="BH145" s="328"/>
      <c r="BI145" s="328"/>
      <c r="BJ145" s="328"/>
      <c r="BK145" s="328"/>
      <c r="BL145" s="328"/>
      <c r="BM145" s="328"/>
      <c r="BN145" s="328"/>
      <c r="BO145" s="328"/>
      <c r="BP145" s="328"/>
      <c r="BQ145" s="328"/>
      <c r="BR145" s="328"/>
      <c r="BS145" s="369"/>
      <c r="BT145" s="233"/>
      <c r="BU145" s="233"/>
      <c r="BV145" s="222"/>
      <c r="BW145" s="222"/>
      <c r="BX145" s="222"/>
      <c r="BY145" s="211"/>
      <c r="BZ145" s="222"/>
      <c r="CA145" s="222"/>
      <c r="CB145" s="225"/>
      <c r="CC145" s="225"/>
      <c r="CD145" s="225"/>
      <c r="CE145" s="225"/>
      <c r="CF145" s="225"/>
      <c r="CG145" s="300"/>
      <c r="CH145" s="300"/>
      <c r="CI145" s="300"/>
      <c r="CJ145" s="522"/>
      <c r="CK145" s="522"/>
      <c r="CL145" s="522"/>
    </row>
    <row r="146" spans="1:90" s="212" customFormat="1" ht="30" customHeight="1" x14ac:dyDescent="0.25">
      <c r="A146" s="557"/>
      <c r="B146" s="558"/>
      <c r="C146" s="331" t="s">
        <v>26</v>
      </c>
      <c r="D146" s="564"/>
      <c r="E146" s="1836">
        <v>11</v>
      </c>
      <c r="F146" s="89">
        <f>D145</f>
        <v>25</v>
      </c>
      <c r="G146" s="1836">
        <v>15</v>
      </c>
      <c r="H146" s="1836">
        <v>0.25</v>
      </c>
      <c r="I146" s="1836">
        <v>210</v>
      </c>
      <c r="J146" s="1836">
        <v>0</v>
      </c>
      <c r="K146" s="1836">
        <v>0</v>
      </c>
      <c r="L146" s="1836">
        <v>0</v>
      </c>
      <c r="M146" s="93">
        <f>IF($I146=0,0,1+(I146-$C$21)/$C$22)+$J146/$C$23+K146/$C$24+$L146/$C$25</f>
        <v>6.2424242424242422</v>
      </c>
      <c r="N146" s="92">
        <f t="shared" si="12"/>
        <v>5.722367659350211E-7</v>
      </c>
      <c r="O146" s="95">
        <f>2.5*0.01*$C$7*$C$14*$C$8*$H146*(2*PI()*(1-COS($G146/180*PI())))^1.3/$E146^2/$F146^2*N146*10^6</f>
        <v>5.101138747051231E-8</v>
      </c>
      <c r="P146" s="91">
        <f>IF($I146=0,0,1+($I146-$D$21)/$D$22)+$J146/$D$23+$K146/$D$24+$L146/$D$25</f>
        <v>5.5675675675675675</v>
      </c>
      <c r="Q146" s="92">
        <f t="shared" si="13"/>
        <v>2.7066520700332395E-6</v>
      </c>
      <c r="R146" s="95">
        <f>2.5*0.01*$C$7*$D$14*$D$8*$H146*(2*PI()*(1-COS($G146/180*PI())))^1.3/$E146^2/$F146^2*Q146*10^6</f>
        <v>2.4128138160910826E-7</v>
      </c>
      <c r="S146" s="93">
        <f>IF($I146=0,0,1+(I146-$E$21)/$E$22)+$J146/$E$23+K146/$E$24+$L146/$E$25</f>
        <v>4.8372093023255811</v>
      </c>
      <c r="T146" s="92">
        <f t="shared" si="14"/>
        <v>1.4547578108480478E-5</v>
      </c>
      <c r="U146" s="95">
        <f>2.5*0.01*$C$7*$E$14*$E$8*$H146*(2*PI()*(1-COS($G146/180*PI())))^1.3/$E146^2/$F146^2*T146*10^6</f>
        <v>1.2968270964496306E-6</v>
      </c>
      <c r="V146" s="93">
        <f>IF($I146=0,0,1+(I146-$F$21)/$F$22)+$J146/$F$23+K146/$F$24+$L146/$F$25</f>
        <v>7.666666666666667</v>
      </c>
      <c r="W146" s="92">
        <f t="shared" si="15"/>
        <v>2.1544346900318783E-8</v>
      </c>
      <c r="X146" s="95">
        <f>2.5*0.01*$C$7*$F$14*$F$8*$H146*(2*PI()*(1-COS($G146/180*PI())))^1.3/$E146^2/$F146^2*W146*10^6</f>
        <v>1.920545992418962E-9</v>
      </c>
      <c r="Y146" s="93">
        <f>IF($I146=0,0,1+(I146-$G$21)/$G$22)+$J146/$G$23+K146/$G$24+$L146/$G$25</f>
        <v>5.833333333333333</v>
      </c>
      <c r="Z146" s="92">
        <f t="shared" si="16"/>
        <v>1.4677992676220696E-6</v>
      </c>
      <c r="AA146" s="96">
        <f>2.5*0.01*$C$7*$G$14*$G$8*$H146*(2*PI()*(1-COS($G146/180*PI())))^1.3/$E146^2/$F146^2*Z146*10^6</f>
        <v>1.3084527528960935E-7</v>
      </c>
      <c r="AB146" s="560">
        <f>SUM(O146,R146,U146,X146,AA146)</f>
        <v>1.7218856868112794E-6</v>
      </c>
      <c r="AC146" s="565"/>
      <c r="AD146" s="566"/>
      <c r="AE146" s="538"/>
      <c r="AF146" s="538"/>
      <c r="AG146" s="567"/>
      <c r="AH146" s="538"/>
      <c r="AI146" s="563"/>
      <c r="AJ146" s="545"/>
      <c r="AK146" s="545"/>
      <c r="AL146" s="538"/>
      <c r="AM146" s="538"/>
      <c r="AN146" s="538"/>
      <c r="AO146" s="538"/>
      <c r="AP146" s="538"/>
      <c r="AQ146" s="538"/>
      <c r="AR146" s="538"/>
      <c r="AS146" s="538"/>
      <c r="AT146" s="538"/>
      <c r="AU146" s="538"/>
      <c r="AV146" s="538"/>
      <c r="AW146" s="538"/>
      <c r="AX146" s="545"/>
      <c r="AY146" s="545"/>
      <c r="AZ146" s="545"/>
      <c r="BA146" s="545"/>
      <c r="BB146" s="328"/>
      <c r="BC146" s="328"/>
      <c r="BD146" s="328"/>
      <c r="BE146" s="328"/>
      <c r="BF146" s="328"/>
      <c r="BG146" s="328"/>
      <c r="BH146" s="328"/>
      <c r="BI146" s="328"/>
      <c r="BJ146" s="328"/>
      <c r="BK146" s="328"/>
      <c r="BL146" s="328"/>
      <c r="BM146" s="328"/>
      <c r="BN146" s="328"/>
      <c r="BO146" s="328"/>
      <c r="BP146" s="328"/>
      <c r="BQ146" s="328"/>
      <c r="BR146" s="328"/>
      <c r="BS146" s="369"/>
      <c r="BT146" s="233"/>
      <c r="BU146" s="233"/>
      <c r="BV146" s="222"/>
      <c r="BW146" s="222"/>
      <c r="BX146" s="222"/>
      <c r="BY146" s="211"/>
      <c r="BZ146" s="222"/>
      <c r="CA146" s="222"/>
      <c r="CB146" s="225"/>
      <c r="CC146" s="225"/>
      <c r="CD146" s="225"/>
      <c r="CE146" s="225"/>
      <c r="CF146" s="225"/>
      <c r="CG146" s="300"/>
      <c r="CH146" s="300"/>
      <c r="CI146" s="300"/>
      <c r="CJ146" s="522"/>
      <c r="CK146" s="522"/>
      <c r="CL146" s="522"/>
    </row>
    <row r="147" spans="1:90" s="538" customFormat="1" ht="30" customHeight="1" thickBot="1" x14ac:dyDescent="0.3">
      <c r="A147" s="557"/>
      <c r="B147" s="558"/>
      <c r="C147" s="331" t="s">
        <v>27</v>
      </c>
      <c r="D147" s="89"/>
      <c r="E147" s="1836">
        <v>10</v>
      </c>
      <c r="F147" s="89"/>
      <c r="G147" s="1836">
        <v>60</v>
      </c>
      <c r="H147" s="568"/>
      <c r="I147" s="1836">
        <v>190</v>
      </c>
      <c r="J147" s="1836">
        <v>0</v>
      </c>
      <c r="K147" s="1836">
        <v>0</v>
      </c>
      <c r="L147" s="1836">
        <v>0</v>
      </c>
      <c r="M147" s="93">
        <f>$I147/$C$27+$J147/$C$28+K147/$C$29+$L147/$C$30</f>
        <v>5.5882352941176467</v>
      </c>
      <c r="N147" s="92">
        <f t="shared" si="12"/>
        <v>2.580861540418073E-6</v>
      </c>
      <c r="O147" s="95">
        <f>2.5*0.01*$C$7*$C$15*$C$8*($C$9+$C$10*$C$11)*(2*PI()*(1-COS($G147/180*PI())))^1.3/E$147^2/$F146^2*N147*10^6</f>
        <v>2.7432840731901286E-6</v>
      </c>
      <c r="P147" s="93">
        <f>$I147/$D$27+$J147/$D$28+K147/$D$29+$L147/$D$30</f>
        <v>5</v>
      </c>
      <c r="Q147" s="92">
        <f t="shared" si="13"/>
        <v>1.0000000000000001E-5</v>
      </c>
      <c r="R147" s="95">
        <f>2.5*0.01*$C$7*$C$15*$D$8*($D$9+$D$10*$D$11)*(2*PI()*(1-COS($G147/180*PI())))^1.3/$E147^2/$F146^2*Q147*10^6</f>
        <v>1.0629334546733355E-5</v>
      </c>
      <c r="S147" s="93">
        <f>$I147/$E$27+$J147/$E$28+K147/$E$29+$L147/$E$30</f>
        <v>4.3181818181818183</v>
      </c>
      <c r="T147" s="92">
        <f t="shared" si="14"/>
        <v>4.8063808630643867E-5</v>
      </c>
      <c r="U147" s="95">
        <f>2.5*0.01*$C$7*$C$15*$E$8*($E$9+$E$10*$E$11)*(2*PI()*(1-COS($G147/180*PI())))^1.3/$E147^2/$F146^2*T147*10^6</f>
        <v>5.1088630152528366E-5</v>
      </c>
      <c r="V147" s="93">
        <f>$I147/$F$27+$J147/$F$28+K147/$F$29+$L147/$F$30</f>
        <v>6.2295081967213113</v>
      </c>
      <c r="W147" s="92">
        <f t="shared" si="15"/>
        <v>5.8951085074002664E-7</v>
      </c>
      <c r="X147" s="95">
        <f>2.5*0.01*$C$7*$C$15*$F$8*($F$9+$F$10*$F$11)*(2*PI()*(1-COS($G147/180*PI())))^1.3/$E147^2/$F146^2*W147*10^6</f>
        <v>6.2661080514451354E-7</v>
      </c>
      <c r="Y147" s="93">
        <f>$I147/$G$27+$J147/$G$28+K147/$G$29+$L147/$G$30</f>
        <v>5.3370786516853927</v>
      </c>
      <c r="Z147" s="92">
        <f t="shared" si="16"/>
        <v>4.6017322765137984E-6</v>
      </c>
      <c r="AA147" s="96">
        <f>2.5*0.01*$C$7*$C$15*$G$8*($G$9+$G$10*$G$11)*(2*PI()*(1-COS($G147/180*PI())))^1.3/$E147^2/$F146^2*Z147*10^6</f>
        <v>4.891335186156605E-6</v>
      </c>
      <c r="AB147" s="569">
        <f>SUM(O147,R147,U147,X147,AA147)</f>
        <v>6.9979194763752965E-5</v>
      </c>
      <c r="AC147" s="570"/>
      <c r="AD147" s="571"/>
      <c r="AH147" s="572"/>
      <c r="AI147" s="573"/>
      <c r="AJ147" s="563"/>
      <c r="AK147" s="551"/>
      <c r="AX147" s="545"/>
      <c r="AY147" s="545"/>
      <c r="AZ147" s="545"/>
      <c r="BA147" s="545"/>
      <c r="BB147" s="545"/>
      <c r="BC147" s="545"/>
      <c r="BD147" s="545"/>
      <c r="BE147" s="545"/>
      <c r="BF147" s="545"/>
      <c r="BG147" s="545"/>
      <c r="BH147" s="545"/>
      <c r="BI147" s="545"/>
      <c r="BJ147" s="545"/>
      <c r="BK147" s="545"/>
      <c r="BL147" s="545"/>
      <c r="BM147" s="545"/>
      <c r="BN147" s="545"/>
      <c r="BO147" s="545"/>
      <c r="BP147" s="545"/>
      <c r="BQ147" s="545"/>
      <c r="BR147" s="545"/>
      <c r="BS147" s="545"/>
      <c r="BT147" s="545"/>
      <c r="BU147" s="545"/>
      <c r="BV147" s="545"/>
      <c r="BW147" s="545"/>
      <c r="BX147" s="545"/>
      <c r="BY147" s="545"/>
      <c r="BZ147" s="545"/>
    </row>
    <row r="148" spans="1:90" s="212" customFormat="1" ht="30" hidden="1" customHeight="1" thickBot="1" x14ac:dyDescent="0.3">
      <c r="A148" s="574"/>
      <c r="B148" s="575"/>
      <c r="C148" s="576"/>
      <c r="D148" s="89"/>
      <c r="E148" s="89"/>
      <c r="F148" s="89"/>
      <c r="G148" s="89"/>
      <c r="H148" s="1837"/>
      <c r="I148" s="1837"/>
      <c r="J148" s="1837"/>
      <c r="K148" s="1837"/>
      <c r="L148" s="1837"/>
      <c r="M148" s="91"/>
      <c r="N148" s="97"/>
      <c r="O148" s="98"/>
      <c r="P148" s="91"/>
      <c r="Q148" s="97"/>
      <c r="R148" s="98"/>
      <c r="S148" s="91"/>
      <c r="T148" s="97"/>
      <c r="U148" s="98"/>
      <c r="V148" s="91"/>
      <c r="W148" s="97"/>
      <c r="X148" s="98"/>
      <c r="Y148" s="91"/>
      <c r="Z148" s="97"/>
      <c r="AA148" s="99"/>
      <c r="AB148" s="577"/>
      <c r="AC148" s="578"/>
      <c r="AD148" s="579"/>
      <c r="AH148" s="580"/>
      <c r="AI148" s="581"/>
      <c r="AJ148" s="282"/>
      <c r="AK148" s="300"/>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row>
    <row r="149" spans="1:90" s="212" customFormat="1" ht="30" customHeight="1" x14ac:dyDescent="0.25">
      <c r="A149" s="552"/>
      <c r="B149" s="322"/>
      <c r="C149" s="323" t="s">
        <v>569</v>
      </c>
      <c r="D149" s="1836">
        <v>1</v>
      </c>
      <c r="E149" s="89"/>
      <c r="F149" s="89"/>
      <c r="G149" s="89"/>
      <c r="H149" s="1836">
        <v>0.25</v>
      </c>
      <c r="I149" s="1836">
        <v>250</v>
      </c>
      <c r="J149" s="1836">
        <v>0</v>
      </c>
      <c r="K149" s="1836">
        <v>0</v>
      </c>
      <c r="L149" s="1836">
        <v>0</v>
      </c>
      <c r="M149" s="91">
        <f>IF($I149=0,0,1+($I149-$C$21)/$C$22)+$J149/$C$23+$K149/$C$24+$L149/$C$25</f>
        <v>7.4545454545454541</v>
      </c>
      <c r="N149" s="92">
        <f t="shared" si="12"/>
        <v>3.5111917342151263E-8</v>
      </c>
      <c r="O149" s="93">
        <f>$C$7*$C$14*$C$8*$H149/$D149^2*N149*10^6</f>
        <v>7.022383468430253E-2</v>
      </c>
      <c r="P149" s="91">
        <f>IF($I149=0,0,1+($I149-$D$21)/$D$22)+$J149/$D$23+$K149/$D$24+$L149/$D$25</f>
        <v>6.6486486486486482</v>
      </c>
      <c r="Q149" s="92">
        <f t="shared" si="13"/>
        <v>2.2456979955397711E-7</v>
      </c>
      <c r="R149" s="93">
        <f>$C$7*$D$14*$D$8*$H149/$D149^2*$Q149*10^6</f>
        <v>0.4491395991079542</v>
      </c>
      <c r="S149" s="93">
        <f>IF($I149=0,0,1+(I149-$E$21)/$E$22)+$J149/$E$23+K149/$E$24+$L149/$E$25</f>
        <v>5.7674418604651159</v>
      </c>
      <c r="T149" s="92">
        <f t="shared" si="14"/>
        <v>1.7082763938087111E-6</v>
      </c>
      <c r="U149" s="93">
        <f>$C$7*$E$14*$E$8*$H149/$D149^2*$T149*10^6</f>
        <v>3.4165527876174222</v>
      </c>
      <c r="V149" s="93">
        <f>IF($I149=0,0,1+(I149-$F$21)/$F$22)+$J149/$F$23+K149/$F$24+$L149/$F$25</f>
        <v>9.1481481481481488</v>
      </c>
      <c r="W149" s="92">
        <f t="shared" si="15"/>
        <v>7.1097094323124171E-10</v>
      </c>
      <c r="X149" s="93">
        <f>$C$7*$F$14*$F$8*$H149/$D149^2*$W149*10^6</f>
        <v>1.4219418864624834E-3</v>
      </c>
      <c r="Y149" s="93">
        <f>IF($I149=0,0,1+(I149-$G$21)/$G$22)+$J149/$G$23+K149/$G$24+$L149/$G$25</f>
        <v>6.9444444444444446</v>
      </c>
      <c r="Z149" s="92">
        <f t="shared" si="16"/>
        <v>1.136463666385722E-7</v>
      </c>
      <c r="AA149" s="94">
        <f>$C$7*$G$14*$G$8*$H149/$D149^2*$Z149*10^6</f>
        <v>0.22729273327714439</v>
      </c>
      <c r="AB149" s="553">
        <f>SUM(O149,R149,U149,X149,AA149)</f>
        <v>4.1646308965732857</v>
      </c>
      <c r="AC149" s="554"/>
      <c r="AD149" s="555"/>
      <c r="AE149" s="538"/>
      <c r="AF149" s="538"/>
      <c r="AG149" s="538"/>
      <c r="AH149" s="556"/>
      <c r="AI149" s="551"/>
      <c r="AJ149" s="551"/>
      <c r="AK149" s="551"/>
      <c r="AL149" s="538"/>
      <c r="AM149" s="538"/>
      <c r="AN149" s="538"/>
      <c r="AO149" s="538"/>
      <c r="AP149" s="538"/>
      <c r="AQ149" s="538"/>
      <c r="AR149" s="538"/>
      <c r="AS149" s="538"/>
      <c r="AT149" s="538"/>
      <c r="AU149" s="538"/>
      <c r="AV149" s="538"/>
      <c r="AW149" s="538"/>
      <c r="AX149" s="545"/>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69"/>
      <c r="BT149" s="233"/>
      <c r="BU149" s="233"/>
      <c r="BV149" s="222"/>
      <c r="BW149" s="222"/>
      <c r="BX149" s="222"/>
      <c r="BY149" s="211"/>
      <c r="BZ149" s="222"/>
      <c r="CA149" s="222"/>
      <c r="CB149" s="225"/>
      <c r="CC149" s="225"/>
      <c r="CD149" s="225"/>
      <c r="CE149" s="225"/>
      <c r="CF149" s="225"/>
      <c r="CG149" s="300"/>
      <c r="CH149" s="300"/>
      <c r="CI149" s="300"/>
      <c r="CJ149" s="522"/>
      <c r="CK149" s="522"/>
      <c r="CL149" s="522"/>
    </row>
    <row r="150" spans="1:90" s="212" customFormat="1" ht="30" customHeight="1" x14ac:dyDescent="0.25">
      <c r="A150" s="557" t="str">
        <f>Samenvatting!A343</f>
        <v>T2</v>
      </c>
      <c r="B150" s="558" t="str">
        <f>Samenvatting!B343</f>
        <v>terreingrens 2</v>
      </c>
      <c r="C150" s="331" t="s">
        <v>568</v>
      </c>
      <c r="D150" s="1836">
        <v>25</v>
      </c>
      <c r="E150" s="89"/>
      <c r="F150" s="89"/>
      <c r="G150" s="89"/>
      <c r="H150" s="559"/>
      <c r="I150" s="1836">
        <v>250</v>
      </c>
      <c r="J150" s="1836">
        <v>0</v>
      </c>
      <c r="K150" s="1836">
        <v>0</v>
      </c>
      <c r="L150" s="1836">
        <v>0</v>
      </c>
      <c r="M150" s="93">
        <f>$I150/$C$27+$J150/$C$28+K150/$C$29+$L150/$C$30</f>
        <v>7.3529411764705879</v>
      </c>
      <c r="N150" s="92">
        <f t="shared" si="12"/>
        <v>4.4366873309786093E-8</v>
      </c>
      <c r="O150" s="93">
        <f>$C$7*$C$15*$C$8*($C$9+$C$10*$C$11)/$D150^2*$N150*10^6</f>
        <v>4.2592198377394652E-5</v>
      </c>
      <c r="P150" s="93">
        <f>$I150/$D$27+$J150/$D$28+K150/$D$29+$L150/$D$30</f>
        <v>6.5789473684210522</v>
      </c>
      <c r="Q150" s="92">
        <f t="shared" si="13"/>
        <v>2.636650898730358E-7</v>
      </c>
      <c r="R150" s="93">
        <f>$C$7*$C$15*$D$8*($D$9+$D$10*$D$11)/$D150^2*$Q150*10^6</f>
        <v>2.5311848627811444E-4</v>
      </c>
      <c r="S150" s="93">
        <f>$I150/$E$27+$J150/$E$28+K150/$E$29+$L150/$E$30</f>
        <v>5.6818181818181817</v>
      </c>
      <c r="T150" s="92">
        <f t="shared" si="14"/>
        <v>2.0805675382171676E-6</v>
      </c>
      <c r="U150" s="93">
        <f>$C$7*$C$15*$E$8*($E$9+$E$10*$E$11)/$D150^2*$T150*10^6</f>
        <v>1.9973448366884814E-3</v>
      </c>
      <c r="V150" s="93">
        <f>$I150/$F$27+$J150/$F$28+K150/$F$29+$L150/$F$30</f>
        <v>8.1967213114754092</v>
      </c>
      <c r="W150" s="92">
        <f t="shared" si="15"/>
        <v>6.3573875711648393E-9</v>
      </c>
      <c r="X150" s="93">
        <f>$C$7*$C$15*$F$8*($F$9+$F$10*$F$11)/$D150^2*$W150*10^6</f>
        <v>6.1030920683182469E-6</v>
      </c>
      <c r="Y150" s="93">
        <f>$I150/$G$27+$J150/$G$28+K150/$G$29+$L150/$G$30</f>
        <v>7.0224719101123592</v>
      </c>
      <c r="Z150" s="92">
        <f t="shared" si="16"/>
        <v>9.4957241494880226E-8</v>
      </c>
      <c r="AA150" s="94">
        <f>$C$7*$C$15*$G$8*($G$9+$G$10*$G$11)/$D150^2*$Z150*10^6</f>
        <v>9.1158951835085031E-5</v>
      </c>
      <c r="AB150" s="560">
        <f>SUM(O150,R150,U150,X150,AA150)</f>
        <v>2.3903175652473939E-3</v>
      </c>
      <c r="AC150" s="561">
        <f>SUM(AB148:AB153)</f>
        <v>4.1670929152189826</v>
      </c>
      <c r="AD150" s="562">
        <f>AC150*52/10^3</f>
        <v>0.2166888315913871</v>
      </c>
      <c r="AE150" s="538"/>
      <c r="AF150" s="538"/>
      <c r="AG150" s="538"/>
      <c r="AH150" s="556"/>
      <c r="AI150" s="563"/>
      <c r="AJ150" s="551"/>
      <c r="AK150" s="551"/>
      <c r="AL150" s="538"/>
      <c r="AM150" s="538"/>
      <c r="AN150" s="538"/>
      <c r="AO150" s="538"/>
      <c r="AP150" s="538"/>
      <c r="AQ150" s="538"/>
      <c r="AR150" s="538"/>
      <c r="AS150" s="538"/>
      <c r="AT150" s="538"/>
      <c r="AU150" s="538"/>
      <c r="AV150" s="538"/>
      <c r="AW150" s="538"/>
      <c r="AX150" s="545"/>
      <c r="AY150" s="545"/>
      <c r="AZ150" s="545"/>
      <c r="BA150" s="545"/>
      <c r="BB150" s="328"/>
      <c r="BC150" s="328"/>
      <c r="BD150" s="328"/>
      <c r="BE150" s="328"/>
      <c r="BF150" s="328"/>
      <c r="BG150" s="328"/>
      <c r="BH150" s="328"/>
      <c r="BI150" s="328"/>
      <c r="BJ150" s="328"/>
      <c r="BK150" s="328"/>
      <c r="BL150" s="328"/>
      <c r="BM150" s="328"/>
      <c r="BN150" s="328"/>
      <c r="BO150" s="328"/>
      <c r="BP150" s="328"/>
      <c r="BQ150" s="328"/>
      <c r="BR150" s="328"/>
      <c r="BS150" s="369"/>
      <c r="BT150" s="233"/>
      <c r="BU150" s="233"/>
      <c r="BV150" s="222"/>
      <c r="BW150" s="222"/>
      <c r="BX150" s="222"/>
      <c r="BY150" s="211"/>
      <c r="BZ150" s="222"/>
      <c r="CA150" s="222"/>
      <c r="CB150" s="225"/>
      <c r="CC150" s="225"/>
      <c r="CD150" s="225"/>
      <c r="CE150" s="225"/>
      <c r="CF150" s="225"/>
      <c r="CG150" s="300"/>
      <c r="CH150" s="300"/>
      <c r="CI150" s="300"/>
      <c r="CJ150" s="522"/>
      <c r="CK150" s="522"/>
      <c r="CL150" s="522"/>
    </row>
    <row r="151" spans="1:90" s="212" customFormat="1" ht="30" customHeight="1" x14ac:dyDescent="0.25">
      <c r="A151" s="557"/>
      <c r="B151" s="558"/>
      <c r="C151" s="331" t="s">
        <v>26</v>
      </c>
      <c r="D151" s="564"/>
      <c r="E151" s="89">
        <f>E146</f>
        <v>11</v>
      </c>
      <c r="F151" s="89">
        <f>D150</f>
        <v>25</v>
      </c>
      <c r="G151" s="1836">
        <v>15</v>
      </c>
      <c r="H151" s="1836">
        <v>0.25</v>
      </c>
      <c r="I151" s="1836">
        <v>210</v>
      </c>
      <c r="J151" s="1836">
        <v>0</v>
      </c>
      <c r="K151" s="1836">
        <v>0</v>
      </c>
      <c r="L151" s="1836">
        <v>0</v>
      </c>
      <c r="M151" s="93">
        <f>IF($I151=0,0,1+(I151-$C$21)/$C$22)+$J151/$C$23+K151/$C$24+$L151/$C$25</f>
        <v>6.2424242424242422</v>
      </c>
      <c r="N151" s="92">
        <f t="shared" si="12"/>
        <v>5.722367659350211E-7</v>
      </c>
      <c r="O151" s="95">
        <f>2.5*0.01*$C$7*$C$14*$C$8*$H151*(2*PI()*(1-COS($G151/180*PI())))^1.3/$E151^2/$F151^2*N151*10^6</f>
        <v>5.101138747051231E-8</v>
      </c>
      <c r="P151" s="91">
        <f>IF($I151=0,0,1+($I151-$D$21)/$D$22)+$J151/$D$23+$K151/$D$24+$L151/$D$25</f>
        <v>5.5675675675675675</v>
      </c>
      <c r="Q151" s="92">
        <f t="shared" si="13"/>
        <v>2.7066520700332395E-6</v>
      </c>
      <c r="R151" s="95">
        <f>2.5*0.01*$C$7*$D$14*$D$8*$H151*(2*PI()*(1-COS($G151/180*PI())))^1.3/$E151^2/$F151^2*Q151*10^6</f>
        <v>2.4128138160910826E-7</v>
      </c>
      <c r="S151" s="93">
        <f>IF($I151=0,0,1+(I151-$E$21)/$E$22)+$J151/$E$23+K151/$E$24+$L151/$E$25</f>
        <v>4.8372093023255811</v>
      </c>
      <c r="T151" s="92">
        <f t="shared" si="14"/>
        <v>1.4547578108480478E-5</v>
      </c>
      <c r="U151" s="95">
        <f>2.5*0.01*$C$7*$E$14*$E$8*$H151*(2*PI()*(1-COS($G151/180*PI())))^1.3/$E151^2/$F151^2*T151*10^6</f>
        <v>1.2968270964496306E-6</v>
      </c>
      <c r="V151" s="93">
        <f>IF($I151=0,0,1+(I151-$F$21)/$F$22)+$J151/$F$23+K151/$F$24+$L151/$F$25</f>
        <v>7.666666666666667</v>
      </c>
      <c r="W151" s="92">
        <f t="shared" si="15"/>
        <v>2.1544346900318783E-8</v>
      </c>
      <c r="X151" s="95">
        <f>2.5*0.01*$C$7*$F$14*$F$8*$H151*(2*PI()*(1-COS($G151/180*PI())))^1.3/$E151^2/$F151^2*W151*10^6</f>
        <v>1.920545992418962E-9</v>
      </c>
      <c r="Y151" s="93">
        <f>IF($I151=0,0,1+(I151-$G$21)/$G$22)+$J151/$G$23+K151/$G$24+$L151/$G$25</f>
        <v>5.833333333333333</v>
      </c>
      <c r="Z151" s="92">
        <f t="shared" si="16"/>
        <v>1.4677992676220696E-6</v>
      </c>
      <c r="AA151" s="96">
        <f>2.5*0.01*$C$7*$G$14*$G$8*$H151*(2*PI()*(1-COS($G151/180*PI())))^1.3/$E151^2/$F151^2*Z151*10^6</f>
        <v>1.3084527528960935E-7</v>
      </c>
      <c r="AB151" s="560">
        <f>SUM(O151,R151,U151,X151,AA151)</f>
        <v>1.7218856868112794E-6</v>
      </c>
      <c r="AC151" s="565"/>
      <c r="AD151" s="566"/>
      <c r="AE151" s="538"/>
      <c r="AF151" s="538"/>
      <c r="AG151" s="567"/>
      <c r="AH151" s="538"/>
      <c r="AI151" s="563"/>
      <c r="AJ151" s="545"/>
      <c r="AK151" s="545"/>
      <c r="AL151" s="538"/>
      <c r="AM151" s="538"/>
      <c r="AN151" s="538"/>
      <c r="AO151" s="538"/>
      <c r="AP151" s="538"/>
      <c r="AQ151" s="538"/>
      <c r="AR151" s="538"/>
      <c r="AS151" s="538"/>
      <c r="AT151" s="538"/>
      <c r="AU151" s="538"/>
      <c r="AV151" s="538"/>
      <c r="AW151" s="538"/>
      <c r="AX151" s="545"/>
      <c r="AY151" s="545"/>
      <c r="AZ151" s="545"/>
      <c r="BA151" s="545"/>
      <c r="BB151" s="328"/>
      <c r="BC151" s="328"/>
      <c r="BD151" s="328"/>
      <c r="BE151" s="328"/>
      <c r="BF151" s="328"/>
      <c r="BG151" s="328"/>
      <c r="BH151" s="328"/>
      <c r="BI151" s="328"/>
      <c r="BJ151" s="328"/>
      <c r="BK151" s="328"/>
      <c r="BL151" s="328"/>
      <c r="BM151" s="328"/>
      <c r="BN151" s="328"/>
      <c r="BO151" s="328"/>
      <c r="BP151" s="328"/>
      <c r="BQ151" s="328"/>
      <c r="BR151" s="328"/>
      <c r="BS151" s="369"/>
      <c r="BT151" s="233"/>
      <c r="BU151" s="233"/>
      <c r="BV151" s="222"/>
      <c r="BW151" s="222"/>
      <c r="BX151" s="222"/>
      <c r="BY151" s="211"/>
      <c r="BZ151" s="222"/>
      <c r="CA151" s="222"/>
      <c r="CB151" s="225"/>
      <c r="CC151" s="225"/>
      <c r="CD151" s="225"/>
      <c r="CE151" s="225"/>
      <c r="CF151" s="225"/>
      <c r="CG151" s="300"/>
      <c r="CH151" s="300"/>
      <c r="CI151" s="300"/>
      <c r="CJ151" s="522"/>
      <c r="CK151" s="522"/>
      <c r="CL151" s="522"/>
    </row>
    <row r="152" spans="1:90" s="538" customFormat="1" ht="30" customHeight="1" thickBot="1" x14ac:dyDescent="0.3">
      <c r="A152" s="557"/>
      <c r="B152" s="558"/>
      <c r="C152" s="331" t="s">
        <v>27</v>
      </c>
      <c r="D152" s="89"/>
      <c r="E152" s="89">
        <f>E147</f>
        <v>10</v>
      </c>
      <c r="F152" s="89"/>
      <c r="G152" s="1836">
        <v>60</v>
      </c>
      <c r="H152" s="568"/>
      <c r="I152" s="1836">
        <v>190</v>
      </c>
      <c r="J152" s="1836">
        <v>0</v>
      </c>
      <c r="K152" s="1836">
        <v>0</v>
      </c>
      <c r="L152" s="1836">
        <v>0</v>
      </c>
      <c r="M152" s="93">
        <f>$I152/$C$27+$J152/$C$28+K152/$C$29+$L152/$C$30</f>
        <v>5.5882352941176467</v>
      </c>
      <c r="N152" s="92">
        <f t="shared" si="12"/>
        <v>2.580861540418073E-6</v>
      </c>
      <c r="O152" s="95">
        <f>2.5*0.01*$C$7*$C$15*$C$8*($C$9+$C$10*$C$11)*(2*PI()*(1-COS($G152/180*PI())))^1.3/E$147^2/$F151^2*N152*10^6</f>
        <v>2.7432840731901286E-6</v>
      </c>
      <c r="P152" s="93">
        <f>$I152/$D$27+$J152/$D$28+K152/$D$29+$L152/$D$30</f>
        <v>5</v>
      </c>
      <c r="Q152" s="92">
        <f t="shared" si="13"/>
        <v>1.0000000000000001E-5</v>
      </c>
      <c r="R152" s="95">
        <f>2.5*0.01*$C$7*$C$15*$D$8*($D$9+$D$10*$D$11)*(2*PI()*(1-COS($G152/180*PI())))^1.3/$E152^2/$F151^2*Q152*10^6</f>
        <v>1.0629334546733355E-5</v>
      </c>
      <c r="S152" s="93">
        <f>$I152/$E$27+$J152/$E$28+K152/$E$29+$L152/$E$30</f>
        <v>4.3181818181818183</v>
      </c>
      <c r="T152" s="92">
        <f t="shared" si="14"/>
        <v>4.8063808630643867E-5</v>
      </c>
      <c r="U152" s="95">
        <f>2.5*0.01*$C$7*$C$15*$E$8*($E$9+$E$10*$E$11)*(2*PI()*(1-COS($G152/180*PI())))^1.3/$E152^2/$F151^2*T152*10^6</f>
        <v>5.1088630152528366E-5</v>
      </c>
      <c r="V152" s="93">
        <f>$I152/$F$27+$J152/$F$28+K152/$F$29+$L152/$F$30</f>
        <v>6.2295081967213113</v>
      </c>
      <c r="W152" s="92">
        <f t="shared" si="15"/>
        <v>5.8951085074002664E-7</v>
      </c>
      <c r="X152" s="95">
        <f>2.5*0.01*$C$7*$C$15*$F$8*($F$9+$F$10*$F$11)*(2*PI()*(1-COS($G152/180*PI())))^1.3/$E152^2/$F151^2*W152*10^6</f>
        <v>6.2661080514451354E-7</v>
      </c>
      <c r="Y152" s="93">
        <f>$I152/$G$27+$J152/$G$28+K152/$G$29+$L152/$G$30</f>
        <v>5.3370786516853927</v>
      </c>
      <c r="Z152" s="92">
        <f t="shared" si="16"/>
        <v>4.6017322765137984E-6</v>
      </c>
      <c r="AA152" s="96">
        <f>2.5*0.01*$C$7*$C$15*$G$8*($G$9+$G$10*$G$11)*(2*PI()*(1-COS($G152/180*PI())))^1.3/$E152^2/$F151^2*Z152*10^6</f>
        <v>4.891335186156605E-6</v>
      </c>
      <c r="AB152" s="569">
        <f>SUM(O152,R152,U152,X152,AA152)</f>
        <v>6.9979194763752965E-5</v>
      </c>
      <c r="AC152" s="570"/>
      <c r="AD152" s="571"/>
      <c r="AH152" s="572"/>
      <c r="AI152" s="573"/>
      <c r="AJ152" s="563"/>
      <c r="AK152" s="551"/>
      <c r="AX152" s="545"/>
      <c r="AY152" s="545"/>
      <c r="AZ152" s="545"/>
      <c r="BA152" s="545"/>
      <c r="BB152" s="545"/>
      <c r="BC152" s="545"/>
      <c r="BD152" s="545"/>
      <c r="BE152" s="545"/>
      <c r="BF152" s="545"/>
      <c r="BG152" s="545"/>
      <c r="BH152" s="545"/>
      <c r="BI152" s="545"/>
      <c r="BJ152" s="545"/>
      <c r="BK152" s="545"/>
      <c r="BL152" s="545"/>
      <c r="BM152" s="545"/>
      <c r="BN152" s="545"/>
      <c r="BO152" s="545"/>
      <c r="BP152" s="545"/>
      <c r="BQ152" s="545"/>
      <c r="BR152" s="545"/>
      <c r="BS152" s="545"/>
      <c r="BT152" s="545"/>
      <c r="BU152" s="545"/>
      <c r="BV152" s="545"/>
      <c r="BW152" s="545"/>
      <c r="BX152" s="545"/>
      <c r="BY152" s="545"/>
      <c r="BZ152" s="545"/>
    </row>
    <row r="153" spans="1:90" s="212" customFormat="1" ht="30" hidden="1" customHeight="1" thickBot="1" x14ac:dyDescent="0.3">
      <c r="A153" s="574"/>
      <c r="B153" s="575"/>
      <c r="C153" s="576"/>
      <c r="D153" s="89"/>
      <c r="E153" s="89"/>
      <c r="F153" s="89"/>
      <c r="G153" s="89"/>
      <c r="H153" s="1837"/>
      <c r="I153" s="1837"/>
      <c r="J153" s="1837"/>
      <c r="K153" s="1837"/>
      <c r="L153" s="1837"/>
      <c r="M153" s="91"/>
      <c r="N153" s="97"/>
      <c r="O153" s="98"/>
      <c r="P153" s="91"/>
      <c r="Q153" s="97"/>
      <c r="R153" s="98"/>
      <c r="S153" s="91"/>
      <c r="T153" s="97"/>
      <c r="U153" s="98"/>
      <c r="V153" s="91"/>
      <c r="W153" s="97"/>
      <c r="X153" s="98"/>
      <c r="Y153" s="91"/>
      <c r="Z153" s="97"/>
      <c r="AA153" s="99"/>
      <c r="AB153" s="577"/>
      <c r="AC153" s="578"/>
      <c r="AD153" s="579"/>
      <c r="AH153" s="580"/>
      <c r="AI153" s="581"/>
      <c r="AJ153" s="282"/>
      <c r="AK153" s="300"/>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row>
    <row r="154" spans="1:90" s="212" customFormat="1" ht="30" customHeight="1" x14ac:dyDescent="0.25">
      <c r="A154" s="552"/>
      <c r="B154" s="322"/>
      <c r="C154" s="323" t="s">
        <v>569</v>
      </c>
      <c r="D154" s="1836">
        <v>1</v>
      </c>
      <c r="E154" s="89"/>
      <c r="F154" s="89"/>
      <c r="G154" s="89"/>
      <c r="H154" s="1836">
        <v>0.25</v>
      </c>
      <c r="I154" s="1836">
        <v>250</v>
      </c>
      <c r="J154" s="1836">
        <v>0</v>
      </c>
      <c r="K154" s="1836">
        <v>0</v>
      </c>
      <c r="L154" s="1836">
        <v>0</v>
      </c>
      <c r="M154" s="91">
        <f>IF($I154=0,0,1+($I154-$C$21)/$C$22)+$J154/$C$23+$K154/$C$24+$L154/$C$25</f>
        <v>7.4545454545454541</v>
      </c>
      <c r="N154" s="92">
        <f t="shared" si="12"/>
        <v>3.5111917342151263E-8</v>
      </c>
      <c r="O154" s="93">
        <f>$C$7*$C$14*$C$8*$H154/$D154^2*N154*10^6</f>
        <v>7.022383468430253E-2</v>
      </c>
      <c r="P154" s="91">
        <f>IF($I154=0,0,1+($I154-$D$21)/$D$22)+$J154/$D$23+$K154/$D$24+$L154/$D$25</f>
        <v>6.6486486486486482</v>
      </c>
      <c r="Q154" s="92">
        <f t="shared" si="13"/>
        <v>2.2456979955397711E-7</v>
      </c>
      <c r="R154" s="93">
        <f>$C$7*$D$14*$D$8*$H154/$D154^2*$Q154*10^6</f>
        <v>0.4491395991079542</v>
      </c>
      <c r="S154" s="93">
        <f>IF($I154=0,0,1+(I154-$E$21)/$E$22)+$J154/$E$23+K154/$E$24+$L154/$E$25</f>
        <v>5.7674418604651159</v>
      </c>
      <c r="T154" s="92">
        <f t="shared" si="14"/>
        <v>1.7082763938087111E-6</v>
      </c>
      <c r="U154" s="93">
        <f>$C$7*$E$14*$E$8*$H154/$D154^2*$T154*10^6</f>
        <v>3.4165527876174222</v>
      </c>
      <c r="V154" s="93">
        <f>IF($I154=0,0,1+(I154-$F$21)/$F$22)+$J154/$F$23+K154/$F$24+$L154/$F$25</f>
        <v>9.1481481481481488</v>
      </c>
      <c r="W154" s="92">
        <f t="shared" si="15"/>
        <v>7.1097094323124171E-10</v>
      </c>
      <c r="X154" s="93">
        <f>$C$7*$F$14*$F$8*$H154/$D154^2*$W154*10^6</f>
        <v>1.4219418864624834E-3</v>
      </c>
      <c r="Y154" s="93">
        <f>IF($I154=0,0,1+(I154-$G$21)/$G$22)+$J154/$G$23+K154/$G$24+$L154/$G$25</f>
        <v>6.9444444444444446</v>
      </c>
      <c r="Z154" s="92">
        <f t="shared" si="16"/>
        <v>1.136463666385722E-7</v>
      </c>
      <c r="AA154" s="94">
        <f>$C$7*$G$14*$G$8*$H154/$D154^2*$Z154*10^6</f>
        <v>0.22729273327714439</v>
      </c>
      <c r="AB154" s="553">
        <f>SUM(O154,R154,U154,X154,AA154)</f>
        <v>4.1646308965732857</v>
      </c>
      <c r="AC154" s="554"/>
      <c r="AD154" s="555"/>
      <c r="AE154" s="538"/>
      <c r="AF154" s="538"/>
      <c r="AG154" s="538"/>
      <c r="AH154" s="556"/>
      <c r="AI154" s="551"/>
      <c r="AJ154" s="551"/>
      <c r="AK154" s="551"/>
      <c r="AL154" s="538"/>
      <c r="AM154" s="538"/>
      <c r="AN154" s="538"/>
      <c r="AO154" s="538"/>
      <c r="AP154" s="538"/>
      <c r="AQ154" s="538"/>
      <c r="AR154" s="538"/>
      <c r="AS154" s="538"/>
      <c r="AT154" s="538"/>
      <c r="AU154" s="538"/>
      <c r="AV154" s="538"/>
      <c r="AW154" s="538"/>
      <c r="AX154" s="545"/>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69"/>
      <c r="BT154" s="233"/>
      <c r="BU154" s="233"/>
      <c r="BV154" s="222"/>
      <c r="BW154" s="222"/>
      <c r="BX154" s="222"/>
      <c r="BY154" s="211"/>
      <c r="BZ154" s="222"/>
      <c r="CA154" s="222"/>
      <c r="CB154" s="225"/>
      <c r="CC154" s="225"/>
      <c r="CD154" s="225"/>
      <c r="CE154" s="225"/>
      <c r="CF154" s="225"/>
      <c r="CG154" s="300"/>
      <c r="CH154" s="300"/>
      <c r="CI154" s="300"/>
      <c r="CJ154" s="522"/>
      <c r="CK154" s="522"/>
      <c r="CL154" s="522"/>
    </row>
    <row r="155" spans="1:90" s="212" customFormat="1" ht="30" customHeight="1" x14ac:dyDescent="0.25">
      <c r="A155" s="557" t="str">
        <f>Samenvatting!A354</f>
        <v>T3</v>
      </c>
      <c r="B155" s="558" t="str">
        <f>Samenvatting!B354</f>
        <v>terreingrens 3</v>
      </c>
      <c r="C155" s="331" t="s">
        <v>568</v>
      </c>
      <c r="D155" s="1836">
        <v>25</v>
      </c>
      <c r="E155" s="89"/>
      <c r="F155" s="89"/>
      <c r="G155" s="89"/>
      <c r="H155" s="559"/>
      <c r="I155" s="1836">
        <v>250</v>
      </c>
      <c r="J155" s="1836">
        <v>0</v>
      </c>
      <c r="K155" s="1836">
        <v>0</v>
      </c>
      <c r="L155" s="1836">
        <v>0</v>
      </c>
      <c r="M155" s="93">
        <f>$I155/$C$27+$J155/$C$28+K155/$C$29+$L155/$C$30</f>
        <v>7.3529411764705879</v>
      </c>
      <c r="N155" s="92">
        <f t="shared" si="12"/>
        <v>4.4366873309786093E-8</v>
      </c>
      <c r="O155" s="93">
        <f>$C$7*$C$15*$C$8*($C$9+$C$10*$C$11)/$D155^2*$N155*10^6</f>
        <v>4.2592198377394652E-5</v>
      </c>
      <c r="P155" s="93">
        <f>$I155/$D$27+$J155/$D$28+K155/$D$29+$L155/$D$30</f>
        <v>6.5789473684210522</v>
      </c>
      <c r="Q155" s="92">
        <f t="shared" si="13"/>
        <v>2.636650898730358E-7</v>
      </c>
      <c r="R155" s="93">
        <f>$C$7*$C$15*$D$8*($D$9+$D$10*$D$11)/$D155^2*$Q155*10^6</f>
        <v>2.5311848627811444E-4</v>
      </c>
      <c r="S155" s="93">
        <f>$I155/$E$27+$J155/$E$28+K155/$E$29+$L155/$E$30</f>
        <v>5.6818181818181817</v>
      </c>
      <c r="T155" s="92">
        <f t="shared" si="14"/>
        <v>2.0805675382171676E-6</v>
      </c>
      <c r="U155" s="93">
        <f>$C$7*$C$15*$E$8*($E$9+$E$10*$E$11)/$D155^2*$T155*10^6</f>
        <v>1.9973448366884814E-3</v>
      </c>
      <c r="V155" s="93">
        <f>$I155/$F$27+$J155/$F$28+K155/$F$29+$L155/$F$30</f>
        <v>8.1967213114754092</v>
      </c>
      <c r="W155" s="92">
        <f t="shared" si="15"/>
        <v>6.3573875711648393E-9</v>
      </c>
      <c r="X155" s="93">
        <f>$C$7*$C$15*$F$8*($F$9+$F$10*$F$11)/$D155^2*$W155*10^6</f>
        <v>6.1030920683182469E-6</v>
      </c>
      <c r="Y155" s="93">
        <f>$I155/$G$27+$J155/$G$28+K155/$G$29+$L155/$G$30</f>
        <v>7.0224719101123592</v>
      </c>
      <c r="Z155" s="92">
        <f t="shared" si="16"/>
        <v>9.4957241494880226E-8</v>
      </c>
      <c r="AA155" s="94">
        <f>$C$7*$C$15*$G$8*($G$9+$G$10*$G$11)/$D155^2*$Z155*10^6</f>
        <v>9.1158951835085031E-5</v>
      </c>
      <c r="AB155" s="560">
        <f>SUM(O155,R155,U155,X155,AA155)</f>
        <v>2.3903175652473939E-3</v>
      </c>
      <c r="AC155" s="561">
        <f>SUM(AB153:AB158)</f>
        <v>4.1670929152189826</v>
      </c>
      <c r="AD155" s="562">
        <f>AC155*52/10^3</f>
        <v>0.2166888315913871</v>
      </c>
      <c r="AE155" s="538"/>
      <c r="AF155" s="538"/>
      <c r="AG155" s="538"/>
      <c r="AH155" s="556"/>
      <c r="AI155" s="563"/>
      <c r="AJ155" s="551"/>
      <c r="AK155" s="551"/>
      <c r="AL155" s="538"/>
      <c r="AM155" s="538"/>
      <c r="AN155" s="538"/>
      <c r="AO155" s="538"/>
      <c r="AP155" s="538"/>
      <c r="AQ155" s="538"/>
      <c r="AR155" s="538"/>
      <c r="AS155" s="538"/>
      <c r="AT155" s="538"/>
      <c r="AU155" s="538"/>
      <c r="AV155" s="538"/>
      <c r="AW155" s="538"/>
      <c r="AX155" s="545"/>
      <c r="AY155" s="545"/>
      <c r="AZ155" s="545"/>
      <c r="BA155" s="545"/>
      <c r="BB155" s="328"/>
      <c r="BC155" s="328"/>
      <c r="BD155" s="328"/>
      <c r="BE155" s="328"/>
      <c r="BF155" s="328"/>
      <c r="BG155" s="328"/>
      <c r="BH155" s="328"/>
      <c r="BI155" s="328"/>
      <c r="BJ155" s="328"/>
      <c r="BK155" s="328"/>
      <c r="BL155" s="328"/>
      <c r="BM155" s="328"/>
      <c r="BN155" s="328"/>
      <c r="BO155" s="328"/>
      <c r="BP155" s="328"/>
      <c r="BQ155" s="328"/>
      <c r="BR155" s="328"/>
      <c r="BS155" s="369"/>
      <c r="BT155" s="233"/>
      <c r="BU155" s="233"/>
      <c r="BV155" s="222"/>
      <c r="BW155" s="222"/>
      <c r="BX155" s="222"/>
      <c r="BY155" s="211"/>
      <c r="BZ155" s="222"/>
      <c r="CA155" s="222"/>
      <c r="CB155" s="225"/>
      <c r="CC155" s="225"/>
      <c r="CD155" s="225"/>
      <c r="CE155" s="225"/>
      <c r="CF155" s="225"/>
      <c r="CG155" s="300"/>
      <c r="CH155" s="300"/>
      <c r="CI155" s="300"/>
      <c r="CJ155" s="522"/>
      <c r="CK155" s="522"/>
      <c r="CL155" s="522"/>
    </row>
    <row r="156" spans="1:90" s="212" customFormat="1" ht="30" customHeight="1" x14ac:dyDescent="0.25">
      <c r="A156" s="557"/>
      <c r="B156" s="558"/>
      <c r="C156" s="331" t="s">
        <v>26</v>
      </c>
      <c r="D156" s="564"/>
      <c r="E156" s="89">
        <f>E146</f>
        <v>11</v>
      </c>
      <c r="F156" s="89">
        <f>D155</f>
        <v>25</v>
      </c>
      <c r="G156" s="1836">
        <v>15</v>
      </c>
      <c r="H156" s="1836">
        <v>0.25</v>
      </c>
      <c r="I156" s="1836">
        <v>210</v>
      </c>
      <c r="J156" s="1836">
        <v>0</v>
      </c>
      <c r="K156" s="1836">
        <v>0</v>
      </c>
      <c r="L156" s="1836">
        <v>0</v>
      </c>
      <c r="M156" s="93">
        <f>IF($I156=0,0,1+(I156-$C$21)/$C$22)+$J156/$C$23+K156/$C$24+$L156/$C$25</f>
        <v>6.2424242424242422</v>
      </c>
      <c r="N156" s="92">
        <f t="shared" si="12"/>
        <v>5.722367659350211E-7</v>
      </c>
      <c r="O156" s="95">
        <f>2.5*0.01*$C$7*$C$14*$C$8*$H156*(2*PI()*(1-COS($G156/180*PI())))^1.3/$E156^2/$F156^2*N156*10^6</f>
        <v>5.101138747051231E-8</v>
      </c>
      <c r="P156" s="91">
        <f>IF($I156=0,0,1+($I156-$D$21)/$D$22)+$J156/$D$23+$K156/$D$24+$L156/$D$25</f>
        <v>5.5675675675675675</v>
      </c>
      <c r="Q156" s="92">
        <f t="shared" si="13"/>
        <v>2.7066520700332395E-6</v>
      </c>
      <c r="R156" s="95">
        <f>2.5*0.01*$C$7*$D$14*$D$8*$H156*(2*PI()*(1-COS($G156/180*PI())))^1.3/$E156^2/$F156^2*Q156*10^6</f>
        <v>2.4128138160910826E-7</v>
      </c>
      <c r="S156" s="93">
        <f>IF($I156=0,0,1+(I156-$E$21)/$E$22)+$J156/$E$23+K156/$E$24+$L156/$E$25</f>
        <v>4.8372093023255811</v>
      </c>
      <c r="T156" s="92">
        <f t="shared" si="14"/>
        <v>1.4547578108480478E-5</v>
      </c>
      <c r="U156" s="95">
        <f>2.5*0.01*$C$7*$E$14*$E$8*$H156*(2*PI()*(1-COS($G156/180*PI())))^1.3/$E156^2/$F156^2*T156*10^6</f>
        <v>1.2968270964496306E-6</v>
      </c>
      <c r="V156" s="93">
        <f>IF($I156=0,0,1+(I156-$F$21)/$F$22)+$J156/$F$23+K156/$F$24+$L156/$F$25</f>
        <v>7.666666666666667</v>
      </c>
      <c r="W156" s="92">
        <f t="shared" si="15"/>
        <v>2.1544346900318783E-8</v>
      </c>
      <c r="X156" s="95">
        <f>2.5*0.01*$C$7*$F$14*$F$8*$H156*(2*PI()*(1-COS($G156/180*PI())))^1.3/$E156^2/$F156^2*W156*10^6</f>
        <v>1.920545992418962E-9</v>
      </c>
      <c r="Y156" s="93">
        <f>IF($I156=0,0,1+(I156-$G$21)/$G$22)+$J156/$G$23+K156/$G$24+$L156/$G$25</f>
        <v>5.833333333333333</v>
      </c>
      <c r="Z156" s="92">
        <f t="shared" si="16"/>
        <v>1.4677992676220696E-6</v>
      </c>
      <c r="AA156" s="96">
        <f>2.5*0.01*$C$7*$G$14*$G$8*$H156*(2*PI()*(1-COS($G156/180*PI())))^1.3/$E156^2/$F156^2*Z156*10^6</f>
        <v>1.3084527528960935E-7</v>
      </c>
      <c r="AB156" s="560">
        <f>SUM(O156,R156,U156,X156,AA156)</f>
        <v>1.7218856868112794E-6</v>
      </c>
      <c r="AC156" s="565"/>
      <c r="AD156" s="566"/>
      <c r="AE156" s="538"/>
      <c r="AF156" s="538"/>
      <c r="AG156" s="567"/>
      <c r="AH156" s="538"/>
      <c r="AI156" s="563"/>
      <c r="AJ156" s="545"/>
      <c r="AK156" s="545"/>
      <c r="AL156" s="538"/>
      <c r="AM156" s="538"/>
      <c r="AN156" s="538"/>
      <c r="AO156" s="538"/>
      <c r="AP156" s="538"/>
      <c r="AQ156" s="538"/>
      <c r="AR156" s="538"/>
      <c r="AS156" s="538"/>
      <c r="AT156" s="538"/>
      <c r="AU156" s="538"/>
      <c r="AV156" s="538"/>
      <c r="AW156" s="538"/>
      <c r="AX156" s="545"/>
      <c r="AY156" s="545"/>
      <c r="AZ156" s="545"/>
      <c r="BA156" s="545"/>
      <c r="BB156" s="328"/>
      <c r="BC156" s="328"/>
      <c r="BD156" s="328"/>
      <c r="BE156" s="328"/>
      <c r="BF156" s="328"/>
      <c r="BG156" s="328"/>
      <c r="BH156" s="328"/>
      <c r="BI156" s="328"/>
      <c r="BJ156" s="328"/>
      <c r="BK156" s="328"/>
      <c r="BL156" s="328"/>
      <c r="BM156" s="328"/>
      <c r="BN156" s="328"/>
      <c r="BO156" s="328"/>
      <c r="BP156" s="328"/>
      <c r="BQ156" s="328"/>
      <c r="BR156" s="328"/>
      <c r="BS156" s="369"/>
      <c r="BT156" s="233"/>
      <c r="BU156" s="233"/>
      <c r="BV156" s="222"/>
      <c r="BW156" s="222"/>
      <c r="BX156" s="222"/>
      <c r="BY156" s="211"/>
      <c r="BZ156" s="222"/>
      <c r="CA156" s="222"/>
      <c r="CB156" s="225"/>
      <c r="CC156" s="225"/>
      <c r="CD156" s="225"/>
      <c r="CE156" s="225"/>
      <c r="CF156" s="225"/>
      <c r="CG156" s="300"/>
      <c r="CH156" s="300"/>
      <c r="CI156" s="300"/>
      <c r="CJ156" s="522"/>
      <c r="CK156" s="522"/>
      <c r="CL156" s="522"/>
    </row>
    <row r="157" spans="1:90" s="538" customFormat="1" ht="30" customHeight="1" thickBot="1" x14ac:dyDescent="0.3">
      <c r="A157" s="557"/>
      <c r="B157" s="558"/>
      <c r="C157" s="331" t="s">
        <v>27</v>
      </c>
      <c r="D157" s="89"/>
      <c r="E157" s="89">
        <f>E147</f>
        <v>10</v>
      </c>
      <c r="F157" s="89"/>
      <c r="G157" s="1836">
        <v>60</v>
      </c>
      <c r="H157" s="568"/>
      <c r="I157" s="1836">
        <v>190</v>
      </c>
      <c r="J157" s="1836">
        <v>0</v>
      </c>
      <c r="K157" s="1836">
        <v>0</v>
      </c>
      <c r="L157" s="1836">
        <v>0</v>
      </c>
      <c r="M157" s="93">
        <f>$I157/$C$27+$J157/$C$28+K157/$C$29+$L157/$C$30</f>
        <v>5.5882352941176467</v>
      </c>
      <c r="N157" s="92">
        <f t="shared" si="12"/>
        <v>2.580861540418073E-6</v>
      </c>
      <c r="O157" s="95">
        <f>2.5*0.01*$C$7*$C$15*$C$8*($C$9+$C$10*$C$11)*(2*PI()*(1-COS($G157/180*PI())))^1.3/E$147^2/$F156^2*N157*10^6</f>
        <v>2.7432840731901286E-6</v>
      </c>
      <c r="P157" s="93">
        <f>$I157/$D$27+$J157/$D$28+K157/$D$29+$L157/$D$30</f>
        <v>5</v>
      </c>
      <c r="Q157" s="92">
        <f t="shared" si="13"/>
        <v>1.0000000000000001E-5</v>
      </c>
      <c r="R157" s="95">
        <f>2.5*0.01*$C$7*$C$15*$D$8*($D$9+$D$10*$D$11)*(2*PI()*(1-COS($G157/180*PI())))^1.3/$E157^2/$F156^2*Q157*10^6</f>
        <v>1.0629334546733355E-5</v>
      </c>
      <c r="S157" s="93">
        <f>$I157/$E$27+$J157/$E$28+K157/$E$29+$L157/$E$30</f>
        <v>4.3181818181818183</v>
      </c>
      <c r="T157" s="92">
        <f t="shared" si="14"/>
        <v>4.8063808630643867E-5</v>
      </c>
      <c r="U157" s="95">
        <f>2.5*0.01*$C$7*$C$15*$E$8*($E$9+$E$10*$E$11)*(2*PI()*(1-COS($G157/180*PI())))^1.3/$E157^2/$F156^2*T157*10^6</f>
        <v>5.1088630152528366E-5</v>
      </c>
      <c r="V157" s="93">
        <f>$I157/$F$27+$J157/$F$28+K157/$F$29+$L157/$F$30</f>
        <v>6.2295081967213113</v>
      </c>
      <c r="W157" s="92">
        <f t="shared" si="15"/>
        <v>5.8951085074002664E-7</v>
      </c>
      <c r="X157" s="95">
        <f>2.5*0.01*$C$7*$C$15*$F$8*($F$9+$F$10*$F$11)*(2*PI()*(1-COS($G157/180*PI())))^1.3/$E157^2/$F156^2*W157*10^6</f>
        <v>6.2661080514451354E-7</v>
      </c>
      <c r="Y157" s="93">
        <f>$I157/$G$27+$J157/$G$28+K157/$G$29+$L157/$G$30</f>
        <v>5.3370786516853927</v>
      </c>
      <c r="Z157" s="92">
        <f t="shared" si="16"/>
        <v>4.6017322765137984E-6</v>
      </c>
      <c r="AA157" s="96">
        <f>2.5*0.01*$C$7*$C$15*$G$8*($G$9+$G$10*$G$11)*(2*PI()*(1-COS($G157/180*PI())))^1.3/$E157^2/$F156^2*Z157*10^6</f>
        <v>4.891335186156605E-6</v>
      </c>
      <c r="AB157" s="569">
        <f>SUM(O157,R157,U157,X157,AA157)</f>
        <v>6.9979194763752965E-5</v>
      </c>
      <c r="AC157" s="570"/>
      <c r="AD157" s="571"/>
      <c r="AH157" s="572"/>
      <c r="AI157" s="573"/>
      <c r="AJ157" s="563"/>
      <c r="AK157" s="551"/>
      <c r="AX157" s="545"/>
      <c r="AY157" s="545"/>
      <c r="AZ157" s="545"/>
      <c r="BA157" s="545"/>
      <c r="BB157" s="545"/>
      <c r="BC157" s="545"/>
      <c r="BD157" s="545"/>
      <c r="BE157" s="545"/>
      <c r="BF157" s="545"/>
      <c r="BG157" s="545"/>
      <c r="BH157" s="545"/>
      <c r="BI157" s="545"/>
      <c r="BJ157" s="545"/>
      <c r="BK157" s="545"/>
      <c r="BL157" s="545"/>
      <c r="BM157" s="545"/>
      <c r="BN157" s="545"/>
      <c r="BO157" s="545"/>
      <c r="BP157" s="545"/>
      <c r="BQ157" s="545"/>
      <c r="BR157" s="545"/>
      <c r="BS157" s="545"/>
      <c r="BT157" s="545"/>
      <c r="BU157" s="545"/>
      <c r="BV157" s="545"/>
      <c r="BW157" s="545"/>
      <c r="BX157" s="545"/>
      <c r="BY157" s="545"/>
      <c r="BZ157" s="545"/>
    </row>
    <row r="158" spans="1:90" s="212" customFormat="1" ht="30" hidden="1" customHeight="1" thickBot="1" x14ac:dyDescent="0.3">
      <c r="A158" s="574"/>
      <c r="B158" s="575"/>
      <c r="C158" s="576"/>
      <c r="D158" s="89"/>
      <c r="E158" s="89"/>
      <c r="F158" s="89"/>
      <c r="G158" s="89"/>
      <c r="H158" s="1837"/>
      <c r="I158" s="1837"/>
      <c r="J158" s="1837"/>
      <c r="K158" s="1837"/>
      <c r="L158" s="1837"/>
      <c r="M158" s="91"/>
      <c r="N158" s="97"/>
      <c r="O158" s="98"/>
      <c r="P158" s="91"/>
      <c r="Q158" s="97"/>
      <c r="R158" s="98"/>
      <c r="S158" s="91"/>
      <c r="T158" s="97"/>
      <c r="U158" s="98"/>
      <c r="V158" s="91"/>
      <c r="W158" s="97"/>
      <c r="X158" s="98"/>
      <c r="Y158" s="91"/>
      <c r="Z158" s="97"/>
      <c r="AA158" s="99"/>
      <c r="AB158" s="577"/>
      <c r="AC158" s="578"/>
      <c r="AD158" s="579"/>
      <c r="AH158" s="580"/>
      <c r="AI158" s="581"/>
      <c r="AJ158" s="282"/>
      <c r="AK158" s="300"/>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row>
    <row r="159" spans="1:90" s="212" customFormat="1" ht="30" customHeight="1" x14ac:dyDescent="0.25">
      <c r="A159" s="552"/>
      <c r="B159" s="322"/>
      <c r="C159" s="323" t="s">
        <v>569</v>
      </c>
      <c r="D159" s="1836">
        <v>1</v>
      </c>
      <c r="E159" s="89"/>
      <c r="F159" s="89"/>
      <c r="G159" s="89"/>
      <c r="H159" s="1836">
        <v>0.25</v>
      </c>
      <c r="I159" s="1836">
        <v>250</v>
      </c>
      <c r="J159" s="1836">
        <v>0</v>
      </c>
      <c r="K159" s="1836">
        <v>0</v>
      </c>
      <c r="L159" s="1836">
        <v>0</v>
      </c>
      <c r="M159" s="91">
        <f>IF($I159=0,0,1+($I159-$C$21)/$C$22)+$J159/$C$23+$K159/$C$24+$L159/$C$25</f>
        <v>7.4545454545454541</v>
      </c>
      <c r="N159" s="92">
        <f t="shared" si="12"/>
        <v>3.5111917342151263E-8</v>
      </c>
      <c r="O159" s="93">
        <f>$C$7*$C$14*$C$8*$H159/$D159^2*N159*10^6</f>
        <v>7.022383468430253E-2</v>
      </c>
      <c r="P159" s="91">
        <f>IF($I159=0,0,1+($I159-$D$21)/$D$22)+$J159/$D$23+$K159/$D$24+$L159/$D$25</f>
        <v>6.6486486486486482</v>
      </c>
      <c r="Q159" s="92">
        <f t="shared" si="13"/>
        <v>2.2456979955397711E-7</v>
      </c>
      <c r="R159" s="93">
        <f>$C$7*$D$14*$D$8*$H159/$D159^2*$Q159*10^6</f>
        <v>0.4491395991079542</v>
      </c>
      <c r="S159" s="93">
        <f>IF($I159=0,0,1+(I159-$E$21)/$E$22)+$J159/$E$23+K159/$E$24+$L159/$E$25</f>
        <v>5.7674418604651159</v>
      </c>
      <c r="T159" s="92">
        <f t="shared" si="14"/>
        <v>1.7082763938087111E-6</v>
      </c>
      <c r="U159" s="93">
        <f>$C$7*$E$14*$E$8*$H159/$D159^2*$T159*10^6</f>
        <v>3.4165527876174222</v>
      </c>
      <c r="V159" s="93">
        <f>IF($I159=0,0,1+(I159-$F$21)/$F$22)+$J159/$F$23+K159/$F$24+$L159/$F$25</f>
        <v>9.1481481481481488</v>
      </c>
      <c r="W159" s="92">
        <f t="shared" si="15"/>
        <v>7.1097094323124171E-10</v>
      </c>
      <c r="X159" s="93">
        <f>$C$7*$F$14*$F$8*$H159/$D159^2*$W159*10^6</f>
        <v>1.4219418864624834E-3</v>
      </c>
      <c r="Y159" s="93">
        <f>IF($I159=0,0,1+(I159-$G$21)/$G$22)+$J159/$G$23+K159/$G$24+$L159/$G$25</f>
        <v>6.9444444444444446</v>
      </c>
      <c r="Z159" s="92">
        <f t="shared" si="16"/>
        <v>1.136463666385722E-7</v>
      </c>
      <c r="AA159" s="94">
        <f>$C$7*$G$14*$G$8*$H159/$D159^2*$Z159*10^6</f>
        <v>0.22729273327714439</v>
      </c>
      <c r="AB159" s="553">
        <f>SUM(O159,R159,U159,X159,AA159)</f>
        <v>4.1646308965732857</v>
      </c>
      <c r="AC159" s="554"/>
      <c r="AD159" s="555"/>
      <c r="AE159" s="538"/>
      <c r="AF159" s="538"/>
      <c r="AG159" s="538"/>
      <c r="AH159" s="556"/>
      <c r="AI159" s="551"/>
      <c r="AJ159" s="551"/>
      <c r="AK159" s="551"/>
      <c r="AL159" s="538"/>
      <c r="AM159" s="538"/>
      <c r="AN159" s="538"/>
      <c r="AO159" s="538"/>
      <c r="AP159" s="538"/>
      <c r="AQ159" s="538"/>
      <c r="AR159" s="538"/>
      <c r="AS159" s="538"/>
      <c r="AT159" s="538"/>
      <c r="AU159" s="538"/>
      <c r="AV159" s="538"/>
      <c r="AW159" s="538"/>
      <c r="AX159" s="545"/>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69"/>
      <c r="BT159" s="233"/>
      <c r="BU159" s="233"/>
      <c r="BV159" s="222"/>
      <c r="BW159" s="222"/>
      <c r="BX159" s="222"/>
      <c r="BY159" s="211"/>
      <c r="BZ159" s="222"/>
      <c r="CA159" s="222"/>
      <c r="CB159" s="225"/>
      <c r="CC159" s="225"/>
      <c r="CD159" s="225"/>
      <c r="CE159" s="225"/>
      <c r="CF159" s="225"/>
      <c r="CG159" s="300"/>
      <c r="CH159" s="300"/>
      <c r="CI159" s="300"/>
      <c r="CJ159" s="522"/>
      <c r="CK159" s="522"/>
      <c r="CL159" s="522"/>
    </row>
    <row r="160" spans="1:90" s="212" customFormat="1" ht="30" customHeight="1" x14ac:dyDescent="0.25">
      <c r="A160" s="557" t="str">
        <f>Samenvatting!A365</f>
        <v>T4</v>
      </c>
      <c r="B160" s="558" t="str">
        <f>Samenvatting!B365</f>
        <v>terreingrens 4</v>
      </c>
      <c r="C160" s="331" t="s">
        <v>568</v>
      </c>
      <c r="D160" s="1836">
        <v>25</v>
      </c>
      <c r="E160" s="89"/>
      <c r="F160" s="89"/>
      <c r="G160" s="89"/>
      <c r="H160" s="559"/>
      <c r="I160" s="1836">
        <v>250</v>
      </c>
      <c r="J160" s="1836">
        <v>0</v>
      </c>
      <c r="K160" s="1836">
        <v>0</v>
      </c>
      <c r="L160" s="1836">
        <v>0</v>
      </c>
      <c r="M160" s="93">
        <f>$I160/$C$27+$J160/$C$28+K160/$C$29+$L160/$C$30</f>
        <v>7.3529411764705879</v>
      </c>
      <c r="N160" s="92">
        <f t="shared" si="12"/>
        <v>4.4366873309786093E-8</v>
      </c>
      <c r="O160" s="93">
        <f>$C$7*$C$15*$C$8*($C$9+$C$10*$C$11)/$D160^2*$N160*10^6</f>
        <v>4.2592198377394652E-5</v>
      </c>
      <c r="P160" s="93">
        <f>$I160/$D$27+$J160/$D$28+$K160/$D$29+$L160/$D$30</f>
        <v>6.5789473684210522</v>
      </c>
      <c r="Q160" s="92">
        <f t="shared" si="13"/>
        <v>2.636650898730358E-7</v>
      </c>
      <c r="R160" s="93">
        <f>$C$7*$C$15*$D$8*($D$9+$D$10*$D$11)/$D160^2*$Q160*10^6</f>
        <v>2.5311848627811444E-4</v>
      </c>
      <c r="S160" s="93">
        <f>$I160/$E$27+$J160/$E$28+K160/$E$29+$L160/$E$30</f>
        <v>5.6818181818181817</v>
      </c>
      <c r="T160" s="92">
        <f t="shared" si="14"/>
        <v>2.0805675382171676E-6</v>
      </c>
      <c r="U160" s="93">
        <f>$C$7*$C$15*$E$8*($E$9+$E$10*$E$11)/$D160^2*$T160*10^6</f>
        <v>1.9973448366884814E-3</v>
      </c>
      <c r="V160" s="93">
        <f>$I160/$F$27+$J160/$F$28+K160/$F$29+$L160/$F$30</f>
        <v>8.1967213114754092</v>
      </c>
      <c r="W160" s="92">
        <f t="shared" si="15"/>
        <v>6.3573875711648393E-9</v>
      </c>
      <c r="X160" s="93">
        <f>$C$7*$C$15*$F$8*($F$9+$F$10*$F$11)/$D160^2*$W160*10^6</f>
        <v>6.1030920683182469E-6</v>
      </c>
      <c r="Y160" s="93">
        <f>$I160/$G$27+$J160/$G$28+K160/$G$29+$L160/$G$30</f>
        <v>7.0224719101123592</v>
      </c>
      <c r="Z160" s="92">
        <f t="shared" si="16"/>
        <v>9.4957241494880226E-8</v>
      </c>
      <c r="AA160" s="94">
        <f>$C$7*$C$15*$G$8*($G$9+$G$10*$G$11)/$D160^2*$Z160*10^6</f>
        <v>9.1158951835085031E-5</v>
      </c>
      <c r="AB160" s="560">
        <f>SUM(O160,R160,U160,X160,AA160)</f>
        <v>2.3903175652473939E-3</v>
      </c>
      <c r="AC160" s="561">
        <f>SUM(AB158:AB163)</f>
        <v>4.1670929152189826</v>
      </c>
      <c r="AD160" s="562">
        <f>AC160*52/10^3</f>
        <v>0.2166888315913871</v>
      </c>
      <c r="AE160" s="538"/>
      <c r="AF160" s="538"/>
      <c r="AG160" s="538"/>
      <c r="AH160" s="556"/>
      <c r="AI160" s="563"/>
      <c r="AJ160" s="551"/>
      <c r="AK160" s="551"/>
      <c r="AL160" s="538"/>
      <c r="AM160" s="538"/>
      <c r="AN160" s="538"/>
      <c r="AO160" s="538"/>
      <c r="AP160" s="538"/>
      <c r="AQ160" s="538"/>
      <c r="AR160" s="538"/>
      <c r="AS160" s="538"/>
      <c r="AT160" s="538"/>
      <c r="AU160" s="538"/>
      <c r="AV160" s="538"/>
      <c r="AW160" s="538"/>
      <c r="AX160" s="545"/>
      <c r="AY160" s="545"/>
      <c r="AZ160" s="545"/>
      <c r="BA160" s="545"/>
      <c r="BB160" s="328"/>
      <c r="BC160" s="328"/>
      <c r="BD160" s="328"/>
      <c r="BE160" s="328"/>
      <c r="BF160" s="328"/>
      <c r="BG160" s="328"/>
      <c r="BH160" s="328"/>
      <c r="BI160" s="328"/>
      <c r="BJ160" s="328"/>
      <c r="BK160" s="328"/>
      <c r="BL160" s="328"/>
      <c r="BM160" s="328"/>
      <c r="BN160" s="328"/>
      <c r="BO160" s="328"/>
      <c r="BP160" s="328"/>
      <c r="BQ160" s="328"/>
      <c r="BR160" s="328"/>
      <c r="BS160" s="369"/>
      <c r="BT160" s="233"/>
      <c r="BU160" s="233"/>
      <c r="BV160" s="222"/>
      <c r="BW160" s="222"/>
      <c r="BX160" s="222"/>
      <c r="BY160" s="211"/>
      <c r="BZ160" s="222"/>
      <c r="CA160" s="222"/>
      <c r="CB160" s="225"/>
      <c r="CC160" s="225"/>
      <c r="CD160" s="225"/>
      <c r="CE160" s="225"/>
      <c r="CF160" s="225"/>
      <c r="CG160" s="300"/>
      <c r="CH160" s="300"/>
      <c r="CI160" s="300"/>
      <c r="CJ160" s="522"/>
      <c r="CK160" s="522"/>
      <c r="CL160" s="522"/>
    </row>
    <row r="161" spans="1:90" s="212" customFormat="1" ht="30" customHeight="1" x14ac:dyDescent="0.25">
      <c r="A161" s="557"/>
      <c r="B161" s="558"/>
      <c r="C161" s="331" t="s">
        <v>26</v>
      </c>
      <c r="D161" s="564"/>
      <c r="E161" s="89">
        <f>E146</f>
        <v>11</v>
      </c>
      <c r="F161" s="89">
        <f>D160</f>
        <v>25</v>
      </c>
      <c r="G161" s="1836">
        <v>15</v>
      </c>
      <c r="H161" s="1836">
        <v>0.25</v>
      </c>
      <c r="I161" s="1836">
        <v>210</v>
      </c>
      <c r="J161" s="1836">
        <v>0</v>
      </c>
      <c r="K161" s="1836">
        <v>0</v>
      </c>
      <c r="L161" s="1836">
        <v>0</v>
      </c>
      <c r="M161" s="93">
        <f>IF($I161=0,0,1+(I161-$C$21)/$C$22)+$J161/$C$23+K161/$C$24+$L161/$C$25</f>
        <v>6.2424242424242422</v>
      </c>
      <c r="N161" s="92">
        <f t="shared" si="12"/>
        <v>5.722367659350211E-7</v>
      </c>
      <c r="O161" s="95">
        <f>2.5*0.01*$C$7*$C$14*$C$8*$H161*(2*PI()*(1-COS($G161/180*PI())))^1.3/$E161^2/$F161^2*N161*10^6</f>
        <v>5.101138747051231E-8</v>
      </c>
      <c r="P161" s="91">
        <f>IF($I161=0,0,1+($I161-$D$21)/$D$22)+$J161/$D$23+$K161/$D$24+$L161/$D$25</f>
        <v>5.5675675675675675</v>
      </c>
      <c r="Q161" s="92">
        <f t="shared" si="13"/>
        <v>2.7066520700332395E-6</v>
      </c>
      <c r="R161" s="95">
        <f>2.5*0.01*$C$7*$D$14*$D$8*$H161*(2*PI()*(1-COS($G161/180*PI())))^1.3/$E161^2/$F161^2*Q161*10^6</f>
        <v>2.4128138160910826E-7</v>
      </c>
      <c r="S161" s="93">
        <f>IF($I161=0,0,1+(I161-$E$21)/$E$22)+$J161/$E$23+K161/$E$24+$L161/$E$25</f>
        <v>4.8372093023255811</v>
      </c>
      <c r="T161" s="92">
        <f t="shared" si="14"/>
        <v>1.4547578108480478E-5</v>
      </c>
      <c r="U161" s="95">
        <f>2.5*0.01*$C$7*$E$14*$E$8*$H161*(2*PI()*(1-COS($G161/180*PI())))^1.3/$E161^2/$F161^2*T161*10^6</f>
        <v>1.2968270964496306E-6</v>
      </c>
      <c r="V161" s="93">
        <f>IF($I161=0,0,1+(I161-$F$21)/$F$22)+$J161/$F$23+K161/$F$24+$L161/$F$25</f>
        <v>7.666666666666667</v>
      </c>
      <c r="W161" s="92">
        <f t="shared" si="15"/>
        <v>2.1544346900318783E-8</v>
      </c>
      <c r="X161" s="95">
        <f>2.5*0.01*$C$7*$F$14*$F$8*$H161*(2*PI()*(1-COS($G161/180*PI())))^1.3/$E161^2/$F161^2*W161*10^6</f>
        <v>1.920545992418962E-9</v>
      </c>
      <c r="Y161" s="93">
        <f>IF($I161=0,0,1+(I161-$G$21)/$G$22)+$J161/$G$23+K161/$G$24+$L161/$G$25</f>
        <v>5.833333333333333</v>
      </c>
      <c r="Z161" s="92">
        <f t="shared" si="16"/>
        <v>1.4677992676220696E-6</v>
      </c>
      <c r="AA161" s="96">
        <f>2.5*0.01*$C$7*$G$14*$G$8*$H161*(2*PI()*(1-COS($G161/180*PI())))^1.3/$E161^2/$F161^2*Z161*10^6</f>
        <v>1.3084527528960935E-7</v>
      </c>
      <c r="AB161" s="560">
        <f>SUM(O161,R161,U161,X161,AA161)</f>
        <v>1.7218856868112794E-6</v>
      </c>
      <c r="AC161" s="565"/>
      <c r="AD161" s="566"/>
      <c r="AE161" s="538"/>
      <c r="AF161" s="538"/>
      <c r="AG161" s="567"/>
      <c r="AH161" s="538"/>
      <c r="AI161" s="563"/>
      <c r="AJ161" s="545"/>
      <c r="AK161" s="545"/>
      <c r="AL161" s="538"/>
      <c r="AM161" s="538"/>
      <c r="AN161" s="538"/>
      <c r="AO161" s="538"/>
      <c r="AP161" s="538"/>
      <c r="AQ161" s="538"/>
      <c r="AR161" s="538"/>
      <c r="AS161" s="538"/>
      <c r="AT161" s="538"/>
      <c r="AU161" s="538"/>
      <c r="AV161" s="538"/>
      <c r="AW161" s="538"/>
      <c r="AX161" s="545"/>
      <c r="AY161" s="545"/>
      <c r="AZ161" s="545"/>
      <c r="BA161" s="545"/>
      <c r="BB161" s="328"/>
      <c r="BC161" s="328"/>
      <c r="BD161" s="328"/>
      <c r="BE161" s="328"/>
      <c r="BF161" s="328"/>
      <c r="BG161" s="328"/>
      <c r="BH161" s="328"/>
      <c r="BI161" s="328"/>
      <c r="BJ161" s="328"/>
      <c r="BK161" s="328"/>
      <c r="BL161" s="328"/>
      <c r="BM161" s="328"/>
      <c r="BN161" s="328"/>
      <c r="BO161" s="328"/>
      <c r="BP161" s="328"/>
      <c r="BQ161" s="328"/>
      <c r="BR161" s="328"/>
      <c r="BS161" s="369"/>
      <c r="BT161" s="233"/>
      <c r="BU161" s="233"/>
      <c r="BV161" s="222"/>
      <c r="BW161" s="222"/>
      <c r="BX161" s="222"/>
      <c r="BY161" s="211"/>
      <c r="BZ161" s="222"/>
      <c r="CA161" s="222"/>
      <c r="CB161" s="225"/>
      <c r="CC161" s="225"/>
      <c r="CD161" s="225"/>
      <c r="CE161" s="225"/>
      <c r="CF161" s="225"/>
      <c r="CG161" s="300"/>
      <c r="CH161" s="300"/>
      <c r="CI161" s="300"/>
      <c r="CJ161" s="522"/>
      <c r="CK161" s="522"/>
      <c r="CL161" s="522"/>
    </row>
    <row r="162" spans="1:90" s="538" customFormat="1" ht="30" customHeight="1" thickBot="1" x14ac:dyDescent="0.3">
      <c r="A162" s="582"/>
      <c r="B162" s="583"/>
      <c r="C162" s="584" t="s">
        <v>27</v>
      </c>
      <c r="D162" s="58"/>
      <c r="E162" s="58">
        <f>E147</f>
        <v>10</v>
      </c>
      <c r="F162" s="58"/>
      <c r="G162" s="1859">
        <v>60</v>
      </c>
      <c r="H162" s="56"/>
      <c r="I162" s="1859">
        <v>190</v>
      </c>
      <c r="J162" s="1859">
        <v>0</v>
      </c>
      <c r="K162" s="1859">
        <v>0</v>
      </c>
      <c r="L162" s="1859">
        <v>0</v>
      </c>
      <c r="M162" s="100">
        <f>$I162/$C$27+$J162/$C$28+K162/$C$29+$L162/$C$30</f>
        <v>5.5882352941176467</v>
      </c>
      <c r="N162" s="101">
        <f t="shared" si="12"/>
        <v>2.580861540418073E-6</v>
      </c>
      <c r="O162" s="102">
        <f>2.5*0.01*$C$7*$C$15*$C$8*($C$9+$C$10*$C$11)*(2*PI()*(1-COS($G162/180*PI())))^1.3/E$147^2/$F161^2*N162*10^6</f>
        <v>2.7432840731901286E-6</v>
      </c>
      <c r="P162" s="100">
        <f>$I162/$D$27+$J162/$D$28+$K162/$D$29+$L162/$D$30</f>
        <v>5</v>
      </c>
      <c r="Q162" s="101">
        <f t="shared" si="13"/>
        <v>1.0000000000000001E-5</v>
      </c>
      <c r="R162" s="102">
        <f>2.5*0.01*$C$7*$C$15*$D$8*($D$9+$D$10*$D$11)*(2*PI()*(1-COS($G162/180*PI())))^1.3/$E162^2/$F161^2*Q162*10^6</f>
        <v>1.0629334546733355E-5</v>
      </c>
      <c r="S162" s="100">
        <f>$I162/$E$27+$J162/$E$28+K162/$E$29+$L162/$E$30</f>
        <v>4.3181818181818183</v>
      </c>
      <c r="T162" s="101">
        <f t="shared" si="14"/>
        <v>4.8063808630643867E-5</v>
      </c>
      <c r="U162" s="102">
        <f>2.5*0.01*$C$7*$C$15*$E$8*($E$9+$E$10*$E$11)*(2*PI()*(1-COS($G162/180*PI())))^1.3/$E162^2/$F161^2*T162*10^6</f>
        <v>5.1088630152528366E-5</v>
      </c>
      <c r="V162" s="100">
        <f>$I162/$F$27+$J162/$F$28+K162/$F$29+$L162/$F$30</f>
        <v>6.2295081967213113</v>
      </c>
      <c r="W162" s="101">
        <f t="shared" si="15"/>
        <v>5.8951085074002664E-7</v>
      </c>
      <c r="X162" s="102">
        <f>2.5*0.01*$C$7*$C$15*$F$8*($F$9+$F$10*$F$11)*(2*PI()*(1-COS($G162/180*PI())))^1.3/$E162^2/$F161^2*W162*10^6</f>
        <v>6.2661080514451354E-7</v>
      </c>
      <c r="Y162" s="100">
        <f>$I162/$G$27+$J162/$G$28+K162/$G$29+$L162/$G$30</f>
        <v>5.3370786516853927</v>
      </c>
      <c r="Z162" s="101">
        <f t="shared" si="16"/>
        <v>4.6017322765137984E-6</v>
      </c>
      <c r="AA162" s="103">
        <f>2.5*0.01*$C$7*$C$15*$G$8*($G$9+$G$10*$G$11)*(2*PI()*(1-COS($G162/180*PI())))^1.3/$E162^2/$F161^2*Z162*10^6</f>
        <v>4.891335186156605E-6</v>
      </c>
      <c r="AB162" s="569">
        <f>SUM(O162,R162,U162,X162,AA162)</f>
        <v>6.9979194763752965E-5</v>
      </c>
      <c r="AC162" s="570"/>
      <c r="AD162" s="571"/>
      <c r="AH162" s="572"/>
      <c r="AI162" s="573"/>
      <c r="AJ162" s="563"/>
      <c r="AK162" s="551"/>
      <c r="AX162" s="545"/>
      <c r="AY162" s="545"/>
      <c r="AZ162" s="545"/>
      <c r="BA162" s="545"/>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row>
    <row r="163" spans="1:90" s="212" customFormat="1" ht="30" hidden="1" customHeight="1" x14ac:dyDescent="0.25">
      <c r="A163" s="57"/>
      <c r="B163" s="220"/>
      <c r="C163" s="310"/>
      <c r="D163" s="57"/>
      <c r="E163" s="57"/>
      <c r="F163" s="57"/>
      <c r="G163" s="57"/>
      <c r="H163" s="57"/>
      <c r="I163" s="57"/>
      <c r="J163" s="57"/>
      <c r="K163" s="57"/>
      <c r="L163" s="57"/>
      <c r="M163" s="369"/>
      <c r="N163" s="328"/>
      <c r="O163" s="586"/>
      <c r="P163" s="369"/>
      <c r="Q163" s="328"/>
      <c r="R163" s="586"/>
      <c r="S163" s="369"/>
      <c r="T163" s="328"/>
      <c r="U163" s="586"/>
      <c r="V163" s="369"/>
      <c r="W163" s="328"/>
      <c r="X163" s="586"/>
      <c r="Y163" s="369"/>
      <c r="Z163" s="328"/>
      <c r="AA163" s="586"/>
      <c r="AB163" s="328"/>
      <c r="AC163" s="587"/>
      <c r="AD163" s="225"/>
      <c r="AH163" s="580"/>
      <c r="AI163" s="581"/>
      <c r="AJ163" s="282"/>
      <c r="AK163" s="300"/>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row>
    <row r="164" spans="1:90" s="538" customFormat="1" ht="19.5" customHeight="1" x14ac:dyDescent="0.25">
      <c r="A164" s="517"/>
      <c r="B164" s="222"/>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189"/>
      <c r="Y164" s="189"/>
      <c r="Z164" s="189"/>
      <c r="AA164" s="189"/>
      <c r="AB164" s="189"/>
      <c r="AC164" s="189"/>
      <c r="AD164" s="202"/>
      <c r="AE164" s="202"/>
      <c r="AF164" s="202"/>
      <c r="AG164" s="202"/>
    </row>
    <row r="165" spans="1:90" s="212" customFormat="1" ht="19.5" customHeight="1" x14ac:dyDescent="0.25">
      <c r="A165" s="222"/>
      <c r="B165" s="222"/>
      <c r="C165" s="222"/>
      <c r="D165" s="222"/>
      <c r="E165" s="222"/>
      <c r="F165" s="222"/>
      <c r="G165" s="222"/>
      <c r="H165" s="222"/>
      <c r="I165" s="272"/>
      <c r="J165" s="588"/>
      <c r="K165" s="589"/>
      <c r="L165" s="288"/>
      <c r="M165" s="590"/>
      <c r="N165" s="591"/>
      <c r="O165" s="590"/>
      <c r="P165" s="592"/>
      <c r="Q165" s="201"/>
      <c r="R165" s="201"/>
      <c r="S165" s="201"/>
      <c r="T165" s="201"/>
      <c r="U165" s="201"/>
      <c r="V165" s="189"/>
      <c r="W165" s="593"/>
      <c r="X165" s="593"/>
      <c r="Y165" s="594"/>
      <c r="Z165" s="189"/>
      <c r="AA165" s="189"/>
      <c r="AB165" s="551"/>
      <c r="AC165" s="551"/>
      <c r="AD165" s="538"/>
      <c r="AE165" s="538"/>
      <c r="AF165" s="189"/>
      <c r="AG165" s="222"/>
      <c r="AH165" s="211"/>
      <c r="AI165" s="222"/>
      <c r="AJ165" s="222"/>
      <c r="AK165" s="225"/>
      <c r="AL165" s="225"/>
      <c r="AM165" s="225"/>
      <c r="AN165" s="225"/>
      <c r="AO165" s="225"/>
      <c r="AP165" s="300"/>
      <c r="AQ165" s="300"/>
      <c r="AR165" s="300"/>
      <c r="AS165" s="300"/>
      <c r="AT165" s="300"/>
      <c r="AU165" s="300"/>
      <c r="AV165" s="225"/>
      <c r="AW165" s="225"/>
      <c r="AX165" s="225"/>
      <c r="AY165" s="225"/>
      <c r="AZ165" s="225"/>
      <c r="BA165" s="225"/>
      <c r="BB165" s="225"/>
      <c r="BC165" s="225"/>
      <c r="BD165" s="225"/>
      <c r="BE165" s="225"/>
      <c r="BF165" s="225"/>
      <c r="BG165" s="225"/>
      <c r="BH165" s="225"/>
      <c r="BI165" s="225"/>
      <c r="BJ165" s="225"/>
    </row>
    <row r="166" spans="1:90" s="212" customFormat="1" ht="19.5" customHeight="1" x14ac:dyDescent="0.25">
      <c r="A166" s="595" t="s">
        <v>418</v>
      </c>
      <c r="B166" s="595"/>
      <c r="C166" s="596"/>
      <c r="D166" s="288"/>
      <c r="E166" s="288"/>
      <c r="F166" s="288"/>
      <c r="G166" s="288"/>
      <c r="H166" s="288"/>
      <c r="I166" s="288"/>
      <c r="J166" s="288"/>
      <c r="K166" s="288"/>
      <c r="L166" s="288"/>
      <c r="M166" s="288"/>
      <c r="N166" s="288"/>
      <c r="O166" s="288"/>
      <c r="P166" s="288"/>
      <c r="Q166" s="288"/>
      <c r="R166" s="288"/>
      <c r="S166" s="288"/>
      <c r="T166" s="288"/>
      <c r="U166" s="288"/>
      <c r="V166" s="222"/>
      <c r="W166" s="222"/>
      <c r="X166" s="222"/>
      <c r="Y166" s="222"/>
      <c r="Z166" s="222"/>
      <c r="AA166" s="222"/>
      <c r="AB166" s="187"/>
      <c r="AC166" s="187"/>
      <c r="AD166" s="187"/>
      <c r="AE166" s="187"/>
      <c r="AF166" s="222"/>
      <c r="AG166" s="587"/>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row>
    <row r="167" spans="1:90" s="604" customFormat="1" ht="19.5" customHeight="1" x14ac:dyDescent="0.25">
      <c r="A167" s="597"/>
      <c r="B167" s="598"/>
      <c r="C167" s="599"/>
      <c r="D167" s="599"/>
      <c r="E167" s="599"/>
      <c r="F167" s="600"/>
      <c r="G167" s="600"/>
      <c r="H167" s="600"/>
      <c r="I167" s="601"/>
      <c r="J167" s="600"/>
      <c r="K167" s="602"/>
      <c r="L167" s="603"/>
      <c r="M167" s="603"/>
    </row>
    <row r="168" spans="1:90" s="212" customFormat="1" ht="19.5" customHeight="1" x14ac:dyDescent="0.25">
      <c r="A168" s="605" t="s">
        <v>322</v>
      </c>
      <c r="C168" s="288"/>
      <c r="D168" s="288"/>
      <c r="E168" s="288"/>
      <c r="F168" s="288"/>
      <c r="G168" s="288"/>
      <c r="H168" s="288"/>
      <c r="I168" s="288"/>
      <c r="J168" s="288"/>
      <c r="K168" s="288"/>
      <c r="L168" s="288"/>
      <c r="M168" s="288"/>
      <c r="N168" s="288"/>
      <c r="O168" s="288"/>
      <c r="P168" s="288"/>
      <c r="Q168" s="288"/>
      <c r="R168" s="288"/>
      <c r="S168" s="288"/>
      <c r="T168" s="288"/>
      <c r="U168" s="288"/>
      <c r="V168" s="222"/>
      <c r="W168" s="222"/>
      <c r="X168" s="222"/>
      <c r="Y168" s="222"/>
      <c r="Z168" s="222"/>
      <c r="AA168" s="222"/>
      <c r="AB168" s="222"/>
      <c r="AC168" s="222"/>
      <c r="AD168" s="222"/>
      <c r="AE168" s="222"/>
      <c r="AF168" s="538"/>
      <c r="AG168" s="538"/>
      <c r="AH168" s="538"/>
      <c r="AI168" s="538"/>
      <c r="AJ168" s="538"/>
      <c r="AK168" s="538"/>
      <c r="AL168" s="538"/>
      <c r="AM168" s="538"/>
      <c r="AN168" s="538"/>
      <c r="AO168" s="538"/>
      <c r="AP168" s="545"/>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69"/>
      <c r="BL168" s="233"/>
      <c r="BM168" s="233"/>
      <c r="BN168" s="222"/>
      <c r="BO168" s="233"/>
      <c r="BP168" s="222"/>
      <c r="BQ168" s="211"/>
      <c r="BR168" s="222"/>
      <c r="BS168" s="222"/>
      <c r="BT168" s="225"/>
      <c r="BU168" s="225"/>
      <c r="BV168" s="225"/>
      <c r="BW168" s="225"/>
      <c r="BX168" s="225"/>
      <c r="BY168" s="300"/>
      <c r="BZ168" s="300"/>
      <c r="CA168" s="300"/>
      <c r="CB168" s="522"/>
      <c r="CC168" s="522"/>
      <c r="CD168" s="522"/>
    </row>
    <row r="169" spans="1:90" s="222" customFormat="1" ht="19.5" customHeight="1" x14ac:dyDescent="0.25">
      <c r="A169" s="301"/>
      <c r="B169" s="305"/>
      <c r="C169" s="302"/>
      <c r="D169" s="606" t="s">
        <v>261</v>
      </c>
      <c r="E169" s="607" t="s">
        <v>323</v>
      </c>
      <c r="F169" s="608"/>
      <c r="G169" s="609" t="s">
        <v>224</v>
      </c>
      <c r="H169" s="608" t="s">
        <v>329</v>
      </c>
      <c r="I169" s="2014" t="s">
        <v>260</v>
      </c>
      <c r="J169" s="2015"/>
      <c r="K169" s="607" t="s">
        <v>260</v>
      </c>
      <c r="L169" s="288"/>
      <c r="M169" s="288"/>
      <c r="N169" s="288"/>
      <c r="O169" s="288"/>
      <c r="P169" s="610"/>
      <c r="Q169" s="288"/>
      <c r="R169" s="288"/>
      <c r="S169" s="610"/>
      <c r="T169" s="288"/>
      <c r="U169" s="288"/>
      <c r="V169" s="610"/>
      <c r="W169" s="288"/>
      <c r="X169" s="288"/>
      <c r="Y169" s="288"/>
      <c r="Z169" s="288"/>
      <c r="AB169" s="288"/>
      <c r="AC169" s="288"/>
    </row>
    <row r="170" spans="1:90" s="222" customFormat="1" ht="19.5" customHeight="1" x14ac:dyDescent="0.25">
      <c r="A170" s="308" t="s">
        <v>50</v>
      </c>
      <c r="B170" s="611" t="s">
        <v>15</v>
      </c>
      <c r="C170" s="498" t="s">
        <v>25</v>
      </c>
      <c r="D170" s="612" t="s">
        <v>356</v>
      </c>
      <c r="E170" s="613" t="s">
        <v>324</v>
      </c>
      <c r="F170" s="613" t="s">
        <v>4</v>
      </c>
      <c r="G170" s="299" t="s">
        <v>259</v>
      </c>
      <c r="H170" s="613" t="s">
        <v>87</v>
      </c>
      <c r="I170" s="614"/>
      <c r="J170" s="614" t="s">
        <v>11</v>
      </c>
      <c r="K170" s="614" t="s">
        <v>11</v>
      </c>
      <c r="L170" s="288"/>
      <c r="M170" s="288"/>
      <c r="N170" s="288"/>
      <c r="O170" s="288"/>
      <c r="P170" s="610"/>
      <c r="Q170" s="288"/>
      <c r="R170" s="288"/>
      <c r="S170" s="610"/>
      <c r="T170" s="288"/>
      <c r="U170" s="288"/>
      <c r="V170" s="610"/>
      <c r="W170" s="288"/>
      <c r="X170" s="288"/>
      <c r="Y170" s="288"/>
      <c r="Z170" s="288"/>
      <c r="AB170" s="288"/>
      <c r="AC170" s="288"/>
    </row>
    <row r="171" spans="1:90" s="222" customFormat="1" ht="19.5" customHeight="1" x14ac:dyDescent="0.25">
      <c r="A171" s="615"/>
      <c r="B171" s="616"/>
      <c r="C171" s="499"/>
      <c r="D171" s="612" t="s">
        <v>357</v>
      </c>
      <c r="E171" s="617" t="s">
        <v>325</v>
      </c>
      <c r="F171" s="617" t="s">
        <v>78</v>
      </c>
      <c r="G171" s="299" t="s">
        <v>258</v>
      </c>
      <c r="H171" s="617"/>
      <c r="I171" s="614" t="s">
        <v>337</v>
      </c>
      <c r="J171" s="614" t="s">
        <v>337</v>
      </c>
      <c r="K171" s="614" t="s">
        <v>166</v>
      </c>
      <c r="L171" s="288"/>
      <c r="M171" s="288"/>
      <c r="N171" s="288"/>
      <c r="O171" s="288"/>
      <c r="P171" s="610"/>
      <c r="Q171" s="288"/>
      <c r="R171" s="288"/>
      <c r="S171" s="610"/>
      <c r="T171" s="288"/>
      <c r="U171" s="288"/>
      <c r="V171" s="610"/>
      <c r="W171" s="288"/>
      <c r="X171" s="288"/>
      <c r="Y171" s="288"/>
      <c r="Z171" s="288"/>
      <c r="AB171" s="288"/>
      <c r="AC171" s="288"/>
    </row>
    <row r="172" spans="1:90" s="222" customFormat="1" ht="30" customHeight="1" thickBot="1" x14ac:dyDescent="0.3">
      <c r="A172" s="684"/>
      <c r="B172" s="2031" t="str">
        <f>Samenvatting!A265</f>
        <v>achterblijven in bestralingsruimte tijdens bestraling</v>
      </c>
      <c r="C172" s="619" t="s">
        <v>0</v>
      </c>
      <c r="D172" s="1860">
        <v>550</v>
      </c>
      <c r="E172" s="620"/>
      <c r="F172" s="1861">
        <v>2</v>
      </c>
      <c r="G172" s="1862">
        <v>30</v>
      </c>
      <c r="H172" s="1860">
        <v>1</v>
      </c>
      <c r="I172" s="621">
        <f>D172*$C$15/F172^2*G172/60*10</f>
        <v>0.6875</v>
      </c>
      <c r="J172" s="622">
        <f>SUM(I172:I173)</f>
        <v>2.0625</v>
      </c>
      <c r="K172" s="622">
        <f>J172*H172</f>
        <v>2.0625</v>
      </c>
      <c r="N172" s="288"/>
      <c r="O172" s="288"/>
      <c r="P172" s="288"/>
      <c r="Q172" s="288"/>
      <c r="R172" s="288"/>
      <c r="S172" s="288"/>
      <c r="T172" s="288"/>
      <c r="U172" s="288"/>
      <c r="V172" s="288"/>
      <c r="W172" s="288"/>
      <c r="X172" s="288"/>
      <c r="Y172" s="288"/>
      <c r="Z172" s="288"/>
      <c r="AA172" s="288"/>
      <c r="AB172" s="288"/>
    </row>
    <row r="173" spans="1:90" s="222" customFormat="1" ht="30" customHeight="1" thickBot="1" x14ac:dyDescent="0.3">
      <c r="A173" s="623"/>
      <c r="B173" s="2032"/>
      <c r="C173" s="619" t="s">
        <v>33</v>
      </c>
      <c r="D173" s="624"/>
      <c r="E173" s="1852">
        <f>0.01*20</f>
        <v>0.2</v>
      </c>
      <c r="F173" s="625">
        <f>F172</f>
        <v>2</v>
      </c>
      <c r="G173" s="626">
        <f>G172</f>
        <v>30</v>
      </c>
      <c r="H173" s="629"/>
      <c r="I173" s="621">
        <f>D172*E173/100/F173^2*G173/60*10</f>
        <v>1.375</v>
      </c>
      <c r="J173" s="627"/>
      <c r="K173" s="627"/>
      <c r="N173" s="288"/>
      <c r="O173" s="288"/>
      <c r="P173" s="288"/>
      <c r="Q173" s="288"/>
      <c r="R173" s="288"/>
      <c r="S173" s="288"/>
      <c r="T173" s="288"/>
      <c r="U173" s="288"/>
      <c r="V173" s="288"/>
      <c r="W173" s="288"/>
      <c r="X173" s="288"/>
      <c r="Y173" s="288"/>
      <c r="Z173" s="288"/>
      <c r="AA173" s="288"/>
      <c r="AB173" s="288"/>
    </row>
    <row r="174" spans="1:90" s="222" customFormat="1" ht="19.5" customHeight="1" x14ac:dyDescent="0.25">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189"/>
      <c r="W174" s="189"/>
      <c r="X174" s="189"/>
      <c r="Y174" s="189"/>
      <c r="Z174" s="189"/>
      <c r="AA174" s="189"/>
      <c r="AB174" s="202"/>
      <c r="AC174" s="202"/>
      <c r="AD174" s="202"/>
      <c r="AE174" s="202"/>
      <c r="AK174" s="299"/>
      <c r="AL174" s="299"/>
      <c r="AM174" s="299"/>
      <c r="AN174" s="299"/>
      <c r="AO174" s="299"/>
      <c r="AP174" s="299"/>
      <c r="AU174" s="211"/>
      <c r="AV174" s="266"/>
      <c r="BC174" s="211"/>
      <c r="BD174" s="211"/>
    </row>
    <row r="175" spans="1:90" x14ac:dyDescent="0.25">
      <c r="A175" s="605" t="s">
        <v>339</v>
      </c>
      <c r="B175" s="202"/>
      <c r="C175" s="288"/>
      <c r="D175" s="288"/>
      <c r="E175" s="288"/>
      <c r="F175" s="288"/>
      <c r="G175" s="288"/>
      <c r="H175" s="288"/>
      <c r="I175" s="288"/>
      <c r="J175" s="288"/>
      <c r="K175" s="288"/>
      <c r="L175" s="288"/>
      <c r="M175" s="288"/>
      <c r="N175" s="288"/>
      <c r="O175" s="288"/>
      <c r="P175" s="288"/>
      <c r="Q175" s="288"/>
      <c r="R175" s="288"/>
      <c r="S175" s="288"/>
      <c r="T175" s="288"/>
      <c r="U175" s="288"/>
      <c r="V175" s="222"/>
      <c r="W175" s="222"/>
      <c r="X175" s="222"/>
      <c r="Y175" s="222"/>
      <c r="Z175" s="222"/>
      <c r="AA175" s="222"/>
      <c r="AB175" s="222"/>
      <c r="AC175" s="222"/>
      <c r="AD175" s="222"/>
      <c r="AE175" s="222"/>
    </row>
    <row r="176" spans="1:90" s="187" customFormat="1" ht="19.5" customHeight="1" x14ac:dyDescent="0.25">
      <c r="A176" s="2020" t="s">
        <v>50</v>
      </c>
      <c r="B176" s="2023" t="s">
        <v>15</v>
      </c>
      <c r="C176" s="606" t="s">
        <v>261</v>
      </c>
      <c r="D176" s="607" t="s">
        <v>224</v>
      </c>
      <c r="E176" s="608" t="s">
        <v>329</v>
      </c>
      <c r="F176" s="607" t="s">
        <v>260</v>
      </c>
      <c r="G176" s="607" t="s">
        <v>260</v>
      </c>
      <c r="H176" s="628"/>
      <c r="I176" s="222"/>
      <c r="J176" s="288"/>
      <c r="K176" s="288"/>
      <c r="L176" s="288"/>
      <c r="M176" s="288"/>
      <c r="N176" s="288"/>
      <c r="O176" s="610"/>
      <c r="P176" s="288"/>
      <c r="Q176" s="288"/>
      <c r="R176" s="610"/>
      <c r="S176" s="288"/>
      <c r="T176" s="288"/>
      <c r="U176" s="610"/>
      <c r="V176" s="288"/>
      <c r="W176" s="288"/>
      <c r="X176" s="288"/>
      <c r="Y176" s="288"/>
      <c r="Z176" s="222"/>
      <c r="AA176" s="288"/>
      <c r="AB176" s="288"/>
      <c r="AC176" s="222"/>
      <c r="AD176" s="222"/>
      <c r="AE176" s="222"/>
    </row>
    <row r="177" spans="1:52" s="222" customFormat="1" ht="19.5" customHeight="1" x14ac:dyDescent="0.25">
      <c r="A177" s="2021"/>
      <c r="B177" s="2024"/>
      <c r="C177" s="2026" t="s">
        <v>340</v>
      </c>
      <c r="D177" s="613" t="s">
        <v>328</v>
      </c>
      <c r="E177" s="613" t="s">
        <v>87</v>
      </c>
      <c r="F177" s="613"/>
      <c r="G177" s="614" t="s">
        <v>11</v>
      </c>
      <c r="H177" s="628"/>
      <c r="J177" s="288"/>
      <c r="K177" s="288"/>
      <c r="L177" s="288"/>
      <c r="M177" s="288"/>
      <c r="N177" s="288"/>
      <c r="O177" s="610"/>
      <c r="P177" s="288"/>
      <c r="Q177" s="288"/>
      <c r="R177" s="610"/>
      <c r="S177" s="288"/>
      <c r="T177" s="288"/>
      <c r="U177" s="610"/>
      <c r="V177" s="288"/>
      <c r="W177" s="288"/>
      <c r="X177" s="288"/>
      <c r="Y177" s="288"/>
      <c r="AA177" s="288"/>
      <c r="AB177" s="288"/>
    </row>
    <row r="178" spans="1:52" s="222" customFormat="1" ht="19.5" customHeight="1" x14ac:dyDescent="0.25">
      <c r="A178" s="2022"/>
      <c r="B178" s="2025"/>
      <c r="C178" s="2027"/>
      <c r="D178" s="617" t="s">
        <v>229</v>
      </c>
      <c r="E178" s="617"/>
      <c r="F178" s="614" t="s">
        <v>337</v>
      </c>
      <c r="G178" s="614" t="s">
        <v>166</v>
      </c>
      <c r="H178" s="628"/>
      <c r="J178" s="288"/>
      <c r="K178" s="288"/>
      <c r="L178" s="288"/>
      <c r="M178" s="288"/>
      <c r="N178" s="288"/>
      <c r="O178" s="610"/>
      <c r="P178" s="288"/>
      <c r="Q178" s="288"/>
      <c r="R178" s="610"/>
      <c r="S178" s="288"/>
      <c r="T178" s="288"/>
      <c r="U178" s="610"/>
      <c r="V178" s="288"/>
      <c r="W178" s="288"/>
      <c r="X178" s="288"/>
      <c r="Y178" s="288"/>
      <c r="AA178" s="288"/>
      <c r="AB178" s="288"/>
    </row>
    <row r="179" spans="1:52" s="222" customFormat="1" ht="30" customHeight="1" x14ac:dyDescent="0.25">
      <c r="A179" s="630"/>
      <c r="B179" s="631" t="str">
        <f>Samenvatting!A276</f>
        <v>werken in nabijheid geactiveerde target</v>
      </c>
      <c r="C179" s="1861">
        <v>25</v>
      </c>
      <c r="D179" s="1861">
        <v>0.5</v>
      </c>
      <c r="E179" s="1861">
        <v>4</v>
      </c>
      <c r="F179" s="632">
        <f>C179*D179/10^3</f>
        <v>1.2500000000000001E-2</v>
      </c>
      <c r="G179" s="621">
        <f>F179*E179</f>
        <v>0.05</v>
      </c>
      <c r="H179" s="633"/>
      <c r="M179" s="288"/>
      <c r="N179" s="288"/>
      <c r="O179" s="288"/>
      <c r="P179" s="288"/>
      <c r="Q179" s="288"/>
      <c r="R179" s="288"/>
      <c r="S179" s="288"/>
      <c r="T179" s="288"/>
      <c r="U179" s="288"/>
      <c r="V179" s="288"/>
      <c r="W179" s="288"/>
      <c r="X179" s="288"/>
      <c r="Y179" s="288"/>
      <c r="Z179" s="288"/>
      <c r="AA179" s="288"/>
    </row>
    <row r="180" spans="1:52" s="222" customFormat="1" ht="19.5" customHeight="1" x14ac:dyDescent="0.25">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189"/>
      <c r="W180" s="189"/>
      <c r="X180" s="189"/>
      <c r="Y180" s="189"/>
      <c r="Z180" s="189"/>
      <c r="AA180" s="189"/>
      <c r="AB180" s="202"/>
      <c r="AC180" s="202"/>
      <c r="AD180" s="202"/>
      <c r="AE180" s="202"/>
    </row>
    <row r="181" spans="1:52" s="225" customFormat="1" ht="19.5" customHeight="1" x14ac:dyDescent="0.25">
      <c r="A181" s="634" t="s">
        <v>327</v>
      </c>
      <c r="C181" s="288"/>
      <c r="D181" s="288"/>
      <c r="E181" s="288"/>
      <c r="F181" s="288"/>
      <c r="G181" s="288"/>
      <c r="H181" s="288"/>
      <c r="I181" s="288"/>
      <c r="J181" s="288"/>
      <c r="K181" s="288"/>
      <c r="L181" s="288"/>
      <c r="M181" s="288"/>
      <c r="N181" s="288"/>
      <c r="O181" s="288"/>
      <c r="P181" s="288"/>
      <c r="Q181" s="288"/>
      <c r="R181" s="288"/>
      <c r="S181" s="288"/>
      <c r="T181" s="288"/>
      <c r="U181" s="288"/>
      <c r="V181" s="222"/>
      <c r="W181" s="222"/>
      <c r="X181" s="222"/>
      <c r="Y181" s="222"/>
      <c r="Z181" s="222"/>
      <c r="AA181" s="222"/>
      <c r="AB181" s="222"/>
      <c r="AC181" s="222"/>
      <c r="AD181" s="222"/>
      <c r="AE181" s="222"/>
      <c r="AG181" s="328"/>
      <c r="AI181" s="328"/>
      <c r="AJ181" s="328"/>
      <c r="AK181" s="328"/>
      <c r="AL181" s="328"/>
      <c r="AP181" s="222"/>
      <c r="AQ181" s="211"/>
      <c r="AR181" s="222"/>
      <c r="AS181" s="222"/>
      <c r="AY181" s="300"/>
      <c r="AZ181" s="300"/>
    </row>
    <row r="182" spans="1:52" s="187" customFormat="1" ht="19.5" customHeight="1" x14ac:dyDescent="0.25">
      <c r="A182" s="2020" t="s">
        <v>50</v>
      </c>
      <c r="B182" s="2023" t="s">
        <v>15</v>
      </c>
      <c r="C182" s="606" t="s">
        <v>261</v>
      </c>
      <c r="D182" s="607" t="s">
        <v>224</v>
      </c>
      <c r="E182" s="608" t="s">
        <v>329</v>
      </c>
      <c r="F182" s="607" t="s">
        <v>260</v>
      </c>
      <c r="G182" s="607" t="s">
        <v>260</v>
      </c>
      <c r="H182" s="628"/>
      <c r="I182" s="222"/>
      <c r="J182" s="288"/>
      <c r="K182" s="288"/>
      <c r="L182" s="288"/>
      <c r="M182" s="288"/>
      <c r="N182" s="288"/>
      <c r="O182" s="610"/>
      <c r="P182" s="288"/>
      <c r="Q182" s="288"/>
      <c r="R182" s="610"/>
      <c r="S182" s="288"/>
      <c r="T182" s="288"/>
      <c r="U182" s="610"/>
      <c r="V182" s="288"/>
      <c r="W182" s="288"/>
      <c r="X182" s="288"/>
      <c r="Y182" s="288"/>
      <c r="Z182" s="222"/>
      <c r="AA182" s="288"/>
      <c r="AB182" s="288"/>
      <c r="AC182" s="222"/>
      <c r="AD182" s="222"/>
      <c r="AE182" s="222"/>
    </row>
    <row r="183" spans="1:52" s="222" customFormat="1" ht="19.5" customHeight="1" x14ac:dyDescent="0.25">
      <c r="A183" s="2021"/>
      <c r="B183" s="2024"/>
      <c r="C183" s="2026" t="s">
        <v>340</v>
      </c>
      <c r="D183" s="613" t="s">
        <v>328</v>
      </c>
      <c r="E183" s="613" t="s">
        <v>87</v>
      </c>
      <c r="F183" s="613"/>
      <c r="G183" s="614" t="s">
        <v>11</v>
      </c>
      <c r="H183" s="628"/>
      <c r="J183" s="288"/>
      <c r="K183" s="288"/>
      <c r="L183" s="288"/>
      <c r="M183" s="288"/>
      <c r="N183" s="288"/>
      <c r="O183" s="610"/>
      <c r="P183" s="288"/>
      <c r="Q183" s="288"/>
      <c r="R183" s="610"/>
      <c r="S183" s="288"/>
      <c r="T183" s="288"/>
      <c r="U183" s="610"/>
      <c r="V183" s="288"/>
      <c r="W183" s="288"/>
      <c r="X183" s="288"/>
      <c r="Y183" s="288"/>
      <c r="AA183" s="288"/>
      <c r="AB183" s="288"/>
    </row>
    <row r="184" spans="1:52" s="222" customFormat="1" ht="19.5" customHeight="1" x14ac:dyDescent="0.25">
      <c r="A184" s="2022"/>
      <c r="B184" s="2025"/>
      <c r="C184" s="2027"/>
      <c r="D184" s="617" t="s">
        <v>229</v>
      </c>
      <c r="E184" s="617"/>
      <c r="F184" s="614" t="s">
        <v>337</v>
      </c>
      <c r="G184" s="614" t="s">
        <v>166</v>
      </c>
      <c r="H184" s="628"/>
      <c r="J184" s="288"/>
      <c r="K184" s="288"/>
      <c r="L184" s="288"/>
      <c r="M184" s="288"/>
      <c r="N184" s="288"/>
      <c r="O184" s="610"/>
      <c r="P184" s="288"/>
      <c r="Q184" s="288"/>
      <c r="R184" s="610"/>
      <c r="S184" s="288"/>
      <c r="T184" s="288"/>
      <c r="U184" s="610"/>
      <c r="V184" s="288"/>
      <c r="W184" s="288"/>
      <c r="X184" s="288"/>
      <c r="Y184" s="288"/>
      <c r="AA184" s="288"/>
      <c r="AB184" s="288"/>
    </row>
    <row r="185" spans="1:52" s="222" customFormat="1" ht="30" customHeight="1" x14ac:dyDescent="0.25">
      <c r="A185" s="623"/>
      <c r="B185" s="631" t="str">
        <f>Samenvatting!A287</f>
        <v>werken in nabijheid geactiveerde onderdelen</v>
      </c>
      <c r="C185" s="1861">
        <v>1.5</v>
      </c>
      <c r="D185" s="1861">
        <v>2</v>
      </c>
      <c r="E185" s="1861">
        <v>24</v>
      </c>
      <c r="F185" s="632">
        <f>C185*D185/10^3</f>
        <v>3.0000000000000001E-3</v>
      </c>
      <c r="G185" s="621">
        <f>F185*E185</f>
        <v>7.2000000000000008E-2</v>
      </c>
      <c r="H185" s="635"/>
      <c r="M185" s="288"/>
      <c r="N185" s="288"/>
      <c r="O185" s="288"/>
      <c r="P185" s="288"/>
      <c r="Q185" s="288"/>
      <c r="R185" s="288"/>
      <c r="S185" s="288"/>
      <c r="T185" s="288"/>
      <c r="U185" s="288"/>
      <c r="V185" s="288"/>
      <c r="W185" s="288"/>
      <c r="X185" s="288"/>
      <c r="Y185" s="288"/>
      <c r="Z185" s="288"/>
      <c r="AA185" s="288"/>
    </row>
    <row r="186" spans="1:52" s="222" customFormat="1" ht="19.5" customHeight="1" x14ac:dyDescent="0.25">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189"/>
      <c r="W186" s="189"/>
      <c r="X186" s="189"/>
      <c r="Y186" s="189"/>
      <c r="Z186" s="189"/>
      <c r="AA186" s="189"/>
      <c r="AB186" s="202"/>
      <c r="AC186" s="202"/>
      <c r="AD186" s="202"/>
      <c r="AE186" s="202"/>
    </row>
    <row r="187" spans="1:52" s="225" customFormat="1" ht="19.5" customHeight="1" thickBot="1" x14ac:dyDescent="0.3">
      <c r="A187" s="288" t="s">
        <v>326</v>
      </c>
      <c r="C187" s="636"/>
      <c r="D187" s="265"/>
      <c r="E187" s="265"/>
      <c r="F187" s="265"/>
      <c r="G187" s="265"/>
      <c r="H187" s="265"/>
      <c r="I187" s="233"/>
      <c r="J187" s="242"/>
      <c r="K187" s="233"/>
      <c r="L187" s="233"/>
      <c r="M187" s="242"/>
      <c r="N187" s="369"/>
      <c r="O187" s="222"/>
      <c r="P187" s="222"/>
      <c r="Q187" s="222"/>
      <c r="R187" s="222"/>
      <c r="T187" s="328"/>
      <c r="V187" s="328"/>
      <c r="W187" s="328"/>
      <c r="X187" s="328"/>
      <c r="Y187" s="328"/>
      <c r="AC187" s="222"/>
      <c r="AD187" s="211"/>
      <c r="AE187" s="222"/>
      <c r="AF187" s="222"/>
      <c r="AL187" s="300"/>
      <c r="AM187" s="300"/>
    </row>
    <row r="188" spans="1:52" s="225" customFormat="1" ht="19.5" customHeight="1" thickBot="1" x14ac:dyDescent="0.3">
      <c r="A188" s="2020" t="s">
        <v>50</v>
      </c>
      <c r="B188" s="2023" t="s">
        <v>15</v>
      </c>
      <c r="C188" s="1998" t="s">
        <v>25</v>
      </c>
      <c r="D188" s="1998" t="s">
        <v>158</v>
      </c>
      <c r="E188" s="2012" t="s">
        <v>527</v>
      </c>
      <c r="F188" s="304" t="s">
        <v>77</v>
      </c>
      <c r="G188" s="637"/>
      <c r="H188" s="305"/>
      <c r="I188" s="607" t="s">
        <v>224</v>
      </c>
      <c r="J188" s="608" t="s">
        <v>329</v>
      </c>
      <c r="K188" s="2016">
        <v>18</v>
      </c>
      <c r="L188" s="2017"/>
      <c r="M188" s="2018"/>
      <c r="N188" s="2003" t="s">
        <v>16</v>
      </c>
      <c r="O188" s="2004"/>
      <c r="P188" s="222"/>
      <c r="Q188" s="222"/>
      <c r="R188" s="222"/>
      <c r="T188" s="328"/>
      <c r="V188" s="328"/>
      <c r="W188" s="328"/>
      <c r="X188" s="328"/>
      <c r="Y188" s="328"/>
      <c r="AC188" s="222"/>
      <c r="AD188" s="211"/>
      <c r="AE188" s="222"/>
      <c r="AF188" s="222"/>
      <c r="AL188" s="300"/>
      <c r="AM188" s="300"/>
    </row>
    <row r="189" spans="1:52" s="222" customFormat="1" ht="19.5" customHeight="1" x14ac:dyDescent="0.25">
      <c r="A189" s="2021"/>
      <c r="B189" s="2024"/>
      <c r="C189" s="2010"/>
      <c r="D189" s="2010"/>
      <c r="E189" s="2010"/>
      <c r="F189" s="639"/>
      <c r="G189" s="211"/>
      <c r="H189" s="611"/>
      <c r="I189" s="614" t="s">
        <v>328</v>
      </c>
      <c r="J189" s="613" t="s">
        <v>87</v>
      </c>
      <c r="K189" s="312" t="s">
        <v>86</v>
      </c>
      <c r="L189" s="312" t="s">
        <v>206</v>
      </c>
      <c r="M189" s="312" t="s">
        <v>260</v>
      </c>
      <c r="N189" s="613"/>
      <c r="O189" s="614" t="s">
        <v>11</v>
      </c>
      <c r="T189" s="328"/>
      <c r="V189" s="328"/>
      <c r="W189" s="328"/>
      <c r="X189" s="328"/>
      <c r="Y189" s="328"/>
      <c r="AD189" s="211"/>
      <c r="AL189" s="211"/>
      <c r="AM189" s="211"/>
    </row>
    <row r="190" spans="1:52" s="222" customFormat="1" ht="19.5" customHeight="1" thickBot="1" x14ac:dyDescent="0.3">
      <c r="A190" s="2022"/>
      <c r="B190" s="2025"/>
      <c r="C190" s="2011"/>
      <c r="D190" s="2011"/>
      <c r="E190" s="2013"/>
      <c r="F190" s="615" t="s">
        <v>1</v>
      </c>
      <c r="G190" s="615" t="s">
        <v>61</v>
      </c>
      <c r="H190" s="615" t="s">
        <v>3</v>
      </c>
      <c r="I190" s="179" t="s">
        <v>229</v>
      </c>
      <c r="J190" s="179"/>
      <c r="K190" s="505" t="s">
        <v>208</v>
      </c>
      <c r="L190" s="505" t="s">
        <v>207</v>
      </c>
      <c r="M190" s="506" t="s">
        <v>341</v>
      </c>
      <c r="N190" s="614" t="s">
        <v>337</v>
      </c>
      <c r="O190" s="614" t="s">
        <v>166</v>
      </c>
      <c r="U190" s="328"/>
      <c r="W190" s="328"/>
      <c r="X190" s="328"/>
      <c r="Y190" s="328"/>
      <c r="Z190" s="328"/>
      <c r="AE190" s="211"/>
      <c r="AM190" s="211"/>
      <c r="AN190" s="211"/>
    </row>
    <row r="191" spans="1:52" s="222" customFormat="1" ht="30" customHeight="1" x14ac:dyDescent="0.25">
      <c r="A191" s="301"/>
      <c r="B191" s="2008" t="str">
        <f>Samenvatting!A298</f>
        <v>werkzaamheden uitvoeren in gecontroleerde ruimte (buiten de bestralingsruimte) terwijl er gestraald word: bv dak wegens reparaties</v>
      </c>
      <c r="C191" s="323" t="s">
        <v>569</v>
      </c>
      <c r="D191" s="1840">
        <v>6</v>
      </c>
      <c r="E191" s="1863">
        <v>0.25</v>
      </c>
      <c r="F191" s="1834">
        <v>250</v>
      </c>
      <c r="G191" s="1834">
        <v>0</v>
      </c>
      <c r="H191" s="1834">
        <v>0</v>
      </c>
      <c r="I191" s="640"/>
      <c r="J191" s="641"/>
      <c r="K191" s="686">
        <f>IF(K188=C4,IF($F191=0,0,1+($F191-$C$21)/$C$22)+$G191/$C$23+$H191/$C$24,IF(K188=D4,(IF($F191=0,0,1+($F191-$D$21)/$D$22)+$G191/$D$23+$H191/$D$24),IF(K188=E4,IF($F191=0,0,1+($F191-$E$21)/$E$22)+$G191/$E$23+$H191/$E$24,IF(K188=F4,IF($F191=0,0,1+($F191-$F$21)/$F$22)+$G191/$F$23+$H191/$F$24,IF(K188=G4,IF($F191=0,0,1+($F191-$G$21)/$G$22)+$G191/$G$23+$H191/$G$24,2)))))</f>
        <v>5.7674418604651159</v>
      </c>
      <c r="L191" s="72">
        <f>10^(-K191)</f>
        <v>1.7082763938087111E-6</v>
      </c>
      <c r="M191" s="71">
        <f>($C$7*$C$14*I192/40*$E191/$D191^2*L191*10^6)</f>
        <v>1.1863030512560492E-2</v>
      </c>
      <c r="N191" s="642">
        <f>M191+M192</f>
        <v>1.8104733127211996E-2</v>
      </c>
      <c r="O191" s="643">
        <f>N191*J192</f>
        <v>1.8104733127211996E-2</v>
      </c>
      <c r="U191" s="328"/>
      <c r="V191" s="328"/>
      <c r="W191" s="328"/>
      <c r="X191" s="328"/>
      <c r="Y191" s="328"/>
      <c r="Z191" s="328"/>
      <c r="AE191" s="211"/>
      <c r="AM191" s="211"/>
      <c r="AN191" s="211"/>
    </row>
    <row r="192" spans="1:52" s="222" customFormat="1" ht="30" customHeight="1" thickBot="1" x14ac:dyDescent="0.3">
      <c r="A192" s="623"/>
      <c r="B192" s="2019"/>
      <c r="C192" s="331" t="s">
        <v>568</v>
      </c>
      <c r="D192" s="1864">
        <v>5</v>
      </c>
      <c r="E192" s="644"/>
      <c r="F192" s="1865">
        <v>250</v>
      </c>
      <c r="G192" s="1865">
        <v>0</v>
      </c>
      <c r="H192" s="1865">
        <v>0</v>
      </c>
      <c r="I192" s="1866">
        <v>1</v>
      </c>
      <c r="J192" s="1867">
        <v>1</v>
      </c>
      <c r="K192" s="105">
        <f>IF(K188=$C$4,$F192/$C$27+$G192/$C$28+$H192/$C$29,IF(K188=$D$4,$F192/$D$27+$G192/$D$28+$H192/$D$29,IF(K188=$E$4,$F192/$E$27+$G192/$E$28+$H192/$E$29,IF(K188=$F$4,$F192/$F$27+$G192/$F$28+$H192/$F$29,IF(K188=$G$4,$F192/$G$27+$G192/$G$28+$H192/$G$29, )))))</f>
        <v>5.6818181818181817</v>
      </c>
      <c r="L192" s="106">
        <f>10^(-K192)</f>
        <v>2.0805675382171676E-6</v>
      </c>
      <c r="M192" s="105">
        <f>($C$7*I192/40*$C$15*($C$9+$C$10*$C$11)/$D192^2*L192*10^6)</f>
        <v>6.2417026146515033E-3</v>
      </c>
      <c r="N192" s="645"/>
      <c r="O192" s="646"/>
      <c r="U192" s="328"/>
      <c r="V192" s="328"/>
      <c r="W192" s="328"/>
      <c r="X192" s="328"/>
      <c r="Y192" s="328"/>
      <c r="Z192" s="328"/>
      <c r="AE192" s="211"/>
      <c r="AM192" s="211"/>
      <c r="AN192" s="211"/>
    </row>
    <row r="193" spans="1:31" s="222" customFormat="1" ht="30" customHeight="1" x14ac:dyDescent="0.25">
      <c r="A193" s="201"/>
      <c r="B193" s="201"/>
      <c r="C193" s="201"/>
      <c r="D193" s="201"/>
      <c r="E193" s="201"/>
      <c r="F193" s="201"/>
      <c r="G193" s="201"/>
      <c r="H193" s="201"/>
      <c r="I193" s="201"/>
      <c r="J193" s="201"/>
      <c r="K193" s="201"/>
      <c r="L193" s="201"/>
      <c r="M193" s="201"/>
      <c r="N193" s="189"/>
      <c r="O193" s="202"/>
      <c r="P193" s="202"/>
      <c r="Q193" s="202"/>
      <c r="R193" s="202"/>
    </row>
    <row r="194" spans="1:31" s="222" customFormat="1" ht="19.5" customHeight="1" x14ac:dyDescent="0.25">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189"/>
      <c r="W194" s="189"/>
      <c r="X194" s="189"/>
      <c r="Y194" s="189"/>
      <c r="Z194" s="189"/>
      <c r="AA194" s="189"/>
      <c r="AB194" s="202"/>
      <c r="AC194" s="202"/>
      <c r="AD194" s="202"/>
      <c r="AE194" s="202"/>
    </row>
    <row r="195" spans="1:31" ht="19.5" customHeight="1" x14ac:dyDescent="0.25">
      <c r="C195" s="279"/>
      <c r="D195" s="280"/>
      <c r="L195" s="647"/>
      <c r="M195" s="647"/>
      <c r="S195" s="648"/>
      <c r="U195" s="189"/>
      <c r="V195" s="190"/>
      <c r="AA195" s="202"/>
      <c r="AB195" s="538"/>
      <c r="AC195" s="538"/>
      <c r="AD195" s="538"/>
      <c r="AE195" s="538"/>
    </row>
    <row r="196" spans="1:31" ht="19.5" customHeight="1" x14ac:dyDescent="0.25"/>
    <row r="197" spans="1:31" ht="19.5" customHeight="1" x14ac:dyDescent="0.25"/>
  </sheetData>
  <sheetProtection algorithmName="SHA-512" hashValue="L62a3oFD1IDBd0Wnq2tb6WbSCYBHxxLN+5Xp6vxuOzuTvwOFRPyf1sftUsx8ehSFhEZyxrIyo2UMtfu6L+/wjg==" saltValue="XqXPcKQr9xpylqm/3PvU1A==" spinCount="100000" sheet="1" objects="1" scenarios="1"/>
  <mergeCells count="37">
    <mergeCell ref="B191:B192"/>
    <mergeCell ref="P140:R140"/>
    <mergeCell ref="S140:U140"/>
    <mergeCell ref="V140:X140"/>
    <mergeCell ref="Y140:AA140"/>
    <mergeCell ref="N188:O188"/>
    <mergeCell ref="K188:M188"/>
    <mergeCell ref="X128:Z128"/>
    <mergeCell ref="A182:A184"/>
    <mergeCell ref="B182:B184"/>
    <mergeCell ref="C183:C184"/>
    <mergeCell ref="M141:M142"/>
    <mergeCell ref="P141:P142"/>
    <mergeCell ref="B172:B173"/>
    <mergeCell ref="I169:J169"/>
    <mergeCell ref="A176:A178"/>
    <mergeCell ref="B176:B178"/>
    <mergeCell ref="C177:C178"/>
    <mergeCell ref="S141:S142"/>
    <mergeCell ref="V141:V142"/>
    <mergeCell ref="Y141:Y142"/>
    <mergeCell ref="Q132:Q133"/>
    <mergeCell ref="R132:R133"/>
    <mergeCell ref="AB130:AB135"/>
    <mergeCell ref="AC130:AC135"/>
    <mergeCell ref="A188:A190"/>
    <mergeCell ref="B188:B190"/>
    <mergeCell ref="C188:C190"/>
    <mergeCell ref="D188:D190"/>
    <mergeCell ref="E188:E190"/>
    <mergeCell ref="AB140:AD140"/>
    <mergeCell ref="AC141:AD141"/>
    <mergeCell ref="L134:L135"/>
    <mergeCell ref="M134:M135"/>
    <mergeCell ref="F132:F133"/>
    <mergeCell ref="J132:J133"/>
    <mergeCell ref="K130:K133"/>
  </mergeCells>
  <dataValidations count="21">
    <dataValidation allowBlank="1" showInputMessage="1" showErrorMessage="1" prompt="Als labyrint 1 bocht heeft dan dan is er geen A5: 1 invullen_x000a_" sqref="E116:E117"/>
    <dataValidation allowBlank="1" showInputMessage="1" showErrorMessage="1" promptTitle="let op" prompt="Als labyrint 1 bocht heeft dan dan is er geen A5: 1 invullen" sqref="R130:R132"/>
    <dataValidation allowBlank="1" showInputMessage="1" showErrorMessage="1" prompt="als versneller parallel aan het labyrint draait is er geen A2_x000a_: 1 invullen" sqref="O131"/>
    <dataValidation allowBlank="1" showInputMessage="1" showErrorMessage="1" promptTitle="let op" prompt="als versneller parallel aan het labyrint draait is er geen dz2:_x000a_ 1 invullen" sqref="H131:J131"/>
    <dataValidation allowBlank="1" showInputMessage="1" showErrorMessage="1" promptTitle="let op" prompt="is 1 las versneller parallel aan het labyrint draait" sqref="R15:R16"/>
    <dataValidation type="list" allowBlank="1" showInputMessage="1" showErrorMessage="1" sqref="G106">
      <formula1>"parallel,loodrecht"</formula1>
    </dataValidation>
    <dataValidation type="list" allowBlank="1" showInputMessage="1" showErrorMessage="1" sqref="G107:G108">
      <formula1>"1,2"</formula1>
    </dataValidation>
    <dataValidation allowBlank="1" showInputMessage="1" showErrorMessage="1" promptTitle="let op" prompt="als er geen afstand dp is: 1 invullen_x000a_Bij de voorbeeld plattegronden is er alleen een afstand dp in fig 6. " sqref="P17"/>
    <dataValidation allowBlank="1" showInputMessage="1" showErrorMessage="1" promptTitle="let op" prompt="Alleen van belang als E &gt; 10 MV (neutronenproduktie)" sqref="G125:G126"/>
    <dataValidation allowBlank="1" showInputMessage="1" showErrorMessage="1" prompt="Fr richting  opp A1_x000a_" sqref="W130"/>
    <dataValidation allowBlank="1" showInputMessage="1" showErrorMessage="1" promptTitle="let op" prompt="Fr richting opp A2._x000a_Als versneller parallel aan labyrint draait dan is er geen A2: fr is dan 0" sqref="W131"/>
    <dataValidation allowBlank="1" showInputMessage="1" showErrorMessage="1" promptTitle="let op" prompt="als versneller parallel aan het labyrint draait is er geen dp2: 1 invullen" sqref="E131:G131"/>
    <dataValidation allowBlank="1" showInputMessage="1" showErrorMessage="1" promptTitle="let op" prompt="Als labyrint 1 bocht heeft dan dan is er geen dz5: 1 invullen_x000a_" sqref="S131:V131 P131:Q131 K130 L131:N131"/>
    <dataValidation allowBlank="1" showInputMessage="1" showErrorMessage="1" prompt="Fr voor gantry  90 graden als versneller parallel aan labyrint draait of Fr voor gantry 270 graden als versneller loodrecht op labyrint draait _x000a_" sqref="W133"/>
    <dataValidation allowBlank="1" showInputMessage="1" showErrorMessage="1" prompt="binnenmuur labyrint" sqref="X131:AA131"/>
    <dataValidation allowBlank="1" showInputMessage="1" showErrorMessage="1" prompt="Als kort labyrint (&lt; 5m) gebruik dan 6,1 cm" sqref="O115"/>
    <dataValidation type="list" allowBlank="1" showInputMessage="1" showErrorMessage="1" prompt="Zie handleiding voor verwijzing naar literatuur._x000a_" sqref="Q111">
      <formula1>"1,5,7E-16,6,9E-16"</formula1>
    </dataValidation>
    <dataValidation type="list" allowBlank="1" showInputMessage="1" showErrorMessage="1" prompt="Zie handleiding voor verwijzing naar literatuur._x000a_" sqref="Q113">
      <formula1>"1,3,9,5,4,6,2"</formula1>
    </dataValidation>
    <dataValidation type="list" allowBlank="1" showInputMessage="1" showErrorMessage="1" sqref="K188:M188">
      <formula1>$C$4:$H$4</formula1>
    </dataValidation>
    <dataValidation allowBlank="1" showInputMessage="1" showErrorMessage="1" prompt="Stralingsweegfactor, WR = 20" sqref="E173"/>
    <dataValidation type="list" allowBlank="1" showInputMessage="1" showErrorMessage="1" prompt="als head shielding van wolfraam dan 0,85, als van lood dan 1_x000a_als geen neutronen dan ook 1" sqref="C16">
      <formula1>"0,85,1"</formula1>
    </dataValidation>
  </dataValidations>
  <pageMargins left="0.70866141732283472" right="0.70866141732283472" top="0.74803149606299213" bottom="0.74803149606299213" header="0.31496062992125984" footer="0.31496062992125984"/>
  <pageSetup paperSize="8" scale="30" orientation="landscape" r:id="rId1"/>
  <headerFooter>
    <oddFooter>&amp;C&amp;F &amp;A</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CL197"/>
  <sheetViews>
    <sheetView showGridLines="0" topLeftCell="A160" zoomScale="70" zoomScaleNormal="70" workbookViewId="0">
      <selection activeCell="J191" sqref="J191"/>
    </sheetView>
  </sheetViews>
  <sheetFormatPr defaultRowHeight="15" x14ac:dyDescent="0.25"/>
  <cols>
    <col min="1" max="1" width="6.7109375" style="201" customWidth="1"/>
    <col min="2" max="2" width="20.7109375" style="201" customWidth="1"/>
    <col min="3" max="21" width="12.7109375" style="201" customWidth="1"/>
    <col min="22" max="27" width="12.7109375" style="189" customWidth="1"/>
    <col min="28" max="36" width="12.7109375" style="202" customWidth="1"/>
    <col min="37" max="37" width="10" style="202" bestFit="1" customWidth="1"/>
    <col min="38" max="38" width="12.7109375" style="202" customWidth="1"/>
    <col min="39" max="39" width="10" style="202" bestFit="1" customWidth="1"/>
    <col min="40" max="45" width="12.7109375" style="202" customWidth="1"/>
    <col min="46" max="48" width="10.140625" style="202" bestFit="1" customWidth="1"/>
    <col min="49" max="55" width="12.140625" style="202" customWidth="1"/>
    <col min="56" max="60" width="10.140625" style="202" bestFit="1" customWidth="1"/>
    <col min="61" max="16384" width="9.140625" style="202"/>
  </cols>
  <sheetData>
    <row r="1" spans="1:31" s="187" customFormat="1" ht="26.25" customHeight="1" thickBot="1" x14ac:dyDescent="0.3">
      <c r="A1" s="181" t="s">
        <v>51</v>
      </c>
      <c r="B1" s="182"/>
      <c r="C1" s="183"/>
      <c r="D1" s="182"/>
      <c r="E1" s="182"/>
      <c r="F1" s="182"/>
      <c r="G1" s="182"/>
      <c r="H1" s="182"/>
      <c r="I1" s="182"/>
      <c r="J1" s="182"/>
      <c r="K1" s="182"/>
      <c r="L1" s="182"/>
      <c r="M1" s="182"/>
      <c r="N1" s="182"/>
      <c r="O1" s="182"/>
      <c r="P1" s="182"/>
      <c r="Q1" s="182"/>
      <c r="R1" s="182"/>
      <c r="S1" s="182"/>
      <c r="T1" s="182"/>
      <c r="U1" s="182"/>
      <c r="V1" s="184"/>
      <c r="W1" s="184"/>
      <c r="X1" s="184"/>
      <c r="Y1" s="184"/>
      <c r="Z1" s="184"/>
      <c r="AA1" s="184"/>
      <c r="AB1" s="185"/>
      <c r="AC1" s="185"/>
      <c r="AD1" s="185"/>
      <c r="AE1" s="186"/>
    </row>
    <row r="2" spans="1:31" s="189" customFormat="1" ht="18.75" customHeight="1" thickBot="1" x14ac:dyDescent="0.3">
      <c r="A2" s="188"/>
      <c r="F2" s="190"/>
      <c r="G2" s="190"/>
      <c r="H2" s="190"/>
    </row>
    <row r="3" spans="1:31" s="189" customFormat="1" ht="26.25" customHeight="1" thickBot="1" x14ac:dyDescent="0.3">
      <c r="A3" s="687" t="s">
        <v>314</v>
      </c>
      <c r="B3" s="688"/>
      <c r="C3" s="1868" t="s">
        <v>439</v>
      </c>
      <c r="D3" s="1868"/>
      <c r="E3" s="1868"/>
      <c r="F3" s="1869"/>
      <c r="G3" s="1870"/>
      <c r="H3" s="190"/>
      <c r="L3" s="193"/>
      <c r="M3" s="194" t="s">
        <v>420</v>
      </c>
      <c r="N3" s="195"/>
      <c r="O3" s="195"/>
      <c r="P3" s="195"/>
      <c r="Q3" s="195"/>
      <c r="R3" s="195"/>
      <c r="S3" s="195"/>
      <c r="T3" s="195"/>
    </row>
    <row r="4" spans="1:31" s="212" customFormat="1" ht="19.5" customHeight="1" thickBot="1" x14ac:dyDescent="0.3">
      <c r="A4" s="689" t="s">
        <v>55</v>
      </c>
      <c r="B4" s="690"/>
      <c r="C4" s="691">
        <v>6</v>
      </c>
      <c r="D4" s="691">
        <v>10</v>
      </c>
      <c r="E4" s="692">
        <v>18</v>
      </c>
      <c r="F4" s="691" t="s">
        <v>188</v>
      </c>
      <c r="G4" s="693" t="s">
        <v>189</v>
      </c>
      <c r="H4" s="207"/>
      <c r="I4" s="207"/>
      <c r="L4" s="195"/>
      <c r="M4" s="194"/>
      <c r="N4" s="195"/>
      <c r="O4" s="195"/>
      <c r="P4" s="195"/>
      <c r="Q4" s="195"/>
      <c r="R4" s="195"/>
      <c r="S4" s="195"/>
      <c r="T4" s="195"/>
      <c r="AD4" s="189"/>
    </row>
    <row r="5" spans="1:31" ht="22.5" customHeight="1" x14ac:dyDescent="0.25">
      <c r="A5" s="188"/>
      <c r="C5" s="205"/>
      <c r="D5" s="205"/>
      <c r="E5" s="205"/>
      <c r="F5" s="205"/>
      <c r="G5" s="205"/>
      <c r="L5" s="210"/>
      <c r="M5" s="194" t="s">
        <v>421</v>
      </c>
      <c r="N5" s="195"/>
      <c r="O5" s="195"/>
      <c r="P5" s="195"/>
      <c r="Q5" s="195"/>
      <c r="R5" s="195"/>
      <c r="S5" s="195"/>
      <c r="T5" s="195"/>
      <c r="U5" s="189"/>
      <c r="Z5" s="202"/>
      <c r="AA5" s="202"/>
    </row>
    <row r="6" spans="1:31" ht="19.5" customHeight="1" thickBot="1" x14ac:dyDescent="0.3">
      <c r="A6" s="188" t="s">
        <v>532</v>
      </c>
      <c r="B6" s="203"/>
      <c r="C6" s="650"/>
      <c r="D6" s="651"/>
      <c r="E6" s="651"/>
      <c r="F6" s="652"/>
      <c r="G6" s="652"/>
      <c r="H6" s="207"/>
      <c r="I6" s="207"/>
      <c r="J6" s="208"/>
      <c r="K6" s="209"/>
      <c r="L6" s="214"/>
      <c r="M6" s="194"/>
      <c r="N6" s="195"/>
      <c r="O6" s="195"/>
      <c r="P6" s="195"/>
      <c r="Q6" s="195"/>
      <c r="R6" s="195"/>
      <c r="S6" s="195"/>
      <c r="T6" s="195"/>
      <c r="AD6" s="211"/>
    </row>
    <row r="7" spans="1:31" s="212" customFormat="1" ht="19.5" customHeight="1" thickBot="1" x14ac:dyDescent="0.3">
      <c r="A7" s="215" t="s">
        <v>240</v>
      </c>
      <c r="B7" s="216"/>
      <c r="C7" s="1815">
        <f>10^3</f>
        <v>1000</v>
      </c>
      <c r="D7" s="217"/>
      <c r="E7" s="217"/>
      <c r="F7" s="217"/>
      <c r="G7" s="218"/>
      <c r="H7" s="189"/>
      <c r="I7" s="189"/>
      <c r="L7" s="219"/>
      <c r="M7" s="194" t="s">
        <v>651</v>
      </c>
      <c r="N7" s="195"/>
      <c r="O7" s="195"/>
      <c r="P7" s="195"/>
      <c r="Q7" s="195"/>
      <c r="R7" s="195"/>
      <c r="S7" s="195"/>
      <c r="T7" s="195"/>
    </row>
    <row r="8" spans="1:31" s="212" customFormat="1" ht="19.5" customHeight="1" x14ac:dyDescent="0.25">
      <c r="A8" s="215" t="s">
        <v>122</v>
      </c>
      <c r="B8" s="216"/>
      <c r="C8" s="1816">
        <v>0.2</v>
      </c>
      <c r="D8" s="1816">
        <v>0.2</v>
      </c>
      <c r="E8" s="1818">
        <v>0.2</v>
      </c>
      <c r="F8" s="1816">
        <v>0.2</v>
      </c>
      <c r="G8" s="1819">
        <v>0.2</v>
      </c>
      <c r="J8" s="220"/>
      <c r="K8" s="220"/>
      <c r="L8" s="195"/>
      <c r="M8" s="194"/>
      <c r="N8" s="195"/>
      <c r="O8" s="195"/>
      <c r="P8" s="195"/>
      <c r="Q8" s="195"/>
      <c r="R8" s="195"/>
      <c r="S8" s="195"/>
      <c r="T8" s="195"/>
    </row>
    <row r="9" spans="1:31" s="212" customFormat="1" ht="19.5" customHeight="1" x14ac:dyDescent="0.25">
      <c r="A9" s="221" t="s">
        <v>123</v>
      </c>
      <c r="B9" s="222"/>
      <c r="C9" s="1817">
        <v>0.5</v>
      </c>
      <c r="D9" s="1817">
        <v>0.5</v>
      </c>
      <c r="E9" s="1820">
        <v>0.5</v>
      </c>
      <c r="F9" s="1817">
        <v>0.5</v>
      </c>
      <c r="G9" s="1821">
        <v>0.5</v>
      </c>
      <c r="H9" s="189"/>
      <c r="I9" s="189"/>
      <c r="J9" s="220"/>
      <c r="K9" s="220"/>
      <c r="L9" s="223"/>
      <c r="M9" s="194" t="s">
        <v>422</v>
      </c>
      <c r="N9" s="195"/>
      <c r="O9" s="195"/>
      <c r="P9" s="195"/>
      <c r="Q9" s="195"/>
      <c r="R9" s="195"/>
      <c r="S9" s="195"/>
      <c r="T9" s="195"/>
    </row>
    <row r="10" spans="1:31" s="212" customFormat="1" ht="19.5" customHeight="1" x14ac:dyDescent="0.25">
      <c r="A10" s="221" t="s">
        <v>124</v>
      </c>
      <c r="B10" s="222"/>
      <c r="C10" s="178">
        <f>1-C9</f>
        <v>0.5</v>
      </c>
      <c r="D10" s="178">
        <f>1-D9</f>
        <v>0.5</v>
      </c>
      <c r="E10" s="179">
        <f>1-E9</f>
        <v>0.5</v>
      </c>
      <c r="F10" s="178">
        <f>1-F9</f>
        <v>0.5</v>
      </c>
      <c r="G10" s="180">
        <f>1-G9</f>
        <v>0.5</v>
      </c>
      <c r="H10" s="189"/>
      <c r="I10" s="189"/>
      <c r="J10" s="220"/>
      <c r="K10" s="220"/>
      <c r="L10" s="195"/>
      <c r="M10" s="195"/>
      <c r="N10" s="195"/>
      <c r="O10" s="195"/>
      <c r="P10" s="195"/>
      <c r="Q10" s="195"/>
      <c r="R10" s="195"/>
      <c r="S10" s="195"/>
      <c r="T10" s="195"/>
      <c r="U10" s="222"/>
      <c r="V10" s="225"/>
      <c r="W10" s="225"/>
      <c r="X10" s="225"/>
      <c r="Y10" s="225"/>
      <c r="Z10" s="225"/>
      <c r="AA10" s="225"/>
      <c r="AB10" s="225"/>
      <c r="AC10" s="225"/>
    </row>
    <row r="11" spans="1:31" s="212" customFormat="1" ht="19.5" customHeight="1" thickBot="1" x14ac:dyDescent="0.3">
      <c r="A11" s="226" t="s">
        <v>125</v>
      </c>
      <c r="B11" s="227"/>
      <c r="C11" s="1822">
        <v>5</v>
      </c>
      <c r="D11" s="1822">
        <v>5</v>
      </c>
      <c r="E11" s="1823">
        <v>5</v>
      </c>
      <c r="F11" s="1822">
        <v>5</v>
      </c>
      <c r="G11" s="1824">
        <v>5</v>
      </c>
      <c r="H11" s="189"/>
      <c r="I11" s="189"/>
      <c r="J11" s="220"/>
      <c r="K11" s="220"/>
      <c r="L11" s="228"/>
      <c r="M11" s="194" t="s">
        <v>650</v>
      </c>
      <c r="N11" s="195"/>
      <c r="O11" s="195"/>
      <c r="P11" s="195"/>
      <c r="Q11" s="195"/>
      <c r="R11" s="195"/>
      <c r="S11" s="195"/>
      <c r="T11" s="195"/>
      <c r="U11" s="222"/>
      <c r="V11" s="225"/>
      <c r="W11" s="225"/>
      <c r="X11" s="225"/>
      <c r="Y11" s="225"/>
      <c r="Z11" s="225"/>
      <c r="AA11" s="225"/>
      <c r="AB11" s="225"/>
      <c r="AC11" s="225"/>
    </row>
    <row r="12" spans="1:31" s="212" customFormat="1" ht="22.5" customHeight="1" x14ac:dyDescent="0.25">
      <c r="A12" s="222"/>
      <c r="B12" s="222"/>
      <c r="C12" s="229"/>
      <c r="D12" s="229"/>
      <c r="E12" s="229"/>
      <c r="F12" s="229"/>
      <c r="G12" s="229"/>
      <c r="H12" s="189"/>
      <c r="I12" s="189"/>
      <c r="J12" s="220"/>
      <c r="K12" s="220"/>
      <c r="L12" s="195"/>
      <c r="M12" s="194"/>
      <c r="N12" s="195"/>
      <c r="O12" s="195"/>
      <c r="P12" s="195"/>
      <c r="Q12" s="195"/>
      <c r="R12" s="195"/>
      <c r="S12" s="195"/>
      <c r="T12" s="195"/>
      <c r="U12" s="222"/>
      <c r="V12" s="225"/>
      <c r="W12" s="225"/>
      <c r="X12" s="225"/>
      <c r="Y12" s="225"/>
      <c r="Z12" s="225"/>
      <c r="AA12" s="225"/>
      <c r="AB12" s="225"/>
      <c r="AC12" s="225"/>
    </row>
    <row r="13" spans="1:31" s="212" customFormat="1" ht="19.5" customHeight="1" thickBot="1" x14ac:dyDescent="0.3">
      <c r="A13" s="230" t="s">
        <v>429</v>
      </c>
      <c r="B13" s="222"/>
      <c r="C13" s="231"/>
      <c r="D13" s="231"/>
      <c r="E13" s="231"/>
      <c r="F13" s="231"/>
      <c r="G13" s="231"/>
      <c r="H13" s="189"/>
      <c r="I13" s="189"/>
      <c r="J13" s="220"/>
      <c r="K13" s="220"/>
      <c r="L13" s="232"/>
      <c r="M13" s="194" t="s">
        <v>649</v>
      </c>
      <c r="N13" s="222"/>
      <c r="O13" s="222"/>
      <c r="P13" s="225"/>
      <c r="Q13" s="222"/>
      <c r="R13" s="222"/>
      <c r="S13" s="222"/>
      <c r="T13" s="233"/>
      <c r="U13" s="222"/>
      <c r="V13" s="225"/>
      <c r="W13" s="225"/>
      <c r="X13" s="225"/>
      <c r="Y13" s="225"/>
      <c r="Z13" s="225"/>
      <c r="AA13" s="225"/>
      <c r="AB13" s="225"/>
      <c r="AC13" s="225"/>
    </row>
    <row r="14" spans="1:31" s="212" customFormat="1" ht="19.5" customHeight="1" x14ac:dyDescent="0.2">
      <c r="A14" s="215" t="s">
        <v>417</v>
      </c>
      <c r="B14" s="234"/>
      <c r="C14" s="1825">
        <v>0.04</v>
      </c>
      <c r="D14" s="1825">
        <v>0.04</v>
      </c>
      <c r="E14" s="1825">
        <v>0.04</v>
      </c>
      <c r="F14" s="1825">
        <v>0.04</v>
      </c>
      <c r="G14" s="1826">
        <v>0.04</v>
      </c>
      <c r="H14" s="189"/>
      <c r="I14" s="189"/>
      <c r="L14" s="235"/>
      <c r="M14" s="194"/>
    </row>
    <row r="15" spans="1:31" s="212" customFormat="1" ht="19.5" customHeight="1" thickBot="1" x14ac:dyDescent="0.25">
      <c r="A15" s="236" t="s">
        <v>121</v>
      </c>
      <c r="B15" s="237"/>
      <c r="C15" s="1827">
        <v>1E-3</v>
      </c>
      <c r="D15" s="238"/>
      <c r="E15" s="238"/>
      <c r="F15" s="238"/>
      <c r="G15" s="239"/>
      <c r="H15" s="189"/>
      <c r="I15" s="189"/>
      <c r="J15" s="240"/>
      <c r="K15" s="225"/>
      <c r="L15" s="241"/>
      <c r="M15" s="194" t="s">
        <v>423</v>
      </c>
      <c r="N15" s="225"/>
      <c r="O15" s="225"/>
      <c r="P15" s="225"/>
      <c r="AD15" s="242"/>
    </row>
    <row r="16" spans="1:31" s="212" customFormat="1" ht="19.5" customHeight="1" thickBot="1" x14ac:dyDescent="0.25">
      <c r="A16" s="226" t="s">
        <v>652</v>
      </c>
      <c r="B16" s="227"/>
      <c r="C16" s="1828">
        <v>0.85</v>
      </c>
      <c r="D16" s="243"/>
      <c r="E16" s="243"/>
      <c r="F16" s="243"/>
      <c r="G16" s="244"/>
      <c r="H16" s="189"/>
      <c r="I16" s="189"/>
      <c r="J16" s="240"/>
      <c r="K16" s="225"/>
      <c r="L16" s="235"/>
      <c r="M16" s="194"/>
      <c r="N16" s="225"/>
      <c r="O16" s="225"/>
      <c r="P16" s="225"/>
      <c r="AD16" s="242"/>
    </row>
    <row r="17" spans="1:29" s="212" customFormat="1" ht="19.5" customHeight="1" thickBot="1" x14ac:dyDescent="0.3">
      <c r="A17" s="245" t="s">
        <v>210</v>
      </c>
      <c r="B17" s="246"/>
      <c r="C17" s="1829">
        <v>1</v>
      </c>
      <c r="D17" s="1830">
        <v>1</v>
      </c>
      <c r="E17" s="1831">
        <v>1</v>
      </c>
      <c r="F17" s="1832">
        <v>1</v>
      </c>
      <c r="G17" s="1833">
        <v>1</v>
      </c>
      <c r="J17" s="220"/>
      <c r="K17" s="220"/>
      <c r="L17" s="222"/>
      <c r="M17" s="222"/>
      <c r="N17" s="222"/>
      <c r="O17" s="222"/>
      <c r="P17" s="57"/>
      <c r="Q17" s="222"/>
    </row>
    <row r="18" spans="1:29" s="212" customFormat="1" ht="22.5" customHeight="1" x14ac:dyDescent="0.25">
      <c r="A18" s="222"/>
      <c r="B18" s="222"/>
      <c r="C18" s="229"/>
      <c r="D18" s="229"/>
      <c r="E18" s="229"/>
      <c r="F18" s="229"/>
      <c r="G18" s="229"/>
      <c r="H18" s="189"/>
      <c r="I18" s="189"/>
      <c r="J18" s="220"/>
      <c r="K18" s="220"/>
      <c r="L18" s="222"/>
      <c r="M18" s="222"/>
      <c r="N18" s="222"/>
      <c r="O18" s="222"/>
      <c r="P18" s="225"/>
      <c r="Q18" s="222"/>
      <c r="R18" s="222"/>
      <c r="S18" s="222"/>
      <c r="T18" s="233"/>
      <c r="U18" s="222"/>
      <c r="V18" s="225"/>
      <c r="W18" s="225"/>
      <c r="X18" s="225"/>
      <c r="Y18" s="225"/>
      <c r="Z18" s="225"/>
      <c r="AA18" s="225"/>
      <c r="AB18" s="225"/>
      <c r="AC18" s="225"/>
    </row>
    <row r="19" spans="1:29" s="212" customFormat="1" ht="19.5" customHeight="1" thickBot="1" x14ac:dyDescent="0.3">
      <c r="A19" s="247" t="s">
        <v>419</v>
      </c>
      <c r="B19" s="222"/>
      <c r="C19" s="231"/>
      <c r="D19" s="231"/>
      <c r="E19" s="231"/>
      <c r="F19" s="231"/>
      <c r="G19" s="231"/>
      <c r="H19" s="189"/>
      <c r="I19" s="189"/>
      <c r="J19" s="220"/>
      <c r="K19" s="220"/>
      <c r="L19" s="222"/>
      <c r="M19" s="222"/>
      <c r="N19" s="222"/>
      <c r="O19" s="222"/>
      <c r="P19" s="225"/>
      <c r="Q19" s="222"/>
      <c r="R19" s="222"/>
      <c r="S19" s="222"/>
      <c r="T19" s="233"/>
      <c r="U19" s="222"/>
      <c r="V19" s="225"/>
      <c r="W19" s="225"/>
      <c r="X19" s="225"/>
      <c r="Y19" s="225"/>
      <c r="Z19" s="225"/>
      <c r="AA19" s="225"/>
      <c r="AB19" s="225"/>
      <c r="AC19" s="225"/>
    </row>
    <row r="20" spans="1:29" s="212" customFormat="1" ht="19.5" customHeight="1" x14ac:dyDescent="0.25">
      <c r="A20" s="248"/>
      <c r="B20" s="249"/>
      <c r="C20" s="250" t="s">
        <v>20</v>
      </c>
      <c r="D20" s="251"/>
      <c r="E20" s="251"/>
      <c r="F20" s="251"/>
      <c r="G20" s="252"/>
      <c r="H20" s="221"/>
      <c r="I20" s="222"/>
      <c r="J20" s="220"/>
      <c r="K20" s="220"/>
      <c r="L20" s="222"/>
      <c r="M20" s="222"/>
      <c r="N20" s="222"/>
      <c r="O20" s="222"/>
      <c r="P20" s="225"/>
      <c r="Q20" s="222"/>
      <c r="R20" s="222"/>
      <c r="S20" s="222"/>
      <c r="T20" s="233"/>
      <c r="U20" s="222"/>
      <c r="V20" s="225"/>
      <c r="W20" s="225"/>
      <c r="X20" s="225"/>
      <c r="Y20" s="225"/>
      <c r="Z20" s="225"/>
      <c r="AA20" s="225"/>
      <c r="AB20" s="225"/>
      <c r="AC20" s="225"/>
    </row>
    <row r="21" spans="1:29" s="212" customFormat="1" ht="19.5" customHeight="1" x14ac:dyDescent="0.25">
      <c r="A21" s="221"/>
      <c r="B21" s="253" t="s">
        <v>266</v>
      </c>
      <c r="C21" s="254">
        <f>VLOOKUP($C$4,'TVT''s afscherming'!$A$10:$J$23,2)</f>
        <v>37</v>
      </c>
      <c r="D21" s="255">
        <f>VLOOKUP($D$4,'TVT''s afscherming'!$A$10:$J$23,2)</f>
        <v>41</v>
      </c>
      <c r="E21" s="255">
        <f>VLOOKUP($E$4,'TVT''s afscherming'!$A$10:$J$23,2)</f>
        <v>45</v>
      </c>
      <c r="F21" s="255">
        <f>VLOOKUP($F$4,'TVT''s afscherming'!$A$10:$J$23,2)</f>
        <v>30</v>
      </c>
      <c r="G21" s="256">
        <f>VLOOKUP($G$4,'TVT''s afscherming'!$A$10:$J$23,2)</f>
        <v>36</v>
      </c>
      <c r="H21" s="221"/>
      <c r="I21" s="225"/>
      <c r="J21" s="220"/>
      <c r="K21" s="220"/>
      <c r="L21" s="222"/>
      <c r="M21" s="222"/>
      <c r="N21" s="222"/>
      <c r="O21" s="222"/>
      <c r="P21" s="225"/>
      <c r="Q21" s="222"/>
      <c r="R21" s="222"/>
      <c r="S21" s="222"/>
      <c r="T21" s="233"/>
      <c r="U21" s="222"/>
      <c r="V21" s="225"/>
      <c r="W21" s="225"/>
      <c r="X21" s="225"/>
      <c r="Y21" s="225"/>
      <c r="Z21" s="225"/>
      <c r="AA21" s="225"/>
      <c r="AB21" s="225"/>
      <c r="AC21" s="225"/>
    </row>
    <row r="22" spans="1:29" s="262" customFormat="1" ht="19.5" customHeight="1" x14ac:dyDescent="0.25">
      <c r="A22" s="257"/>
      <c r="B22" s="222" t="s">
        <v>267</v>
      </c>
      <c r="C22" s="258">
        <f>VLOOKUP($C$4,'TVT''s afscherming'!$A$10:$J$23,3)</f>
        <v>33</v>
      </c>
      <c r="D22" s="258">
        <f>VLOOKUP($D$4,'TVT''s afscherming'!$A$10:$J$23,3)</f>
        <v>37</v>
      </c>
      <c r="E22" s="258">
        <f>VLOOKUP($E$4,'TVT''s afscherming'!$A$10:$J$23,3)</f>
        <v>43</v>
      </c>
      <c r="F22" s="258">
        <f>VLOOKUP($F$4,'TVT''s afscherming'!$A$10:$J$23,3)</f>
        <v>27</v>
      </c>
      <c r="G22" s="259">
        <f>VLOOKUP($G$4,'TVT''s afscherming'!$A$10:$J$23,3)</f>
        <v>36</v>
      </c>
      <c r="H22" s="260"/>
      <c r="I22" s="261"/>
      <c r="J22" s="220"/>
      <c r="K22" s="220"/>
      <c r="L22" s="222"/>
      <c r="M22" s="222"/>
      <c r="N22" s="222"/>
      <c r="O22" s="222"/>
      <c r="P22" s="261"/>
      <c r="Q22" s="222"/>
      <c r="R22" s="222"/>
      <c r="S22" s="222"/>
      <c r="U22" s="222"/>
      <c r="V22" s="222"/>
      <c r="W22" s="222"/>
      <c r="X22" s="261"/>
      <c r="Y22" s="261"/>
      <c r="Z22" s="225"/>
      <c r="AA22" s="225"/>
      <c r="AB22" s="225"/>
      <c r="AC22" s="225"/>
    </row>
    <row r="23" spans="1:29" s="262" customFormat="1" ht="19.5" customHeight="1" x14ac:dyDescent="0.25">
      <c r="A23" s="221"/>
      <c r="B23" s="211" t="s">
        <v>61</v>
      </c>
      <c r="C23" s="263">
        <f>VLOOKUP($C$4,'TVT''s afscherming'!$A$10:$J$23,4)</f>
        <v>24.2</v>
      </c>
      <c r="D23" s="258">
        <f>VLOOKUP($D$4,'TVT''s afscherming'!$A$10:$J$23,4)</f>
        <v>27</v>
      </c>
      <c r="E23" s="258">
        <f>VLOOKUP($E$4,'TVT''s afscherming'!$A$10:$J$23,4)</f>
        <v>27</v>
      </c>
      <c r="F23" s="258">
        <f>VLOOKUP($F$4,'TVT''s afscherming'!$A$10:$J$23,4)</f>
        <v>19.7</v>
      </c>
      <c r="G23" s="259">
        <f>VLOOKUP($G$4,'TVT''s afscherming'!$A$10:$J$23,4)</f>
        <v>23.6</v>
      </c>
      <c r="H23" s="264"/>
      <c r="I23" s="261"/>
      <c r="J23" s="220"/>
      <c r="K23" s="220"/>
      <c r="L23" s="222"/>
      <c r="M23" s="222"/>
      <c r="N23" s="222"/>
      <c r="O23" s="222"/>
      <c r="P23" s="261"/>
      <c r="Q23" s="222"/>
      <c r="R23" s="222"/>
      <c r="S23" s="222"/>
      <c r="U23" s="222"/>
      <c r="V23" s="222"/>
      <c r="W23" s="222"/>
      <c r="X23" s="261"/>
      <c r="Y23" s="261"/>
      <c r="Z23" s="261"/>
      <c r="AA23" s="225"/>
      <c r="AB23" s="225"/>
      <c r="AC23" s="225"/>
    </row>
    <row r="24" spans="1:29" s="212" customFormat="1" ht="19.5" customHeight="1" x14ac:dyDescent="0.25">
      <c r="A24" s="221"/>
      <c r="B24" s="211" t="s">
        <v>3</v>
      </c>
      <c r="C24" s="263">
        <f>VLOOKUP($C$4,'TVT''s afscherming'!$A$10:$J$23,5)</f>
        <v>9.9</v>
      </c>
      <c r="D24" s="258">
        <f>VLOOKUP($D$4,'TVT''s afscherming'!$A$10:$J$23,5)</f>
        <v>10</v>
      </c>
      <c r="E24" s="258">
        <f>VLOOKUP($E$4,'TVT''s afscherming'!$A$10:$J$23,5)</f>
        <v>11</v>
      </c>
      <c r="F24" s="258">
        <f>VLOOKUP($F$4,'TVT''s afscherming'!$A$10:$J$23,5)</f>
        <v>10.199999999999999</v>
      </c>
      <c r="G24" s="259">
        <f>VLOOKUP($G$4,'TVT''s afscherming'!$A$10:$J$23,5)</f>
        <v>10.199999999999999</v>
      </c>
      <c r="H24" s="257"/>
      <c r="I24" s="225"/>
      <c r="J24" s="220"/>
      <c r="K24" s="220"/>
      <c r="L24" s="222"/>
      <c r="M24" s="222"/>
      <c r="N24" s="222"/>
      <c r="O24" s="261"/>
      <c r="P24" s="225"/>
      <c r="Q24" s="262"/>
      <c r="R24" s="262"/>
      <c r="S24" s="262"/>
      <c r="T24" s="233"/>
      <c r="U24" s="222"/>
      <c r="V24" s="265"/>
      <c r="W24" s="266"/>
      <c r="X24" s="225"/>
      <c r="Y24" s="225"/>
      <c r="Z24" s="261"/>
      <c r="AA24" s="225"/>
      <c r="AB24" s="225"/>
      <c r="AC24" s="225"/>
    </row>
    <row r="25" spans="1:29" s="212" customFormat="1" ht="19.5" customHeight="1" x14ac:dyDescent="0.25">
      <c r="A25" s="221"/>
      <c r="B25" s="211" t="s">
        <v>22</v>
      </c>
      <c r="C25" s="263">
        <f>VLOOKUP($C$4,'TVT''s afscherming'!$A$10:$J$23,6)</f>
        <v>5.7</v>
      </c>
      <c r="D25" s="258">
        <f>VLOOKUP($D$4,'TVT''s afscherming'!$A$10:$J$23,6)</f>
        <v>5.7</v>
      </c>
      <c r="E25" s="258">
        <f>VLOOKUP($E$4,'TVT''s afscherming'!$A$10:$J$23,6)</f>
        <v>5.6</v>
      </c>
      <c r="F25" s="258">
        <f>VLOOKUP($F$4,'TVT''s afscherming'!$A$10:$J$23,6)</f>
        <v>5.7</v>
      </c>
      <c r="G25" s="259">
        <f>VLOOKUP($G$4,'TVT''s afscherming'!$A$10:$J$23,6)</f>
        <v>5.7</v>
      </c>
      <c r="H25" s="257"/>
      <c r="I25" s="225"/>
      <c r="J25" s="267"/>
      <c r="K25" s="267"/>
      <c r="L25" s="222"/>
      <c r="M25" s="222"/>
      <c r="N25" s="222"/>
      <c r="O25" s="261"/>
      <c r="P25" s="225"/>
      <c r="Q25" s="262"/>
      <c r="R25" s="262"/>
      <c r="S25" s="262"/>
      <c r="U25" s="222"/>
      <c r="V25" s="222"/>
      <c r="W25" s="222"/>
      <c r="X25" s="225"/>
      <c r="Y25" s="225"/>
      <c r="Z25" s="225"/>
      <c r="AA25" s="225"/>
      <c r="AB25" s="225"/>
      <c r="AC25" s="225"/>
    </row>
    <row r="26" spans="1:29" s="212" customFormat="1" ht="19.5" customHeight="1" x14ac:dyDescent="0.25">
      <c r="A26" s="257"/>
      <c r="B26" s="268"/>
      <c r="C26" s="269" t="s">
        <v>139</v>
      </c>
      <c r="D26" s="270"/>
      <c r="E26" s="270"/>
      <c r="F26" s="270"/>
      <c r="G26" s="271"/>
      <c r="H26" s="257"/>
      <c r="I26" s="225"/>
      <c r="J26" s="240"/>
      <c r="K26" s="225"/>
      <c r="L26" s="225"/>
      <c r="M26" s="225"/>
      <c r="N26" s="225"/>
      <c r="O26" s="225"/>
      <c r="P26" s="225"/>
      <c r="Q26" s="225"/>
      <c r="S26" s="222"/>
      <c r="U26" s="222"/>
      <c r="V26" s="222"/>
      <c r="W26" s="222"/>
      <c r="X26" s="225"/>
      <c r="Y26" s="225"/>
      <c r="Z26" s="225"/>
      <c r="AA26" s="225"/>
      <c r="AB26" s="225"/>
      <c r="AC26" s="225"/>
    </row>
    <row r="27" spans="1:29" s="212" customFormat="1" ht="19.5" customHeight="1" x14ac:dyDescent="0.25">
      <c r="A27" s="257"/>
      <c r="B27" s="253" t="s">
        <v>2</v>
      </c>
      <c r="C27" s="254">
        <f>VLOOKUP($C$4,'TVT''s afscherming'!$A$10:$J$23,7)</f>
        <v>34</v>
      </c>
      <c r="D27" s="254">
        <f>VLOOKUP($D$4,'TVT''s afscherming'!$A$10:$J$23,7)</f>
        <v>38</v>
      </c>
      <c r="E27" s="255">
        <f>VLOOKUP($E$4,'TVT''s afscherming'!$A$10:$J$23,7)</f>
        <v>44</v>
      </c>
      <c r="F27" s="254">
        <f>VLOOKUP($F$4,'TVT''s afscherming'!$A$10:$J$23,7)</f>
        <v>30.5</v>
      </c>
      <c r="G27" s="256">
        <f>VLOOKUP($G$4,'TVT''s afscherming'!$A$10:$J$23,7)</f>
        <v>35.6</v>
      </c>
      <c r="H27" s="257"/>
      <c r="I27" s="225"/>
      <c r="J27" s="272"/>
      <c r="K27" s="272"/>
      <c r="L27" s="222"/>
      <c r="M27" s="222"/>
      <c r="N27" s="222"/>
      <c r="O27" s="222"/>
      <c r="P27" s="225"/>
      <c r="Q27" s="222"/>
      <c r="U27" s="222"/>
      <c r="V27" s="225"/>
      <c r="W27" s="225"/>
      <c r="X27" s="225"/>
      <c r="Y27" s="225"/>
      <c r="Z27" s="225"/>
      <c r="AA27" s="261"/>
      <c r="AB27" s="261"/>
      <c r="AC27" s="261"/>
    </row>
    <row r="28" spans="1:29" s="212" customFormat="1" ht="19.5" customHeight="1" x14ac:dyDescent="0.25">
      <c r="A28" s="257"/>
      <c r="B28" s="211" t="s">
        <v>61</v>
      </c>
      <c r="C28" s="263">
        <f>VLOOKUP($C$4,'TVT''s afscherming'!$A$10:$J$23,8)</f>
        <v>20</v>
      </c>
      <c r="D28" s="263">
        <f>VLOOKUP($D$4,'TVT''s afscherming'!$A$10:$J$23,8)</f>
        <v>24</v>
      </c>
      <c r="E28" s="258">
        <f>VLOOKUP($E$4,'TVT''s afscherming'!$A$10:$J$23,8)</f>
        <v>26.8</v>
      </c>
      <c r="F28" s="263">
        <f>VLOOKUP($F$4,'TVT''s afscherming'!$A$10:$J$23,8)</f>
        <v>20.3</v>
      </c>
      <c r="G28" s="259">
        <f>VLOOKUP($G$4,'TVT''s afscherming'!$A$10:$J$23,8)</f>
        <v>23.7</v>
      </c>
      <c r="J28" s="272"/>
      <c r="K28" s="272"/>
      <c r="L28" s="222"/>
      <c r="M28" s="222"/>
      <c r="N28" s="222"/>
      <c r="O28" s="222"/>
      <c r="P28" s="225"/>
      <c r="Q28" s="222"/>
      <c r="U28" s="222"/>
      <c r="V28" s="222"/>
      <c r="W28" s="222"/>
      <c r="X28" s="222"/>
    </row>
    <row r="29" spans="1:29" s="212" customFormat="1" ht="19.5" customHeight="1" x14ac:dyDescent="0.25">
      <c r="A29" s="257"/>
      <c r="B29" s="211" t="s">
        <v>3</v>
      </c>
      <c r="C29" s="263">
        <f>VLOOKUP($C$4,'TVT''s afscherming'!$A$10:$J$23,9)</f>
        <v>9.9</v>
      </c>
      <c r="D29" s="263">
        <f>VLOOKUP($D$4,'TVT''s afscherming'!$A$10:$J$23,9)</f>
        <v>10</v>
      </c>
      <c r="E29" s="258">
        <f>VLOOKUP($E$4,'TVT''s afscherming'!$A$10:$J$23,9)</f>
        <v>11</v>
      </c>
      <c r="F29" s="263">
        <f>VLOOKUP($F$4,'TVT''s afscherming'!$A$10:$J$23,9)</f>
        <v>10.199999999999999</v>
      </c>
      <c r="G29" s="259">
        <f>VLOOKUP($G$4,'TVT''s afscherming'!$A$10:$J$23,9)</f>
        <v>10.7</v>
      </c>
      <c r="I29" s="211"/>
      <c r="J29" s="272"/>
      <c r="K29" s="272"/>
      <c r="L29" s="222"/>
      <c r="M29" s="222"/>
      <c r="N29" s="222"/>
      <c r="O29" s="222"/>
      <c r="P29" s="225"/>
      <c r="Q29" s="222"/>
      <c r="U29" s="222"/>
      <c r="V29" s="222"/>
      <c r="W29" s="222"/>
      <c r="X29" s="222"/>
    </row>
    <row r="30" spans="1:29" s="212" customFormat="1" ht="19.5" customHeight="1" thickBot="1" x14ac:dyDescent="0.3">
      <c r="A30" s="273"/>
      <c r="B30" s="274" t="s">
        <v>22</v>
      </c>
      <c r="C30" s="275">
        <f>VLOOKUP($C$4,'TVT''s afscherming'!$A$10:$J$23,10)</f>
        <v>5.7</v>
      </c>
      <c r="D30" s="275">
        <f>VLOOKUP($D$4,'TVT''s afscherming'!$A$10:$J$23,10)</f>
        <v>5.7</v>
      </c>
      <c r="E30" s="276">
        <f>VLOOKUP($E$4,'TVT''s afscherming'!$A$10:$J$23,10)</f>
        <v>5.6</v>
      </c>
      <c r="F30" s="275">
        <f>VLOOKUP($F$4,'TVT''s afscherming'!$A$10:$J$23,10)</f>
        <v>5</v>
      </c>
      <c r="G30" s="277">
        <f>VLOOKUP($G$4,'TVT''s afscherming'!$A$10:$J$23,10)</f>
        <v>5.7</v>
      </c>
      <c r="J30" s="272"/>
      <c r="K30" s="272"/>
      <c r="L30" s="222"/>
      <c r="M30" s="222"/>
      <c r="N30" s="222"/>
      <c r="O30" s="222"/>
      <c r="P30" s="225"/>
      <c r="Q30" s="222"/>
      <c r="T30" s="222"/>
      <c r="U30" s="242"/>
      <c r="V30" s="222"/>
      <c r="W30" s="222"/>
      <c r="X30" s="222"/>
      <c r="Y30" s="222"/>
    </row>
    <row r="31" spans="1:29" s="212" customFormat="1" ht="19.5" customHeight="1" x14ac:dyDescent="0.25">
      <c r="A31" s="222"/>
      <c r="J31" s="272"/>
      <c r="K31" s="272"/>
      <c r="L31" s="222"/>
      <c r="M31" s="222"/>
      <c r="N31" s="222"/>
      <c r="O31" s="222"/>
      <c r="P31" s="225"/>
      <c r="Q31" s="222"/>
      <c r="T31" s="222"/>
      <c r="U31" s="242"/>
      <c r="V31" s="222"/>
      <c r="W31" s="222"/>
      <c r="X31" s="222"/>
      <c r="Y31" s="222"/>
    </row>
    <row r="32" spans="1:29" s="212" customFormat="1" ht="22.5" customHeight="1" x14ac:dyDescent="0.25">
      <c r="T32" s="222"/>
      <c r="U32" s="233"/>
      <c r="V32" s="233"/>
      <c r="W32" s="222"/>
      <c r="X32" s="222"/>
      <c r="Y32" s="222"/>
    </row>
    <row r="33" spans="1:52" s="212" customFormat="1" ht="22.5" customHeight="1" x14ac:dyDescent="0.25">
      <c r="I33" s="189"/>
      <c r="T33" s="222"/>
      <c r="U33" s="233"/>
      <c r="V33" s="233"/>
      <c r="W33" s="222"/>
      <c r="X33" s="222"/>
      <c r="Y33" s="222"/>
    </row>
    <row r="34" spans="1:52" ht="19.5" customHeight="1" thickBot="1" x14ac:dyDescent="0.3">
      <c r="A34" s="283" t="s">
        <v>506</v>
      </c>
      <c r="B34" s="284"/>
      <c r="C34" s="284"/>
      <c r="D34" s="280"/>
      <c r="L34" s="289"/>
      <c r="M34" s="290"/>
      <c r="N34" s="290"/>
      <c r="O34" s="290"/>
      <c r="P34" s="290"/>
      <c r="Q34" s="290"/>
      <c r="R34" s="290"/>
      <c r="S34" s="290"/>
      <c r="T34" s="290"/>
      <c r="U34" s="290"/>
      <c r="V34" s="290"/>
      <c r="W34" s="290"/>
      <c r="X34" s="290"/>
      <c r="AB34" s="189"/>
      <c r="AF34" s="281"/>
      <c r="AG34" s="281"/>
      <c r="AH34" s="282"/>
      <c r="AI34" s="282"/>
    </row>
    <row r="35" spans="1:52" s="212" customFormat="1" ht="19.5" customHeight="1" x14ac:dyDescent="0.25">
      <c r="J35" s="653"/>
      <c r="K35" s="292">
        <f>$C$4</f>
        <v>6</v>
      </c>
      <c r="L35" s="293"/>
      <c r="M35" s="294"/>
      <c r="N35" s="292">
        <f>$D$4</f>
        <v>10</v>
      </c>
      <c r="O35" s="293"/>
      <c r="P35" s="294"/>
      <c r="Q35" s="292">
        <f>$E$4</f>
        <v>18</v>
      </c>
      <c r="R35" s="293"/>
      <c r="S35" s="294"/>
      <c r="T35" s="292" t="str">
        <f>$F$4</f>
        <v>6 FFF</v>
      </c>
      <c r="U35" s="293"/>
      <c r="V35" s="294"/>
      <c r="W35" s="292" t="str">
        <f>$G$4</f>
        <v>10 FFF</v>
      </c>
      <c r="X35" s="295"/>
      <c r="Y35" s="296"/>
      <c r="Z35" s="297" t="s">
        <v>16</v>
      </c>
      <c r="AA35" s="298"/>
      <c r="AB35" s="257"/>
      <c r="AC35" s="225"/>
      <c r="AG35" s="299"/>
      <c r="AH35" s="299"/>
      <c r="AI35" s="299"/>
      <c r="AJ35" s="299"/>
      <c r="AK35" s="299"/>
      <c r="AL35" s="299"/>
      <c r="AP35" s="222"/>
      <c r="AQ35" s="211"/>
      <c r="AR35" s="266"/>
      <c r="AS35" s="222"/>
      <c r="AT35" s="187"/>
      <c r="AU35" s="187"/>
      <c r="AV35" s="187"/>
      <c r="AW35" s="187"/>
      <c r="AX35" s="187"/>
      <c r="AY35" s="300"/>
      <c r="AZ35" s="300"/>
    </row>
    <row r="36" spans="1:52" s="212" customFormat="1" ht="19.5" customHeight="1" x14ac:dyDescent="0.25">
      <c r="A36" s="301" t="s">
        <v>50</v>
      </c>
      <c r="B36" s="301" t="s">
        <v>15</v>
      </c>
      <c r="C36" s="302" t="s">
        <v>25</v>
      </c>
      <c r="D36" s="302" t="s">
        <v>158</v>
      </c>
      <c r="E36" s="301" t="s">
        <v>524</v>
      </c>
      <c r="F36" s="303"/>
      <c r="G36" s="304" t="s">
        <v>77</v>
      </c>
      <c r="H36" s="305"/>
      <c r="I36" s="306"/>
      <c r="J36" s="301" t="s">
        <v>86</v>
      </c>
      <c r="K36" s="301" t="s">
        <v>206</v>
      </c>
      <c r="L36" s="301" t="s">
        <v>16</v>
      </c>
      <c r="M36" s="301" t="s">
        <v>86</v>
      </c>
      <c r="N36" s="301" t="s">
        <v>206</v>
      </c>
      <c r="O36" s="301" t="s">
        <v>16</v>
      </c>
      <c r="P36" s="301" t="s">
        <v>86</v>
      </c>
      <c r="Q36" s="301" t="s">
        <v>206</v>
      </c>
      <c r="R36" s="301" t="s">
        <v>16</v>
      </c>
      <c r="S36" s="301" t="s">
        <v>86</v>
      </c>
      <c r="T36" s="301" t="s">
        <v>206</v>
      </c>
      <c r="U36" s="301" t="s">
        <v>16</v>
      </c>
      <c r="V36" s="301" t="s">
        <v>86</v>
      </c>
      <c r="W36" s="301" t="s">
        <v>206</v>
      </c>
      <c r="X36" s="301" t="s">
        <v>16</v>
      </c>
      <c r="Y36" s="307" t="s">
        <v>23</v>
      </c>
      <c r="Z36" s="308" t="s">
        <v>11</v>
      </c>
      <c r="AA36" s="309" t="s">
        <v>11</v>
      </c>
      <c r="AG36" s="310"/>
      <c r="AH36" s="310"/>
      <c r="AI36" s="310"/>
      <c r="AJ36" s="310"/>
      <c r="AK36" s="310"/>
      <c r="AL36" s="310"/>
      <c r="AP36" s="222"/>
      <c r="AQ36" s="211"/>
      <c r="AR36" s="242"/>
      <c r="AS36" s="222"/>
      <c r="AT36" s="225"/>
      <c r="AU36" s="225"/>
      <c r="AV36" s="311"/>
      <c r="AW36" s="225"/>
      <c r="AX36" s="225"/>
      <c r="AY36" s="300"/>
      <c r="AZ36" s="300"/>
    </row>
    <row r="37" spans="1:52" s="212" customFormat="1" ht="19.5" customHeight="1" thickBot="1" x14ac:dyDescent="0.3">
      <c r="A37" s="308"/>
      <c r="B37" s="308"/>
      <c r="C37" s="313"/>
      <c r="D37" s="313" t="s">
        <v>383</v>
      </c>
      <c r="E37" s="312" t="s">
        <v>528</v>
      </c>
      <c r="F37" s="312" t="s">
        <v>1</v>
      </c>
      <c r="G37" s="312" t="s">
        <v>61</v>
      </c>
      <c r="H37" s="312" t="s">
        <v>3</v>
      </c>
      <c r="I37" s="312" t="s">
        <v>22</v>
      </c>
      <c r="J37" s="314" t="s">
        <v>208</v>
      </c>
      <c r="K37" s="314" t="s">
        <v>207</v>
      </c>
      <c r="L37" s="315" t="s">
        <v>174</v>
      </c>
      <c r="M37" s="314" t="s">
        <v>208</v>
      </c>
      <c r="N37" s="314" t="s">
        <v>207</v>
      </c>
      <c r="O37" s="315" t="s">
        <v>174</v>
      </c>
      <c r="P37" s="314" t="s">
        <v>208</v>
      </c>
      <c r="Q37" s="314" t="s">
        <v>207</v>
      </c>
      <c r="R37" s="315" t="s">
        <v>174</v>
      </c>
      <c r="S37" s="314" t="s">
        <v>208</v>
      </c>
      <c r="T37" s="314" t="s">
        <v>207</v>
      </c>
      <c r="U37" s="315" t="s">
        <v>174</v>
      </c>
      <c r="V37" s="314" t="s">
        <v>208</v>
      </c>
      <c r="W37" s="314" t="s">
        <v>207</v>
      </c>
      <c r="X37" s="315" t="s">
        <v>174</v>
      </c>
      <c r="Y37" s="316" t="s">
        <v>173</v>
      </c>
      <c r="Z37" s="179" t="s">
        <v>173</v>
      </c>
      <c r="AA37" s="309" t="s">
        <v>166</v>
      </c>
      <c r="AG37" s="310"/>
      <c r="AH37" s="310"/>
      <c r="AI37" s="310"/>
      <c r="AJ37" s="310"/>
      <c r="AK37" s="310"/>
      <c r="AL37" s="310"/>
      <c r="AP37" s="222"/>
      <c r="AQ37" s="211"/>
      <c r="AR37" s="222"/>
      <c r="AS37" s="222"/>
      <c r="AT37" s="225"/>
      <c r="AU37" s="225"/>
      <c r="AV37" s="225"/>
      <c r="AW37" s="225"/>
      <c r="AX37" s="225"/>
      <c r="AY37" s="300"/>
      <c r="AZ37" s="300"/>
    </row>
    <row r="38" spans="1:52" s="212" customFormat="1" ht="19.5" hidden="1" customHeight="1" thickBot="1" x14ac:dyDescent="0.3">
      <c r="A38" s="694"/>
      <c r="B38" s="694"/>
      <c r="C38" s="695"/>
      <c r="D38" s="695"/>
      <c r="E38" s="694"/>
      <c r="F38" s="694"/>
      <c r="G38" s="694"/>
      <c r="H38" s="694"/>
      <c r="I38" s="694"/>
      <c r="J38" s="97"/>
      <c r="K38" s="97"/>
      <c r="L38" s="58"/>
      <c r="M38" s="97"/>
      <c r="N38" s="97"/>
      <c r="O38" s="58"/>
      <c r="P38" s="97"/>
      <c r="Q38" s="97"/>
      <c r="R38" s="58"/>
      <c r="S38" s="97"/>
      <c r="T38" s="97"/>
      <c r="U38" s="58"/>
      <c r="V38" s="97"/>
      <c r="W38" s="97"/>
      <c r="X38" s="90"/>
      <c r="Y38" s="319"/>
      <c r="Z38" s="320"/>
      <c r="AA38" s="321"/>
      <c r="AG38" s="310"/>
      <c r="AH38" s="310"/>
      <c r="AI38" s="310"/>
      <c r="AJ38" s="310"/>
      <c r="AK38" s="310"/>
      <c r="AL38" s="310"/>
      <c r="AP38" s="222"/>
      <c r="AQ38" s="211"/>
      <c r="AR38" s="222"/>
      <c r="AS38" s="222"/>
      <c r="AT38" s="225"/>
      <c r="AU38" s="225"/>
      <c r="AV38" s="225"/>
      <c r="AW38" s="225"/>
      <c r="AX38" s="225"/>
      <c r="AY38" s="300"/>
      <c r="AZ38" s="300"/>
    </row>
    <row r="39" spans="1:52" s="212" customFormat="1" ht="30" customHeight="1" x14ac:dyDescent="0.25">
      <c r="A39" s="322"/>
      <c r="B39" s="322"/>
      <c r="C39" s="323" t="s">
        <v>569</v>
      </c>
      <c r="D39" s="1834">
        <v>6</v>
      </c>
      <c r="E39" s="1834">
        <v>1</v>
      </c>
      <c r="F39" s="1834">
        <v>250</v>
      </c>
      <c r="G39" s="1834">
        <v>0</v>
      </c>
      <c r="H39" s="1834">
        <v>0</v>
      </c>
      <c r="I39" s="1835">
        <v>0</v>
      </c>
      <c r="J39" s="91">
        <f>IF($F39=0,0,1+($F39-$C$21)/$C$22)+$G39/$C$23+$H39/$C$24+$I39/$C$25</f>
        <v>7.4545454545454541</v>
      </c>
      <c r="K39" s="97">
        <f t="shared" ref="K39:K94" si="0">10^(-J39)</f>
        <v>3.5111917342151263E-8</v>
      </c>
      <c r="L39" s="91">
        <f>($C$7*$C$14*$C$8*$E39/$D39^2*K39*10^6)</f>
        <v>7.8026482982558355E-3</v>
      </c>
      <c r="M39" s="91">
        <f>IF($F39=0,0,1+($F39-$D$21)/$D$22)+$G39/$D$23+$H39/$D$24+$I39/$D$25</f>
        <v>6.6486486486486482</v>
      </c>
      <c r="N39" s="97">
        <f t="shared" ref="N39:N94" si="1">10^(-M39)</f>
        <v>2.2456979955397711E-7</v>
      </c>
      <c r="O39" s="91">
        <f>($C$7*$D$14*$D$8*$E39/$D39^2*N39*10^6)</f>
        <v>4.99043999008838E-2</v>
      </c>
      <c r="P39" s="91">
        <f>IF($F39=0,0,1+($F39-$E$21)/$E$22)+$G39/$E$23+$H39/$E$24+$I39/$E$25</f>
        <v>5.7674418604651159</v>
      </c>
      <c r="Q39" s="97">
        <f t="shared" ref="Q39:Q94" si="2">10^(-P39)</f>
        <v>1.7082763938087111E-6</v>
      </c>
      <c r="R39" s="91">
        <f>($C$7*$E$14*$E$8*$E39/$D39^2*Q39*10^6)</f>
        <v>0.37961697640193576</v>
      </c>
      <c r="S39" s="91">
        <f>IF($F39=0,0,1+($F39-$F$21)/$F$22)+$G39/$F$23+$H39/$F$24+$I39/$F$25</f>
        <v>9.1481481481481488</v>
      </c>
      <c r="T39" s="97">
        <f t="shared" ref="T39:T94" si="3">10^(-S39)</f>
        <v>7.1097094323124171E-10</v>
      </c>
      <c r="U39" s="91">
        <f>($C$7*$F$14*$F$8*$E39/$D39^2*T39*10^6)</f>
        <v>1.5799354294027593E-4</v>
      </c>
      <c r="V39" s="91">
        <f>IF($F39=0,0,1+($F39-$G$21)/$G$22)+$G39/$G$23+$H39/$G$24+$I39/$G$25</f>
        <v>6.9444444444444446</v>
      </c>
      <c r="W39" s="97">
        <f t="shared" ref="W39:W94" si="4">10^(-V39)</f>
        <v>1.136463666385722E-7</v>
      </c>
      <c r="X39" s="76">
        <f>($C$7*$G$14*$G$8*$E39/$D39^2*W39*10^6)</f>
        <v>2.5254748141904933E-2</v>
      </c>
      <c r="Y39" s="654">
        <f t="shared" ref="Y39:Y49" si="5">SUM(L39,O39,R39,U39,X39)</f>
        <v>0.46273676628592059</v>
      </c>
      <c r="Z39" s="325"/>
      <c r="AA39" s="326"/>
      <c r="AG39" s="328"/>
      <c r="AI39" s="328"/>
      <c r="AJ39" s="328"/>
      <c r="AK39" s="328"/>
      <c r="AL39" s="328"/>
      <c r="AP39" s="222"/>
      <c r="AQ39" s="211"/>
      <c r="AR39" s="222"/>
      <c r="AS39" s="222"/>
      <c r="AT39" s="225"/>
      <c r="AU39" s="225"/>
      <c r="AV39" s="225"/>
      <c r="AW39" s="225"/>
      <c r="AX39" s="225"/>
      <c r="AY39" s="300"/>
      <c r="AZ39" s="300"/>
    </row>
    <row r="40" spans="1:52" s="212" customFormat="1" ht="30" customHeight="1" thickBot="1" x14ac:dyDescent="0.3">
      <c r="A40" s="329" t="str">
        <f>Samenvatting!A13</f>
        <v>B1</v>
      </c>
      <c r="B40" s="330" t="str">
        <f>Samenvatting!B13</f>
        <v>bedieningsruimte Linac 1</v>
      </c>
      <c r="C40" s="331" t="s">
        <v>568</v>
      </c>
      <c r="D40" s="1836">
        <v>5</v>
      </c>
      <c r="E40" s="89"/>
      <c r="F40" s="1834">
        <v>250</v>
      </c>
      <c r="G40" s="1834">
        <v>0</v>
      </c>
      <c r="H40" s="1834">
        <v>0</v>
      </c>
      <c r="I40" s="1835">
        <v>0</v>
      </c>
      <c r="J40" s="91">
        <f>$F40/$C$27+$G40/$C$28+$H40/$C$29+$I40/$C$30</f>
        <v>7.3529411764705879</v>
      </c>
      <c r="K40" s="97">
        <f t="shared" si="0"/>
        <v>4.4366873309786093E-8</v>
      </c>
      <c r="L40" s="91">
        <f>($C$7*$C$15*$C$8*($C$9+$C$10*$C$11)/$D40^2*K40*10^6)</f>
        <v>1.0648049594348663E-3</v>
      </c>
      <c r="M40" s="91">
        <f>$F40/$D$27+$G40/$D$28+$H40/$D$29+$I40/$D$30</f>
        <v>6.5789473684210522</v>
      </c>
      <c r="N40" s="97">
        <f t="shared" si="1"/>
        <v>2.636650898730358E-7</v>
      </c>
      <c r="O40" s="91">
        <f>($C$7*$C$15*$D$8*($D$9+$D$10*$D$11)/$D40^2*N40*10^6)</f>
        <v>6.3279621569528599E-3</v>
      </c>
      <c r="P40" s="91">
        <f>$F40/$E$27+$G40/$E$28+$H40/$E$29+$I40/$E$30</f>
        <v>5.6818181818181817</v>
      </c>
      <c r="Q40" s="97">
        <f t="shared" si="2"/>
        <v>2.0805675382171676E-6</v>
      </c>
      <c r="R40" s="91">
        <f>($C$7*$C$15*$E$8*($E$9+$E$10*$E$11)/$D40^2*Q40*10^6)</f>
        <v>4.9933620917212027E-2</v>
      </c>
      <c r="S40" s="91">
        <f>$F40/$F$27+$G40/$F$28+$H40/$F$29+$I40/$F$30</f>
        <v>8.1967213114754092</v>
      </c>
      <c r="T40" s="97">
        <f t="shared" si="3"/>
        <v>6.3573875711648393E-9</v>
      </c>
      <c r="U40" s="91">
        <f>($C$7*$C$15*$F$8*($F$9+$F$10*$F$11)/$D40^2*T40*10^6)</f>
        <v>1.5257730170795616E-4</v>
      </c>
      <c r="V40" s="91">
        <f>$F40/$G$27+$G40/$G$28+$H40/$G$29+$I40/$G$30</f>
        <v>7.0224719101123592</v>
      </c>
      <c r="W40" s="97">
        <f t="shared" si="4"/>
        <v>9.4957241494880226E-8</v>
      </c>
      <c r="X40" s="76">
        <f>($C$7*$C$15*$G$8*($G$9+$G$10*$G$11)/$D40^2*W40*10^6)</f>
        <v>2.278973795877126E-3</v>
      </c>
      <c r="Y40" s="655">
        <f t="shared" si="5"/>
        <v>5.9757939131184837E-2</v>
      </c>
      <c r="Z40" s="333">
        <f>SUM(Y38:Y41)</f>
        <v>0.52249470541710541</v>
      </c>
      <c r="AA40" s="334">
        <f>Z40*52/10^3</f>
        <v>2.7169724681689482E-2</v>
      </c>
      <c r="AG40" s="328"/>
      <c r="AH40" s="328"/>
      <c r="AI40" s="328"/>
      <c r="AJ40" s="328"/>
      <c r="AK40" s="328"/>
      <c r="AL40" s="328"/>
      <c r="AP40" s="222"/>
      <c r="AQ40" s="211"/>
      <c r="AR40" s="222"/>
      <c r="AS40" s="222"/>
      <c r="AT40" s="225"/>
      <c r="AU40" s="225"/>
      <c r="AV40" s="225"/>
      <c r="AW40" s="225"/>
      <c r="AX40" s="225"/>
      <c r="AY40" s="300"/>
      <c r="AZ40" s="300"/>
    </row>
    <row r="41" spans="1:52" s="212" customFormat="1" ht="30" hidden="1" customHeight="1" thickBot="1" x14ac:dyDescent="0.3">
      <c r="A41" s="317"/>
      <c r="B41" s="317"/>
      <c r="C41" s="318"/>
      <c r="D41" s="1838"/>
      <c r="E41" s="1839"/>
      <c r="F41" s="1839"/>
      <c r="G41" s="1839"/>
      <c r="H41" s="1839"/>
      <c r="I41" s="1839"/>
      <c r="J41" s="91"/>
      <c r="K41" s="97"/>
      <c r="L41" s="91"/>
      <c r="M41" s="91"/>
      <c r="N41" s="97"/>
      <c r="O41" s="91"/>
      <c r="P41" s="91"/>
      <c r="Q41" s="97"/>
      <c r="R41" s="91"/>
      <c r="S41" s="91"/>
      <c r="T41" s="97"/>
      <c r="U41" s="91"/>
      <c r="V41" s="91"/>
      <c r="W41" s="97"/>
      <c r="X41" s="76"/>
      <c r="Y41" s="335"/>
      <c r="Z41" s="336"/>
      <c r="AA41" s="309"/>
      <c r="AG41" s="328"/>
      <c r="AH41" s="328"/>
      <c r="AI41" s="328"/>
      <c r="AJ41" s="328"/>
      <c r="AK41" s="328"/>
      <c r="AL41" s="328"/>
      <c r="AP41" s="222"/>
      <c r="AQ41" s="211"/>
      <c r="AR41" s="222"/>
      <c r="AS41" s="222"/>
      <c r="AT41" s="225"/>
      <c r="AU41" s="225"/>
      <c r="AV41" s="225"/>
      <c r="AW41" s="225"/>
      <c r="AX41" s="225"/>
      <c r="AY41" s="300"/>
      <c r="AZ41" s="300"/>
    </row>
    <row r="42" spans="1:52" s="212" customFormat="1" ht="30" customHeight="1" x14ac:dyDescent="0.25">
      <c r="A42" s="322"/>
      <c r="B42" s="322"/>
      <c r="C42" s="323" t="s">
        <v>569</v>
      </c>
      <c r="D42" s="1840">
        <v>6</v>
      </c>
      <c r="E42" s="1840">
        <v>1</v>
      </c>
      <c r="F42" s="1834">
        <v>250</v>
      </c>
      <c r="G42" s="1834">
        <v>0</v>
      </c>
      <c r="H42" s="1834">
        <v>0</v>
      </c>
      <c r="I42" s="1835">
        <v>0</v>
      </c>
      <c r="J42" s="91">
        <f>IF($F42=0,0,1+($F42-$C$21)/$C$22)+$G42/$C$23+$H42/$C$24+$I42/$C$25</f>
        <v>7.4545454545454541</v>
      </c>
      <c r="K42" s="97">
        <f t="shared" si="0"/>
        <v>3.5111917342151263E-8</v>
      </c>
      <c r="L42" s="91">
        <f>($C$7*$C$14*$C$8*$E42/$D42^2*K42*10^6)</f>
        <v>7.8026482982558355E-3</v>
      </c>
      <c r="M42" s="91">
        <f>IF($F42=0,0,1+($F42-$D$21)/$D$22)+$G42/$D$23+$H42/$D$24+$I42/$D$25</f>
        <v>6.6486486486486482</v>
      </c>
      <c r="N42" s="97">
        <f t="shared" si="1"/>
        <v>2.2456979955397711E-7</v>
      </c>
      <c r="O42" s="91">
        <f>($C$7*$D$14*$D$8*$E42/$D42^2*N42*10^6)</f>
        <v>4.99043999008838E-2</v>
      </c>
      <c r="P42" s="91">
        <f>IF($F42=0,0,1+($F42-$E$21)/$E$22)+$G42/$E$23+$H42/$E$24+$I42/$E$25</f>
        <v>5.7674418604651159</v>
      </c>
      <c r="Q42" s="97">
        <f t="shared" si="2"/>
        <v>1.7082763938087111E-6</v>
      </c>
      <c r="R42" s="91">
        <f>($C$7*$E$14*$E$8*$E42/$D42^2*Q42*10^6)</f>
        <v>0.37961697640193576</v>
      </c>
      <c r="S42" s="91">
        <f>IF($F42=0,0,1+($F42-$F$21)/$F$22)+$G42/$F$23+$H42/$F$24+$I42/$F$25</f>
        <v>9.1481481481481488</v>
      </c>
      <c r="T42" s="97">
        <f t="shared" si="3"/>
        <v>7.1097094323124171E-10</v>
      </c>
      <c r="U42" s="91">
        <f>($C$7*$F$14*$F$8*$E42/$D42^2*T42*10^6)</f>
        <v>1.5799354294027593E-4</v>
      </c>
      <c r="V42" s="91">
        <f>IF($F42=0,0,1+($F42-$G$21)/$G$22)+$G42/$G$23+$H42/$G$24+$I42/$G$25</f>
        <v>6.9444444444444446</v>
      </c>
      <c r="W42" s="97">
        <f t="shared" si="4"/>
        <v>1.136463666385722E-7</v>
      </c>
      <c r="X42" s="76">
        <f>($C$7*$G$14*$G$8*$E42/$D42^2*W42*10^6)</f>
        <v>2.5254748141904933E-2</v>
      </c>
      <c r="Y42" s="324">
        <f t="shared" si="5"/>
        <v>0.46273676628592059</v>
      </c>
      <c r="Z42" s="325"/>
      <c r="AA42" s="326"/>
      <c r="AG42" s="328"/>
      <c r="AI42" s="328"/>
      <c r="AJ42" s="328"/>
      <c r="AK42" s="328"/>
      <c r="AL42" s="328"/>
      <c r="AP42" s="222"/>
      <c r="AQ42" s="211"/>
      <c r="AR42" s="222"/>
      <c r="AS42" s="222"/>
      <c r="AT42" s="225"/>
      <c r="AU42" s="225"/>
      <c r="AV42" s="225"/>
      <c r="AW42" s="225"/>
      <c r="AX42" s="225"/>
      <c r="AY42" s="300"/>
      <c r="AZ42" s="300"/>
    </row>
    <row r="43" spans="1:52" s="212" customFormat="1" ht="30" customHeight="1" thickBot="1" x14ac:dyDescent="0.3">
      <c r="A43" s="337" t="str">
        <f>Samenvatting!A25</f>
        <v>B2</v>
      </c>
      <c r="B43" s="338" t="str">
        <f>Samenvatting!B25</f>
        <v>bedieningsruimte Linac 2</v>
      </c>
      <c r="C43" s="331" t="s">
        <v>568</v>
      </c>
      <c r="D43" s="1836">
        <v>5</v>
      </c>
      <c r="E43" s="89"/>
      <c r="F43" s="1834">
        <v>250</v>
      </c>
      <c r="G43" s="1834">
        <v>0</v>
      </c>
      <c r="H43" s="1834">
        <v>0</v>
      </c>
      <c r="I43" s="1835">
        <v>0</v>
      </c>
      <c r="J43" s="91">
        <f>$F43/$C$27+$G43/$C$28+$H43/$C$29+$I43/$C$30</f>
        <v>7.3529411764705879</v>
      </c>
      <c r="K43" s="97">
        <f t="shared" si="0"/>
        <v>4.4366873309786093E-8</v>
      </c>
      <c r="L43" s="91">
        <f>($C$7*$C$15*$C$8*($C$9+$C$10*$C$11)/$D43^2*K43*10^6)</f>
        <v>1.0648049594348663E-3</v>
      </c>
      <c r="M43" s="91">
        <f>$F43/$D$27+$G43/$D$28+$H43/$D$29+$I43/$D$30</f>
        <v>6.5789473684210522</v>
      </c>
      <c r="N43" s="97">
        <f t="shared" si="1"/>
        <v>2.636650898730358E-7</v>
      </c>
      <c r="O43" s="91">
        <f>($C$7*$C$15*$D$8*($D$9+$D$10*$D$11)/$D43^2*N43*10^6)</f>
        <v>6.3279621569528599E-3</v>
      </c>
      <c r="P43" s="91">
        <f>$F43/$E$27+$G43/$E$28+$H43/$E$29+$I43/$E$30</f>
        <v>5.6818181818181817</v>
      </c>
      <c r="Q43" s="97">
        <f t="shared" si="2"/>
        <v>2.0805675382171676E-6</v>
      </c>
      <c r="R43" s="91">
        <f>($C$7*$C$15*$E$8*($E$9+$E$10*$E$11)/$D43^2*Q43*10^6)</f>
        <v>4.9933620917212027E-2</v>
      </c>
      <c r="S43" s="91">
        <f>$F43/$F$27+$G43/$F$28+$H43/$F$29+$I43/$F$30</f>
        <v>8.1967213114754092</v>
      </c>
      <c r="T43" s="97">
        <f t="shared" si="3"/>
        <v>6.3573875711648393E-9</v>
      </c>
      <c r="U43" s="91">
        <f>($C$7*$C$15*$F$8*($F$9+$F$10*$F$11)/$D43^2*T43*10^6)</f>
        <v>1.5257730170795616E-4</v>
      </c>
      <c r="V43" s="91">
        <f>$F43/$G$27+$G43/$G$28+$H43/$G$29+$I43/$G$30</f>
        <v>7.0224719101123592</v>
      </c>
      <c r="W43" s="97">
        <f t="shared" si="4"/>
        <v>9.4957241494880226E-8</v>
      </c>
      <c r="X43" s="76">
        <f>($C$7*$C$15*$G$8*($G$9+$G$10*$G$11)/$D43^2*W43*10^6)</f>
        <v>2.278973795877126E-3</v>
      </c>
      <c r="Y43" s="339">
        <f t="shared" si="5"/>
        <v>5.9757939131184837E-2</v>
      </c>
      <c r="Z43" s="333">
        <f>SUM(Y41:Y44)</f>
        <v>0.52249470541710541</v>
      </c>
      <c r="AA43" s="334">
        <f>Z43*52/10^3</f>
        <v>2.7169724681689482E-2</v>
      </c>
      <c r="AG43" s="328"/>
      <c r="AH43" s="328"/>
      <c r="AI43" s="328"/>
      <c r="AJ43" s="328"/>
      <c r="AK43" s="328"/>
      <c r="AL43" s="328"/>
      <c r="AP43" s="222"/>
      <c r="AQ43" s="211"/>
      <c r="AR43" s="222"/>
      <c r="AS43" s="222"/>
      <c r="AT43" s="225"/>
      <c r="AU43" s="225"/>
      <c r="AV43" s="225"/>
      <c r="AW43" s="225"/>
      <c r="AX43" s="225"/>
      <c r="AY43" s="300"/>
      <c r="AZ43" s="300"/>
    </row>
    <row r="44" spans="1:52" s="212" customFormat="1" ht="30" hidden="1" customHeight="1" thickBot="1" x14ac:dyDescent="0.3">
      <c r="A44" s="317"/>
      <c r="B44" s="317"/>
      <c r="C44" s="341"/>
      <c r="D44" s="1841"/>
      <c r="E44" s="1842"/>
      <c r="F44" s="1842"/>
      <c r="G44" s="1842"/>
      <c r="H44" s="1842"/>
      <c r="I44" s="1842"/>
      <c r="J44" s="91"/>
      <c r="K44" s="97"/>
      <c r="L44" s="91"/>
      <c r="M44" s="91"/>
      <c r="N44" s="97"/>
      <c r="O44" s="91"/>
      <c r="P44" s="91"/>
      <c r="Q44" s="97"/>
      <c r="R44" s="91"/>
      <c r="S44" s="91"/>
      <c r="T44" s="97"/>
      <c r="U44" s="91"/>
      <c r="V44" s="91"/>
      <c r="W44" s="97"/>
      <c r="X44" s="76"/>
      <c r="Y44" s="316"/>
      <c r="Z44" s="344"/>
      <c r="AA44" s="345"/>
      <c r="AG44" s="328"/>
      <c r="AH44" s="328"/>
      <c r="AI44" s="328"/>
      <c r="AJ44" s="328"/>
      <c r="AK44" s="328"/>
      <c r="AL44" s="328"/>
      <c r="AP44" s="222"/>
      <c r="AQ44" s="211"/>
      <c r="AR44" s="222"/>
      <c r="AS44" s="222"/>
      <c r="AT44" s="225"/>
      <c r="AU44" s="225"/>
      <c r="AV44" s="225"/>
      <c r="AW44" s="225"/>
      <c r="AX44" s="225"/>
      <c r="AY44" s="300"/>
      <c r="AZ44" s="300"/>
    </row>
    <row r="45" spans="1:52" s="212" customFormat="1" ht="30" customHeight="1" x14ac:dyDescent="0.25">
      <c r="A45" s="322"/>
      <c r="B45" s="322"/>
      <c r="C45" s="323" t="s">
        <v>569</v>
      </c>
      <c r="D45" s="1840">
        <v>6</v>
      </c>
      <c r="E45" s="1840">
        <v>1</v>
      </c>
      <c r="F45" s="1834">
        <v>250</v>
      </c>
      <c r="G45" s="1834">
        <v>0</v>
      </c>
      <c r="H45" s="1834">
        <v>0</v>
      </c>
      <c r="I45" s="1835">
        <v>0</v>
      </c>
      <c r="J45" s="91">
        <f>IF($F45=0,0,1+($F45-$C$21)/$C$22)+$G45/$C$23+$H45/$C$24+$I45/$C$25</f>
        <v>7.4545454545454541</v>
      </c>
      <c r="K45" s="97">
        <f t="shared" si="0"/>
        <v>3.5111917342151263E-8</v>
      </c>
      <c r="L45" s="91">
        <f>($C$7*$C$14*$C$8*$E45/$D45^2*K45*10^6)</f>
        <v>7.8026482982558355E-3</v>
      </c>
      <c r="M45" s="91">
        <f>IF($F45=0,0,1+($F45-$D$21)/$D$22)+$G45/$D$23+$H45/$D$24+$I45/$D$25</f>
        <v>6.6486486486486482</v>
      </c>
      <c r="N45" s="97">
        <f t="shared" si="1"/>
        <v>2.2456979955397711E-7</v>
      </c>
      <c r="O45" s="91">
        <f>($C$7*$E$14*$D$8*$E45/$D45^2*N45*10^6)</f>
        <v>4.99043999008838E-2</v>
      </c>
      <c r="P45" s="91">
        <f>IF($F45=0,0,1+($F45-$E$21)/$E$22)+$G45/$E$23+$H45/$E$24+$I45/$E$25</f>
        <v>5.7674418604651159</v>
      </c>
      <c r="Q45" s="97">
        <f t="shared" si="2"/>
        <v>1.7082763938087111E-6</v>
      </c>
      <c r="R45" s="91">
        <f>($C$7*$E$14*$E$8*$E45/$D45^2*Q45*10^6)</f>
        <v>0.37961697640193576</v>
      </c>
      <c r="S45" s="91">
        <f>IF($F45=0,0,1+($F45-$F$21)/$F$22)+$G45/$F$23+$H45/$F$24+$I45/$F$25</f>
        <v>9.1481481481481488</v>
      </c>
      <c r="T45" s="97">
        <f t="shared" si="3"/>
        <v>7.1097094323124171E-10</v>
      </c>
      <c r="U45" s="91">
        <f>($C$7*$F$14*$F$8*$E45/$D45^2*T45*10^6)</f>
        <v>1.5799354294027593E-4</v>
      </c>
      <c r="V45" s="91">
        <f>IF($F45=0,0,1+($F45-$G$21)/$G$22)+$G45/$G$23+$H45/$G$24+$I45/$G$25</f>
        <v>6.9444444444444446</v>
      </c>
      <c r="W45" s="97">
        <f t="shared" si="4"/>
        <v>1.136463666385722E-7</v>
      </c>
      <c r="X45" s="76">
        <f>($C$7*$G$14*$G$8*$E45/$D45^2*W45*10^6)</f>
        <v>2.5254748141904933E-2</v>
      </c>
      <c r="Y45" s="324">
        <f t="shared" si="5"/>
        <v>0.46273676628592059</v>
      </c>
      <c r="Z45" s="325"/>
      <c r="AA45" s="326"/>
      <c r="AG45" s="328"/>
      <c r="AI45" s="328"/>
      <c r="AJ45" s="328"/>
      <c r="AK45" s="328"/>
      <c r="AL45" s="328"/>
      <c r="AP45" s="222"/>
      <c r="AQ45" s="211"/>
      <c r="AR45" s="222"/>
      <c r="AS45" s="222"/>
      <c r="AT45" s="225"/>
      <c r="AU45" s="225"/>
      <c r="AV45" s="225"/>
      <c r="AW45" s="225"/>
      <c r="AX45" s="225"/>
      <c r="AY45" s="300"/>
      <c r="AZ45" s="300"/>
    </row>
    <row r="46" spans="1:52" s="212" customFormat="1" ht="30" customHeight="1" thickBot="1" x14ac:dyDescent="0.3">
      <c r="A46" s="343" t="str">
        <f>Samenvatting!A37</f>
        <v>B3</v>
      </c>
      <c r="B46" s="338" t="str">
        <f>Samenvatting!B37</f>
        <v>bedieningsruimte Linac 3</v>
      </c>
      <c r="C46" s="331" t="s">
        <v>568</v>
      </c>
      <c r="D46" s="1836">
        <v>5</v>
      </c>
      <c r="E46" s="89"/>
      <c r="F46" s="1834">
        <v>250</v>
      </c>
      <c r="G46" s="1834">
        <v>0</v>
      </c>
      <c r="H46" s="1834">
        <v>0</v>
      </c>
      <c r="I46" s="1835">
        <v>0</v>
      </c>
      <c r="J46" s="91">
        <f>$F46/$C$27+$G46/$C$28+$H46/$C$29+$I46/$C$30</f>
        <v>7.3529411764705879</v>
      </c>
      <c r="K46" s="97">
        <f t="shared" si="0"/>
        <v>4.4366873309786093E-8</v>
      </c>
      <c r="L46" s="91">
        <f>($C$7*$C$15*$C$8*($C$9+$C$10*$C$11)/$D46^2*K46*10^6)</f>
        <v>1.0648049594348663E-3</v>
      </c>
      <c r="M46" s="91">
        <f>$F46/$D$27+$G46/$D$28+$H46/$D$29+$I46/$D$30</f>
        <v>6.5789473684210522</v>
      </c>
      <c r="N46" s="97">
        <f t="shared" si="1"/>
        <v>2.636650898730358E-7</v>
      </c>
      <c r="O46" s="91">
        <f>($C$7*$C$15*$D$8*($D$9+$D$10*$D$11)/$D46^2*N46*10^6)</f>
        <v>6.3279621569528599E-3</v>
      </c>
      <c r="P46" s="91">
        <f>$F46/$E$27+$G46/$E$28+$H46/$E$29+$I46/$E$30</f>
        <v>5.6818181818181817</v>
      </c>
      <c r="Q46" s="97">
        <f t="shared" si="2"/>
        <v>2.0805675382171676E-6</v>
      </c>
      <c r="R46" s="91">
        <f>($C$7*$C$15*$E$8*($E$9+$E$10*$E$11)/$D46^2*Q46*10^6)</f>
        <v>4.9933620917212027E-2</v>
      </c>
      <c r="S46" s="91">
        <f>$F46/$F$27+$G46/$F$28+$H46/$F$29+$I46/$F$30</f>
        <v>8.1967213114754092</v>
      </c>
      <c r="T46" s="97">
        <f t="shared" si="3"/>
        <v>6.3573875711648393E-9</v>
      </c>
      <c r="U46" s="91">
        <f>($C$7*$C$15*$F$8*($F$9+$F$10*$F$11)/$D46^2*T46*10^6)</f>
        <v>1.5257730170795616E-4</v>
      </c>
      <c r="V46" s="91">
        <f>$F46/$G$27+$G46/$G$28+$H46/$G$29+$I46/$G$30</f>
        <v>7.0224719101123592</v>
      </c>
      <c r="W46" s="97">
        <f t="shared" si="4"/>
        <v>9.4957241494880226E-8</v>
      </c>
      <c r="X46" s="76">
        <f>($C$7*$C$15*$G$8*($G$9+$G$10*$G$11)/$D46^2*W46*10^6)</f>
        <v>2.278973795877126E-3</v>
      </c>
      <c r="Y46" s="339">
        <f t="shared" si="5"/>
        <v>5.9757939131184837E-2</v>
      </c>
      <c r="Z46" s="333">
        <f>SUM(Y44:Y47)</f>
        <v>0.52249470541710541</v>
      </c>
      <c r="AA46" s="334">
        <f>Z46*52/10^3</f>
        <v>2.7169724681689482E-2</v>
      </c>
      <c r="AG46" s="328"/>
      <c r="AH46" s="328"/>
      <c r="AI46" s="328"/>
      <c r="AJ46" s="328"/>
      <c r="AK46" s="328"/>
      <c r="AL46" s="328"/>
      <c r="AP46" s="222"/>
      <c r="AQ46" s="211"/>
      <c r="AR46" s="222"/>
      <c r="AS46" s="222"/>
      <c r="AT46" s="225"/>
      <c r="AU46" s="225"/>
      <c r="AV46" s="225"/>
      <c r="AW46" s="225"/>
      <c r="AX46" s="225"/>
      <c r="AY46" s="300"/>
      <c r="AZ46" s="300"/>
    </row>
    <row r="47" spans="1:52" s="212" customFormat="1" ht="30" hidden="1" customHeight="1" thickBot="1" x14ac:dyDescent="0.3">
      <c r="A47" s="317"/>
      <c r="B47" s="317"/>
      <c r="C47" s="318"/>
      <c r="D47" s="1838"/>
      <c r="E47" s="1839"/>
      <c r="F47" s="1839"/>
      <c r="G47" s="1839"/>
      <c r="H47" s="1839"/>
      <c r="I47" s="1839"/>
      <c r="J47" s="91"/>
      <c r="K47" s="97"/>
      <c r="L47" s="91"/>
      <c r="M47" s="91"/>
      <c r="N47" s="97"/>
      <c r="O47" s="91"/>
      <c r="P47" s="91"/>
      <c r="Q47" s="97"/>
      <c r="R47" s="91"/>
      <c r="S47" s="91"/>
      <c r="T47" s="97"/>
      <c r="U47" s="91"/>
      <c r="V47" s="91"/>
      <c r="W47" s="97"/>
      <c r="X47" s="76"/>
      <c r="Y47" s="335"/>
      <c r="Z47" s="344"/>
      <c r="AA47" s="345"/>
      <c r="AG47" s="328"/>
      <c r="AH47" s="328"/>
      <c r="AI47" s="328"/>
      <c r="AJ47" s="328"/>
      <c r="AK47" s="328"/>
      <c r="AL47" s="328"/>
      <c r="AP47" s="222"/>
      <c r="AQ47" s="211"/>
      <c r="AR47" s="222"/>
      <c r="AS47" s="222"/>
      <c r="AT47" s="225"/>
      <c r="AU47" s="225"/>
      <c r="AV47" s="225"/>
      <c r="AW47" s="225"/>
      <c r="AX47" s="225"/>
      <c r="AY47" s="300"/>
      <c r="AZ47" s="300"/>
    </row>
    <row r="48" spans="1:52" s="212" customFormat="1" ht="30" customHeight="1" x14ac:dyDescent="0.25">
      <c r="A48" s="322"/>
      <c r="B48" s="322"/>
      <c r="C48" s="323" t="s">
        <v>569</v>
      </c>
      <c r="D48" s="1840">
        <v>6</v>
      </c>
      <c r="E48" s="1840">
        <v>1</v>
      </c>
      <c r="F48" s="1834">
        <v>250</v>
      </c>
      <c r="G48" s="1834">
        <v>0</v>
      </c>
      <c r="H48" s="1834">
        <v>0</v>
      </c>
      <c r="I48" s="1835">
        <v>0</v>
      </c>
      <c r="J48" s="91">
        <f>IF($F48=0,0,1+($F48-$C$21)/$C$22)+$G48/$C$23+$H48/$C$24+$I48/$C$25</f>
        <v>7.4545454545454541</v>
      </c>
      <c r="K48" s="97">
        <f t="shared" si="0"/>
        <v>3.5111917342151263E-8</v>
      </c>
      <c r="L48" s="91">
        <f>($C$7*$C$14*$C$8*$E48/$D48^2*K48*10^6)</f>
        <v>7.8026482982558355E-3</v>
      </c>
      <c r="M48" s="91">
        <f>IF($F48=0,0,1+($F48-$D$21)/$D$22)+$G48/$D$23+$H48/$D$24+$I48/$D$25</f>
        <v>6.6486486486486482</v>
      </c>
      <c r="N48" s="97">
        <f t="shared" si="1"/>
        <v>2.2456979955397711E-7</v>
      </c>
      <c r="O48" s="91">
        <f>($C$7*$D$14*$D$8*$E48/$D48^2*N48*10^6)</f>
        <v>4.99043999008838E-2</v>
      </c>
      <c r="P48" s="91">
        <f>IF($F48=0,0,1+($F48-$E$21)/$E$22)+$G48/$E$23+$H48/$E$24+$I48/$E$25</f>
        <v>5.7674418604651159</v>
      </c>
      <c r="Q48" s="97">
        <f t="shared" si="2"/>
        <v>1.7082763938087111E-6</v>
      </c>
      <c r="R48" s="91">
        <f>($C$7*$E$14*$E$8*$E48/$D48^2*Q48*10^6)</f>
        <v>0.37961697640193576</v>
      </c>
      <c r="S48" s="91">
        <f>IF($F48=0,0,1+($F48-$F$21)/$F$22)+$G48/$F$23+$H48/$F$24+$I48/$F$25</f>
        <v>9.1481481481481488</v>
      </c>
      <c r="T48" s="97">
        <f t="shared" si="3"/>
        <v>7.1097094323124171E-10</v>
      </c>
      <c r="U48" s="91">
        <f>($C$7*$F$14*$F$8*$E48/$D48^2*T48*10^6)</f>
        <v>1.5799354294027593E-4</v>
      </c>
      <c r="V48" s="91">
        <f>IF($F48=0,0,1+($F48-$G$21)/$G$22)+$G48/$G$23+$H48/$G$24+$I48/$G$25</f>
        <v>6.9444444444444446</v>
      </c>
      <c r="W48" s="97">
        <f t="shared" si="4"/>
        <v>1.136463666385722E-7</v>
      </c>
      <c r="X48" s="76">
        <f>($C$7*$G$14*$G$8*$E48/$D48^2*W48*10^6)</f>
        <v>2.5254748141904933E-2</v>
      </c>
      <c r="Y48" s="324">
        <f t="shared" si="5"/>
        <v>0.46273676628592059</v>
      </c>
      <c r="Z48" s="325"/>
      <c r="AA48" s="326"/>
      <c r="AG48" s="328"/>
      <c r="AI48" s="328"/>
      <c r="AJ48" s="328"/>
      <c r="AK48" s="328"/>
      <c r="AL48" s="328"/>
      <c r="AP48" s="222"/>
      <c r="AQ48" s="211"/>
      <c r="AR48" s="222"/>
      <c r="AS48" s="222"/>
      <c r="AT48" s="225"/>
      <c r="AU48" s="225"/>
      <c r="AV48" s="225"/>
      <c r="AW48" s="225"/>
      <c r="AX48" s="225"/>
      <c r="AY48" s="300"/>
      <c r="AZ48" s="300"/>
    </row>
    <row r="49" spans="1:52" s="212" customFormat="1" ht="30" customHeight="1" thickBot="1" x14ac:dyDescent="0.3">
      <c r="A49" s="343" t="str">
        <f>Samenvatting!A49</f>
        <v>B4</v>
      </c>
      <c r="B49" s="338" t="str">
        <f>Samenvatting!B49</f>
        <v>bedieningsruimte Linac 4</v>
      </c>
      <c r="C49" s="331" t="s">
        <v>568</v>
      </c>
      <c r="D49" s="1836">
        <v>5</v>
      </c>
      <c r="E49" s="89"/>
      <c r="F49" s="1834">
        <v>250</v>
      </c>
      <c r="G49" s="1834">
        <v>0</v>
      </c>
      <c r="H49" s="1834">
        <v>0</v>
      </c>
      <c r="I49" s="1835">
        <v>0</v>
      </c>
      <c r="J49" s="91">
        <f>$F49/$C$27+$G49/$C$28+$H49/$C$29+$I49/$C$30</f>
        <v>7.3529411764705879</v>
      </c>
      <c r="K49" s="97">
        <f t="shared" si="0"/>
        <v>4.4366873309786093E-8</v>
      </c>
      <c r="L49" s="91">
        <f>($C$7*$C$15*$C$8*($C$9+$C$10*$C$11)/$D49^2*K49*10^6)</f>
        <v>1.0648049594348663E-3</v>
      </c>
      <c r="M49" s="91">
        <f>$F49/$D$27+$G49/$D$28+$H49/$D$29+$I49/$D$30</f>
        <v>6.5789473684210522</v>
      </c>
      <c r="N49" s="97">
        <f t="shared" si="1"/>
        <v>2.636650898730358E-7</v>
      </c>
      <c r="O49" s="91">
        <f>($C$7*$C$15*$D$8*($D$9+$D$10*$D$11)/$D49^2*N49*10^6)</f>
        <v>6.3279621569528599E-3</v>
      </c>
      <c r="P49" s="91">
        <f>$F49/$E$27+$G49/$E$28+$H49/$E$29+$I49/$E$30</f>
        <v>5.6818181818181817</v>
      </c>
      <c r="Q49" s="97">
        <f t="shared" si="2"/>
        <v>2.0805675382171676E-6</v>
      </c>
      <c r="R49" s="91">
        <f>($C$7*$C$15*$E$8*($E$9+$E$10*$E$11)/$D49^2*Q49*10^6)</f>
        <v>4.9933620917212027E-2</v>
      </c>
      <c r="S49" s="91">
        <f>$F49/$F$27+$G49/$F$28+$H49/$F$29+$I49/$F$30</f>
        <v>8.1967213114754092</v>
      </c>
      <c r="T49" s="97">
        <f t="shared" si="3"/>
        <v>6.3573875711648393E-9</v>
      </c>
      <c r="U49" s="91">
        <f>($C$7*$C$15*$F$8*($F$9+$F$10*$F$11)/$D49^2*T49*10^6)</f>
        <v>1.5257730170795616E-4</v>
      </c>
      <c r="V49" s="91">
        <f>$F49/$G$27+$G49/$G$28+$H49/$G$29+$I49/$G$30</f>
        <v>7.0224719101123592</v>
      </c>
      <c r="W49" s="97">
        <f t="shared" si="4"/>
        <v>9.4957241494880226E-8</v>
      </c>
      <c r="X49" s="76">
        <f>($C$7*$C$15*$G$8*($G$9+$G$10*$G$11)/$D49^2*W49*10^6)</f>
        <v>2.278973795877126E-3</v>
      </c>
      <c r="Y49" s="339">
        <f t="shared" si="5"/>
        <v>5.9757939131184837E-2</v>
      </c>
      <c r="Z49" s="333">
        <f>SUM(Y47:Y50)</f>
        <v>0.52249470541710541</v>
      </c>
      <c r="AA49" s="334">
        <f>Z49*52/10^3</f>
        <v>2.7169724681689482E-2</v>
      </c>
      <c r="AG49" s="328"/>
      <c r="AH49" s="328"/>
      <c r="AI49" s="328"/>
      <c r="AJ49" s="328"/>
      <c r="AK49" s="328"/>
      <c r="AL49" s="328"/>
      <c r="AP49" s="222"/>
      <c r="AQ49" s="211"/>
      <c r="AR49" s="222"/>
      <c r="AS49" s="222"/>
      <c r="AT49" s="225"/>
      <c r="AU49" s="225"/>
      <c r="AV49" s="225"/>
      <c r="AW49" s="225"/>
      <c r="AX49" s="225"/>
      <c r="AY49" s="300"/>
      <c r="AZ49" s="300"/>
    </row>
    <row r="50" spans="1:52" s="212" customFormat="1" ht="30" hidden="1" customHeight="1" thickBot="1" x14ac:dyDescent="0.3">
      <c r="A50" s="317"/>
      <c r="B50" s="317"/>
      <c r="C50" s="318"/>
      <c r="D50" s="1838"/>
      <c r="E50" s="1839"/>
      <c r="F50" s="1839"/>
      <c r="G50" s="1839"/>
      <c r="H50" s="1839"/>
      <c r="I50" s="1839"/>
      <c r="J50" s="91"/>
      <c r="K50" s="97"/>
      <c r="L50" s="91"/>
      <c r="M50" s="91"/>
      <c r="N50" s="97"/>
      <c r="O50" s="91"/>
      <c r="P50" s="91"/>
      <c r="Q50" s="97"/>
      <c r="R50" s="91"/>
      <c r="S50" s="91"/>
      <c r="T50" s="97"/>
      <c r="U50" s="91"/>
      <c r="V50" s="91"/>
      <c r="W50" s="97"/>
      <c r="X50" s="76"/>
      <c r="Y50" s="316"/>
      <c r="Z50" s="344"/>
      <c r="AA50" s="345"/>
      <c r="AG50" s="328"/>
      <c r="AH50" s="328"/>
      <c r="AI50" s="328"/>
      <c r="AJ50" s="328"/>
      <c r="AK50" s="328"/>
      <c r="AL50" s="328"/>
      <c r="AP50" s="222"/>
      <c r="AQ50" s="211"/>
      <c r="AR50" s="222"/>
      <c r="AS50" s="222"/>
      <c r="AT50" s="225"/>
      <c r="AU50" s="225"/>
      <c r="AV50" s="225"/>
      <c r="AW50" s="225"/>
      <c r="AX50" s="225"/>
      <c r="AY50" s="300"/>
      <c r="AZ50" s="300"/>
    </row>
    <row r="51" spans="1:52" s="212" customFormat="1" ht="30" customHeight="1" x14ac:dyDescent="0.25">
      <c r="A51" s="322"/>
      <c r="B51" s="322"/>
      <c r="C51" s="323" t="s">
        <v>569</v>
      </c>
      <c r="D51" s="1840">
        <v>6</v>
      </c>
      <c r="E51" s="1840">
        <v>1</v>
      </c>
      <c r="F51" s="1834">
        <v>250</v>
      </c>
      <c r="G51" s="1834">
        <v>0</v>
      </c>
      <c r="H51" s="1834">
        <v>0</v>
      </c>
      <c r="I51" s="1835">
        <v>0</v>
      </c>
      <c r="J51" s="91">
        <f>IF($F51=0,0,1+($F51-$C$21)/$C$22)+$G51/$C$23+$H51/$C$24+$I51/$C$25</f>
        <v>7.4545454545454541</v>
      </c>
      <c r="K51" s="97">
        <f t="shared" si="0"/>
        <v>3.5111917342151263E-8</v>
      </c>
      <c r="L51" s="91">
        <f>($C$7*$C$14*$C$8*$E51/$D51^2*K51*10^6)</f>
        <v>7.8026482982558355E-3</v>
      </c>
      <c r="M51" s="91">
        <f>IF($F51=0,0,1+($F51-$D$21)/$D$22)+$G51/$D$23+$H51/$D$24+$I51/$D$25</f>
        <v>6.6486486486486482</v>
      </c>
      <c r="N51" s="97">
        <f t="shared" si="1"/>
        <v>2.2456979955397711E-7</v>
      </c>
      <c r="O51" s="91">
        <f>($C$7*$D$14*$D$8*$E51/$D51^2*N51*10^6)</f>
        <v>4.99043999008838E-2</v>
      </c>
      <c r="P51" s="91">
        <f>IF($F51=0,0,1+($F51-$E$21)/$E$22)+$G51/$E$23+$H51/$E$24+$I51/$E$25</f>
        <v>5.7674418604651159</v>
      </c>
      <c r="Q51" s="97">
        <f t="shared" si="2"/>
        <v>1.7082763938087111E-6</v>
      </c>
      <c r="R51" s="91">
        <f>($C$7*$E$14*$E$8*$E51/$D51^2*Q51*10^6)</f>
        <v>0.37961697640193576</v>
      </c>
      <c r="S51" s="91">
        <f>IF($F51=0,0,1+($F51-$F$21)/$F$22)+$G51/$F$23+$H51/$F$24+$I51/$F$25</f>
        <v>9.1481481481481488</v>
      </c>
      <c r="T51" s="97">
        <f t="shared" si="3"/>
        <v>7.1097094323124171E-10</v>
      </c>
      <c r="U51" s="91">
        <f>($C$7*$F$14*$F$8*$E51/$D51^2*T51*10^6)</f>
        <v>1.5799354294027593E-4</v>
      </c>
      <c r="V51" s="91">
        <f>IF($F51=0,0,1+($F51-$G$21)/$G$22)+$G51/$G$23+$H51/$G$24+$I51/$G$25</f>
        <v>6.9444444444444446</v>
      </c>
      <c r="W51" s="97">
        <f t="shared" si="4"/>
        <v>1.136463666385722E-7</v>
      </c>
      <c r="X51" s="76">
        <f>($C$7*$G$14*$G$8*$E51/$D51^2*W51*10^6)</f>
        <v>2.5254748141904933E-2</v>
      </c>
      <c r="Y51" s="324">
        <f>SUM(L51,O51,R51,U51,X51)</f>
        <v>0.46273676628592059</v>
      </c>
      <c r="Z51" s="325"/>
      <c r="AA51" s="326"/>
      <c r="AG51" s="328"/>
      <c r="AI51" s="328"/>
      <c r="AJ51" s="328"/>
      <c r="AK51" s="328"/>
      <c r="AL51" s="328"/>
      <c r="AP51" s="222"/>
      <c r="AQ51" s="211"/>
      <c r="AR51" s="222"/>
      <c r="AS51" s="222"/>
      <c r="AT51" s="225"/>
      <c r="AU51" s="225"/>
      <c r="AV51" s="225"/>
      <c r="AW51" s="225"/>
      <c r="AX51" s="225"/>
      <c r="AY51" s="300"/>
      <c r="AZ51" s="300"/>
    </row>
    <row r="52" spans="1:52" s="212" customFormat="1" ht="30" customHeight="1" thickBot="1" x14ac:dyDescent="0.3">
      <c r="A52" s="343" t="str">
        <f>Samenvatting!A61</f>
        <v>B5</v>
      </c>
      <c r="B52" s="346" t="str">
        <f>Samenvatting!B61</f>
        <v>bedieningsruimte Linac 5</v>
      </c>
      <c r="C52" s="331" t="s">
        <v>568</v>
      </c>
      <c r="D52" s="1843">
        <v>5</v>
      </c>
      <c r="E52" s="347"/>
      <c r="F52" s="1834">
        <v>250</v>
      </c>
      <c r="G52" s="1834">
        <v>0</v>
      </c>
      <c r="H52" s="1834">
        <v>0</v>
      </c>
      <c r="I52" s="1835">
        <v>0</v>
      </c>
      <c r="J52" s="91">
        <f>$F52/$C$27+$G52/$C$28+$H52/$C$29+$I52/$C$30</f>
        <v>7.3529411764705879</v>
      </c>
      <c r="K52" s="97">
        <f t="shared" si="0"/>
        <v>4.4366873309786093E-8</v>
      </c>
      <c r="L52" s="91">
        <f>($C$7*$C$15*$C$8*($C$9+$C$10*$C$11)/$D52^2*K52*10^6)</f>
        <v>1.0648049594348663E-3</v>
      </c>
      <c r="M52" s="91">
        <f>$F52/$D$27+$G52/$D$28+$H52/$D$29+$I52/$D$30</f>
        <v>6.5789473684210522</v>
      </c>
      <c r="N52" s="97">
        <f t="shared" si="1"/>
        <v>2.636650898730358E-7</v>
      </c>
      <c r="O52" s="91">
        <f>($C$7*$C$15*$D$8*($D$9+$D$10*$D$11)/$D52^2*N52*10^6)</f>
        <v>6.3279621569528599E-3</v>
      </c>
      <c r="P52" s="91">
        <f>$F52/$E$27+$G52/$E$28+$H52/$E$29+$I52/$E$30</f>
        <v>5.6818181818181817</v>
      </c>
      <c r="Q52" s="97">
        <f t="shared" si="2"/>
        <v>2.0805675382171676E-6</v>
      </c>
      <c r="R52" s="91">
        <f>($C$7*$C$15*$E$8*($E$9+$E$10*$E$11)/$D52^2*Q52*10^6)</f>
        <v>4.9933620917212027E-2</v>
      </c>
      <c r="S52" s="91">
        <f>$F52/$F$27+$G52/$F$28+$H52/$F$29+$I52/$F$30</f>
        <v>8.1967213114754092</v>
      </c>
      <c r="T52" s="97">
        <f t="shared" si="3"/>
        <v>6.3573875711648393E-9</v>
      </c>
      <c r="U52" s="91">
        <f>($C$7*$C$15*$F$8*($F$9+$F$10*$F$11)/$D52^2*T52*10^6)</f>
        <v>1.5257730170795616E-4</v>
      </c>
      <c r="V52" s="91">
        <f>$F52/$G$27+$G52/$G$28+$H52/$G$29+$I52/$G$30</f>
        <v>7.0224719101123592</v>
      </c>
      <c r="W52" s="97">
        <f t="shared" si="4"/>
        <v>9.4957241494880226E-8</v>
      </c>
      <c r="X52" s="76">
        <f>($C$7*$C$15*$G$8*($G$9+$G$10*$G$11)/$D52^2*W52*10^6)</f>
        <v>2.278973795877126E-3</v>
      </c>
      <c r="Y52" s="339">
        <f>SUM(L52,O52,R52,U52,X52)</f>
        <v>5.9757939131184837E-2</v>
      </c>
      <c r="Z52" s="333">
        <f>SUM(Y50:Y53)</f>
        <v>0.52249470541710541</v>
      </c>
      <c r="AA52" s="334">
        <f>Z52*52/10^3</f>
        <v>2.7169724681689482E-2</v>
      </c>
      <c r="AG52" s="328"/>
      <c r="AH52" s="328"/>
      <c r="AI52" s="328"/>
      <c r="AJ52" s="328"/>
      <c r="AK52" s="328"/>
      <c r="AL52" s="328"/>
      <c r="AP52" s="222"/>
      <c r="AQ52" s="211"/>
      <c r="AR52" s="222"/>
      <c r="AS52" s="222"/>
      <c r="AT52" s="225"/>
      <c r="AU52" s="225"/>
      <c r="AV52" s="225"/>
      <c r="AW52" s="225"/>
      <c r="AX52" s="225"/>
      <c r="AY52" s="300"/>
      <c r="AZ52" s="300"/>
    </row>
    <row r="53" spans="1:52" s="212" customFormat="1" ht="30" hidden="1" customHeight="1" thickBot="1" x14ac:dyDescent="0.3">
      <c r="A53" s="317"/>
      <c r="B53" s="317"/>
      <c r="C53" s="318"/>
      <c r="D53" s="1838"/>
      <c r="E53" s="1839"/>
      <c r="F53" s="1839"/>
      <c r="G53" s="1839"/>
      <c r="H53" s="1839"/>
      <c r="I53" s="1839"/>
      <c r="J53" s="91"/>
      <c r="K53" s="97"/>
      <c r="L53" s="91"/>
      <c r="M53" s="91"/>
      <c r="N53" s="97"/>
      <c r="O53" s="91"/>
      <c r="P53" s="91"/>
      <c r="Q53" s="97"/>
      <c r="R53" s="91"/>
      <c r="S53" s="91"/>
      <c r="T53" s="97"/>
      <c r="U53" s="91"/>
      <c r="V53" s="91"/>
      <c r="W53" s="97"/>
      <c r="X53" s="76"/>
      <c r="Y53" s="316"/>
      <c r="Z53" s="344"/>
      <c r="AA53" s="345"/>
      <c r="AG53" s="328"/>
      <c r="AH53" s="328"/>
      <c r="AI53" s="328"/>
      <c r="AJ53" s="328"/>
      <c r="AK53" s="328"/>
      <c r="AL53" s="328"/>
      <c r="AP53" s="222"/>
      <c r="AQ53" s="211"/>
      <c r="AR53" s="222"/>
      <c r="AS53" s="222"/>
      <c r="AT53" s="225"/>
      <c r="AU53" s="225"/>
      <c r="AV53" s="225"/>
      <c r="AW53" s="225"/>
      <c r="AX53" s="225"/>
      <c r="AY53" s="300"/>
      <c r="AZ53" s="300"/>
    </row>
    <row r="54" spans="1:52" s="212" customFormat="1" ht="30" customHeight="1" x14ac:dyDescent="0.25">
      <c r="A54" s="322"/>
      <c r="B54" s="322"/>
      <c r="C54" s="323" t="s">
        <v>569</v>
      </c>
      <c r="D54" s="1840">
        <v>6</v>
      </c>
      <c r="E54" s="1840">
        <v>1</v>
      </c>
      <c r="F54" s="1834">
        <v>250</v>
      </c>
      <c r="G54" s="1834">
        <v>0</v>
      </c>
      <c r="H54" s="1834">
        <v>0</v>
      </c>
      <c r="I54" s="1835">
        <v>0</v>
      </c>
      <c r="J54" s="91">
        <f>IF($F54=0,0,1+($F54-$C$21)/$C$22)+$G54/$C$23+$H54/$C$24+$I54/$C$25</f>
        <v>7.4545454545454541</v>
      </c>
      <c r="K54" s="97">
        <f t="shared" si="0"/>
        <v>3.5111917342151263E-8</v>
      </c>
      <c r="L54" s="91">
        <f>($C$7*$C$14*$C$8*$E54/$D54^2*K54*10^6)</f>
        <v>7.8026482982558355E-3</v>
      </c>
      <c r="M54" s="91">
        <f>IF($F54=0,0,1+($F54-$D$21)/$D$22)+$G54/$D$23+$H54/$D$24+$I54/$D$25</f>
        <v>6.6486486486486482</v>
      </c>
      <c r="N54" s="97">
        <f t="shared" si="1"/>
        <v>2.2456979955397711E-7</v>
      </c>
      <c r="O54" s="91">
        <f>($C$7*$D$14*$D$8*$E54/$D54^2*N54*10^6)</f>
        <v>4.99043999008838E-2</v>
      </c>
      <c r="P54" s="91">
        <f>IF($F54=0,0,1+($F54-$E$21)/$E$22)+$G54/$E$23+$H54/$E$24+$I54/$E$25</f>
        <v>5.7674418604651159</v>
      </c>
      <c r="Q54" s="97">
        <f t="shared" si="2"/>
        <v>1.7082763938087111E-6</v>
      </c>
      <c r="R54" s="91">
        <f>($C$7*$E$14*$E$8*$E54/$D54^2*Q54*10^6)</f>
        <v>0.37961697640193576</v>
      </c>
      <c r="S54" s="91">
        <f>IF($F54=0,0,1+($F54-$F$21)/$F$22)+$G54/$F$23+$H54/$F$24+$I54/$F$25</f>
        <v>9.1481481481481488</v>
      </c>
      <c r="T54" s="97">
        <f t="shared" si="3"/>
        <v>7.1097094323124171E-10</v>
      </c>
      <c r="U54" s="91">
        <f>($C$7*$F$14*$F$8*$E54/$D54^2*T54*10^6)</f>
        <v>1.5799354294027593E-4</v>
      </c>
      <c r="V54" s="91">
        <f>IF($F54=0,0,1+($F54-$G$21)/$G$22)+$G54/$G$23+$H54/$G$24+$I54/$G$25</f>
        <v>6.9444444444444446</v>
      </c>
      <c r="W54" s="97">
        <f t="shared" si="4"/>
        <v>1.136463666385722E-7</v>
      </c>
      <c r="X54" s="76">
        <f>($C$7*$G$14*$G$8*$E54/$D54^2*W54*10^6)</f>
        <v>2.5254748141904933E-2</v>
      </c>
      <c r="Y54" s="324">
        <f>SUM(L54,O54,R54,U54,X54)</f>
        <v>0.46273676628592059</v>
      </c>
      <c r="Z54" s="325"/>
      <c r="AA54" s="326"/>
      <c r="AG54" s="328"/>
      <c r="AI54" s="328"/>
      <c r="AJ54" s="328"/>
      <c r="AK54" s="328"/>
      <c r="AL54" s="328"/>
      <c r="AP54" s="222"/>
      <c r="AQ54" s="211"/>
      <c r="AR54" s="222"/>
      <c r="AS54" s="222"/>
      <c r="AT54" s="225"/>
      <c r="AU54" s="225"/>
      <c r="AV54" s="225"/>
      <c r="AW54" s="225"/>
      <c r="AX54" s="225"/>
      <c r="AY54" s="300"/>
      <c r="AZ54" s="300"/>
    </row>
    <row r="55" spans="1:52" s="212" customFormat="1" ht="30" customHeight="1" thickBot="1" x14ac:dyDescent="0.3">
      <c r="A55" s="343" t="str">
        <f>Samenvatting!A73</f>
        <v>B6</v>
      </c>
      <c r="B55" s="338" t="str">
        <f>Samenvatting!B73</f>
        <v>bedieningsruimte Linac 6</v>
      </c>
      <c r="C55" s="331" t="s">
        <v>568</v>
      </c>
      <c r="D55" s="1836">
        <v>5</v>
      </c>
      <c r="E55" s="89"/>
      <c r="F55" s="1834">
        <v>250</v>
      </c>
      <c r="G55" s="1834">
        <v>0</v>
      </c>
      <c r="H55" s="1834">
        <v>0</v>
      </c>
      <c r="I55" s="1835">
        <v>0</v>
      </c>
      <c r="J55" s="91">
        <f>$F55/$C$27+$G55/$C$28+$H55/$C$29+$I55/$C$30</f>
        <v>7.3529411764705879</v>
      </c>
      <c r="K55" s="97">
        <f t="shared" si="0"/>
        <v>4.4366873309786093E-8</v>
      </c>
      <c r="L55" s="91">
        <f>($C$7*$C$15*$C$8*($C$9+$C$10*$C$11)/$D55^2*K55*10^6)</f>
        <v>1.0648049594348663E-3</v>
      </c>
      <c r="M55" s="91">
        <f>$F55/$D$27+$G55/$D$28+$H55/$D$29+$I55/$D$30</f>
        <v>6.5789473684210522</v>
      </c>
      <c r="N55" s="97">
        <f t="shared" si="1"/>
        <v>2.636650898730358E-7</v>
      </c>
      <c r="O55" s="91">
        <f>($C$7*$C$15*$D$8*($D$9+$D$10*$D$11)/$D55^2*N55*10^6)</f>
        <v>6.3279621569528599E-3</v>
      </c>
      <c r="P55" s="91">
        <f>$F55/$E$27+$G55/$E$28+$H55/$E$29+$I55/$E$30</f>
        <v>5.6818181818181817</v>
      </c>
      <c r="Q55" s="97">
        <f t="shared" si="2"/>
        <v>2.0805675382171676E-6</v>
      </c>
      <c r="R55" s="91">
        <f>($C$7*$C$15*$E$8*($E$9+$E$10*$E$11)/$D55^2*Q55*10^6)</f>
        <v>4.9933620917212027E-2</v>
      </c>
      <c r="S55" s="91">
        <f>$F55/$F$27+$G55/$F$28+$H55/$F$29+$I55/$F$30</f>
        <v>8.1967213114754092</v>
      </c>
      <c r="T55" s="97">
        <f t="shared" si="3"/>
        <v>6.3573875711648393E-9</v>
      </c>
      <c r="U55" s="91">
        <f>($C$7*$C$15*$F$8*($F$9+$F$10*$F$11)/$D55^2*T55*10^6)</f>
        <v>1.5257730170795616E-4</v>
      </c>
      <c r="V55" s="91">
        <f>$F55/$G$27+$G55/$G$28+$H55/$G$29+$I55/$G$30</f>
        <v>7.0224719101123592</v>
      </c>
      <c r="W55" s="97">
        <f t="shared" si="4"/>
        <v>9.4957241494880226E-8</v>
      </c>
      <c r="X55" s="76">
        <f>($C$7*$C$15*$G$8*($G$9+$G$10*$G$11)/$D55^2*W55*10^6)</f>
        <v>2.278973795877126E-3</v>
      </c>
      <c r="Y55" s="339">
        <f>SUM(L55,O55,R55,U55,X55)</f>
        <v>5.9757939131184837E-2</v>
      </c>
      <c r="Z55" s="333">
        <f>SUM(Y53:Y56)</f>
        <v>0.52249470541710541</v>
      </c>
      <c r="AA55" s="334">
        <f>Z55*52/10^3</f>
        <v>2.7169724681689482E-2</v>
      </c>
      <c r="AG55" s="328"/>
      <c r="AH55" s="328"/>
      <c r="AI55" s="328"/>
      <c r="AJ55" s="328"/>
      <c r="AK55" s="328"/>
      <c r="AL55" s="328"/>
      <c r="AP55" s="222"/>
      <c r="AQ55" s="211"/>
      <c r="AR55" s="222"/>
      <c r="AS55" s="222"/>
      <c r="AT55" s="225"/>
      <c r="AU55" s="225"/>
      <c r="AV55" s="225"/>
      <c r="AW55" s="225"/>
      <c r="AX55" s="225"/>
      <c r="AY55" s="300"/>
      <c r="AZ55" s="300"/>
    </row>
    <row r="56" spans="1:52" s="212" customFormat="1" ht="30" hidden="1" customHeight="1" thickBot="1" x14ac:dyDescent="0.3">
      <c r="A56" s="317"/>
      <c r="B56" s="317"/>
      <c r="C56" s="318"/>
      <c r="D56" s="1838"/>
      <c r="E56" s="1839"/>
      <c r="F56" s="1839"/>
      <c r="G56" s="1839"/>
      <c r="H56" s="1839"/>
      <c r="I56" s="1839"/>
      <c r="J56" s="91"/>
      <c r="K56" s="97"/>
      <c r="L56" s="91"/>
      <c r="M56" s="91"/>
      <c r="N56" s="97"/>
      <c r="O56" s="91"/>
      <c r="P56" s="91"/>
      <c r="Q56" s="97"/>
      <c r="R56" s="91"/>
      <c r="S56" s="91"/>
      <c r="T56" s="97"/>
      <c r="U56" s="91"/>
      <c r="V56" s="91"/>
      <c r="W56" s="97"/>
      <c r="X56" s="76"/>
      <c r="Y56" s="316"/>
      <c r="Z56" s="344"/>
      <c r="AA56" s="345"/>
      <c r="AG56" s="328"/>
      <c r="AH56" s="328"/>
      <c r="AI56" s="328"/>
      <c r="AJ56" s="328"/>
      <c r="AK56" s="328"/>
      <c r="AL56" s="328"/>
      <c r="AP56" s="222"/>
      <c r="AQ56" s="211"/>
      <c r="AR56" s="222"/>
      <c r="AS56" s="222"/>
      <c r="AT56" s="225"/>
      <c r="AU56" s="225"/>
      <c r="AV56" s="225"/>
      <c r="AW56" s="225"/>
      <c r="AX56" s="225"/>
      <c r="AY56" s="300"/>
      <c r="AZ56" s="300"/>
    </row>
    <row r="57" spans="1:52" s="212" customFormat="1" ht="30" customHeight="1" x14ac:dyDescent="0.25">
      <c r="A57" s="322"/>
      <c r="B57" s="322"/>
      <c r="C57" s="323" t="s">
        <v>569</v>
      </c>
      <c r="D57" s="1840">
        <v>6</v>
      </c>
      <c r="E57" s="1840">
        <v>1</v>
      </c>
      <c r="F57" s="1834">
        <v>250</v>
      </c>
      <c r="G57" s="1834">
        <v>0</v>
      </c>
      <c r="H57" s="1834">
        <v>0</v>
      </c>
      <c r="I57" s="1835">
        <v>0</v>
      </c>
      <c r="J57" s="91">
        <f>IF($F57=0,0,1+($F57-$C$21)/$C$22)+$G57/$C$23+$H57/$C$24+$I57/$C$25</f>
        <v>7.4545454545454541</v>
      </c>
      <c r="K57" s="97">
        <f t="shared" si="0"/>
        <v>3.5111917342151263E-8</v>
      </c>
      <c r="L57" s="91">
        <f>($C$7*$C$14*$C$8*$E57/$D57^2*K57*10^6)</f>
        <v>7.8026482982558355E-3</v>
      </c>
      <c r="M57" s="91">
        <f>IF($F57=0,0,1+($F57-$D$21)/$D$22)+$G57/$D$23+$H57/$D$24+$I57/$D$25</f>
        <v>6.6486486486486482</v>
      </c>
      <c r="N57" s="97">
        <f t="shared" si="1"/>
        <v>2.2456979955397711E-7</v>
      </c>
      <c r="O57" s="91">
        <f>($C$7*$D$14*$D$8*$E57/$D57^2*N57*10^6)</f>
        <v>4.99043999008838E-2</v>
      </c>
      <c r="P57" s="91">
        <f>IF($F57=0,0,1+($F57-$E$21)/$E$22)+$G57/$E$23+$H57/$E$24+$I57/$E$25</f>
        <v>5.7674418604651159</v>
      </c>
      <c r="Q57" s="97">
        <f t="shared" si="2"/>
        <v>1.7082763938087111E-6</v>
      </c>
      <c r="R57" s="91">
        <f>($C$7*$E$14*$E$8*$E57/$D57^2*Q57*10^6)</f>
        <v>0.37961697640193576</v>
      </c>
      <c r="S57" s="91">
        <f>IF($F57=0,0,1+($F57-$F$21)/$F$22)+$G57/$F$23+$H57/$F$24+$I57/$F$25</f>
        <v>9.1481481481481488</v>
      </c>
      <c r="T57" s="97">
        <f t="shared" si="3"/>
        <v>7.1097094323124171E-10</v>
      </c>
      <c r="U57" s="91">
        <f>($C$7*$F$14*$F$8*$E57/$D57^2*T57*10^6)</f>
        <v>1.5799354294027593E-4</v>
      </c>
      <c r="V57" s="91">
        <f>IF($F57=0,0,1+($F57-$G$21)/$G$22)+$G57/$G$23+$H57/$G$24+$I57/$G$25</f>
        <v>6.9444444444444446</v>
      </c>
      <c r="W57" s="97">
        <f t="shared" si="4"/>
        <v>1.136463666385722E-7</v>
      </c>
      <c r="X57" s="76">
        <f>($C$7*$G$14*$G$8*$E57/$D57^2*W57*10^6)</f>
        <v>2.5254748141904933E-2</v>
      </c>
      <c r="Y57" s="324">
        <f>SUM(L57,O57,R57,U57,X57)</f>
        <v>0.46273676628592059</v>
      </c>
      <c r="Z57" s="325"/>
      <c r="AA57" s="326"/>
      <c r="AG57" s="328"/>
      <c r="AI57" s="328"/>
      <c r="AJ57" s="328"/>
      <c r="AK57" s="328"/>
      <c r="AL57" s="328"/>
      <c r="AP57" s="222"/>
      <c r="AQ57" s="211"/>
      <c r="AR57" s="222"/>
      <c r="AS57" s="222"/>
      <c r="AT57" s="225"/>
      <c r="AU57" s="225"/>
      <c r="AV57" s="225"/>
      <c r="AW57" s="225"/>
      <c r="AX57" s="225"/>
      <c r="AY57" s="300"/>
      <c r="AZ57" s="300"/>
    </row>
    <row r="58" spans="1:52" s="212" customFormat="1" ht="30" customHeight="1" thickBot="1" x14ac:dyDescent="0.3">
      <c r="A58" s="343" t="str">
        <f>Samenvatting!A85</f>
        <v>B7</v>
      </c>
      <c r="B58" s="338" t="str">
        <f>Samenvatting!B85</f>
        <v>bedieningsruimte Linac 7</v>
      </c>
      <c r="C58" s="331" t="s">
        <v>568</v>
      </c>
      <c r="D58" s="1836">
        <v>5</v>
      </c>
      <c r="E58" s="89"/>
      <c r="F58" s="1834">
        <v>250</v>
      </c>
      <c r="G58" s="1834">
        <v>0</v>
      </c>
      <c r="H58" s="1834">
        <v>0</v>
      </c>
      <c r="I58" s="1835">
        <v>0</v>
      </c>
      <c r="J58" s="91">
        <f>$F58/$C$27+$G58/$C$28+$H58/$C$29+$I58/$C$30</f>
        <v>7.3529411764705879</v>
      </c>
      <c r="K58" s="97">
        <f t="shared" si="0"/>
        <v>4.4366873309786093E-8</v>
      </c>
      <c r="L58" s="91">
        <f>($C$7*$C$15*$C$8*($C$9+$C$10*$C$11)/$D58^2*K58*10^6)</f>
        <v>1.0648049594348663E-3</v>
      </c>
      <c r="M58" s="91">
        <f>$F58/$D$27+$G58/$D$28+$H58/$D$29+$I58/$D$30</f>
        <v>6.5789473684210522</v>
      </c>
      <c r="N58" s="97">
        <f t="shared" si="1"/>
        <v>2.636650898730358E-7</v>
      </c>
      <c r="O58" s="91">
        <f>($C$7*$C$15*$D$8*($D$9+$D$10*$D$11)/$D58^2*N58*10^6)</f>
        <v>6.3279621569528599E-3</v>
      </c>
      <c r="P58" s="91">
        <f>$F58/$E$27+$G58/$E$28+$H58/$E$29+$I58/$E$30</f>
        <v>5.6818181818181817</v>
      </c>
      <c r="Q58" s="97">
        <f t="shared" si="2"/>
        <v>2.0805675382171676E-6</v>
      </c>
      <c r="R58" s="91">
        <f>($C$7*$C$15*$E$8*($E$9+$E$10*$E$11)/$D58^2*Q58*10^6)</f>
        <v>4.9933620917212027E-2</v>
      </c>
      <c r="S58" s="91">
        <f>$F58/$F$27+$G58/$F$28+$H58/$F$29+$I58/$F$30</f>
        <v>8.1967213114754092</v>
      </c>
      <c r="T58" s="97">
        <f t="shared" si="3"/>
        <v>6.3573875711648393E-9</v>
      </c>
      <c r="U58" s="91">
        <f>($C$7*$C$15*$F$8*($F$9+$F$10*$F$11)/$D58^2*T58*10^6)</f>
        <v>1.5257730170795616E-4</v>
      </c>
      <c r="V58" s="91">
        <f>$F58/$G$27+$G58/$G$28+$H58/$G$29+$I58/$G$30</f>
        <v>7.0224719101123592</v>
      </c>
      <c r="W58" s="97">
        <f t="shared" si="4"/>
        <v>9.4957241494880226E-8</v>
      </c>
      <c r="X58" s="76">
        <f>($C$7*$C$15*$G$8*($G$9+$G$10*$G$11)/$D58^2*W58*10^6)</f>
        <v>2.278973795877126E-3</v>
      </c>
      <c r="Y58" s="339">
        <f>SUM(L58,O58,R58,U58,X58)</f>
        <v>5.9757939131184837E-2</v>
      </c>
      <c r="Z58" s="333">
        <f>SUM(Y56:Y59)</f>
        <v>0.52249470541710541</v>
      </c>
      <c r="AA58" s="334">
        <f>Z58*52/10^3</f>
        <v>2.7169724681689482E-2</v>
      </c>
      <c r="AG58" s="328"/>
      <c r="AH58" s="328"/>
      <c r="AI58" s="328"/>
      <c r="AJ58" s="328"/>
      <c r="AK58" s="328"/>
      <c r="AL58" s="328"/>
      <c r="AP58" s="222"/>
      <c r="AQ58" s="211"/>
      <c r="AR58" s="222"/>
      <c r="AS58" s="222"/>
      <c r="AT58" s="225"/>
      <c r="AU58" s="225"/>
      <c r="AV58" s="225"/>
      <c r="AW58" s="225"/>
      <c r="AX58" s="225"/>
      <c r="AY58" s="300"/>
      <c r="AZ58" s="300"/>
    </row>
    <row r="59" spans="1:52" s="212" customFormat="1" ht="30" hidden="1" customHeight="1" thickBot="1" x14ac:dyDescent="0.3">
      <c r="A59" s="317"/>
      <c r="B59" s="317"/>
      <c r="C59" s="318"/>
      <c r="D59" s="1838"/>
      <c r="E59" s="1839"/>
      <c r="F59" s="1839"/>
      <c r="G59" s="1839"/>
      <c r="H59" s="1839"/>
      <c r="I59" s="1839"/>
      <c r="J59" s="91"/>
      <c r="K59" s="97"/>
      <c r="L59" s="91"/>
      <c r="M59" s="91"/>
      <c r="N59" s="97"/>
      <c r="O59" s="91"/>
      <c r="P59" s="91"/>
      <c r="Q59" s="97"/>
      <c r="R59" s="91"/>
      <c r="S59" s="91"/>
      <c r="T59" s="97"/>
      <c r="U59" s="91"/>
      <c r="V59" s="91"/>
      <c r="W59" s="97"/>
      <c r="X59" s="76"/>
      <c r="Y59" s="316"/>
      <c r="Z59" s="344"/>
      <c r="AA59" s="345"/>
      <c r="AG59" s="328"/>
      <c r="AH59" s="328"/>
      <c r="AI59" s="328"/>
      <c r="AJ59" s="328"/>
      <c r="AK59" s="328"/>
      <c r="AL59" s="328"/>
      <c r="AP59" s="222"/>
      <c r="AQ59" s="211"/>
      <c r="AR59" s="222"/>
      <c r="AS59" s="222"/>
      <c r="AT59" s="225"/>
      <c r="AU59" s="225"/>
      <c r="AV59" s="225"/>
      <c r="AW59" s="225"/>
      <c r="AX59" s="225"/>
      <c r="AY59" s="300"/>
      <c r="AZ59" s="300"/>
    </row>
    <row r="60" spans="1:52" s="212" customFormat="1" ht="30" customHeight="1" x14ac:dyDescent="0.25">
      <c r="A60" s="322"/>
      <c r="B60" s="322"/>
      <c r="C60" s="323" t="s">
        <v>569</v>
      </c>
      <c r="D60" s="1840">
        <v>6</v>
      </c>
      <c r="E60" s="1840">
        <v>1</v>
      </c>
      <c r="F60" s="1834">
        <v>250</v>
      </c>
      <c r="G60" s="1834">
        <v>0</v>
      </c>
      <c r="H60" s="1834">
        <v>0</v>
      </c>
      <c r="I60" s="1835">
        <v>0</v>
      </c>
      <c r="J60" s="91">
        <f>IF($F60=0,0,1+($F60-$C$21)/$C$22)+$G60/$C$23+$H60/$C$24+$I60/$C$25</f>
        <v>7.4545454545454541</v>
      </c>
      <c r="K60" s="97">
        <f t="shared" si="0"/>
        <v>3.5111917342151263E-8</v>
      </c>
      <c r="L60" s="91">
        <f>($C$7*$C$14*$C$8*$E60/$D60^2*K60*10^6)</f>
        <v>7.8026482982558355E-3</v>
      </c>
      <c r="M60" s="91">
        <f>IF($F60=0,0,1+($F60-$D$21)/$D$22)+$G60/$D$23+$H60/$D$24+$I60/$D$25</f>
        <v>6.6486486486486482</v>
      </c>
      <c r="N60" s="97">
        <f t="shared" si="1"/>
        <v>2.2456979955397711E-7</v>
      </c>
      <c r="O60" s="91">
        <f>($C$7*$D$14*$D$8*$E60/$D60^2*N60*10^6)</f>
        <v>4.99043999008838E-2</v>
      </c>
      <c r="P60" s="91">
        <f>IF($F60=0,0,1+($F60-$E$21)/$E$22)+$G60/$E$23+$H60/$E$24+$I60/$E$25</f>
        <v>5.7674418604651159</v>
      </c>
      <c r="Q60" s="97">
        <f t="shared" si="2"/>
        <v>1.7082763938087111E-6</v>
      </c>
      <c r="R60" s="91">
        <f>($C$7*$E$14*$E$8*$E60/$D60^2*Q60*10^6)</f>
        <v>0.37961697640193576</v>
      </c>
      <c r="S60" s="91">
        <f>IF($F60=0,0,1+($F60-$F$21)/$F$22)+$G60/$F$23+$H60/$F$24+$I60/$F$25</f>
        <v>9.1481481481481488</v>
      </c>
      <c r="T60" s="97">
        <f t="shared" si="3"/>
        <v>7.1097094323124171E-10</v>
      </c>
      <c r="U60" s="91">
        <f>($C$7*$F$14*$F$8*$E60/$D60^2*T60*10^6)</f>
        <v>1.5799354294027593E-4</v>
      </c>
      <c r="V60" s="91">
        <f>IF($F60=0,0,1+($F60-$G$21)/$G$22)+$G60/$G$23+$H60/$G$24+$I60/$G$25</f>
        <v>6.9444444444444446</v>
      </c>
      <c r="W60" s="97">
        <f t="shared" si="4"/>
        <v>1.136463666385722E-7</v>
      </c>
      <c r="X60" s="76">
        <f>($C$7*$G$14*$G$8*$E60/$D60^2*W60*10^6)</f>
        <v>2.5254748141904933E-2</v>
      </c>
      <c r="Y60" s="324">
        <f>SUM(L60,O60,R60,U60,X60)</f>
        <v>0.46273676628592059</v>
      </c>
      <c r="Z60" s="325"/>
      <c r="AA60" s="326"/>
      <c r="AG60" s="328"/>
      <c r="AI60" s="328"/>
      <c r="AJ60" s="328"/>
      <c r="AK60" s="328"/>
      <c r="AL60" s="328"/>
      <c r="AP60" s="222"/>
      <c r="AQ60" s="211"/>
      <c r="AR60" s="222"/>
      <c r="AS60" s="222"/>
      <c r="AT60" s="225"/>
      <c r="AU60" s="225"/>
      <c r="AV60" s="225"/>
      <c r="AW60" s="225"/>
      <c r="AX60" s="225"/>
      <c r="AY60" s="300"/>
      <c r="AZ60" s="300"/>
    </row>
    <row r="61" spans="1:52" s="212" customFormat="1" ht="30" customHeight="1" thickBot="1" x14ac:dyDescent="0.3">
      <c r="A61" s="343" t="str">
        <f>Samenvatting!A97</f>
        <v>B8</v>
      </c>
      <c r="B61" s="338" t="str">
        <f>Samenvatting!B97</f>
        <v>bedieningsruimte Linac 8</v>
      </c>
      <c r="C61" s="331" t="s">
        <v>568</v>
      </c>
      <c r="D61" s="1836">
        <v>5</v>
      </c>
      <c r="E61" s="89"/>
      <c r="F61" s="1834">
        <v>250</v>
      </c>
      <c r="G61" s="1834">
        <v>0</v>
      </c>
      <c r="H61" s="1834">
        <v>0</v>
      </c>
      <c r="I61" s="1835">
        <v>0</v>
      </c>
      <c r="J61" s="91">
        <f>$F61/$C$27+$G61/$C$28+$H61/$C$29+$I61/$C$30</f>
        <v>7.3529411764705879</v>
      </c>
      <c r="K61" s="97">
        <f t="shared" si="0"/>
        <v>4.4366873309786093E-8</v>
      </c>
      <c r="L61" s="91">
        <f>($C$7*$C$15*$C$8*($C$9+$C$10*$C$11)/$D61^2*K61*10^6)</f>
        <v>1.0648049594348663E-3</v>
      </c>
      <c r="M61" s="91">
        <f>$F61/$D$27+$G61/$D$28+$H61/$D$29+$I61/$D$30</f>
        <v>6.5789473684210522</v>
      </c>
      <c r="N61" s="97">
        <f t="shared" si="1"/>
        <v>2.636650898730358E-7</v>
      </c>
      <c r="O61" s="91">
        <f>($C$7*$C$15*$D$8*($D$9+$D$10*$D$11)/$D61^2*N61*10^6)</f>
        <v>6.3279621569528599E-3</v>
      </c>
      <c r="P61" s="91">
        <f>$F61/$E$27+$G61/$E$28+$H61/$E$29+$I61/$E$30</f>
        <v>5.6818181818181817</v>
      </c>
      <c r="Q61" s="97">
        <f t="shared" si="2"/>
        <v>2.0805675382171676E-6</v>
      </c>
      <c r="R61" s="91">
        <f>($C$7*$C$15*$E$8*($E$9+$E$10*$E$11)/$D61^2*Q61*10^6)</f>
        <v>4.9933620917212027E-2</v>
      </c>
      <c r="S61" s="91">
        <f>$F61/$F$27+$G61/$F$28+$H61/$F$29+$I61/$F$30</f>
        <v>8.1967213114754092</v>
      </c>
      <c r="T61" s="97">
        <f t="shared" si="3"/>
        <v>6.3573875711648393E-9</v>
      </c>
      <c r="U61" s="91">
        <f>($C$7*$C$15*$F$8*($F$9+$F$10*$F$11)/$D61^2*T61*10^6)</f>
        <v>1.5257730170795616E-4</v>
      </c>
      <c r="V61" s="91">
        <f>$F61/$G$27+$G61/$G$28+$H61/$G$29+$I61/$G$30</f>
        <v>7.0224719101123592</v>
      </c>
      <c r="W61" s="97">
        <f t="shared" si="4"/>
        <v>9.4957241494880226E-8</v>
      </c>
      <c r="X61" s="76">
        <f>($C$7*$C$15*$G$8*($G$9+$G$10*$G$11)/$D61^2*W61*10^6)</f>
        <v>2.278973795877126E-3</v>
      </c>
      <c r="Y61" s="339">
        <f>SUM(L61,O61,R61,U61,X61)</f>
        <v>5.9757939131184837E-2</v>
      </c>
      <c r="Z61" s="333">
        <f>SUM(Y59:Y62)</f>
        <v>0.52249470541710541</v>
      </c>
      <c r="AA61" s="334">
        <f>Z61*52/10^3</f>
        <v>2.7169724681689482E-2</v>
      </c>
      <c r="AG61" s="328"/>
      <c r="AH61" s="328"/>
      <c r="AI61" s="328"/>
      <c r="AJ61" s="328"/>
      <c r="AK61" s="328"/>
      <c r="AL61" s="328"/>
      <c r="AP61" s="222"/>
      <c r="AQ61" s="211"/>
      <c r="AR61" s="222"/>
      <c r="AS61" s="222"/>
      <c r="AT61" s="225"/>
      <c r="AU61" s="225"/>
      <c r="AV61" s="225"/>
      <c r="AW61" s="225"/>
      <c r="AX61" s="225"/>
      <c r="AY61" s="300"/>
      <c r="AZ61" s="300"/>
    </row>
    <row r="62" spans="1:52" s="212" customFormat="1" ht="30" hidden="1" customHeight="1" thickBot="1" x14ac:dyDescent="0.3">
      <c r="A62" s="317"/>
      <c r="B62" s="317"/>
      <c r="C62" s="318"/>
      <c r="D62" s="1838"/>
      <c r="E62" s="1839"/>
      <c r="F62" s="1839"/>
      <c r="G62" s="1839"/>
      <c r="H62" s="1839"/>
      <c r="I62" s="1839"/>
      <c r="J62" s="91"/>
      <c r="K62" s="97"/>
      <c r="L62" s="91"/>
      <c r="M62" s="91"/>
      <c r="N62" s="97"/>
      <c r="O62" s="91"/>
      <c r="P62" s="91"/>
      <c r="Q62" s="97"/>
      <c r="R62" s="91"/>
      <c r="S62" s="91"/>
      <c r="T62" s="97"/>
      <c r="U62" s="91"/>
      <c r="V62" s="91"/>
      <c r="W62" s="97"/>
      <c r="X62" s="76"/>
      <c r="Y62" s="316"/>
      <c r="Z62" s="344"/>
      <c r="AA62" s="345"/>
      <c r="AG62" s="328"/>
      <c r="AH62" s="328"/>
      <c r="AI62" s="328"/>
      <c r="AJ62" s="328"/>
      <c r="AK62" s="328"/>
      <c r="AL62" s="328"/>
      <c r="AP62" s="222"/>
      <c r="AQ62" s="211"/>
      <c r="AR62" s="222"/>
      <c r="AS62" s="222"/>
      <c r="AT62" s="225"/>
      <c r="AU62" s="225"/>
      <c r="AV62" s="225"/>
      <c r="AW62" s="225"/>
      <c r="AX62" s="225"/>
      <c r="AY62" s="300"/>
      <c r="AZ62" s="300"/>
    </row>
    <row r="63" spans="1:52" s="212" customFormat="1" ht="30" customHeight="1" x14ac:dyDescent="0.25">
      <c r="A63" s="322"/>
      <c r="B63" s="322"/>
      <c r="C63" s="323" t="s">
        <v>569</v>
      </c>
      <c r="D63" s="1840">
        <v>6</v>
      </c>
      <c r="E63" s="1840">
        <v>1</v>
      </c>
      <c r="F63" s="1834">
        <v>250</v>
      </c>
      <c r="G63" s="1834">
        <v>0</v>
      </c>
      <c r="H63" s="1834">
        <v>0</v>
      </c>
      <c r="I63" s="1835">
        <v>0</v>
      </c>
      <c r="J63" s="91">
        <f>IF($F63=0,0,1+($F63-$C$21)/$C$22)+$G63/$C$23+$H63/$C$24+$I63/$C$25</f>
        <v>7.4545454545454541</v>
      </c>
      <c r="K63" s="97">
        <f t="shared" si="0"/>
        <v>3.5111917342151263E-8</v>
      </c>
      <c r="L63" s="91">
        <f>($C$7*$C$14*$C$8*$E63/$D63^2*K63*10^6)</f>
        <v>7.8026482982558355E-3</v>
      </c>
      <c r="M63" s="91">
        <f>IF($F63=0,0,1+($F63-$D$21)/$D$22)+$G63/$D$23+$H63/$D$24+$I63/$D$25</f>
        <v>6.6486486486486482</v>
      </c>
      <c r="N63" s="97">
        <f t="shared" si="1"/>
        <v>2.2456979955397711E-7</v>
      </c>
      <c r="O63" s="91">
        <f>($C$7*$D$14*$D$8*$E63/$D63^2*N63*10^6)</f>
        <v>4.99043999008838E-2</v>
      </c>
      <c r="P63" s="91">
        <f>IF($F63=0,0,1+($F63-$E$21)/$E$22)+$G63/$E$23+$H63/$E$24+$I63/$E$25</f>
        <v>5.7674418604651159</v>
      </c>
      <c r="Q63" s="97">
        <f t="shared" si="2"/>
        <v>1.7082763938087111E-6</v>
      </c>
      <c r="R63" s="91">
        <f>($C$7*$E$14*$E$8*$E63/$D63^2*Q63*10^6)</f>
        <v>0.37961697640193576</v>
      </c>
      <c r="S63" s="91">
        <f>IF($F63=0,0,1+($F63-$F$21)/$F$22)+$G63/$F$23+$H63/$F$24+$I63/$F$25</f>
        <v>9.1481481481481488</v>
      </c>
      <c r="T63" s="97">
        <f t="shared" si="3"/>
        <v>7.1097094323124171E-10</v>
      </c>
      <c r="U63" s="91">
        <f>($C$7*$F$14*$F$8*$E63/$D63^2*T63*10^6)</f>
        <v>1.5799354294027593E-4</v>
      </c>
      <c r="V63" s="91">
        <f>IF($F63=0,0,1+($F63-$G$21)/$G$22)+$G63/$G$23+$H63/$G$24+$I63/$G$25</f>
        <v>6.9444444444444446</v>
      </c>
      <c r="W63" s="97">
        <f t="shared" si="4"/>
        <v>1.136463666385722E-7</v>
      </c>
      <c r="X63" s="76">
        <f>($C$7*$G$14*$G$8*$E63/$D63^2*W63*10^6)</f>
        <v>2.5254748141904933E-2</v>
      </c>
      <c r="Y63" s="324">
        <f>SUM(L63,O63,R63,U63,X63)</f>
        <v>0.46273676628592059</v>
      </c>
      <c r="Z63" s="325"/>
      <c r="AA63" s="326"/>
      <c r="AG63" s="328"/>
      <c r="AI63" s="328"/>
      <c r="AJ63" s="328"/>
      <c r="AK63" s="328"/>
      <c r="AL63" s="328"/>
      <c r="AP63" s="222"/>
      <c r="AQ63" s="211"/>
      <c r="AR63" s="222"/>
      <c r="AS63" s="222"/>
      <c r="AT63" s="225"/>
      <c r="AU63" s="225"/>
      <c r="AV63" s="225"/>
      <c r="AW63" s="225"/>
      <c r="AX63" s="225"/>
      <c r="AY63" s="300"/>
      <c r="AZ63" s="300"/>
    </row>
    <row r="64" spans="1:52" s="212" customFormat="1" ht="30" customHeight="1" thickBot="1" x14ac:dyDescent="0.3">
      <c r="A64" s="343" t="str">
        <f>Samenvatting!A109</f>
        <v>B9</v>
      </c>
      <c r="B64" s="338" t="str">
        <f>Samenvatting!B109</f>
        <v>bedieningsruimte Linac 9</v>
      </c>
      <c r="C64" s="331" t="s">
        <v>568</v>
      </c>
      <c r="D64" s="1843">
        <v>5</v>
      </c>
      <c r="E64" s="347"/>
      <c r="F64" s="1834">
        <v>250</v>
      </c>
      <c r="G64" s="1834">
        <v>0</v>
      </c>
      <c r="H64" s="1834">
        <v>0</v>
      </c>
      <c r="I64" s="1835">
        <v>0</v>
      </c>
      <c r="J64" s="91">
        <f>$F64/$C$27+$G64/$C$28+$H64/$C$29+$I64/$C$30</f>
        <v>7.3529411764705879</v>
      </c>
      <c r="K64" s="97">
        <f t="shared" si="0"/>
        <v>4.4366873309786093E-8</v>
      </c>
      <c r="L64" s="91">
        <f>($C$7*$C$15*$C$8*($C$9+$C$10*$C$11)/$D64^2*K64*10^6)</f>
        <v>1.0648049594348663E-3</v>
      </c>
      <c r="M64" s="91">
        <f>$F64/$D$27+$G64/$D$28+$H64/$D$29+$I64/$D$30</f>
        <v>6.5789473684210522</v>
      </c>
      <c r="N64" s="97">
        <f t="shared" si="1"/>
        <v>2.636650898730358E-7</v>
      </c>
      <c r="O64" s="91">
        <f>($C$7*$C$15*$D$8*($D$9+$D$10*$D$11)/$D64^2*N64*10^6)</f>
        <v>6.3279621569528599E-3</v>
      </c>
      <c r="P64" s="91">
        <f>$F64/$E$27+$G64/$E$28+$H64/$E$29+$I64/$E$30</f>
        <v>5.6818181818181817</v>
      </c>
      <c r="Q64" s="97">
        <f t="shared" si="2"/>
        <v>2.0805675382171676E-6</v>
      </c>
      <c r="R64" s="91">
        <f>($C$7*$C$15*$E$8*($E$9+$E$10*$E$11)/$D64^2*Q64*10^6)</f>
        <v>4.9933620917212027E-2</v>
      </c>
      <c r="S64" s="91">
        <f>$F64/$F$27+$G64/$F$28+$H64/$F$29+$I64/$F$30</f>
        <v>8.1967213114754092</v>
      </c>
      <c r="T64" s="97">
        <f t="shared" si="3"/>
        <v>6.3573875711648393E-9</v>
      </c>
      <c r="U64" s="91">
        <f>($C$7*$C$15*$F$8*($F$9+$F$10*$F$11)/$D64^2*T64*10^6)</f>
        <v>1.5257730170795616E-4</v>
      </c>
      <c r="V64" s="91">
        <f>$F64/$G$27+$G64/$G$28+$H64/$G$29+$I64/$G$30</f>
        <v>7.0224719101123592</v>
      </c>
      <c r="W64" s="97">
        <f t="shared" si="4"/>
        <v>9.4957241494880226E-8</v>
      </c>
      <c r="X64" s="76">
        <f>($C$7*$C$15*$G$8*($G$9+$G$10*$G$11)/$D64^2*W64*10^6)</f>
        <v>2.278973795877126E-3</v>
      </c>
      <c r="Y64" s="339">
        <f>SUM(L64,O64,R64,U64,X64)</f>
        <v>5.9757939131184837E-2</v>
      </c>
      <c r="Z64" s="333">
        <f>SUM(Y62:Y65)</f>
        <v>0.52249470541710541</v>
      </c>
      <c r="AA64" s="334">
        <f>Z64*52/10^3</f>
        <v>2.7169724681689482E-2</v>
      </c>
      <c r="AG64" s="328"/>
      <c r="AH64" s="328"/>
      <c r="AI64" s="328"/>
      <c r="AJ64" s="328"/>
      <c r="AK64" s="328"/>
      <c r="AL64" s="328"/>
      <c r="AP64" s="222"/>
      <c r="AQ64" s="211"/>
      <c r="AR64" s="222"/>
      <c r="AS64" s="222"/>
      <c r="AT64" s="225"/>
      <c r="AU64" s="225"/>
      <c r="AV64" s="225"/>
      <c r="AW64" s="225"/>
      <c r="AX64" s="225"/>
      <c r="AY64" s="300"/>
      <c r="AZ64" s="300"/>
    </row>
    <row r="65" spans="1:52" s="212" customFormat="1" ht="30" hidden="1" customHeight="1" thickBot="1" x14ac:dyDescent="0.3">
      <c r="A65" s="317"/>
      <c r="B65" s="317"/>
      <c r="C65" s="318"/>
      <c r="D65" s="1838"/>
      <c r="E65" s="1839"/>
      <c r="F65" s="1839"/>
      <c r="G65" s="1839"/>
      <c r="H65" s="1839"/>
      <c r="I65" s="1839"/>
      <c r="J65" s="91"/>
      <c r="K65" s="97"/>
      <c r="L65" s="91"/>
      <c r="M65" s="91"/>
      <c r="N65" s="97"/>
      <c r="O65" s="91"/>
      <c r="P65" s="91"/>
      <c r="Q65" s="97"/>
      <c r="R65" s="91"/>
      <c r="S65" s="91"/>
      <c r="T65" s="97"/>
      <c r="U65" s="91"/>
      <c r="V65" s="91"/>
      <c r="W65" s="97"/>
      <c r="X65" s="76"/>
      <c r="Y65" s="316"/>
      <c r="Z65" s="344"/>
      <c r="AA65" s="345"/>
      <c r="AG65" s="328"/>
      <c r="AH65" s="328"/>
      <c r="AI65" s="328"/>
      <c r="AJ65" s="328"/>
      <c r="AK65" s="328"/>
      <c r="AL65" s="328"/>
      <c r="AP65" s="222"/>
      <c r="AQ65" s="211"/>
      <c r="AR65" s="222"/>
      <c r="AS65" s="222"/>
      <c r="AT65" s="225"/>
      <c r="AU65" s="225"/>
      <c r="AV65" s="225"/>
      <c r="AW65" s="225"/>
      <c r="AX65" s="225"/>
      <c r="AY65" s="300"/>
      <c r="AZ65" s="300"/>
    </row>
    <row r="66" spans="1:52" s="212" customFormat="1" ht="30" customHeight="1" x14ac:dyDescent="0.25">
      <c r="A66" s="322"/>
      <c r="B66" s="322"/>
      <c r="C66" s="323" t="s">
        <v>569</v>
      </c>
      <c r="D66" s="1840">
        <v>6</v>
      </c>
      <c r="E66" s="1840">
        <v>1</v>
      </c>
      <c r="F66" s="1834">
        <v>250</v>
      </c>
      <c r="G66" s="1834">
        <v>0</v>
      </c>
      <c r="H66" s="1834">
        <v>0</v>
      </c>
      <c r="I66" s="1835">
        <v>0</v>
      </c>
      <c r="J66" s="91">
        <f>IF($F66=0,0,1+($F66-$C$21)/$C$22)+$G66/$C$23+$H66/$C$24+$I66/$C$25</f>
        <v>7.4545454545454541</v>
      </c>
      <c r="K66" s="97">
        <f t="shared" si="0"/>
        <v>3.5111917342151263E-8</v>
      </c>
      <c r="L66" s="91">
        <f>($C$7*$C$14*$C$8*$E66/$D66^2*K66*10^6)</f>
        <v>7.8026482982558355E-3</v>
      </c>
      <c r="M66" s="91">
        <f>IF($F66=0,0,1+($F66-$D$21)/$D$22)+$G66/$D$23+$H66/$D$24+$I66/$D$25</f>
        <v>6.6486486486486482</v>
      </c>
      <c r="N66" s="97">
        <f t="shared" si="1"/>
        <v>2.2456979955397711E-7</v>
      </c>
      <c r="O66" s="91">
        <f>($C$7*$D$14*$D$8*$E66/$D66^2*N66*10^6)</f>
        <v>4.99043999008838E-2</v>
      </c>
      <c r="P66" s="91">
        <f>IF($F66=0,0,1+($F66-$E$21)/$E$22)+$G66/$E$23+$H66/$E$24+$I66/$E$25</f>
        <v>5.7674418604651159</v>
      </c>
      <c r="Q66" s="97">
        <f t="shared" si="2"/>
        <v>1.7082763938087111E-6</v>
      </c>
      <c r="R66" s="91">
        <f>($C$7*$E$14*$E$8*$E66/$D66^2*Q66*10^6)</f>
        <v>0.37961697640193576</v>
      </c>
      <c r="S66" s="91">
        <f>IF($F66=0,0,1+($F66-$F$21)/$F$22)+$G66/$F$23+$H66/$F$24+$I66/$F$25</f>
        <v>9.1481481481481488</v>
      </c>
      <c r="T66" s="97">
        <f t="shared" si="3"/>
        <v>7.1097094323124171E-10</v>
      </c>
      <c r="U66" s="91">
        <f>($C$7*$F$14*$F$8*$E66/$D66^2*T66*10^6)</f>
        <v>1.5799354294027593E-4</v>
      </c>
      <c r="V66" s="91">
        <f>IF($F66=0,0,1+($F66-$G$21)/$G$22)+$G66/$G$23+$H66/$G$24+$I66/$G$25</f>
        <v>6.9444444444444446</v>
      </c>
      <c r="W66" s="97">
        <f t="shared" si="4"/>
        <v>1.136463666385722E-7</v>
      </c>
      <c r="X66" s="76">
        <f>($C$7*$G$14*$G$8*$E66/$D66^2*W66*10^6)</f>
        <v>2.5254748141904933E-2</v>
      </c>
      <c r="Y66" s="324">
        <f>SUM(L66,O66,R66,U66,X66)</f>
        <v>0.46273676628592059</v>
      </c>
      <c r="Z66" s="325"/>
      <c r="AA66" s="326"/>
      <c r="AG66" s="328"/>
      <c r="AI66" s="328"/>
      <c r="AJ66" s="328"/>
      <c r="AK66" s="328"/>
      <c r="AL66" s="328"/>
      <c r="AP66" s="222"/>
      <c r="AQ66" s="211"/>
      <c r="AR66" s="222"/>
      <c r="AS66" s="222"/>
      <c r="AT66" s="225"/>
      <c r="AU66" s="225"/>
      <c r="AV66" s="225"/>
      <c r="AW66" s="225"/>
      <c r="AX66" s="225"/>
      <c r="AY66" s="300"/>
      <c r="AZ66" s="300"/>
    </row>
    <row r="67" spans="1:52" s="212" customFormat="1" ht="30" customHeight="1" thickBot="1" x14ac:dyDescent="0.3">
      <c r="A67" s="343" t="str">
        <f>Samenvatting!A121</f>
        <v>B10</v>
      </c>
      <c r="B67" s="656" t="str">
        <f>Samenvatting!B121</f>
        <v>bedieningsruimte Linac 10</v>
      </c>
      <c r="C67" s="331" t="s">
        <v>568</v>
      </c>
      <c r="D67" s="1836">
        <v>5</v>
      </c>
      <c r="E67" s="89"/>
      <c r="F67" s="1834">
        <v>250</v>
      </c>
      <c r="G67" s="1834">
        <v>0</v>
      </c>
      <c r="H67" s="1834">
        <v>0</v>
      </c>
      <c r="I67" s="1835">
        <v>0</v>
      </c>
      <c r="J67" s="91">
        <f>$F67/$C$27+$G67/$C$28+$H67/$C$29+$I67/$C$30</f>
        <v>7.3529411764705879</v>
      </c>
      <c r="K67" s="97">
        <f t="shared" si="0"/>
        <v>4.4366873309786093E-8</v>
      </c>
      <c r="L67" s="91">
        <f>($C$7*$C$15*$C$8*($C$9+$C$10*$C$11)/$D67^2*K67*10^6)</f>
        <v>1.0648049594348663E-3</v>
      </c>
      <c r="M67" s="91">
        <f>$F67/$D$27+$G67/$D$28+$H67/$D$29+$I67/$D$30</f>
        <v>6.5789473684210522</v>
      </c>
      <c r="N67" s="97">
        <f t="shared" si="1"/>
        <v>2.636650898730358E-7</v>
      </c>
      <c r="O67" s="91">
        <f>($C$7*$C$15*$D$8*($D$9+$D$10*$D$11)/$D67^2*N67*10^6)</f>
        <v>6.3279621569528599E-3</v>
      </c>
      <c r="P67" s="91">
        <f>$F67/$E$27+$G67/$E$28+$H67/$E$29+$I67/$E$30</f>
        <v>5.6818181818181817</v>
      </c>
      <c r="Q67" s="97">
        <f t="shared" si="2"/>
        <v>2.0805675382171676E-6</v>
      </c>
      <c r="R67" s="91">
        <f>($C$7*$C$15*$E$8*($E$9+$E$10*$E$11)/$D67^2*Q67*10^6)</f>
        <v>4.9933620917212027E-2</v>
      </c>
      <c r="S67" s="91">
        <f>$F67/$F$27+$G67/$F$28+$H67/$F$29+$I67/$F$30</f>
        <v>8.1967213114754092</v>
      </c>
      <c r="T67" s="97">
        <f t="shared" si="3"/>
        <v>6.3573875711648393E-9</v>
      </c>
      <c r="U67" s="91">
        <f>($C$7*$C$15*$F$8*($F$9+$F$10*$F$11)/$D67^2*T67*10^6)</f>
        <v>1.5257730170795616E-4</v>
      </c>
      <c r="V67" s="91">
        <f>$F67/$G$27+$G67/$G$28+$H67/$G$29+$I67/$G$30</f>
        <v>7.0224719101123592</v>
      </c>
      <c r="W67" s="97">
        <f t="shared" si="4"/>
        <v>9.4957241494880226E-8</v>
      </c>
      <c r="X67" s="76">
        <f>($C$7*$C$15*$G$8*($G$9+$G$10*$G$11)/$D67^2*W67*10^6)</f>
        <v>2.278973795877126E-3</v>
      </c>
      <c r="Y67" s="339">
        <f>SUM(L67,O67,R67,U67,X67)</f>
        <v>5.9757939131184837E-2</v>
      </c>
      <c r="Z67" s="333">
        <f>SUM(Y65:Y68)</f>
        <v>0.52249470541710541</v>
      </c>
      <c r="AA67" s="334">
        <f>Z67*52/10^3</f>
        <v>2.7169724681689482E-2</v>
      </c>
      <c r="AG67" s="328"/>
      <c r="AH67" s="328"/>
      <c r="AI67" s="328"/>
      <c r="AJ67" s="328"/>
      <c r="AK67" s="328"/>
      <c r="AL67" s="328"/>
      <c r="AP67" s="222"/>
      <c r="AQ67" s="211"/>
      <c r="AR67" s="222"/>
      <c r="AS67" s="222"/>
      <c r="AT67" s="225"/>
      <c r="AU67" s="225"/>
      <c r="AV67" s="225"/>
      <c r="AW67" s="225"/>
      <c r="AX67" s="225"/>
      <c r="AY67" s="300"/>
      <c r="AZ67" s="300"/>
    </row>
    <row r="68" spans="1:52" s="212" customFormat="1" ht="30" hidden="1" customHeight="1" thickBot="1" x14ac:dyDescent="0.3">
      <c r="A68" s="312"/>
      <c r="B68" s="450"/>
      <c r="C68" s="318"/>
      <c r="D68" s="58"/>
      <c r="E68" s="58"/>
      <c r="F68" s="58"/>
      <c r="G68" s="58"/>
      <c r="H68" s="58"/>
      <c r="I68" s="58"/>
      <c r="J68" s="91"/>
      <c r="K68" s="97"/>
      <c r="L68" s="91"/>
      <c r="M68" s="91"/>
      <c r="N68" s="97"/>
      <c r="O68" s="91"/>
      <c r="P68" s="91"/>
      <c r="Q68" s="97"/>
      <c r="R68" s="91"/>
      <c r="S68" s="91"/>
      <c r="T68" s="97"/>
      <c r="U68" s="91"/>
      <c r="V68" s="91"/>
      <c r="W68" s="97"/>
      <c r="X68" s="76"/>
      <c r="Y68" s="335"/>
      <c r="Z68" s="344"/>
      <c r="AA68" s="345"/>
      <c r="AG68" s="328"/>
      <c r="AH68" s="328"/>
      <c r="AI68" s="328"/>
      <c r="AJ68" s="328"/>
      <c r="AK68" s="328"/>
      <c r="AL68" s="328"/>
      <c r="AP68" s="222"/>
      <c r="AQ68" s="211"/>
      <c r="AR68" s="222"/>
      <c r="AS68" s="222"/>
      <c r="AT68" s="225"/>
      <c r="AU68" s="225"/>
      <c r="AV68" s="225"/>
      <c r="AW68" s="225"/>
      <c r="AX68" s="225"/>
      <c r="AY68" s="300"/>
      <c r="AZ68" s="300"/>
    </row>
    <row r="69" spans="1:52" s="212" customFormat="1" ht="30" customHeight="1" x14ac:dyDescent="0.25">
      <c r="A69" s="322"/>
      <c r="B69" s="322"/>
      <c r="C69" s="323" t="s">
        <v>569</v>
      </c>
      <c r="D69" s="1859">
        <v>6</v>
      </c>
      <c r="E69" s="1859">
        <v>1</v>
      </c>
      <c r="F69" s="1859">
        <v>250</v>
      </c>
      <c r="G69" s="1859">
        <v>0</v>
      </c>
      <c r="H69" s="1859">
        <v>0</v>
      </c>
      <c r="I69" s="1859">
        <v>0</v>
      </c>
      <c r="J69" s="91">
        <f>IF($F69=0,0,1+($F69-$C$21)/$C$22)+$G69/$C$23+$H69/$C$24+$I69/$C$25</f>
        <v>7.4545454545454541</v>
      </c>
      <c r="K69" s="97">
        <f t="shared" si="0"/>
        <v>3.5111917342151263E-8</v>
      </c>
      <c r="L69" s="91">
        <f>($C$7*$C$14*$C$8*$E69/$D69^2*K69*10^6)</f>
        <v>7.8026482982558355E-3</v>
      </c>
      <c r="M69" s="91">
        <f>IF($F69=0,0,1+($F69-$D$21)/$D$22)+$G69/$D$23+$H69/$D$24+$I69/$D$25</f>
        <v>6.6486486486486482</v>
      </c>
      <c r="N69" s="97">
        <f t="shared" si="1"/>
        <v>2.2456979955397711E-7</v>
      </c>
      <c r="O69" s="91">
        <f>($C$7*$D$14*$D$8*$E69/$D69^2*N69*10^6)</f>
        <v>4.99043999008838E-2</v>
      </c>
      <c r="P69" s="91">
        <f>IF($F69=0,0,1+($F69-$E$21)/$E$22)+$G69/$E$23+$H69/$E$24+$I69/$E$25</f>
        <v>5.7674418604651159</v>
      </c>
      <c r="Q69" s="97">
        <f t="shared" si="2"/>
        <v>1.7082763938087111E-6</v>
      </c>
      <c r="R69" s="91">
        <f>($C$7*$D$14*$E$8*$E69/$D69^2*Q69*10^6)</f>
        <v>0.37961697640193576</v>
      </c>
      <c r="S69" s="91">
        <f>IF($F69=0,0,1+($F69-$F$21)/$F$22)+$G69/$F$23+$H69/$F$24+$I69/$F$25</f>
        <v>9.1481481481481488</v>
      </c>
      <c r="T69" s="97">
        <f t="shared" si="3"/>
        <v>7.1097094323124171E-10</v>
      </c>
      <c r="U69" s="91">
        <f>($C$7*$F$14*$F$8*$E69/$D69^2*T69*10^6)</f>
        <v>1.5799354294027593E-4</v>
      </c>
      <c r="V69" s="91">
        <f>IF($F69=0,0,1+($F69-$G$21)/$G$22)+$G69/$G$23+$H69/$G$24+$I69/$G$25</f>
        <v>6.9444444444444446</v>
      </c>
      <c r="W69" s="97">
        <f t="shared" si="4"/>
        <v>1.136463666385722E-7</v>
      </c>
      <c r="X69" s="76">
        <f>($C$7*$G$14*$G$8*$E69/$D69^2*W69*10^6)</f>
        <v>2.5254748141904933E-2</v>
      </c>
      <c r="Y69" s="324">
        <f>SUM(L69,O69,R69,U69,X69)</f>
        <v>0.46273676628592059</v>
      </c>
      <c r="Z69" s="325"/>
      <c r="AA69" s="350"/>
      <c r="AG69" s="328"/>
      <c r="AI69" s="328"/>
      <c r="AJ69" s="328"/>
      <c r="AK69" s="328"/>
      <c r="AL69" s="328"/>
      <c r="AP69" s="222"/>
      <c r="AQ69" s="211"/>
      <c r="AR69" s="222"/>
      <c r="AS69" s="222"/>
      <c r="AT69" s="225"/>
      <c r="AU69" s="225"/>
      <c r="AV69" s="225"/>
      <c r="AW69" s="225"/>
      <c r="AX69" s="225"/>
      <c r="AY69" s="300"/>
      <c r="AZ69" s="300"/>
    </row>
    <row r="70" spans="1:52" s="212" customFormat="1" ht="30" customHeight="1" thickBot="1" x14ac:dyDescent="0.3">
      <c r="A70" s="329" t="str">
        <f>Samenvatting!A123</f>
        <v>L1</v>
      </c>
      <c r="B70" s="656" t="str">
        <f>Samenvatting!B123</f>
        <v>ingang labyrint linac 1</v>
      </c>
      <c r="C70" s="331" t="s">
        <v>568</v>
      </c>
      <c r="D70" s="1859">
        <v>5</v>
      </c>
      <c r="E70" s="58"/>
      <c r="F70" s="1859">
        <v>250</v>
      </c>
      <c r="G70" s="1859">
        <v>0</v>
      </c>
      <c r="H70" s="1859">
        <v>0</v>
      </c>
      <c r="I70" s="1859">
        <v>0</v>
      </c>
      <c r="J70" s="91">
        <f>$F70/$C$27+$G70/$C$28+$H70/$C$29+$I70/$C$30</f>
        <v>7.3529411764705879</v>
      </c>
      <c r="K70" s="97">
        <f t="shared" si="0"/>
        <v>4.4366873309786093E-8</v>
      </c>
      <c r="L70" s="91">
        <f>($C$7*$C$15*$C$8*($C$9+$C$10*$C$11)/$D70^2*K70*10^6)</f>
        <v>1.0648049594348663E-3</v>
      </c>
      <c r="M70" s="91">
        <f>$F70/$D$27+$G70/$D$28+$H70/$D$29+$I70/$D$30</f>
        <v>6.5789473684210522</v>
      </c>
      <c r="N70" s="97">
        <f t="shared" si="1"/>
        <v>2.636650898730358E-7</v>
      </c>
      <c r="O70" s="91">
        <f>($C$7*$C$15*$D$8*($D$9+$D$10*$D$11)/$D70^2*N70*10^6)</f>
        <v>6.3279621569528599E-3</v>
      </c>
      <c r="P70" s="91">
        <f>$F70/$E$27+$G70/$E$28+$H70/$E$29+$I70/$E$30</f>
        <v>5.6818181818181817</v>
      </c>
      <c r="Q70" s="97">
        <f t="shared" si="2"/>
        <v>2.0805675382171676E-6</v>
      </c>
      <c r="R70" s="91">
        <f>($C$7*$C$15*$E$8*($E$9+$E$10*$E$11)/$D70^2*Q70*10^6)</f>
        <v>4.9933620917212027E-2</v>
      </c>
      <c r="S70" s="91">
        <f>$F70/$F$27+$G70/$F$28+$H70/$F$29+$I70/$F$30</f>
        <v>8.1967213114754092</v>
      </c>
      <c r="T70" s="97">
        <f t="shared" si="3"/>
        <v>6.3573875711648393E-9</v>
      </c>
      <c r="U70" s="91">
        <f>($C$7*$C$15*$F$8*($F$9+$F$10*$F$11)/$D70^2*T70*10^6)</f>
        <v>1.5257730170795616E-4</v>
      </c>
      <c r="V70" s="91">
        <f>$F70/$G$27+$G70/$G$28+$H70/$G$29+$I70/$G$30</f>
        <v>7.0224719101123592</v>
      </c>
      <c r="W70" s="97">
        <f t="shared" si="4"/>
        <v>9.4957241494880226E-8</v>
      </c>
      <c r="X70" s="76">
        <f>($C$7*$C$15*$G$8*($G$9+$G$10*$G$11)/$D70^2*W70*10^6)</f>
        <v>2.278973795877126E-3</v>
      </c>
      <c r="Y70" s="339">
        <f>SUM(L70,O70,R70,U70,X70)</f>
        <v>5.9757939131184837E-2</v>
      </c>
      <c r="Z70" s="363">
        <f>SUM(Y68:Y71)</f>
        <v>0.52249470541710541</v>
      </c>
      <c r="AA70" s="334">
        <f>Z70*52/10^3</f>
        <v>2.7169724681689482E-2</v>
      </c>
      <c r="AG70" s="328"/>
      <c r="AH70" s="328"/>
      <c r="AI70" s="328"/>
      <c r="AJ70" s="328"/>
      <c r="AK70" s="328"/>
      <c r="AL70" s="328"/>
      <c r="AP70" s="222"/>
      <c r="AQ70" s="211"/>
      <c r="AR70" s="222"/>
      <c r="AS70" s="222"/>
      <c r="AT70" s="225"/>
      <c r="AU70" s="225"/>
      <c r="AV70" s="225"/>
      <c r="AW70" s="225"/>
      <c r="AX70" s="225"/>
      <c r="AY70" s="300"/>
      <c r="AZ70" s="300"/>
    </row>
    <row r="71" spans="1:52" s="212" customFormat="1" ht="30" hidden="1" customHeight="1" thickBot="1" x14ac:dyDescent="0.3">
      <c r="A71" s="317"/>
      <c r="B71" s="317"/>
      <c r="C71" s="318"/>
      <c r="D71" s="1871"/>
      <c r="E71" s="1871"/>
      <c r="F71" s="1871"/>
      <c r="G71" s="1871"/>
      <c r="H71" s="1871"/>
      <c r="I71" s="1871"/>
      <c r="J71" s="91"/>
      <c r="K71" s="97"/>
      <c r="L71" s="91"/>
      <c r="M71" s="91"/>
      <c r="N71" s="97"/>
      <c r="O71" s="91"/>
      <c r="P71" s="91"/>
      <c r="Q71" s="97"/>
      <c r="R71" s="91"/>
      <c r="S71" s="91"/>
      <c r="T71" s="97"/>
      <c r="U71" s="91"/>
      <c r="V71" s="91"/>
      <c r="W71" s="97"/>
      <c r="X71" s="76"/>
      <c r="Y71" s="577"/>
      <c r="Z71" s="659"/>
      <c r="AA71" s="660"/>
      <c r="AG71" s="328"/>
      <c r="AH71" s="328"/>
      <c r="AI71" s="328"/>
      <c r="AJ71" s="328"/>
      <c r="AK71" s="328"/>
      <c r="AL71" s="328"/>
      <c r="AP71" s="222"/>
      <c r="AQ71" s="211"/>
      <c r="AR71" s="222"/>
      <c r="AS71" s="222"/>
      <c r="AT71" s="225"/>
      <c r="AU71" s="225"/>
      <c r="AV71" s="225"/>
      <c r="AW71" s="225"/>
      <c r="AX71" s="225"/>
      <c r="AY71" s="300"/>
      <c r="AZ71" s="300"/>
    </row>
    <row r="72" spans="1:52" s="212" customFormat="1" ht="30" customHeight="1" x14ac:dyDescent="0.25">
      <c r="A72" s="322"/>
      <c r="B72" s="322"/>
      <c r="C72" s="323" t="s">
        <v>569</v>
      </c>
      <c r="D72" s="1859">
        <v>6</v>
      </c>
      <c r="E72" s="1859">
        <v>1</v>
      </c>
      <c r="F72" s="1859">
        <v>250</v>
      </c>
      <c r="G72" s="1859">
        <v>0</v>
      </c>
      <c r="H72" s="1859">
        <v>0</v>
      </c>
      <c r="I72" s="1859">
        <v>0</v>
      </c>
      <c r="J72" s="91">
        <f>IF($F72=0,0,1+($F72-$C$21)/$C$22)+$G72/$C$23+$H72/$C$24+$I72/$C$25</f>
        <v>7.4545454545454541</v>
      </c>
      <c r="K72" s="97">
        <f t="shared" si="0"/>
        <v>3.5111917342151263E-8</v>
      </c>
      <c r="L72" s="91">
        <f>($C$7*$C$14*$C$8*$E72/$D72^2*K72*10^6)</f>
        <v>7.8026482982558355E-3</v>
      </c>
      <c r="M72" s="91">
        <f>IF($F72=0,0,1+($F72-$D$21)/$D$22)+$G72/$D$23+$H72/$D$24+$I72/$D$25</f>
        <v>6.6486486486486482</v>
      </c>
      <c r="N72" s="97">
        <f t="shared" si="1"/>
        <v>2.2456979955397711E-7</v>
      </c>
      <c r="O72" s="91">
        <f>($C$7*$D$14*$D$8*$E72/$D72^2*N72*10^6)</f>
        <v>4.99043999008838E-2</v>
      </c>
      <c r="P72" s="91">
        <f>IF($F$72=0,0,1+($F72-$E$21)/$E$22)+$G72/$E$23+$H72/$E$24+$I72/$E$25</f>
        <v>5.7674418604651159</v>
      </c>
      <c r="Q72" s="97">
        <f t="shared" si="2"/>
        <v>1.7082763938087111E-6</v>
      </c>
      <c r="R72" s="91">
        <f>($C$7*$D$14*$E$8*$E72/$D72^2*Q72*10^6)</f>
        <v>0.37961697640193576</v>
      </c>
      <c r="S72" s="91">
        <f>IF($F72=0,0,1+($F72-$F$21)/$F$22)+$G72/$F$23+$H72/$F$24+$I72/$F$25</f>
        <v>9.1481481481481488</v>
      </c>
      <c r="T72" s="97">
        <f t="shared" si="3"/>
        <v>7.1097094323124171E-10</v>
      </c>
      <c r="U72" s="91">
        <f>($C$7*$F$14*$F$8*$E72/$D72^2*T72*10^6)</f>
        <v>1.5799354294027593E-4</v>
      </c>
      <c r="V72" s="91">
        <f>IF($F72=0,0,1+($F72-$G$21)/$G$22)+$G72/$G$23+$H72/$G$24+$I72/$G$25</f>
        <v>6.9444444444444446</v>
      </c>
      <c r="W72" s="97">
        <f t="shared" si="4"/>
        <v>1.136463666385722E-7</v>
      </c>
      <c r="X72" s="76">
        <f>($C$7*$G$14*$G$8*$E72/$D72^2*W72*10^6)</f>
        <v>2.5254748141904933E-2</v>
      </c>
      <c r="Y72" s="324">
        <f>SUM(L72,O72,R72,U72,X72)</f>
        <v>0.46273676628592059</v>
      </c>
      <c r="Z72" s="325"/>
      <c r="AA72" s="350"/>
      <c r="AG72" s="328"/>
      <c r="AI72" s="328"/>
      <c r="AJ72" s="328"/>
      <c r="AK72" s="328"/>
      <c r="AL72" s="328"/>
      <c r="AP72" s="222"/>
      <c r="AQ72" s="211"/>
      <c r="AR72" s="222"/>
      <c r="AS72" s="222"/>
      <c r="AT72" s="225"/>
      <c r="AU72" s="225"/>
      <c r="AV72" s="225"/>
      <c r="AW72" s="225"/>
      <c r="AX72" s="225"/>
      <c r="AY72" s="300"/>
      <c r="AZ72" s="300"/>
    </row>
    <row r="73" spans="1:52" s="212" customFormat="1" ht="30" customHeight="1" thickBot="1" x14ac:dyDescent="0.3">
      <c r="A73" s="343" t="str">
        <f>Samenvatting!A135</f>
        <v>L2</v>
      </c>
      <c r="B73" s="338" t="str">
        <f>Samenvatting!B135</f>
        <v>ingang labyrint linac 2</v>
      </c>
      <c r="C73" s="331" t="s">
        <v>568</v>
      </c>
      <c r="D73" s="1859">
        <v>5</v>
      </c>
      <c r="E73" s="58"/>
      <c r="F73" s="1859">
        <v>250</v>
      </c>
      <c r="G73" s="1859">
        <v>0</v>
      </c>
      <c r="H73" s="1859">
        <v>0</v>
      </c>
      <c r="I73" s="1859">
        <v>0</v>
      </c>
      <c r="J73" s="91">
        <f>$F73/$C$27+$G73/$C$28+$H73/$C$29+$I73/$C$30</f>
        <v>7.3529411764705879</v>
      </c>
      <c r="K73" s="97">
        <f t="shared" si="0"/>
        <v>4.4366873309786093E-8</v>
      </c>
      <c r="L73" s="91">
        <f>($C$7*$C$15*$C$8*($C$9+$C$10*$C$11)/$D73^2*K73*10^6)</f>
        <v>1.0648049594348663E-3</v>
      </c>
      <c r="M73" s="91">
        <f>$F73/$D$27+$G73/$D$28+$H73/$D$29+$I73/$D$30</f>
        <v>6.5789473684210522</v>
      </c>
      <c r="N73" s="97">
        <f t="shared" si="1"/>
        <v>2.636650898730358E-7</v>
      </c>
      <c r="O73" s="91">
        <f>($C$7*$C$15*$D$8*($D$9+$D$10*$D$11)/$D73^2*N73*10^6)</f>
        <v>6.3279621569528599E-3</v>
      </c>
      <c r="P73" s="91">
        <f>$F73/$E$27+$G73/$E$28+$H73/$E$29+$I73/$E$30</f>
        <v>5.6818181818181817</v>
      </c>
      <c r="Q73" s="97">
        <f t="shared" si="2"/>
        <v>2.0805675382171676E-6</v>
      </c>
      <c r="R73" s="91">
        <f>($C$7*$C$15*$E$8*($E$9+$E$10*$E$11)/$D73^2*Q73*10^6)</f>
        <v>4.9933620917212027E-2</v>
      </c>
      <c r="S73" s="91">
        <f>$F73/$F$27+$G73/$F$28+$H73/$F$29+$I73/$F$30</f>
        <v>8.1967213114754092</v>
      </c>
      <c r="T73" s="97">
        <f t="shared" si="3"/>
        <v>6.3573875711648393E-9</v>
      </c>
      <c r="U73" s="91">
        <f>($C$7*$C$15*$F$8*($F$9+$F$10*$F$11)/$D73^2*T73*10^6)</f>
        <v>1.5257730170795616E-4</v>
      </c>
      <c r="V73" s="91">
        <f>$F73/$G$27+$G73/$G$28+$H73/$G$29+$I73/$G$30</f>
        <v>7.0224719101123592</v>
      </c>
      <c r="W73" s="97">
        <f t="shared" si="4"/>
        <v>9.4957241494880226E-8</v>
      </c>
      <c r="X73" s="76">
        <f>($C$7*$C$15*$G$8*($G$9+$G$10*$G$11)/$D73^2*W73*10^6)</f>
        <v>2.278973795877126E-3</v>
      </c>
      <c r="Y73" s="339">
        <f>SUM(L73,O73,R73,U73,X73)</f>
        <v>5.9757939131184837E-2</v>
      </c>
      <c r="Z73" s="363">
        <f>SUM(Y71:Y74)</f>
        <v>0.52249470541710541</v>
      </c>
      <c r="AA73" s="334">
        <f>Z73*52/10^3</f>
        <v>2.7169724681689482E-2</v>
      </c>
      <c r="AG73" s="328"/>
      <c r="AH73" s="328"/>
      <c r="AI73" s="328"/>
      <c r="AJ73" s="328"/>
      <c r="AK73" s="328"/>
      <c r="AL73" s="328"/>
      <c r="AP73" s="222"/>
      <c r="AQ73" s="211"/>
      <c r="AR73" s="222"/>
      <c r="AS73" s="222"/>
      <c r="AT73" s="225"/>
      <c r="AU73" s="225"/>
      <c r="AV73" s="225"/>
      <c r="AW73" s="225"/>
      <c r="AX73" s="225"/>
      <c r="AY73" s="300"/>
      <c r="AZ73" s="300"/>
    </row>
    <row r="74" spans="1:52" s="212" customFormat="1" ht="30" hidden="1" customHeight="1" thickBot="1" x14ac:dyDescent="0.3">
      <c r="A74" s="317"/>
      <c r="B74" s="317"/>
      <c r="C74" s="318"/>
      <c r="D74" s="1871"/>
      <c r="E74" s="1871"/>
      <c r="F74" s="1871"/>
      <c r="G74" s="1871"/>
      <c r="H74" s="1871"/>
      <c r="I74" s="1871"/>
      <c r="J74" s="91"/>
      <c r="K74" s="97"/>
      <c r="L74" s="91"/>
      <c r="M74" s="91"/>
      <c r="N74" s="97"/>
      <c r="O74" s="91"/>
      <c r="P74" s="91"/>
      <c r="Q74" s="97"/>
      <c r="R74" s="91"/>
      <c r="S74" s="91"/>
      <c r="T74" s="97"/>
      <c r="U74" s="91"/>
      <c r="V74" s="91"/>
      <c r="W74" s="97"/>
      <c r="X74" s="76"/>
      <c r="Y74" s="577"/>
      <c r="Z74" s="659"/>
      <c r="AA74" s="660"/>
      <c r="AG74" s="328"/>
      <c r="AH74" s="328"/>
      <c r="AI74" s="328"/>
      <c r="AJ74" s="328"/>
      <c r="AK74" s="328"/>
      <c r="AL74" s="328"/>
      <c r="AP74" s="222"/>
      <c r="AQ74" s="211"/>
      <c r="AR74" s="222"/>
      <c r="AS74" s="222"/>
      <c r="AT74" s="225"/>
      <c r="AU74" s="225"/>
      <c r="AV74" s="225"/>
      <c r="AW74" s="225"/>
      <c r="AX74" s="225"/>
      <c r="AY74" s="300"/>
      <c r="AZ74" s="300"/>
    </row>
    <row r="75" spans="1:52" s="212" customFormat="1" ht="30" customHeight="1" x14ac:dyDescent="0.25">
      <c r="A75" s="322"/>
      <c r="B75" s="322"/>
      <c r="C75" s="323" t="s">
        <v>569</v>
      </c>
      <c r="D75" s="1859">
        <v>6</v>
      </c>
      <c r="E75" s="1859">
        <v>1</v>
      </c>
      <c r="F75" s="1859">
        <v>250</v>
      </c>
      <c r="G75" s="1859">
        <v>0</v>
      </c>
      <c r="H75" s="1859">
        <v>0</v>
      </c>
      <c r="I75" s="1859">
        <v>0</v>
      </c>
      <c r="J75" s="91">
        <f>IF($F75=0,0,1+($F75-$C$21)/$C$22)+$G75/$C$23+$H75/$C$24+$I75/$C$25</f>
        <v>7.4545454545454541</v>
      </c>
      <c r="K75" s="97">
        <f t="shared" si="0"/>
        <v>3.5111917342151263E-8</v>
      </c>
      <c r="L75" s="91">
        <f>($C$7*$C$14*$C$8*$E75/$D75^2*K75*10^6)</f>
        <v>7.8026482982558355E-3</v>
      </c>
      <c r="M75" s="91">
        <f>IF($F75=0,0,1+($F75-$D$21)/$D$22)+$G75/$D$23+$H75/$D$24+$I75/$D$25</f>
        <v>6.6486486486486482</v>
      </c>
      <c r="N75" s="97">
        <f t="shared" si="1"/>
        <v>2.2456979955397711E-7</v>
      </c>
      <c r="O75" s="91">
        <f>($C$7*$D$14*$D$8*$E75/$D75^2*N75*10^6)</f>
        <v>4.99043999008838E-2</v>
      </c>
      <c r="P75" s="91">
        <f>IF($F75=0,0,1+($F75-$E$21)/$E$22)+$G75/$E$23+$H75/$E$24+$I75/$E$25</f>
        <v>5.7674418604651159</v>
      </c>
      <c r="Q75" s="97">
        <f t="shared" si="2"/>
        <v>1.7082763938087111E-6</v>
      </c>
      <c r="R75" s="91">
        <f>($C$7*$D$14*$E$8*$E75/$D75^2*Q75*10^6)</f>
        <v>0.37961697640193576</v>
      </c>
      <c r="S75" s="91">
        <f>IF($F75=0,0,1+($F75-$F$21)/$F$22)+$G75/$F$23+$H75/$F$24+$I75/$F$25</f>
        <v>9.1481481481481488</v>
      </c>
      <c r="T75" s="97">
        <f t="shared" si="3"/>
        <v>7.1097094323124171E-10</v>
      </c>
      <c r="U75" s="91">
        <f>($C$7*$F$14*$F$8*$E75/$D75^2*T75*10^6)</f>
        <v>1.5799354294027593E-4</v>
      </c>
      <c r="V75" s="91">
        <f>IF($F75=0,0,1+($F75-$G$21)/$G$22)+$G75/$G$23+$H75/$G$24+$I75/$G$25</f>
        <v>6.9444444444444446</v>
      </c>
      <c r="W75" s="97">
        <f t="shared" si="4"/>
        <v>1.136463666385722E-7</v>
      </c>
      <c r="X75" s="76">
        <f>($C$7*$G$14*$G$8*$E75/$D75^2*W75*10^6)</f>
        <v>2.5254748141904933E-2</v>
      </c>
      <c r="Y75" s="324">
        <f>SUM(L75,O75,R75,U75,X75)</f>
        <v>0.46273676628592059</v>
      </c>
      <c r="Z75" s="325"/>
      <c r="AA75" s="350"/>
      <c r="AG75" s="328"/>
      <c r="AI75" s="328"/>
      <c r="AJ75" s="328"/>
      <c r="AK75" s="328"/>
      <c r="AL75" s="328"/>
      <c r="AP75" s="222"/>
      <c r="AQ75" s="211"/>
      <c r="AR75" s="222"/>
      <c r="AS75" s="222"/>
      <c r="AT75" s="225"/>
      <c r="AU75" s="225"/>
      <c r="AV75" s="225"/>
      <c r="AW75" s="225"/>
      <c r="AX75" s="225"/>
      <c r="AY75" s="300"/>
      <c r="AZ75" s="300"/>
    </row>
    <row r="76" spans="1:52" s="212" customFormat="1" ht="30" customHeight="1" thickBot="1" x14ac:dyDescent="0.3">
      <c r="A76" s="657" t="str">
        <f>Samenvatting!A147</f>
        <v>L3</v>
      </c>
      <c r="B76" s="656" t="str">
        <f>Samenvatting!B147</f>
        <v>ingang labyrint linac 3</v>
      </c>
      <c r="C76" s="331" t="s">
        <v>568</v>
      </c>
      <c r="D76" s="1859">
        <v>5</v>
      </c>
      <c r="E76" s="58"/>
      <c r="F76" s="1859">
        <v>250</v>
      </c>
      <c r="G76" s="1859">
        <v>0</v>
      </c>
      <c r="H76" s="1859">
        <v>0</v>
      </c>
      <c r="I76" s="1859">
        <v>0</v>
      </c>
      <c r="J76" s="91">
        <f>$F76/$C$27+$G76/$C$28+$H76/$C$29+$I76/$C$30</f>
        <v>7.3529411764705879</v>
      </c>
      <c r="K76" s="97">
        <f t="shared" si="0"/>
        <v>4.4366873309786093E-8</v>
      </c>
      <c r="L76" s="91">
        <f>($C$7*$C$15*$C$8*($C$9+$C$10*$C$11)/$D76^2*K76*10^6)</f>
        <v>1.0648049594348663E-3</v>
      </c>
      <c r="M76" s="91">
        <f>$F76/$D$27+$G76/$D$28+$H76/$D$29+$I76/$D$30</f>
        <v>6.5789473684210522</v>
      </c>
      <c r="N76" s="97">
        <f t="shared" si="1"/>
        <v>2.636650898730358E-7</v>
      </c>
      <c r="O76" s="91">
        <f>($C$7*$C$15*$D$8*($D$9+$D$10*$D$11)/$D76^2*N76*10^6)</f>
        <v>6.3279621569528599E-3</v>
      </c>
      <c r="P76" s="91">
        <f>$F76/$E$27+$G76/$E$28+$H76/$E$29+$I76/$E$30</f>
        <v>5.6818181818181817</v>
      </c>
      <c r="Q76" s="97">
        <f t="shared" si="2"/>
        <v>2.0805675382171676E-6</v>
      </c>
      <c r="R76" s="91">
        <f>($C$7*$C$15*$E$8*($E$9+$E$10*$E$11)/$D76^2*Q76*10^6)</f>
        <v>4.9933620917212027E-2</v>
      </c>
      <c r="S76" s="91">
        <f>$F76/$F$27+$G76/$F$28+$H76/$F$29+$I76/$F$30</f>
        <v>8.1967213114754092</v>
      </c>
      <c r="T76" s="97">
        <f t="shared" si="3"/>
        <v>6.3573875711648393E-9</v>
      </c>
      <c r="U76" s="91">
        <f>($C$7*$C$15*$F$8*($F$9+$F$10*$F$11)/$D76^2*T76*10^6)</f>
        <v>1.5257730170795616E-4</v>
      </c>
      <c r="V76" s="91">
        <f>$F76/$G$27+$G76/$G$28+$H76/$G$29+$I76/$G$30</f>
        <v>7.0224719101123592</v>
      </c>
      <c r="W76" s="97">
        <f t="shared" si="4"/>
        <v>9.4957241494880226E-8</v>
      </c>
      <c r="X76" s="76">
        <f>($C$7*$C$15*$G$8*($G$9+$G$10*$G$11)/$D76^2*W76*10^6)</f>
        <v>2.278973795877126E-3</v>
      </c>
      <c r="Y76" s="339">
        <f>SUM(L76,O76,R76,U76,X76)</f>
        <v>5.9757939131184837E-2</v>
      </c>
      <c r="Z76" s="363">
        <f>SUM(Y74:Y77)</f>
        <v>0.52249470541710541</v>
      </c>
      <c r="AA76" s="334">
        <f>Z76*52/10^3</f>
        <v>2.7169724681689482E-2</v>
      </c>
      <c r="AG76" s="328"/>
      <c r="AH76" s="328"/>
      <c r="AI76" s="328"/>
      <c r="AJ76" s="328"/>
      <c r="AK76" s="328"/>
      <c r="AL76" s="328"/>
      <c r="AP76" s="222"/>
      <c r="AQ76" s="211"/>
      <c r="AR76" s="222"/>
      <c r="AS76" s="222"/>
      <c r="AT76" s="225"/>
      <c r="AU76" s="225"/>
      <c r="AV76" s="225"/>
      <c r="AW76" s="225"/>
      <c r="AX76" s="225"/>
      <c r="AY76" s="300"/>
      <c r="AZ76" s="300"/>
    </row>
    <row r="77" spans="1:52" s="212" customFormat="1" ht="30" hidden="1" customHeight="1" thickBot="1" x14ac:dyDescent="0.3">
      <c r="A77" s="715"/>
      <c r="B77" s="716"/>
      <c r="C77" s="318"/>
      <c r="D77" s="1871"/>
      <c r="E77" s="1871"/>
      <c r="F77" s="1871"/>
      <c r="G77" s="1871"/>
      <c r="H77" s="1871"/>
      <c r="I77" s="1871"/>
      <c r="J77" s="91"/>
      <c r="K77" s="97"/>
      <c r="L77" s="91"/>
      <c r="M77" s="91"/>
      <c r="N77" s="97"/>
      <c r="O77" s="91"/>
      <c r="P77" s="91"/>
      <c r="Q77" s="97"/>
      <c r="R77" s="91"/>
      <c r="S77" s="91"/>
      <c r="T77" s="97"/>
      <c r="U77" s="91"/>
      <c r="V77" s="91"/>
      <c r="W77" s="97"/>
      <c r="X77" s="76"/>
      <c r="Y77" s="577"/>
      <c r="Z77" s="659"/>
      <c r="AA77" s="660"/>
      <c r="AG77" s="328"/>
      <c r="AH77" s="328"/>
      <c r="AI77" s="328"/>
      <c r="AJ77" s="328"/>
      <c r="AK77" s="328"/>
      <c r="AL77" s="328"/>
      <c r="AP77" s="222"/>
      <c r="AQ77" s="211"/>
      <c r="AR77" s="222"/>
      <c r="AS77" s="222"/>
      <c r="AT77" s="225"/>
      <c r="AU77" s="225"/>
      <c r="AV77" s="225"/>
      <c r="AW77" s="225"/>
      <c r="AX77" s="225"/>
      <c r="AY77" s="300"/>
      <c r="AZ77" s="300"/>
    </row>
    <row r="78" spans="1:52" s="212" customFormat="1" ht="30" customHeight="1" x14ac:dyDescent="0.25">
      <c r="A78" s="552"/>
      <c r="B78" s="322"/>
      <c r="C78" s="323" t="s">
        <v>569</v>
      </c>
      <c r="D78" s="1859">
        <v>6</v>
      </c>
      <c r="E78" s="1859">
        <v>1</v>
      </c>
      <c r="F78" s="1859">
        <v>250</v>
      </c>
      <c r="G78" s="1859">
        <v>0</v>
      </c>
      <c r="H78" s="1859">
        <v>0</v>
      </c>
      <c r="I78" s="1859">
        <v>0</v>
      </c>
      <c r="J78" s="91">
        <f>IF($F78=0,0,1+($F78-$C$21)/$C$22)+$G78/$C$23+$H78/$C$24+$I78/$C$25</f>
        <v>7.4545454545454541</v>
      </c>
      <c r="K78" s="97">
        <f t="shared" si="0"/>
        <v>3.5111917342151263E-8</v>
      </c>
      <c r="L78" s="91">
        <f>($C$7*$C$14*$C$8*$E78/$D78^2*K78*10^6)</f>
        <v>7.8026482982558355E-3</v>
      </c>
      <c r="M78" s="91">
        <f>IF($F78=0,0,1+($F78-$D$21)/$D$22)+$G78/$D$23+$H78/$D$24+$I78/$D$25</f>
        <v>6.6486486486486482</v>
      </c>
      <c r="N78" s="97">
        <f t="shared" si="1"/>
        <v>2.2456979955397711E-7</v>
      </c>
      <c r="O78" s="91">
        <f>($C$7*$D$14*$D$8*$E78/$D78^2*N78*10^6)</f>
        <v>4.99043999008838E-2</v>
      </c>
      <c r="P78" s="91">
        <f>IF($F78=0,0,1+($F78-$E$21)/$E$22)+$G78/$E$23+$H78/$E$24+$I78/$E$25</f>
        <v>5.7674418604651159</v>
      </c>
      <c r="Q78" s="97">
        <f t="shared" si="2"/>
        <v>1.7082763938087111E-6</v>
      </c>
      <c r="R78" s="91">
        <f>($C$7*$D$14*$E$8*$E78/$D78^2*Q78*10^6)</f>
        <v>0.37961697640193576</v>
      </c>
      <c r="S78" s="91">
        <f>IF($F78=0,0,1+($F78-$F$21)/$F$22)+$G78/$F$23+$H78/$F$24+$I78/$F$25</f>
        <v>9.1481481481481488</v>
      </c>
      <c r="T78" s="97">
        <f t="shared" si="3"/>
        <v>7.1097094323124171E-10</v>
      </c>
      <c r="U78" s="91">
        <f>($C$7*$F$14*$F$8*$E78/$D78^2*T78*10^6)</f>
        <v>1.5799354294027593E-4</v>
      </c>
      <c r="V78" s="91">
        <f>IF($F78=0,0,1+($F78-$G$21)/$G$22)+$G78/$G$23+$H78/$G$24+$I78/$G$25</f>
        <v>6.9444444444444446</v>
      </c>
      <c r="W78" s="97">
        <f t="shared" si="4"/>
        <v>1.136463666385722E-7</v>
      </c>
      <c r="X78" s="76">
        <f>($C$7*$G$14*$G$8*$E78/$D78^2*W78*10^6)</f>
        <v>2.5254748141904933E-2</v>
      </c>
      <c r="Y78" s="324">
        <f>SUM(L78,O78,R78,U78,X78)</f>
        <v>0.46273676628592059</v>
      </c>
      <c r="Z78" s="325"/>
      <c r="AA78" s="350"/>
      <c r="AG78" s="328"/>
      <c r="AI78" s="328"/>
      <c r="AJ78" s="328"/>
      <c r="AK78" s="328"/>
      <c r="AL78" s="328"/>
      <c r="AP78" s="222"/>
      <c r="AQ78" s="211"/>
      <c r="AR78" s="222"/>
      <c r="AS78" s="222"/>
      <c r="AT78" s="225"/>
      <c r="AU78" s="225"/>
      <c r="AV78" s="225"/>
      <c r="AW78" s="225"/>
      <c r="AX78" s="225"/>
      <c r="AY78" s="300"/>
      <c r="AZ78" s="300"/>
    </row>
    <row r="79" spans="1:52" s="212" customFormat="1" ht="30" customHeight="1" thickBot="1" x14ac:dyDescent="0.3">
      <c r="A79" s="657" t="str">
        <f>Samenvatting!A159</f>
        <v>L4</v>
      </c>
      <c r="B79" s="330" t="str">
        <f>Samenvatting!B159</f>
        <v>ingang labyrint linac 4</v>
      </c>
      <c r="C79" s="331" t="s">
        <v>568</v>
      </c>
      <c r="D79" s="1859">
        <v>5</v>
      </c>
      <c r="E79" s="58"/>
      <c r="F79" s="1859">
        <v>250</v>
      </c>
      <c r="G79" s="1859">
        <v>0</v>
      </c>
      <c r="H79" s="1859">
        <v>0</v>
      </c>
      <c r="I79" s="1859">
        <v>0</v>
      </c>
      <c r="J79" s="91">
        <f>$F79/$C$27+$G79/$C$28+$H79/$C$29+$I79/$C$30</f>
        <v>7.3529411764705879</v>
      </c>
      <c r="K79" s="97">
        <f t="shared" si="0"/>
        <v>4.4366873309786093E-8</v>
      </c>
      <c r="L79" s="91">
        <f>($C$7*$C$15*$C$8*($C$9+$C$10*$C$11)/$D79^2*K79*10^6)</f>
        <v>1.0648049594348663E-3</v>
      </c>
      <c r="M79" s="91">
        <f>$F79/$D$27+$G79/$D$28+$H79/$D$29+$I79/$D$30</f>
        <v>6.5789473684210522</v>
      </c>
      <c r="N79" s="97">
        <f t="shared" si="1"/>
        <v>2.636650898730358E-7</v>
      </c>
      <c r="O79" s="91">
        <f>($C$7*$C$15*$D$8*($D$9+$D$10*$D$11)/$D79^2*N79*10^6)</f>
        <v>6.3279621569528599E-3</v>
      </c>
      <c r="P79" s="91">
        <f>$F79/$E$27+$G79/$E$28+$H79/$E$29+$I79/$E$30</f>
        <v>5.6818181818181817</v>
      </c>
      <c r="Q79" s="97">
        <f t="shared" si="2"/>
        <v>2.0805675382171676E-6</v>
      </c>
      <c r="R79" s="91">
        <f>($C$7*$C$15*$E$8*($E$9+$E$10*$E$11)/$D79^2*Q79*10^6)</f>
        <v>4.9933620917212027E-2</v>
      </c>
      <c r="S79" s="91">
        <f>$F79/$F$27+$G79/$F$28+$H79/$F$29+$I79/$F$30</f>
        <v>8.1967213114754092</v>
      </c>
      <c r="T79" s="97">
        <f t="shared" si="3"/>
        <v>6.3573875711648393E-9</v>
      </c>
      <c r="U79" s="91">
        <f>($C$7*$C$15*$F$8*($F$9+$F$10*$F$11)/$D79^2*T79*10^6)</f>
        <v>1.5257730170795616E-4</v>
      </c>
      <c r="V79" s="91">
        <f>$F79/$G$27+$G79/$G$28+$H79/$G$29+$I79/$G$30</f>
        <v>7.0224719101123592</v>
      </c>
      <c r="W79" s="97">
        <f t="shared" si="4"/>
        <v>9.4957241494880226E-8</v>
      </c>
      <c r="X79" s="76">
        <f>($C$7*$C$15*$G$8*($G$9+$G$10*$G$11)/$D79^2*W79*10^6)</f>
        <v>2.278973795877126E-3</v>
      </c>
      <c r="Y79" s="339">
        <f>SUM(L79,O79,R79,U79,X79)</f>
        <v>5.9757939131184837E-2</v>
      </c>
      <c r="Z79" s="363">
        <f>SUM(Y77:Y80)</f>
        <v>0.52249470541710541</v>
      </c>
      <c r="AA79" s="334">
        <f>Z79*52/10^3</f>
        <v>2.7169724681689482E-2</v>
      </c>
      <c r="AG79" s="328"/>
      <c r="AH79" s="328"/>
      <c r="AI79" s="328"/>
      <c r="AJ79" s="328"/>
      <c r="AK79" s="328"/>
      <c r="AL79" s="328"/>
      <c r="AP79" s="222"/>
      <c r="AQ79" s="211"/>
      <c r="AR79" s="222"/>
      <c r="AS79" s="222"/>
      <c r="AT79" s="225"/>
      <c r="AU79" s="225"/>
      <c r="AV79" s="225"/>
      <c r="AW79" s="225"/>
      <c r="AX79" s="225"/>
      <c r="AY79" s="300"/>
      <c r="AZ79" s="300"/>
    </row>
    <row r="80" spans="1:52" s="212" customFormat="1" ht="30" hidden="1" customHeight="1" thickBot="1" x14ac:dyDescent="0.3">
      <c r="A80" s="312"/>
      <c r="B80" s="450"/>
      <c r="C80" s="318"/>
      <c r="D80" s="1871"/>
      <c r="E80" s="1871"/>
      <c r="F80" s="1871"/>
      <c r="G80" s="1871"/>
      <c r="H80" s="1871"/>
      <c r="I80" s="1871"/>
      <c r="J80" s="91"/>
      <c r="K80" s="97"/>
      <c r="L80" s="91"/>
      <c r="M80" s="91"/>
      <c r="N80" s="97"/>
      <c r="O80" s="91"/>
      <c r="P80" s="91"/>
      <c r="Q80" s="97"/>
      <c r="R80" s="91"/>
      <c r="S80" s="91"/>
      <c r="T80" s="97"/>
      <c r="U80" s="91"/>
      <c r="V80" s="91"/>
      <c r="W80" s="97"/>
      <c r="X80" s="76"/>
      <c r="Y80" s="577"/>
      <c r="Z80" s="659"/>
      <c r="AA80" s="660"/>
      <c r="AG80" s="328"/>
      <c r="AH80" s="328"/>
      <c r="AI80" s="328"/>
      <c r="AJ80" s="328"/>
      <c r="AK80" s="328"/>
      <c r="AL80" s="328"/>
      <c r="AP80" s="222"/>
      <c r="AQ80" s="211"/>
      <c r="AR80" s="222"/>
      <c r="AS80" s="222"/>
      <c r="AT80" s="225"/>
      <c r="AU80" s="225"/>
      <c r="AV80" s="225"/>
      <c r="AW80" s="225"/>
      <c r="AX80" s="225"/>
      <c r="AY80" s="300"/>
      <c r="AZ80" s="300"/>
    </row>
    <row r="81" spans="1:52" s="212" customFormat="1" ht="30" customHeight="1" x14ac:dyDescent="0.25">
      <c r="A81" s="322"/>
      <c r="B81" s="322"/>
      <c r="C81" s="323" t="s">
        <v>569</v>
      </c>
      <c r="D81" s="1859">
        <v>6</v>
      </c>
      <c r="E81" s="1859">
        <v>1</v>
      </c>
      <c r="F81" s="1859">
        <v>250</v>
      </c>
      <c r="G81" s="1859">
        <v>0</v>
      </c>
      <c r="H81" s="1859">
        <v>0</v>
      </c>
      <c r="I81" s="1859">
        <v>0</v>
      </c>
      <c r="J81" s="91">
        <f>IF($F81=0,0,1+($F81-$C$21)/$C$22)+$G81/$C$23+$H81/$C$24+$I81/$C$25</f>
        <v>7.4545454545454541</v>
      </c>
      <c r="K81" s="97">
        <f t="shared" si="0"/>
        <v>3.5111917342151263E-8</v>
      </c>
      <c r="L81" s="91">
        <f>($C$7*$C$14*$C$8*$E81/$D81^2*K81*10^6)</f>
        <v>7.8026482982558355E-3</v>
      </c>
      <c r="M81" s="91">
        <f>IF($F81=0,0,1+($F81-$D$21)/$D$22)+$G81/$D$23+$H81/$D$24+$I81/$D$25</f>
        <v>6.6486486486486482</v>
      </c>
      <c r="N81" s="97">
        <f t="shared" si="1"/>
        <v>2.2456979955397711E-7</v>
      </c>
      <c r="O81" s="91">
        <f>($C$7*$D$14*$D$8*$E81/$D81^2*N81*10^6)</f>
        <v>4.99043999008838E-2</v>
      </c>
      <c r="P81" s="91">
        <f>IF($F81=0,0,1+($F81-$E$21)/$E$22)+$G81/$E$23+$H81/$E$24+$I81/$E$25</f>
        <v>5.7674418604651159</v>
      </c>
      <c r="Q81" s="97">
        <f t="shared" si="2"/>
        <v>1.7082763938087111E-6</v>
      </c>
      <c r="R81" s="91">
        <f>($C$7*$D$14*$E$8*$E81/$D81^2*Q81*10^6)</f>
        <v>0.37961697640193576</v>
      </c>
      <c r="S81" s="91">
        <f>IF($F81=0,0,1+($F81-$F$21)/$F$22)+$G81/$F$23+$H81/$F$24+$I81/$F$25</f>
        <v>9.1481481481481488</v>
      </c>
      <c r="T81" s="97">
        <f t="shared" si="3"/>
        <v>7.1097094323124171E-10</v>
      </c>
      <c r="U81" s="91">
        <f>($C$7*$F$14*$F$8*$E81/$D81^2*T81*10^6)</f>
        <v>1.5799354294027593E-4</v>
      </c>
      <c r="V81" s="91">
        <f>IF($F81=0,0,1+($F81-$G$21)/$G$22)+$G81/$G$23+$H81/$G$24+$I81/$G$25</f>
        <v>6.9444444444444446</v>
      </c>
      <c r="W81" s="97">
        <f t="shared" si="4"/>
        <v>1.136463666385722E-7</v>
      </c>
      <c r="X81" s="76">
        <f>($C$7*$G$14*$G$8*$E81/$D81^2*W81*10^6)</f>
        <v>2.5254748141904933E-2</v>
      </c>
      <c r="Y81" s="324">
        <f>SUM(L81,O81,R81,U81,X81)</f>
        <v>0.46273676628592059</v>
      </c>
      <c r="Z81" s="325"/>
      <c r="AA81" s="350"/>
      <c r="AG81" s="328"/>
      <c r="AI81" s="328"/>
      <c r="AJ81" s="328"/>
      <c r="AK81" s="328"/>
      <c r="AL81" s="328"/>
      <c r="AP81" s="222"/>
      <c r="AQ81" s="211"/>
      <c r="AR81" s="222"/>
      <c r="AS81" s="222"/>
      <c r="AT81" s="225"/>
      <c r="AU81" s="225"/>
      <c r="AV81" s="225"/>
      <c r="AW81" s="225"/>
      <c r="AX81" s="225"/>
      <c r="AY81" s="300"/>
      <c r="AZ81" s="300"/>
    </row>
    <row r="82" spans="1:52" s="212" customFormat="1" ht="30" customHeight="1" thickBot="1" x14ac:dyDescent="0.3">
      <c r="A82" s="657" t="str">
        <f>Samenvatting!A171</f>
        <v>L5</v>
      </c>
      <c r="B82" s="330" t="str">
        <f>Samenvatting!B171</f>
        <v>ingang labyrint linac 5</v>
      </c>
      <c r="C82" s="331" t="s">
        <v>568</v>
      </c>
      <c r="D82" s="1859">
        <v>5</v>
      </c>
      <c r="E82" s="58"/>
      <c r="F82" s="1859">
        <v>250</v>
      </c>
      <c r="G82" s="1859">
        <v>0</v>
      </c>
      <c r="H82" s="1859">
        <v>0</v>
      </c>
      <c r="I82" s="1859">
        <v>0</v>
      </c>
      <c r="J82" s="91">
        <f>$F82/$C$27+$G82/$C$28+$H82/$C$29+$I82/$C$30</f>
        <v>7.3529411764705879</v>
      </c>
      <c r="K82" s="97">
        <f t="shared" si="0"/>
        <v>4.4366873309786093E-8</v>
      </c>
      <c r="L82" s="91">
        <f>($C$7*$C$15*$C$8*($C$9+$C$10*$C$11)/$D82^2*K82*10^6)</f>
        <v>1.0648049594348663E-3</v>
      </c>
      <c r="M82" s="91">
        <f>$F82/$D$27+$G82/$D$28+$H82/$D$29+$I82/$D$30</f>
        <v>6.5789473684210522</v>
      </c>
      <c r="N82" s="97">
        <f t="shared" si="1"/>
        <v>2.636650898730358E-7</v>
      </c>
      <c r="O82" s="91">
        <f>($C$7*$C$15*$D$8*($D$9+$D$10*$D$11)/$D82^2*N82*10^6)</f>
        <v>6.3279621569528599E-3</v>
      </c>
      <c r="P82" s="91">
        <f>$F82/$E$27+$G82/$E$28+$H82/$E$29+$I82/$E$30</f>
        <v>5.6818181818181817</v>
      </c>
      <c r="Q82" s="97">
        <f t="shared" si="2"/>
        <v>2.0805675382171676E-6</v>
      </c>
      <c r="R82" s="91">
        <f>($C$7*$C$15*$E$8*($E$9+$E$10*$E$11)/$D82^2*Q82*10^6)</f>
        <v>4.9933620917212027E-2</v>
      </c>
      <c r="S82" s="91">
        <f>$F82/$F$27+$G82/$F$28+$H82/$F$29+$I82/$F$30</f>
        <v>8.1967213114754092</v>
      </c>
      <c r="T82" s="97">
        <f t="shared" si="3"/>
        <v>6.3573875711648393E-9</v>
      </c>
      <c r="U82" s="91">
        <f>($C$7*$C$15*$F$8*($F$9+$F$10*$F$11)/$D82^2*T82*10^6)</f>
        <v>1.5257730170795616E-4</v>
      </c>
      <c r="V82" s="91">
        <f>$F82/$G$27+$G82/$G$28+$H82/$G$29+$I82/$G$30</f>
        <v>7.0224719101123592</v>
      </c>
      <c r="W82" s="97">
        <f t="shared" si="4"/>
        <v>9.4957241494880226E-8</v>
      </c>
      <c r="X82" s="76">
        <f>($C$7*$C$15*$G$8*($G$9+$G$10*$G$11)/$D82^2*W82*10^6)</f>
        <v>2.278973795877126E-3</v>
      </c>
      <c r="Y82" s="339">
        <f>SUM(L82,O82,R82,U82,X82)</f>
        <v>5.9757939131184837E-2</v>
      </c>
      <c r="Z82" s="363">
        <f>SUM(Y80:Y83)</f>
        <v>0.52249470541710541</v>
      </c>
      <c r="AA82" s="334">
        <f>Z82*52/10^3</f>
        <v>2.7169724681689482E-2</v>
      </c>
      <c r="AG82" s="328"/>
      <c r="AH82" s="328"/>
      <c r="AI82" s="328"/>
      <c r="AJ82" s="328"/>
      <c r="AK82" s="328"/>
      <c r="AL82" s="328"/>
      <c r="AP82" s="222"/>
      <c r="AQ82" s="211"/>
      <c r="AR82" s="222"/>
      <c r="AS82" s="222"/>
      <c r="AT82" s="225"/>
      <c r="AU82" s="225"/>
      <c r="AV82" s="225"/>
      <c r="AW82" s="225"/>
      <c r="AX82" s="225"/>
      <c r="AY82" s="300"/>
      <c r="AZ82" s="300"/>
    </row>
    <row r="83" spans="1:52" s="212" customFormat="1" ht="30" hidden="1" customHeight="1" thickBot="1" x14ac:dyDescent="0.3">
      <c r="A83" s="312"/>
      <c r="B83" s="450"/>
      <c r="C83" s="318"/>
      <c r="D83" s="1871"/>
      <c r="E83" s="1871"/>
      <c r="F83" s="1871"/>
      <c r="G83" s="1871"/>
      <c r="H83" s="1871"/>
      <c r="I83" s="1871"/>
      <c r="J83" s="91"/>
      <c r="K83" s="97"/>
      <c r="L83" s="91"/>
      <c r="M83" s="91"/>
      <c r="N83" s="97"/>
      <c r="O83" s="91"/>
      <c r="P83" s="91"/>
      <c r="Q83" s="97"/>
      <c r="R83" s="91"/>
      <c r="S83" s="91"/>
      <c r="T83" s="97"/>
      <c r="U83" s="91"/>
      <c r="V83" s="91"/>
      <c r="W83" s="97"/>
      <c r="X83" s="76"/>
      <c r="Y83" s="577"/>
      <c r="Z83" s="659"/>
      <c r="AA83" s="660"/>
      <c r="AG83" s="328"/>
      <c r="AH83" s="328"/>
      <c r="AI83" s="328"/>
      <c r="AJ83" s="328"/>
      <c r="AK83" s="328"/>
      <c r="AL83" s="328"/>
      <c r="AP83" s="222"/>
      <c r="AQ83" s="211"/>
      <c r="AR83" s="222"/>
      <c r="AS83" s="222"/>
      <c r="AT83" s="225"/>
      <c r="AU83" s="225"/>
      <c r="AV83" s="225"/>
      <c r="AW83" s="225"/>
      <c r="AX83" s="225"/>
      <c r="AY83" s="300"/>
      <c r="AZ83" s="300"/>
    </row>
    <row r="84" spans="1:52" s="212" customFormat="1" ht="30" customHeight="1" x14ac:dyDescent="0.25">
      <c r="A84" s="322"/>
      <c r="B84" s="322"/>
      <c r="C84" s="323" t="s">
        <v>569</v>
      </c>
      <c r="D84" s="1859">
        <v>6</v>
      </c>
      <c r="E84" s="1859">
        <v>1</v>
      </c>
      <c r="F84" s="1859">
        <v>250</v>
      </c>
      <c r="G84" s="1859">
        <v>0</v>
      </c>
      <c r="H84" s="1859">
        <v>0</v>
      </c>
      <c r="I84" s="1859">
        <v>0</v>
      </c>
      <c r="J84" s="91">
        <f>IF($F84=0,0,1+($F84-$C$21)/$C$22)+$G84/$C$23+$H84/$C$24+$I84/$C$25</f>
        <v>7.4545454545454541</v>
      </c>
      <c r="K84" s="97">
        <f t="shared" si="0"/>
        <v>3.5111917342151263E-8</v>
      </c>
      <c r="L84" s="91">
        <f>($C$7*$C$14*$C$8*$E84/$D84^2*K84*10^6)</f>
        <v>7.8026482982558355E-3</v>
      </c>
      <c r="M84" s="91">
        <f>IF($F84=0,0,1+($F84-$D$21)/$D$22)+$G84/$D$23+$H84/$D$24+$I84/$D$25</f>
        <v>6.6486486486486482</v>
      </c>
      <c r="N84" s="97">
        <f t="shared" si="1"/>
        <v>2.2456979955397711E-7</v>
      </c>
      <c r="O84" s="91">
        <f>($C$7*$D$14*$D$8*$E84/$D84^2*N84*10^6)</f>
        <v>4.99043999008838E-2</v>
      </c>
      <c r="P84" s="91">
        <f>IF($F84=0,0,1+($F84-$E$21)/$E$22)+$G84/$E$23+$H84/$E$24+$I84/$E$25</f>
        <v>5.7674418604651159</v>
      </c>
      <c r="Q84" s="97">
        <f t="shared" si="2"/>
        <v>1.7082763938087111E-6</v>
      </c>
      <c r="R84" s="91">
        <f>($C$7*$D$14*$E$8*$E84/$D84^2*Q84*10^6)</f>
        <v>0.37961697640193576</v>
      </c>
      <c r="S84" s="91">
        <f>IF($F84=0,0,1+($F84-$F$21)/$F$22)+$G84/$F$23+$H84/$F$24+$I84/$F$25</f>
        <v>9.1481481481481488</v>
      </c>
      <c r="T84" s="97">
        <f t="shared" si="3"/>
        <v>7.1097094323124171E-10</v>
      </c>
      <c r="U84" s="91">
        <f>($C$7*$F$14*$F$8*$E84/$D84^2*T84*10^6)</f>
        <v>1.5799354294027593E-4</v>
      </c>
      <c r="V84" s="91">
        <f>IF($F84=0,0,1+($F84-$G$21)/$G$22)+$G84/$G$23+$H84/$G$24+$I84/$G$25</f>
        <v>6.9444444444444446</v>
      </c>
      <c r="W84" s="97">
        <f t="shared" si="4"/>
        <v>1.136463666385722E-7</v>
      </c>
      <c r="X84" s="76">
        <f>($C$7*$G$14*$G$8*$E84/$D84^2*W84*10^6)</f>
        <v>2.5254748141904933E-2</v>
      </c>
      <c r="Y84" s="324">
        <f>SUM(L84,O84,R84,U84,X84)</f>
        <v>0.46273676628592059</v>
      </c>
      <c r="Z84" s="325"/>
      <c r="AA84" s="350"/>
      <c r="AG84" s="328"/>
      <c r="AI84" s="328"/>
      <c r="AJ84" s="328"/>
      <c r="AK84" s="328"/>
      <c r="AL84" s="328"/>
      <c r="AP84" s="222"/>
      <c r="AQ84" s="211"/>
      <c r="AR84" s="222"/>
      <c r="AS84" s="222"/>
      <c r="AT84" s="225"/>
      <c r="AU84" s="225"/>
      <c r="AV84" s="225"/>
      <c r="AW84" s="225"/>
      <c r="AX84" s="225"/>
      <c r="AY84" s="300"/>
      <c r="AZ84" s="300"/>
    </row>
    <row r="85" spans="1:52" s="212" customFormat="1" ht="30" customHeight="1" thickBot="1" x14ac:dyDescent="0.3">
      <c r="A85" s="657" t="str">
        <f>Samenvatting!A183</f>
        <v>L6</v>
      </c>
      <c r="B85" s="330" t="str">
        <f>Samenvatting!B183</f>
        <v>ingang labyrint linac 6</v>
      </c>
      <c r="C85" s="331" t="s">
        <v>568</v>
      </c>
      <c r="D85" s="1859">
        <v>5</v>
      </c>
      <c r="E85" s="58"/>
      <c r="F85" s="1859">
        <v>250</v>
      </c>
      <c r="G85" s="1859">
        <v>0</v>
      </c>
      <c r="H85" s="1859">
        <v>0</v>
      </c>
      <c r="I85" s="1859">
        <v>0</v>
      </c>
      <c r="J85" s="91">
        <f>$F85/$C$27+$G85/$C$28+$H85/$C$29+$I85/$C$30</f>
        <v>7.3529411764705879</v>
      </c>
      <c r="K85" s="97">
        <f t="shared" si="0"/>
        <v>4.4366873309786093E-8</v>
      </c>
      <c r="L85" s="91">
        <f>($C$7*$C$15*$C$8*($C$9+$C$10*$C$11)/$D85^2*K85*10^6)</f>
        <v>1.0648049594348663E-3</v>
      </c>
      <c r="M85" s="91">
        <f>$F85/$D$27+$G85/$D$28+$H85/$D$29+$I85/$D$30</f>
        <v>6.5789473684210522</v>
      </c>
      <c r="N85" s="97">
        <f t="shared" si="1"/>
        <v>2.636650898730358E-7</v>
      </c>
      <c r="O85" s="91">
        <f>($C$7*$C$15*$D$8*($D$9+$D$10*$D$11)/$D85^2*N85*10^6)</f>
        <v>6.3279621569528599E-3</v>
      </c>
      <c r="P85" s="91">
        <f>$F85/$E$27+$G85/$E$28+$H85/$E$29+$I85/$E$30</f>
        <v>5.6818181818181817</v>
      </c>
      <c r="Q85" s="97">
        <f t="shared" si="2"/>
        <v>2.0805675382171676E-6</v>
      </c>
      <c r="R85" s="91">
        <f>($C$7*$C$15*$E$8*($E$9+$E$10*$E$11)/$D85^2*Q85*10^6)</f>
        <v>4.9933620917212027E-2</v>
      </c>
      <c r="S85" s="91">
        <f>$F85/$F$27+$G85/$F$28+$H85/$F$29+$I85/$F$30</f>
        <v>8.1967213114754092</v>
      </c>
      <c r="T85" s="97">
        <f t="shared" si="3"/>
        <v>6.3573875711648393E-9</v>
      </c>
      <c r="U85" s="91">
        <f>($C$7*$C$15*$F$8*($F$9+$F$10*$F$11)/$D85^2*T85*10^6)</f>
        <v>1.5257730170795616E-4</v>
      </c>
      <c r="V85" s="91">
        <f>$F85/$G$27+$G85/$G$28+$H85/$G$29+$I85/$G$30</f>
        <v>7.0224719101123592</v>
      </c>
      <c r="W85" s="97">
        <f t="shared" si="4"/>
        <v>9.4957241494880226E-8</v>
      </c>
      <c r="X85" s="76">
        <f>($C$7*$C$15*$G$8*($G$9+$G$10*$G$11)/$D85^2*W85*10^6)</f>
        <v>2.278973795877126E-3</v>
      </c>
      <c r="Y85" s="339">
        <f>SUM(L85,O85,R85,U85,X85)</f>
        <v>5.9757939131184837E-2</v>
      </c>
      <c r="Z85" s="363">
        <f>SUM(Y83:Y86)</f>
        <v>0.52249470541710541</v>
      </c>
      <c r="AA85" s="334">
        <f>Z85*52/10^3</f>
        <v>2.7169724681689482E-2</v>
      </c>
      <c r="AG85" s="328"/>
      <c r="AH85" s="328"/>
      <c r="AI85" s="328"/>
      <c r="AJ85" s="328"/>
      <c r="AK85" s="328"/>
      <c r="AL85" s="328"/>
      <c r="AP85" s="222"/>
      <c r="AQ85" s="211"/>
      <c r="AR85" s="222"/>
      <c r="AS85" s="222"/>
      <c r="AT85" s="225"/>
      <c r="AU85" s="225"/>
      <c r="AV85" s="225"/>
      <c r="AW85" s="225"/>
      <c r="AX85" s="225"/>
      <c r="AY85" s="300"/>
      <c r="AZ85" s="300"/>
    </row>
    <row r="86" spans="1:52" s="212" customFormat="1" ht="30" hidden="1" customHeight="1" thickBot="1" x14ac:dyDescent="0.3">
      <c r="A86" s="715"/>
      <c r="B86" s="716"/>
      <c r="C86" s="318"/>
      <c r="D86" s="1871"/>
      <c r="E86" s="1871"/>
      <c r="F86" s="1871"/>
      <c r="G86" s="1871"/>
      <c r="H86" s="1871"/>
      <c r="I86" s="1871"/>
      <c r="J86" s="91"/>
      <c r="K86" s="97"/>
      <c r="L86" s="91"/>
      <c r="M86" s="91"/>
      <c r="N86" s="97"/>
      <c r="O86" s="91"/>
      <c r="P86" s="91"/>
      <c r="Q86" s="97"/>
      <c r="R86" s="91"/>
      <c r="S86" s="91"/>
      <c r="T86" s="97"/>
      <c r="U86" s="91"/>
      <c r="V86" s="91"/>
      <c r="W86" s="97"/>
      <c r="X86" s="76"/>
      <c r="Y86" s="577"/>
      <c r="Z86" s="659"/>
      <c r="AA86" s="660"/>
      <c r="AG86" s="328"/>
      <c r="AH86" s="328"/>
      <c r="AI86" s="328"/>
      <c r="AJ86" s="328"/>
      <c r="AK86" s="328"/>
      <c r="AL86" s="328"/>
      <c r="AP86" s="222"/>
      <c r="AQ86" s="211"/>
      <c r="AR86" s="222"/>
      <c r="AS86" s="222"/>
      <c r="AT86" s="225"/>
      <c r="AU86" s="225"/>
      <c r="AV86" s="225"/>
      <c r="AW86" s="225"/>
      <c r="AX86" s="225"/>
      <c r="AY86" s="300"/>
      <c r="AZ86" s="300"/>
    </row>
    <row r="87" spans="1:52" s="212" customFormat="1" ht="30" customHeight="1" x14ac:dyDescent="0.25">
      <c r="A87" s="552"/>
      <c r="B87" s="322"/>
      <c r="C87" s="323" t="s">
        <v>569</v>
      </c>
      <c r="D87" s="1859">
        <v>6</v>
      </c>
      <c r="E87" s="1859">
        <v>1</v>
      </c>
      <c r="F87" s="1859">
        <v>250</v>
      </c>
      <c r="G87" s="1859">
        <v>0</v>
      </c>
      <c r="H87" s="1859">
        <v>0</v>
      </c>
      <c r="I87" s="1859">
        <v>0</v>
      </c>
      <c r="J87" s="91">
        <f>IF($F87=0,0,1+($F87-$C$21)/$C$22)+$G87/$C$23+$H87/$C$24+$I87/$C$25</f>
        <v>7.4545454545454541</v>
      </c>
      <c r="K87" s="97">
        <f t="shared" si="0"/>
        <v>3.5111917342151263E-8</v>
      </c>
      <c r="L87" s="91">
        <f>($C$7*$C$14*$C$8*$E87/$D87^2*K87*10^6)</f>
        <v>7.8026482982558355E-3</v>
      </c>
      <c r="M87" s="91">
        <f>IF($F87=0,0,1+($F87-$D$21)/$D$22)+$G87/$D$23+$H87/$D$24+$I87/$D$25</f>
        <v>6.6486486486486482</v>
      </c>
      <c r="N87" s="97">
        <f t="shared" si="1"/>
        <v>2.2456979955397711E-7</v>
      </c>
      <c r="O87" s="91">
        <f>($C$7*$D$14*$D$8*$E87/$D87^2*N87*10^6)</f>
        <v>4.99043999008838E-2</v>
      </c>
      <c r="P87" s="91">
        <f>IF($F87=0,0,1+($F87-$E$21)/$E$22)+$G87/$E$23+$H87/$E$24+$I87/$E$25</f>
        <v>5.7674418604651159</v>
      </c>
      <c r="Q87" s="97">
        <f t="shared" si="2"/>
        <v>1.7082763938087111E-6</v>
      </c>
      <c r="R87" s="91">
        <f>($C$7*$D$14*$E$8*$E87/$D87^2*Q87*10^6)</f>
        <v>0.37961697640193576</v>
      </c>
      <c r="S87" s="91">
        <f>IF($F87=0,0,1+($F87-$F$21)/$F$22)+$G87/$F$23+$H87/$F$24+$I87/$F$25</f>
        <v>9.1481481481481488</v>
      </c>
      <c r="T87" s="97">
        <f t="shared" si="3"/>
        <v>7.1097094323124171E-10</v>
      </c>
      <c r="U87" s="91">
        <f>($C$7*$F$14*$F$8*$E87/$D87^2*T87*10^6)</f>
        <v>1.5799354294027593E-4</v>
      </c>
      <c r="V87" s="91">
        <f>IF($F87=0,0,1+($F87-$G$21)/$G$22)+$G87/$G$23+$H87/$G$24+$I87/$G$25</f>
        <v>6.9444444444444446</v>
      </c>
      <c r="W87" s="97">
        <f t="shared" si="4"/>
        <v>1.136463666385722E-7</v>
      </c>
      <c r="X87" s="76">
        <f>($C$7*$G$14*$G$8*$E87/$D87^2*W87*10^6)</f>
        <v>2.5254748141904933E-2</v>
      </c>
      <c r="Y87" s="324">
        <f>SUM(L87,O87,R87,U87,X87)</f>
        <v>0.46273676628592059</v>
      </c>
      <c r="Z87" s="325"/>
      <c r="AA87" s="350"/>
      <c r="AG87" s="328"/>
      <c r="AI87" s="328"/>
      <c r="AJ87" s="328"/>
      <c r="AK87" s="328"/>
      <c r="AL87" s="328"/>
      <c r="AP87" s="222"/>
      <c r="AQ87" s="211"/>
      <c r="AR87" s="222"/>
      <c r="AS87" s="222"/>
      <c r="AT87" s="225"/>
      <c r="AU87" s="225"/>
      <c r="AV87" s="225"/>
      <c r="AW87" s="225"/>
      <c r="AX87" s="225"/>
      <c r="AY87" s="300"/>
      <c r="AZ87" s="300"/>
    </row>
    <row r="88" spans="1:52" s="212" customFormat="1" ht="30" customHeight="1" thickBot="1" x14ac:dyDescent="0.3">
      <c r="A88" s="727" t="str">
        <f>Samenvatting!A195</f>
        <v>L7</v>
      </c>
      <c r="B88" s="330" t="str">
        <f>Samenvatting!B195</f>
        <v>ingang labyrint linac 7</v>
      </c>
      <c r="C88" s="331" t="s">
        <v>568</v>
      </c>
      <c r="D88" s="1859">
        <v>5</v>
      </c>
      <c r="E88" s="58"/>
      <c r="F88" s="1859">
        <v>250</v>
      </c>
      <c r="G88" s="1859">
        <v>0</v>
      </c>
      <c r="H88" s="1859">
        <v>0</v>
      </c>
      <c r="I88" s="1859">
        <v>0</v>
      </c>
      <c r="J88" s="91">
        <f>$F88/$C$27+$G88/$C$28+$H88/$C$29+$I88/$C$30</f>
        <v>7.3529411764705879</v>
      </c>
      <c r="K88" s="97">
        <f t="shared" si="0"/>
        <v>4.4366873309786093E-8</v>
      </c>
      <c r="L88" s="91">
        <f>($C$7*$C$15*$C$8*($C$9+$C$10*$C$11)/$D88^2*K88*10^6)</f>
        <v>1.0648049594348663E-3</v>
      </c>
      <c r="M88" s="91">
        <f>$F88/$D$27+$G88/$D$28+$H88/$D$29+$I88/$D$30</f>
        <v>6.5789473684210522</v>
      </c>
      <c r="N88" s="97">
        <f t="shared" si="1"/>
        <v>2.636650898730358E-7</v>
      </c>
      <c r="O88" s="91">
        <f>($C$7*$C$15*$D$8*($D$9+$D$10*$D$11)/$D88^2*N88*10^6)</f>
        <v>6.3279621569528599E-3</v>
      </c>
      <c r="P88" s="91">
        <f>$F88/$E$27+$G88/$E$28+$H88/$E$29+$I88/$E$30</f>
        <v>5.6818181818181817</v>
      </c>
      <c r="Q88" s="97">
        <f t="shared" si="2"/>
        <v>2.0805675382171676E-6</v>
      </c>
      <c r="R88" s="91">
        <f>($C$7*$C$15*$E$8*($E$9+$E$10*$E$11)/$D88^2*Q88*10^6)</f>
        <v>4.9933620917212027E-2</v>
      </c>
      <c r="S88" s="91">
        <f>$F88/$F$27+$G88/$F$28+$H88/$F$29+$I88/$F$30</f>
        <v>8.1967213114754092</v>
      </c>
      <c r="T88" s="97">
        <f t="shared" si="3"/>
        <v>6.3573875711648393E-9</v>
      </c>
      <c r="U88" s="91">
        <f>($C$7*$C$15*$F$8*($F$9+$F$10*$F$11)/$D88^2*T88*10^6)</f>
        <v>1.5257730170795616E-4</v>
      </c>
      <c r="V88" s="91">
        <f>$F88/$G$27+$G88/$G$28+$H88/$G$29+$I88/$G$30</f>
        <v>7.0224719101123592</v>
      </c>
      <c r="W88" s="97">
        <f t="shared" si="4"/>
        <v>9.4957241494880226E-8</v>
      </c>
      <c r="X88" s="76">
        <f>($C$7*$C$15*$G$8*($G$9+$G$10*$G$11)/$D88^2*W88*10^6)</f>
        <v>2.278973795877126E-3</v>
      </c>
      <c r="Y88" s="339">
        <f>SUM(L88,O88,R88,U88,X88)</f>
        <v>5.9757939131184837E-2</v>
      </c>
      <c r="Z88" s="363">
        <f>SUM(Y86:Y89)</f>
        <v>0.52249470541710541</v>
      </c>
      <c r="AA88" s="334">
        <f>Z88*52/10^3</f>
        <v>2.7169724681689482E-2</v>
      </c>
      <c r="AG88" s="328"/>
      <c r="AH88" s="328"/>
      <c r="AI88" s="328"/>
      <c r="AJ88" s="328"/>
      <c r="AK88" s="328"/>
      <c r="AL88" s="328"/>
      <c r="AP88" s="222"/>
      <c r="AQ88" s="211"/>
      <c r="AR88" s="222"/>
      <c r="AS88" s="222"/>
      <c r="AT88" s="225"/>
      <c r="AU88" s="225"/>
      <c r="AV88" s="225"/>
      <c r="AW88" s="225"/>
      <c r="AX88" s="225"/>
      <c r="AY88" s="300"/>
      <c r="AZ88" s="300"/>
    </row>
    <row r="89" spans="1:52" s="212" customFormat="1" ht="30" hidden="1" customHeight="1" thickBot="1" x14ac:dyDescent="0.3">
      <c r="A89" s="312"/>
      <c r="B89" s="450"/>
      <c r="C89" s="318"/>
      <c r="D89" s="1871"/>
      <c r="E89" s="1871"/>
      <c r="F89" s="1871"/>
      <c r="G89" s="1871"/>
      <c r="H89" s="1871"/>
      <c r="I89" s="1871"/>
      <c r="J89" s="91"/>
      <c r="K89" s="97"/>
      <c r="L89" s="91"/>
      <c r="M89" s="91"/>
      <c r="N89" s="97"/>
      <c r="O89" s="91"/>
      <c r="P89" s="91"/>
      <c r="Q89" s="97"/>
      <c r="R89" s="91"/>
      <c r="S89" s="91"/>
      <c r="T89" s="97"/>
      <c r="U89" s="91"/>
      <c r="V89" s="91"/>
      <c r="W89" s="97"/>
      <c r="X89" s="76"/>
      <c r="Y89" s="577"/>
      <c r="Z89" s="659"/>
      <c r="AA89" s="660"/>
      <c r="AG89" s="328"/>
      <c r="AH89" s="328"/>
      <c r="AI89" s="328"/>
      <c r="AJ89" s="328"/>
      <c r="AK89" s="328"/>
      <c r="AL89" s="328"/>
      <c r="AP89" s="222"/>
      <c r="AQ89" s="211"/>
      <c r="AR89" s="222"/>
      <c r="AS89" s="222"/>
      <c r="AT89" s="225"/>
      <c r="AU89" s="225"/>
      <c r="AV89" s="225"/>
      <c r="AW89" s="225"/>
      <c r="AX89" s="225"/>
      <c r="AY89" s="300"/>
      <c r="AZ89" s="300"/>
    </row>
    <row r="90" spans="1:52" s="212" customFormat="1" ht="30" customHeight="1" x14ac:dyDescent="0.25">
      <c r="A90" s="322"/>
      <c r="B90" s="322"/>
      <c r="C90" s="323" t="s">
        <v>569</v>
      </c>
      <c r="D90" s="1859">
        <v>6</v>
      </c>
      <c r="E90" s="1859">
        <v>1</v>
      </c>
      <c r="F90" s="1859">
        <v>250</v>
      </c>
      <c r="G90" s="1859">
        <v>0</v>
      </c>
      <c r="H90" s="1859">
        <v>0</v>
      </c>
      <c r="I90" s="1859">
        <v>0</v>
      </c>
      <c r="J90" s="91">
        <f>IF($F90=0,0,1+($F90-$C$21)/$C$22)+$G90/$C$23+$H90/$C$24+$I90/$C$25</f>
        <v>7.4545454545454541</v>
      </c>
      <c r="K90" s="97">
        <f t="shared" si="0"/>
        <v>3.5111917342151263E-8</v>
      </c>
      <c r="L90" s="91">
        <f>($C$7*$C$14*$C$8*$E90/$D90^2*K90*10^6)</f>
        <v>7.8026482982558355E-3</v>
      </c>
      <c r="M90" s="91">
        <f>IF($F90=0,0,1+($F90-$D$21)/$D$22)+$G90/$D$23+$H90/$D$24+$I90/$D$25</f>
        <v>6.6486486486486482</v>
      </c>
      <c r="N90" s="97">
        <f t="shared" si="1"/>
        <v>2.2456979955397711E-7</v>
      </c>
      <c r="O90" s="91">
        <f>($C$7*$D$14*$D$8*$E90/$D90^2*N90*10^6)</f>
        <v>4.99043999008838E-2</v>
      </c>
      <c r="P90" s="91">
        <f>IF($F90=0,0,1+($F90-$E$21)/$E$22)+$G90/$E$23+$H90/$E$24+$I90/$E$25</f>
        <v>5.7674418604651159</v>
      </c>
      <c r="Q90" s="97">
        <f t="shared" si="2"/>
        <v>1.7082763938087111E-6</v>
      </c>
      <c r="R90" s="91">
        <f>($C$7*$D$14*$E$8*$E90/$D90^2*Q90*10^6)</f>
        <v>0.37961697640193576</v>
      </c>
      <c r="S90" s="91">
        <f>IF($F90=0,0,1+($F90-$F$21)/$F$22)+$G90/$F$23+$H90/$F$24+$I90/$F$25</f>
        <v>9.1481481481481488</v>
      </c>
      <c r="T90" s="97">
        <f t="shared" si="3"/>
        <v>7.1097094323124171E-10</v>
      </c>
      <c r="U90" s="91">
        <f>($C$7*$F$14*$F$8*$E90/$D90^2*T90*10^6)</f>
        <v>1.5799354294027593E-4</v>
      </c>
      <c r="V90" s="91">
        <f>IF($F90=0,0,1+($F90-$G$21)/$G$22)+$G90/$G$23+$H90/$G$24+$I90/$G$25</f>
        <v>6.9444444444444446</v>
      </c>
      <c r="W90" s="97">
        <f t="shared" si="4"/>
        <v>1.136463666385722E-7</v>
      </c>
      <c r="X90" s="76">
        <f>($C$7*$G$14*$G$8*$E90/$D90^2*W90*10^6)</f>
        <v>2.5254748141904933E-2</v>
      </c>
      <c r="Y90" s="324">
        <f>SUM(L90,O90,R90,U90,X90)</f>
        <v>0.46273676628592059</v>
      </c>
      <c r="Z90" s="325"/>
      <c r="AA90" s="350"/>
      <c r="AG90" s="328"/>
      <c r="AI90" s="328"/>
      <c r="AJ90" s="328"/>
      <c r="AK90" s="328"/>
      <c r="AL90" s="328"/>
      <c r="AP90" s="222"/>
      <c r="AQ90" s="211"/>
      <c r="AR90" s="222"/>
      <c r="AS90" s="222"/>
      <c r="AT90" s="225"/>
      <c r="AU90" s="225"/>
      <c r="AV90" s="225"/>
      <c r="AW90" s="225"/>
      <c r="AX90" s="225"/>
      <c r="AY90" s="300"/>
      <c r="AZ90" s="300"/>
    </row>
    <row r="91" spans="1:52" s="212" customFormat="1" ht="30" customHeight="1" thickBot="1" x14ac:dyDescent="0.3">
      <c r="A91" s="657" t="str">
        <f>Samenvatting!A207</f>
        <v>L8</v>
      </c>
      <c r="B91" s="330" t="str">
        <f>Samenvatting!B207</f>
        <v>ingang labyrint linac 8</v>
      </c>
      <c r="C91" s="331" t="s">
        <v>568</v>
      </c>
      <c r="D91" s="1859">
        <v>5</v>
      </c>
      <c r="E91" s="58"/>
      <c r="F91" s="1859">
        <v>250</v>
      </c>
      <c r="G91" s="1859">
        <v>0</v>
      </c>
      <c r="H91" s="1859">
        <v>0</v>
      </c>
      <c r="I91" s="1859">
        <v>0</v>
      </c>
      <c r="J91" s="91">
        <f>$F91/$C$27+$G91/$C$28+$H91/$C$29+$I91/$C$30</f>
        <v>7.3529411764705879</v>
      </c>
      <c r="K91" s="97">
        <f t="shared" si="0"/>
        <v>4.4366873309786093E-8</v>
      </c>
      <c r="L91" s="91">
        <f>($C$7*$C$15*$C$8*($C$9+$C$10*$C$11)/$D91^2*K91*10^6)</f>
        <v>1.0648049594348663E-3</v>
      </c>
      <c r="M91" s="91">
        <f>$F91/$D$27+$G91/$D$28+$H91/$D$29+$I91/$D$30</f>
        <v>6.5789473684210522</v>
      </c>
      <c r="N91" s="97">
        <f t="shared" si="1"/>
        <v>2.636650898730358E-7</v>
      </c>
      <c r="O91" s="91">
        <f>($C$7*$C$15*$D$8*($D$9+$D$10*$D$11)/$D91^2*N91*10^6)</f>
        <v>6.3279621569528599E-3</v>
      </c>
      <c r="P91" s="91">
        <f>$F91/$E$27+$G91/$E$28+$H91/$E$29+$I91/$E$30</f>
        <v>5.6818181818181817</v>
      </c>
      <c r="Q91" s="97">
        <f t="shared" si="2"/>
        <v>2.0805675382171676E-6</v>
      </c>
      <c r="R91" s="91">
        <f>($C$7*$C$15*$E$8*($E$9+$E$10*$E$11)/$D91^2*Q91*10^6)</f>
        <v>4.9933620917212027E-2</v>
      </c>
      <c r="S91" s="91">
        <f>$F91/$F$27+$G91/$F$28+$H91/$F$29+$I91/$F$30</f>
        <v>8.1967213114754092</v>
      </c>
      <c r="T91" s="97">
        <f t="shared" si="3"/>
        <v>6.3573875711648393E-9</v>
      </c>
      <c r="U91" s="91">
        <f>($C$7*$C$15*$F$8*($F$9+$F$10*$F$11)/$D91^2*T91*10^6)</f>
        <v>1.5257730170795616E-4</v>
      </c>
      <c r="V91" s="91">
        <f>$F91/$G$27+$G91/$G$28+$H91/$G$29+$I91/$G$30</f>
        <v>7.0224719101123592</v>
      </c>
      <c r="W91" s="97">
        <f t="shared" si="4"/>
        <v>9.4957241494880226E-8</v>
      </c>
      <c r="X91" s="76">
        <f>($C$7*$C$15*$G$8*($G$9+$G$10*$G$11)/$D91^2*W91*10^6)</f>
        <v>2.278973795877126E-3</v>
      </c>
      <c r="Y91" s="339">
        <f>SUM(L91,O91,R91,U91,X91)</f>
        <v>5.9757939131184837E-2</v>
      </c>
      <c r="Z91" s="363">
        <f>SUM(Y89:Y92)</f>
        <v>0.52249470541710541</v>
      </c>
      <c r="AA91" s="334">
        <f>Z91*52/10^3</f>
        <v>2.7169724681689482E-2</v>
      </c>
      <c r="AG91" s="328"/>
      <c r="AH91" s="328"/>
      <c r="AI91" s="328"/>
      <c r="AJ91" s="328"/>
      <c r="AK91" s="328"/>
      <c r="AL91" s="328"/>
      <c r="AP91" s="222"/>
      <c r="AQ91" s="211"/>
      <c r="AR91" s="222"/>
      <c r="AS91" s="222"/>
      <c r="AT91" s="225"/>
      <c r="AU91" s="225"/>
      <c r="AV91" s="225"/>
      <c r="AW91" s="225"/>
      <c r="AX91" s="225"/>
      <c r="AY91" s="300"/>
      <c r="AZ91" s="300"/>
    </row>
    <row r="92" spans="1:52" s="212" customFormat="1" ht="30" hidden="1" customHeight="1" thickBot="1" x14ac:dyDescent="0.3">
      <c r="A92" s="312"/>
      <c r="B92" s="450"/>
      <c r="C92" s="318"/>
      <c r="D92" s="1871"/>
      <c r="E92" s="1871"/>
      <c r="F92" s="1871"/>
      <c r="G92" s="1871"/>
      <c r="H92" s="1871"/>
      <c r="I92" s="1871"/>
      <c r="J92" s="91"/>
      <c r="K92" s="97"/>
      <c r="L92" s="91"/>
      <c r="M92" s="91"/>
      <c r="N92" s="97"/>
      <c r="O92" s="91"/>
      <c r="P92" s="91"/>
      <c r="Q92" s="97"/>
      <c r="R92" s="91"/>
      <c r="S92" s="91"/>
      <c r="T92" s="97"/>
      <c r="U92" s="91"/>
      <c r="V92" s="91"/>
      <c r="W92" s="97"/>
      <c r="X92" s="76"/>
      <c r="Y92" s="577"/>
      <c r="Z92" s="659"/>
      <c r="AA92" s="660"/>
      <c r="AG92" s="328"/>
      <c r="AH92" s="328"/>
      <c r="AI92" s="328"/>
      <c r="AJ92" s="328"/>
      <c r="AK92" s="328"/>
      <c r="AL92" s="328"/>
      <c r="AP92" s="222"/>
      <c r="AQ92" s="211"/>
      <c r="AR92" s="222"/>
      <c r="AS92" s="222"/>
      <c r="AT92" s="225"/>
      <c r="AU92" s="225"/>
      <c r="AV92" s="225"/>
      <c r="AW92" s="225"/>
      <c r="AX92" s="225"/>
      <c r="AY92" s="300"/>
      <c r="AZ92" s="300"/>
    </row>
    <row r="93" spans="1:52" s="212" customFormat="1" ht="30" customHeight="1" x14ac:dyDescent="0.25">
      <c r="A93" s="322"/>
      <c r="B93" s="322"/>
      <c r="C93" s="323" t="s">
        <v>569</v>
      </c>
      <c r="D93" s="1859">
        <v>6</v>
      </c>
      <c r="E93" s="1859">
        <v>1</v>
      </c>
      <c r="F93" s="1859">
        <v>250</v>
      </c>
      <c r="G93" s="1859">
        <v>0</v>
      </c>
      <c r="H93" s="1859">
        <v>0</v>
      </c>
      <c r="I93" s="1859">
        <v>0</v>
      </c>
      <c r="J93" s="91">
        <f>IF($F93=0,0,1+($F93-$C$21)/$C$22)+$G93/$C$23+$H93/$C$24+$I93/$C$25</f>
        <v>7.4545454545454541</v>
      </c>
      <c r="K93" s="97">
        <f t="shared" si="0"/>
        <v>3.5111917342151263E-8</v>
      </c>
      <c r="L93" s="91">
        <f>($C$7*$C$14*$C$8*$E93/$D93^2*K93*10^6)</f>
        <v>7.8026482982558355E-3</v>
      </c>
      <c r="M93" s="91">
        <f>IF($F93=0,0,1+($F93-$D$21)/$D$22)+$G93/$D$23+$H93/$D$24+$I93/$D$25</f>
        <v>6.6486486486486482</v>
      </c>
      <c r="N93" s="97">
        <f t="shared" si="1"/>
        <v>2.2456979955397711E-7</v>
      </c>
      <c r="O93" s="91">
        <f>($C$7*$D$14*$D$8*$E93/$D93^2*N93*10^6)</f>
        <v>4.99043999008838E-2</v>
      </c>
      <c r="P93" s="91">
        <f>IF($F93=0,0,1+($F93-$E$21)/$E$22)+$G93/$E$23+$H93/$E$24+$I93/$E$25</f>
        <v>5.7674418604651159</v>
      </c>
      <c r="Q93" s="97">
        <f t="shared" si="2"/>
        <v>1.7082763938087111E-6</v>
      </c>
      <c r="R93" s="91">
        <f>($C$7*$D$14*$E$8*$E93/$D93^2*Q93*10^6)</f>
        <v>0.37961697640193576</v>
      </c>
      <c r="S93" s="91">
        <f>IF($F93=0,0,1+($F93-$F$21)/$F$22)+$G93/$F$23+$H93/$F$24+$I93/$F$25</f>
        <v>9.1481481481481488</v>
      </c>
      <c r="T93" s="97">
        <f t="shared" si="3"/>
        <v>7.1097094323124171E-10</v>
      </c>
      <c r="U93" s="91">
        <f>($C$7*$F$14*$F$8*$E93/$D93^2*T93*10^6)</f>
        <v>1.5799354294027593E-4</v>
      </c>
      <c r="V93" s="91">
        <f>IF($F93=0,0,1+($F93-$G$21)/$G$22)+$G93/$G$23+$H93/$G$24+$I93/$G$25</f>
        <v>6.9444444444444446</v>
      </c>
      <c r="W93" s="97">
        <f t="shared" si="4"/>
        <v>1.136463666385722E-7</v>
      </c>
      <c r="X93" s="76">
        <f>($C$7*$G$14*$G$8*$E93/$D93^2*W93*10^6)</f>
        <v>2.5254748141904933E-2</v>
      </c>
      <c r="Y93" s="324">
        <f>SUM(L93,O93,R93,U93,X93)</f>
        <v>0.46273676628592059</v>
      </c>
      <c r="Z93" s="325"/>
      <c r="AA93" s="350"/>
      <c r="AG93" s="328"/>
      <c r="AI93" s="328"/>
      <c r="AJ93" s="328"/>
      <c r="AK93" s="328"/>
      <c r="AL93" s="328"/>
      <c r="AP93" s="222"/>
      <c r="AQ93" s="211"/>
      <c r="AR93" s="222"/>
      <c r="AS93" s="222"/>
      <c r="AT93" s="225"/>
      <c r="AU93" s="225"/>
      <c r="AV93" s="225"/>
      <c r="AW93" s="225"/>
      <c r="AX93" s="225"/>
      <c r="AY93" s="300"/>
      <c r="AZ93" s="300"/>
    </row>
    <row r="94" spans="1:52" s="212" customFormat="1" ht="30" customHeight="1" thickBot="1" x14ac:dyDescent="0.3">
      <c r="A94" s="329" t="str">
        <f>Samenvatting!A219</f>
        <v>L9</v>
      </c>
      <c r="B94" s="656" t="str">
        <f>Samenvatting!B219</f>
        <v>ingang labyrint linac 9</v>
      </c>
      <c r="C94" s="331" t="s">
        <v>568</v>
      </c>
      <c r="D94" s="1859">
        <v>5</v>
      </c>
      <c r="E94" s="58"/>
      <c r="F94" s="1859">
        <v>250</v>
      </c>
      <c r="G94" s="1859">
        <v>0</v>
      </c>
      <c r="H94" s="1859">
        <v>0</v>
      </c>
      <c r="I94" s="1859">
        <v>0</v>
      </c>
      <c r="J94" s="91">
        <f>$F94/$C$27+$G94/$C$28+$H94/$C$29+$I94/$C$30</f>
        <v>7.3529411764705879</v>
      </c>
      <c r="K94" s="97">
        <f t="shared" si="0"/>
        <v>4.4366873309786093E-8</v>
      </c>
      <c r="L94" s="91">
        <f>($C$7*$C$15*$C$8*($C$9+$C$10*$C$11)/$D94^2*K94*10^6)</f>
        <v>1.0648049594348663E-3</v>
      </c>
      <c r="M94" s="91">
        <f>$F94/$D$27+$G94/$D$28+$H94/$D$29+$I94/$D$30</f>
        <v>6.5789473684210522</v>
      </c>
      <c r="N94" s="97">
        <f t="shared" si="1"/>
        <v>2.636650898730358E-7</v>
      </c>
      <c r="O94" s="91">
        <f>($C$7*$C$15*$D$8*($D$9+$D$10*$D$11)/$D94^2*N94*10^6)</f>
        <v>6.3279621569528599E-3</v>
      </c>
      <c r="P94" s="91">
        <f>$F94/$E$27+$G94/$E$28+$H94/$E$29+$I94/$E$30</f>
        <v>5.6818181818181817</v>
      </c>
      <c r="Q94" s="97">
        <f t="shared" si="2"/>
        <v>2.0805675382171676E-6</v>
      </c>
      <c r="R94" s="91">
        <f>($C$7*$C$15*$E$8*($E$9+$E$10*$E$11)/$D94^2*Q94*10^6)</f>
        <v>4.9933620917212027E-2</v>
      </c>
      <c r="S94" s="91">
        <f>$F94/$F$27+$G94/$F$28+$H94/$F$29+$I94/$F$30</f>
        <v>8.1967213114754092</v>
      </c>
      <c r="T94" s="97">
        <f t="shared" si="3"/>
        <v>6.3573875711648393E-9</v>
      </c>
      <c r="U94" s="91">
        <f>($C$7*$C$15*$F$8*($F$9+$F$10*$F$11)/$D94^2*T94*10^6)</f>
        <v>1.5257730170795616E-4</v>
      </c>
      <c r="V94" s="91">
        <f>$F94/$G$27+$G94/$G$28+$H94/$G$29+$I94/$G$30</f>
        <v>7.0224719101123592</v>
      </c>
      <c r="W94" s="97">
        <f t="shared" si="4"/>
        <v>9.4957241494880226E-8</v>
      </c>
      <c r="X94" s="76">
        <f>($C$7*$C$15*$G$8*($G$9+$G$10*$G$11)/$D94^2*W94*10^6)</f>
        <v>2.278973795877126E-3</v>
      </c>
      <c r="Y94" s="339">
        <f>SUM(L94,O94,R94,U94,X94)</f>
        <v>5.9757939131184837E-2</v>
      </c>
      <c r="Z94" s="363">
        <f>SUM(Y92:Y95)</f>
        <v>0.52249470541710541</v>
      </c>
      <c r="AA94" s="334">
        <f>Z94*52/10^3</f>
        <v>2.7169724681689482E-2</v>
      </c>
      <c r="AG94" s="328"/>
      <c r="AH94" s="328"/>
      <c r="AI94" s="328"/>
      <c r="AJ94" s="328"/>
      <c r="AK94" s="328"/>
      <c r="AL94" s="328"/>
      <c r="AP94" s="222"/>
      <c r="AQ94" s="211"/>
      <c r="AR94" s="222"/>
      <c r="AS94" s="222"/>
      <c r="AT94" s="225"/>
      <c r="AU94" s="225"/>
      <c r="AV94" s="225"/>
      <c r="AW94" s="225"/>
      <c r="AX94" s="225"/>
      <c r="AY94" s="300"/>
      <c r="AZ94" s="300"/>
    </row>
    <row r="95" spans="1:52" s="212" customFormat="1" ht="30" hidden="1" customHeight="1" thickBot="1" x14ac:dyDescent="0.3">
      <c r="A95" s="312"/>
      <c r="B95" s="450"/>
      <c r="C95" s="318"/>
      <c r="D95" s="1871"/>
      <c r="E95" s="1871"/>
      <c r="F95" s="1871"/>
      <c r="G95" s="1871"/>
      <c r="H95" s="1871"/>
      <c r="I95" s="1871"/>
      <c r="J95" s="91"/>
      <c r="K95" s="97"/>
      <c r="L95" s="91"/>
      <c r="M95" s="91"/>
      <c r="N95" s="97"/>
      <c r="O95" s="91"/>
      <c r="P95" s="91"/>
      <c r="Q95" s="97"/>
      <c r="R95" s="91"/>
      <c r="S95" s="91"/>
      <c r="T95" s="97"/>
      <c r="U95" s="91"/>
      <c r="V95" s="91"/>
      <c r="W95" s="97"/>
      <c r="X95" s="76"/>
      <c r="Y95" s="577"/>
      <c r="Z95" s="659"/>
      <c r="AA95" s="660"/>
      <c r="AG95" s="328"/>
      <c r="AH95" s="328"/>
      <c r="AI95" s="328"/>
      <c r="AJ95" s="328"/>
      <c r="AK95" s="328"/>
      <c r="AL95" s="328"/>
      <c r="AP95" s="222"/>
      <c r="AQ95" s="211"/>
      <c r="AR95" s="222"/>
      <c r="AS95" s="222"/>
      <c r="AT95" s="225"/>
      <c r="AU95" s="225"/>
      <c r="AV95" s="225"/>
      <c r="AW95" s="225"/>
      <c r="AX95" s="225"/>
      <c r="AY95" s="300"/>
      <c r="AZ95" s="300"/>
    </row>
    <row r="96" spans="1:52" s="212" customFormat="1" ht="30" customHeight="1" x14ac:dyDescent="0.25">
      <c r="A96" s="322"/>
      <c r="B96" s="322"/>
      <c r="C96" s="348" t="s">
        <v>209</v>
      </c>
      <c r="D96" s="1859">
        <v>6</v>
      </c>
      <c r="E96" s="1859">
        <v>1</v>
      </c>
      <c r="F96" s="1859">
        <v>250</v>
      </c>
      <c r="G96" s="1859">
        <v>0</v>
      </c>
      <c r="H96" s="1859">
        <v>0</v>
      </c>
      <c r="I96" s="1859">
        <v>0</v>
      </c>
      <c r="J96" s="91">
        <f>IF($F96=0,0,1+($F96-$C$21)/$C$22)+$G96/$C$23+$H96/$C$24+$I96/$C$25</f>
        <v>7.4545454545454541</v>
      </c>
      <c r="K96" s="97">
        <f>10^(-J96)</f>
        <v>3.5111917342151263E-8</v>
      </c>
      <c r="L96" s="91">
        <f>($C$7*$C$14*$C$8*$E96/$D96^2*K96*10^6)</f>
        <v>7.8026482982558355E-3</v>
      </c>
      <c r="M96" s="91">
        <f>IF($F96=0,0,1+($F96-$D$21)/$D$22)+$G96/$D$23+$H96/$D$24+$I96/$D$25</f>
        <v>6.6486486486486482</v>
      </c>
      <c r="N96" s="97">
        <f>10^(-M96)</f>
        <v>2.2456979955397711E-7</v>
      </c>
      <c r="O96" s="91">
        <f>($C$7*$D$14*$D$8*$E96/$D96^2*N96*10^6)</f>
        <v>4.99043999008838E-2</v>
      </c>
      <c r="P96" s="91">
        <f>IF($F96=0,0,1+($F96-$E$21)/$E$22)+$G96/$E$23+$H96/$E$24+$I96/$E$25</f>
        <v>5.7674418604651159</v>
      </c>
      <c r="Q96" s="97">
        <f>10^(-P96)</f>
        <v>1.7082763938087111E-6</v>
      </c>
      <c r="R96" s="91">
        <f>($C$7*$D$14*$E$8*$E96/$D96^2*Q96*10^6)</f>
        <v>0.37961697640193576</v>
      </c>
      <c r="S96" s="91">
        <f>IF($F96=0,0,1+($F96-$F$21)/$F$22)+$G96/$F$23+$H96/$F$24+$I96/$F$25</f>
        <v>9.1481481481481488</v>
      </c>
      <c r="T96" s="97">
        <f>10^(-S96)</f>
        <v>7.1097094323124171E-10</v>
      </c>
      <c r="U96" s="91">
        <f>($C$7*$F$14*$F$8*$E96/$D96^2*T96*10^6)</f>
        <v>1.5799354294027593E-4</v>
      </c>
      <c r="V96" s="91">
        <f>IF($F96=0,0,1+($F96-$G$21)/$G$22)+$G96/$G$23+$H96/$G$24+$I96/$G$25</f>
        <v>6.9444444444444446</v>
      </c>
      <c r="W96" s="97">
        <f>10^(-V96)</f>
        <v>1.136463666385722E-7</v>
      </c>
      <c r="X96" s="76">
        <f>($C$7*$G$14*$G$8*$E96/$D96^2*W96*10^6)</f>
        <v>2.5254748141904933E-2</v>
      </c>
      <c r="Y96" s="324">
        <f>SUM(L96,O96,R96,U96,X96)</f>
        <v>0.46273676628592059</v>
      </c>
      <c r="Z96" s="717"/>
      <c r="AA96" s="718"/>
      <c r="AG96" s="328"/>
      <c r="AI96" s="328"/>
      <c r="AJ96" s="328"/>
      <c r="AK96" s="328"/>
      <c r="AL96" s="328"/>
      <c r="AP96" s="222"/>
      <c r="AQ96" s="211"/>
      <c r="AR96" s="222"/>
      <c r="AS96" s="222"/>
      <c r="AT96" s="225"/>
      <c r="AU96" s="225"/>
      <c r="AV96" s="225"/>
      <c r="AW96" s="225"/>
      <c r="AX96" s="225"/>
      <c r="AY96" s="300"/>
      <c r="AZ96" s="300"/>
    </row>
    <row r="97" spans="1:54" s="212" customFormat="1" ht="30" customHeight="1" x14ac:dyDescent="0.25">
      <c r="A97" s="728" t="str">
        <f>Samenvatting!A231</f>
        <v>L10</v>
      </c>
      <c r="B97" s="352" t="str">
        <f>Samenvatting!B231</f>
        <v>ingang labyrint linac 10</v>
      </c>
      <c r="C97" s="353" t="s">
        <v>361</v>
      </c>
      <c r="D97" s="1859">
        <v>5</v>
      </c>
      <c r="E97" s="58"/>
      <c r="F97" s="1859">
        <v>250</v>
      </c>
      <c r="G97" s="1859">
        <v>0</v>
      </c>
      <c r="H97" s="1859">
        <v>0</v>
      </c>
      <c r="I97" s="1859">
        <v>0</v>
      </c>
      <c r="J97" s="91">
        <f>$F97/$C$27+$G97/$C$28+$H97/$C$29+$I97/$C$30</f>
        <v>7.3529411764705879</v>
      </c>
      <c r="K97" s="97">
        <f>10^(-J97)</f>
        <v>4.4366873309786093E-8</v>
      </c>
      <c r="L97" s="91">
        <f>($C$7*$C$15*$C$8*($C$9+$C$10*$C$11)/$D97^2*K97*10^6)</f>
        <v>1.0648049594348663E-3</v>
      </c>
      <c r="M97" s="91">
        <f>$F97/$D$27+$G97/$D$28+$H97/$D$29+$I97/$D$30</f>
        <v>6.5789473684210522</v>
      </c>
      <c r="N97" s="97">
        <f>10^(-M97)</f>
        <v>2.636650898730358E-7</v>
      </c>
      <c r="O97" s="91">
        <f>($C$7*$C$15*$D$8*($D$9+$D$10*$D$11)/$D97^2*N97*10^6)</f>
        <v>6.3279621569528599E-3</v>
      </c>
      <c r="P97" s="91">
        <f>$F97/$E$27+$G97/$E$28+$H97/$E$29+$I97/$E$30</f>
        <v>5.6818181818181817</v>
      </c>
      <c r="Q97" s="97">
        <f>10^(-P97)</f>
        <v>2.0805675382171676E-6</v>
      </c>
      <c r="R97" s="91">
        <f>($C$7*$C$15*$E$8*($E$9+$E$10*$E$11)/$D97^2*Q97*10^6)</f>
        <v>4.9933620917212027E-2</v>
      </c>
      <c r="S97" s="91">
        <f>$F97/$F$27+$G97/$F$28+$H97/$F$29+$I97/$F$30</f>
        <v>8.1967213114754092</v>
      </c>
      <c r="T97" s="97">
        <f>10^(-S97)</f>
        <v>6.3573875711648393E-9</v>
      </c>
      <c r="U97" s="91">
        <f>($C$7*$C$15*$F$8*($F$9+$F$10*$F$11)/$D97^2*T97*10^6)</f>
        <v>1.5257730170795616E-4</v>
      </c>
      <c r="V97" s="91">
        <f>$F97/$G$27+$G97/$G$28+$H97/$G$29+$I97/$G$30</f>
        <v>7.0224719101123592</v>
      </c>
      <c r="W97" s="97">
        <f>10^(-V97)</f>
        <v>9.4957241494880226E-8</v>
      </c>
      <c r="X97" s="76">
        <f>($C$7*$C$15*$G$8*($G$9+$G$10*$G$11)/$D97^2*W97*10^6)</f>
        <v>2.278973795877126E-3</v>
      </c>
      <c r="Y97" s="355">
        <f>SUM(L97,O97,R97,U97,X97)</f>
        <v>5.9757939131184837E-2</v>
      </c>
      <c r="Z97" s="662">
        <f>SUM(Y95:Y99)</f>
        <v>298.8604080214198</v>
      </c>
      <c r="AA97" s="663">
        <f>Z97*52/10^3</f>
        <v>15.54074121711383</v>
      </c>
      <c r="AG97" s="328"/>
      <c r="AH97" s="328"/>
      <c r="AI97" s="328"/>
      <c r="AJ97" s="328"/>
      <c r="AK97" s="328"/>
      <c r="AL97" s="328"/>
      <c r="AP97" s="222"/>
      <c r="AQ97" s="211"/>
      <c r="AR97" s="222"/>
      <c r="AS97" s="222"/>
      <c r="AT97" s="225"/>
      <c r="AU97" s="225"/>
      <c r="AV97" s="225"/>
      <c r="AW97" s="225"/>
      <c r="AX97" s="225"/>
      <c r="AY97" s="300"/>
      <c r="AZ97" s="300"/>
    </row>
    <row r="98" spans="1:54" s="212" customFormat="1" ht="30" customHeight="1" thickBot="1" x14ac:dyDescent="0.3">
      <c r="A98" s="729"/>
      <c r="B98" s="729"/>
      <c r="C98" s="360" t="s">
        <v>360</v>
      </c>
      <c r="D98" s="701" t="s">
        <v>362</v>
      </c>
      <c r="E98" s="58"/>
      <c r="F98" s="58"/>
      <c r="G98" s="58"/>
      <c r="H98" s="58"/>
      <c r="I98" s="58"/>
      <c r="J98" s="91"/>
      <c r="K98" s="97"/>
      <c r="L98" s="91"/>
      <c r="M98" s="702"/>
      <c r="N98" s="703"/>
      <c r="O98" s="704"/>
      <c r="P98" s="704"/>
      <c r="Q98" s="703"/>
      <c r="R98" s="704"/>
      <c r="S98" s="704"/>
      <c r="T98" s="703"/>
      <c r="U98" s="704"/>
      <c r="V98" s="704"/>
      <c r="W98" s="703"/>
      <c r="X98" s="705"/>
      <c r="Y98" s="339">
        <f>SUM(AT130:AT135)</f>
        <v>298.3379133160027</v>
      </c>
      <c r="Z98" s="720"/>
      <c r="AA98" s="364"/>
      <c r="AG98" s="328"/>
      <c r="AH98" s="328"/>
      <c r="AI98" s="328"/>
      <c r="AJ98" s="328"/>
      <c r="AK98" s="328"/>
      <c r="AL98" s="328"/>
      <c r="AP98" s="222"/>
      <c r="AQ98" s="211"/>
      <c r="AR98" s="222"/>
      <c r="AS98" s="222"/>
      <c r="AT98" s="225"/>
      <c r="AU98" s="225"/>
      <c r="AV98" s="225"/>
      <c r="AW98" s="225"/>
      <c r="AX98" s="225"/>
      <c r="AY98" s="300"/>
      <c r="AZ98" s="300"/>
    </row>
    <row r="99" spans="1:54" s="212" customFormat="1" ht="30" hidden="1" customHeight="1" thickBot="1" x14ac:dyDescent="0.3">
      <c r="B99" s="730"/>
      <c r="C99" s="318"/>
      <c r="D99" s="1872"/>
      <c r="E99" s="1871"/>
      <c r="F99" s="1871"/>
      <c r="G99" s="1871"/>
      <c r="H99" s="1871"/>
      <c r="I99" s="1871"/>
      <c r="J99" s="91"/>
      <c r="K99" s="97"/>
      <c r="L99" s="91"/>
      <c r="M99" s="702"/>
      <c r="N99" s="703"/>
      <c r="O99" s="704"/>
      <c r="P99" s="704"/>
      <c r="Q99" s="703"/>
      <c r="R99" s="704"/>
      <c r="S99" s="704"/>
      <c r="T99" s="703"/>
      <c r="U99" s="704"/>
      <c r="V99" s="704"/>
      <c r="W99" s="703"/>
      <c r="X99" s="705"/>
      <c r="Y99" s="577"/>
      <c r="Z99" s="707"/>
      <c r="AA99" s="708"/>
      <c r="AG99" s="328"/>
      <c r="AH99" s="328"/>
      <c r="AI99" s="328"/>
      <c r="AJ99" s="328"/>
      <c r="AK99" s="328"/>
      <c r="AL99" s="328"/>
      <c r="AP99" s="222"/>
      <c r="AQ99" s="211"/>
      <c r="AR99" s="222"/>
      <c r="AS99" s="222"/>
      <c r="AT99" s="225"/>
      <c r="AU99" s="225"/>
      <c r="AV99" s="225"/>
      <c r="AW99" s="225"/>
      <c r="AX99" s="225"/>
      <c r="AY99" s="300"/>
      <c r="AZ99" s="300"/>
    </row>
    <row r="100" spans="1:54" s="212" customFormat="1" ht="30" customHeight="1" x14ac:dyDescent="0.25">
      <c r="A100" s="322"/>
      <c r="B100" s="322"/>
      <c r="C100" s="323" t="s">
        <v>569</v>
      </c>
      <c r="D100" s="1859">
        <v>6</v>
      </c>
      <c r="E100" s="1859">
        <v>1</v>
      </c>
      <c r="F100" s="1859">
        <v>250</v>
      </c>
      <c r="G100" s="1859">
        <v>0</v>
      </c>
      <c r="H100" s="1859">
        <v>0</v>
      </c>
      <c r="I100" s="1859">
        <v>0</v>
      </c>
      <c r="J100" s="91">
        <f>IF($F100=0,0,1+($F100-$C$21)/$C$22)+$G100/$C$23+$H100/$C$24+$I100/$C$25</f>
        <v>7.4545454545454541</v>
      </c>
      <c r="K100" s="97">
        <f>10^(-J100)</f>
        <v>3.5111917342151263E-8</v>
      </c>
      <c r="L100" s="91">
        <f>($C$7*$C$14*$C$8*$E100/$D100^2*K100*10^6)</f>
        <v>7.8026482982558355E-3</v>
      </c>
      <c r="M100" s="91">
        <f>IF($F100=0,0,1+($F100-$D$21)/$D$22)+$G100/$D$23+$H100/$D$24+$I100/$D$25</f>
        <v>6.6486486486486482</v>
      </c>
      <c r="N100" s="97">
        <f>10^(-M100)</f>
        <v>2.2456979955397711E-7</v>
      </c>
      <c r="O100" s="91">
        <f>($C$7*$D$14*$D$8*$E100/$D100^2*N100*10^6)</f>
        <v>4.99043999008838E-2</v>
      </c>
      <c r="P100" s="91">
        <f>IF($F100=0,0,1+($F100-$E$21)/$E$22)+$G100/$E$23+$H100/$E$24+$I100/$E$25</f>
        <v>5.7674418604651159</v>
      </c>
      <c r="Q100" s="97">
        <f>10^(-P100)</f>
        <v>1.7082763938087111E-6</v>
      </c>
      <c r="R100" s="91">
        <f>($C$7*$D$14*$E$8*$E100/$D100^2*Q100*10^6)</f>
        <v>0.37961697640193576</v>
      </c>
      <c r="S100" s="91">
        <f>IF($F100=0,0,1+($F100-$F$21)/$F$22)+$G100/$F$23+$H100/$F$24+$I100/$F$25</f>
        <v>9.1481481481481488</v>
      </c>
      <c r="T100" s="97">
        <f>10^(-S100)</f>
        <v>7.1097094323124171E-10</v>
      </c>
      <c r="U100" s="91">
        <f>($C$7*$F$14*$F$8*$E100/$D100^2*T100*10^6)</f>
        <v>1.5799354294027593E-4</v>
      </c>
      <c r="V100" s="91">
        <f>IF($F100=0,0,1+($F100-$G$21)/$G$22)+$G100/$G$23+$H100/$G$24+$I100/$G$25</f>
        <v>6.9444444444444446</v>
      </c>
      <c r="W100" s="97">
        <f>10^(-V100)</f>
        <v>1.136463666385722E-7</v>
      </c>
      <c r="X100" s="76">
        <f>($C$7*$G$14*$G$8*$E100/$D100^2*W100*10^6)</f>
        <v>2.5254748141904933E-2</v>
      </c>
      <c r="Y100" s="324">
        <f>SUM(L100,O100,R100,U100,X100)</f>
        <v>0.46273676628592059</v>
      </c>
      <c r="Z100" s="325"/>
      <c r="AA100" s="350"/>
      <c r="AG100" s="328"/>
      <c r="AI100" s="328"/>
      <c r="AJ100" s="328"/>
      <c r="AK100" s="328"/>
      <c r="AL100" s="328"/>
      <c r="AP100" s="222"/>
      <c r="AQ100" s="211"/>
      <c r="AR100" s="222"/>
      <c r="AS100" s="222"/>
      <c r="AT100" s="225"/>
      <c r="AU100" s="225"/>
      <c r="AV100" s="225"/>
      <c r="AW100" s="225"/>
      <c r="AX100" s="225"/>
      <c r="AY100" s="300"/>
      <c r="AZ100" s="300"/>
    </row>
    <row r="101" spans="1:54" s="212" customFormat="1" ht="30" customHeight="1" thickBot="1" x14ac:dyDescent="0.3">
      <c r="A101" s="657" t="str">
        <f>Samenvatting!A233</f>
        <v>vrij</v>
      </c>
      <c r="B101" s="330" t="str">
        <f>Samenvatting!B233</f>
        <v>vrij te kiezen</v>
      </c>
      <c r="C101" s="331" t="s">
        <v>568</v>
      </c>
      <c r="D101" s="1859">
        <v>5</v>
      </c>
      <c r="E101" s="58"/>
      <c r="F101" s="1859">
        <v>250</v>
      </c>
      <c r="G101" s="1859">
        <v>0</v>
      </c>
      <c r="H101" s="1859">
        <v>0</v>
      </c>
      <c r="I101" s="1859">
        <v>0</v>
      </c>
      <c r="J101" s="91">
        <f>$F101/$C$27+$G101/$C$28+$H101/$C$29+$I101/$C$30</f>
        <v>7.3529411764705879</v>
      </c>
      <c r="K101" s="97">
        <f>10^(-J101)</f>
        <v>4.4366873309786093E-8</v>
      </c>
      <c r="L101" s="91">
        <f>($C$7*$C$15*$C$8*($C$9+$C$10*$C$11)/$D101^2*K101*10^6)</f>
        <v>1.0648049594348663E-3</v>
      </c>
      <c r="M101" s="91">
        <f>$F101/$D$27+$G101/$D$28+$H101/$D$29+$I101/$D$30</f>
        <v>6.5789473684210522</v>
      </c>
      <c r="N101" s="97">
        <f>10^(-M101)</f>
        <v>2.636650898730358E-7</v>
      </c>
      <c r="O101" s="91">
        <f>($C$7*$C$15*$D$8*($D$9+$D$10*$D$11)/$D101^2*N101*10^6)</f>
        <v>6.3279621569528599E-3</v>
      </c>
      <c r="P101" s="91">
        <f>$F101/$E$27+$G101/$E$28+$H101/$E$29+$I101/$E$30</f>
        <v>5.6818181818181817</v>
      </c>
      <c r="Q101" s="97">
        <f>10^(-P101)</f>
        <v>2.0805675382171676E-6</v>
      </c>
      <c r="R101" s="91">
        <f>($C$7*$C$15*$E$8*($E$9+$E$10*$E$11)/$D101^2*Q101*10^6)</f>
        <v>4.9933620917212027E-2</v>
      </c>
      <c r="S101" s="91">
        <f>$F101/$F$27+$G101/$F$28+$H101/$F$29+$I101/$F$30</f>
        <v>8.1967213114754092</v>
      </c>
      <c r="T101" s="97">
        <f>10^(-S101)</f>
        <v>6.3573875711648393E-9</v>
      </c>
      <c r="U101" s="91">
        <f>($C$7*$C$15*$F$8*($F$9+$F$10*$F$11)/$D101^2*T101*10^6)</f>
        <v>1.5257730170795616E-4</v>
      </c>
      <c r="V101" s="91">
        <f>$F101/$G$27+$G101/$G$28+$H101/$G$29+$I101/$G$30</f>
        <v>7.0224719101123592</v>
      </c>
      <c r="W101" s="97">
        <f>10^(-V101)</f>
        <v>9.4957241494880226E-8</v>
      </c>
      <c r="X101" s="76">
        <f>($C$7*$C$15*$G$8*($G$9+$G$10*$G$11)/$D101^2*W101*10^6)</f>
        <v>2.278973795877126E-3</v>
      </c>
      <c r="Y101" s="339">
        <f>SUM(L101,O101,R101,U101,X101)</f>
        <v>5.9757939131184837E-2</v>
      </c>
      <c r="Z101" s="363">
        <f>SUM(Y99:Y102)</f>
        <v>0.52249470541710541</v>
      </c>
      <c r="AA101" s="334">
        <f>Z101*52/10^3</f>
        <v>2.7169724681689482E-2</v>
      </c>
      <c r="AG101" s="328"/>
      <c r="AH101" s="328"/>
      <c r="AI101" s="328"/>
      <c r="AJ101" s="328"/>
      <c r="AK101" s="328"/>
      <c r="AL101" s="328"/>
      <c r="AP101" s="222"/>
      <c r="AQ101" s="211"/>
      <c r="AR101" s="222"/>
      <c r="AS101" s="222"/>
      <c r="AT101" s="225"/>
      <c r="AU101" s="225"/>
      <c r="AV101" s="225"/>
      <c r="AW101" s="225"/>
      <c r="AX101" s="225"/>
      <c r="AY101" s="300"/>
      <c r="AZ101" s="300"/>
    </row>
    <row r="102" spans="1:54" s="225" customFormat="1" ht="30" hidden="1" customHeight="1" x14ac:dyDescent="0.25">
      <c r="A102" s="211"/>
      <c r="B102" s="220"/>
      <c r="C102" s="310"/>
      <c r="D102" s="57"/>
      <c r="E102" s="57"/>
      <c r="F102" s="57"/>
      <c r="G102" s="57"/>
      <c r="H102" s="57"/>
      <c r="I102" s="57"/>
      <c r="J102" s="369"/>
      <c r="K102" s="328"/>
      <c r="L102" s="369"/>
      <c r="M102" s="369"/>
      <c r="N102" s="328"/>
      <c r="O102" s="369"/>
      <c r="P102" s="369"/>
      <c r="Q102" s="328"/>
      <c r="R102" s="369"/>
      <c r="S102" s="369"/>
      <c r="T102" s="328"/>
      <c r="U102" s="369"/>
      <c r="V102" s="369"/>
      <c r="W102" s="328"/>
      <c r="X102" s="369"/>
      <c r="Y102" s="369"/>
      <c r="Z102" s="233"/>
      <c r="AA102" s="233"/>
      <c r="AG102" s="328"/>
      <c r="AH102" s="328"/>
      <c r="AI102" s="328"/>
      <c r="AJ102" s="328"/>
      <c r="AK102" s="328"/>
      <c r="AL102" s="328"/>
      <c r="AP102" s="222"/>
      <c r="AQ102" s="211"/>
      <c r="AR102" s="222"/>
      <c r="AS102" s="222"/>
      <c r="AY102" s="300"/>
      <c r="AZ102" s="300"/>
    </row>
    <row r="103" spans="1:54" s="225" customFormat="1" ht="19.5" customHeight="1" thickBot="1" x14ac:dyDescent="0.3">
      <c r="A103" s="222"/>
      <c r="B103" s="222"/>
      <c r="C103" s="368"/>
      <c r="D103" s="57"/>
      <c r="E103" s="57"/>
      <c r="F103" s="57"/>
      <c r="G103" s="57"/>
      <c r="H103" s="57"/>
      <c r="I103" s="57"/>
      <c r="J103" s="369"/>
      <c r="K103" s="328"/>
      <c r="L103" s="369"/>
      <c r="M103" s="369"/>
      <c r="N103" s="328"/>
      <c r="O103" s="369"/>
      <c r="P103" s="369"/>
      <c r="Q103" s="328"/>
      <c r="R103" s="369"/>
      <c r="S103" s="369"/>
      <c r="T103" s="328"/>
      <c r="U103" s="369"/>
      <c r="V103" s="369"/>
      <c r="W103" s="328"/>
      <c r="X103" s="369"/>
      <c r="Y103" s="369"/>
      <c r="Z103" s="233"/>
      <c r="AA103" s="233"/>
      <c r="AG103" s="328"/>
      <c r="AH103" s="328"/>
      <c r="AI103" s="328"/>
      <c r="AJ103" s="328"/>
      <c r="AK103" s="328"/>
      <c r="AL103" s="328"/>
      <c r="AP103" s="222"/>
      <c r="AQ103" s="211"/>
      <c r="AR103" s="222"/>
      <c r="AS103" s="222"/>
      <c r="AY103" s="300"/>
      <c r="AZ103" s="300"/>
    </row>
    <row r="104" spans="1:54" ht="19.5" customHeight="1" x14ac:dyDescent="0.25">
      <c r="A104" s="373" t="s">
        <v>363</v>
      </c>
      <c r="B104" s="374"/>
      <c r="C104" s="375"/>
      <c r="D104" s="376"/>
      <c r="E104" s="377"/>
      <c r="F104" s="378"/>
      <c r="G104" s="379"/>
      <c r="H104" s="379"/>
      <c r="I104" s="379"/>
      <c r="J104" s="379"/>
      <c r="K104" s="379"/>
      <c r="L104" s="380"/>
      <c r="M104" s="380"/>
      <c r="N104" s="379"/>
      <c r="O104" s="379"/>
      <c r="P104" s="379"/>
      <c r="Q104" s="379"/>
      <c r="R104" s="379"/>
      <c r="S104" s="381"/>
      <c r="T104" s="379"/>
      <c r="U104" s="379"/>
      <c r="V104" s="379"/>
      <c r="W104" s="379"/>
      <c r="X104" s="379"/>
      <c r="Y104" s="379"/>
      <c r="Z104" s="379"/>
      <c r="AA104" s="216"/>
      <c r="AB104" s="297"/>
      <c r="AC104" s="216"/>
      <c r="AD104" s="216"/>
      <c r="AE104" s="216"/>
      <c r="AF104" s="216"/>
      <c r="AG104" s="382"/>
      <c r="AH104" s="382"/>
      <c r="AI104" s="382"/>
      <c r="AJ104" s="383"/>
      <c r="AK104" s="383"/>
      <c r="AL104" s="383"/>
      <c r="AM104" s="383"/>
      <c r="AN104" s="383"/>
      <c r="AO104" s="383"/>
      <c r="AP104" s="383"/>
      <c r="AQ104" s="383"/>
      <c r="AR104" s="382"/>
      <c r="AS104" s="382"/>
      <c r="AT104" s="382"/>
      <c r="AU104" s="382"/>
      <c r="AV104" s="186"/>
    </row>
    <row r="105" spans="1:54" ht="19.5" customHeight="1" thickBot="1" x14ac:dyDescent="0.3">
      <c r="A105" s="384"/>
      <c r="B105" s="385"/>
      <c r="C105" s="386"/>
      <c r="D105" s="387"/>
      <c r="E105" s="388"/>
      <c r="F105" s="388"/>
      <c r="G105" s="388"/>
      <c r="H105" s="288"/>
      <c r="I105" s="288"/>
      <c r="J105" s="288"/>
      <c r="K105" s="288"/>
      <c r="L105" s="299"/>
      <c r="M105" s="299"/>
      <c r="N105" s="288"/>
      <c r="O105" s="288"/>
      <c r="P105" s="288"/>
      <c r="Q105" s="288"/>
      <c r="R105" s="288"/>
      <c r="S105" s="289"/>
      <c r="T105" s="288"/>
      <c r="U105" s="288"/>
      <c r="V105" s="288"/>
      <c r="W105" s="288"/>
      <c r="X105" s="288"/>
      <c r="Y105" s="288"/>
      <c r="Z105" s="288"/>
      <c r="AA105" s="222"/>
      <c r="AB105" s="211"/>
      <c r="AC105" s="222"/>
      <c r="AD105" s="222"/>
      <c r="AE105" s="222"/>
      <c r="AF105" s="222"/>
      <c r="AG105" s="187"/>
      <c r="AH105" s="187"/>
      <c r="AI105" s="187"/>
      <c r="AJ105" s="282"/>
      <c r="AK105" s="282"/>
      <c r="AL105" s="282"/>
      <c r="AM105" s="282"/>
      <c r="AN105" s="282"/>
      <c r="AO105" s="282"/>
      <c r="AP105" s="282"/>
      <c r="AQ105" s="282"/>
      <c r="AR105" s="187"/>
      <c r="AS105" s="187"/>
      <c r="AT105" s="187"/>
      <c r="AU105" s="187"/>
      <c r="AV105" s="186"/>
    </row>
    <row r="106" spans="1:54" ht="19.5" customHeight="1" x14ac:dyDescent="0.25">
      <c r="A106" s="215" t="s">
        <v>247</v>
      </c>
      <c r="B106" s="389"/>
      <c r="C106" s="389"/>
      <c r="D106" s="389"/>
      <c r="E106" s="389"/>
      <c r="F106" s="389"/>
      <c r="G106" s="1845" t="s">
        <v>282</v>
      </c>
      <c r="H106" s="288"/>
      <c r="I106" s="288"/>
      <c r="J106" s="288"/>
      <c r="K106" s="288"/>
      <c r="L106" s="299"/>
      <c r="M106" s="299"/>
      <c r="N106" s="288"/>
      <c r="O106" s="288"/>
      <c r="P106" s="288"/>
      <c r="Q106" s="288"/>
      <c r="R106" s="288"/>
      <c r="S106" s="289"/>
      <c r="T106" s="288"/>
      <c r="U106" s="288"/>
      <c r="V106" s="288"/>
      <c r="W106" s="288"/>
      <c r="X106" s="288"/>
      <c r="Y106" s="288"/>
      <c r="Z106" s="288"/>
      <c r="AA106" s="222"/>
      <c r="AB106" s="211"/>
      <c r="AC106" s="222"/>
      <c r="AD106" s="222"/>
      <c r="AE106" s="222"/>
      <c r="AF106" s="222"/>
      <c r="AG106" s="187"/>
      <c r="AH106" s="187"/>
      <c r="AI106" s="187"/>
      <c r="AJ106" s="282"/>
      <c r="AK106" s="282"/>
      <c r="AL106" s="282"/>
      <c r="AM106" s="282"/>
      <c r="AN106" s="282"/>
      <c r="AO106" s="282"/>
      <c r="AP106" s="282"/>
      <c r="AQ106" s="282"/>
      <c r="AR106" s="187"/>
      <c r="AS106" s="187"/>
      <c r="AT106" s="187"/>
      <c r="AU106" s="187"/>
      <c r="AV106" s="186"/>
    </row>
    <row r="107" spans="1:54" ht="19.5" customHeight="1" thickBot="1" x14ac:dyDescent="0.3">
      <c r="A107" s="226" t="s">
        <v>246</v>
      </c>
      <c r="B107" s="390"/>
      <c r="C107" s="390"/>
      <c r="D107" s="390"/>
      <c r="E107" s="390"/>
      <c r="F107" s="390"/>
      <c r="G107" s="1846">
        <v>1</v>
      </c>
      <c r="H107" s="288"/>
      <c r="I107" s="288"/>
      <c r="J107" s="288"/>
      <c r="K107" s="288"/>
      <c r="L107" s="299"/>
      <c r="M107" s="299"/>
      <c r="N107" s="288"/>
      <c r="O107" s="288"/>
      <c r="P107" s="288"/>
      <c r="Q107" s="288"/>
      <c r="R107" s="288"/>
      <c r="S107" s="289"/>
      <c r="T107" s="288"/>
      <c r="U107" s="288"/>
      <c r="V107" s="288"/>
      <c r="W107" s="288"/>
      <c r="X107" s="288"/>
      <c r="Y107" s="288"/>
      <c r="Z107" s="288"/>
      <c r="AA107" s="222"/>
      <c r="AB107" s="211"/>
      <c r="AC107" s="222"/>
      <c r="AD107" s="222"/>
      <c r="AE107" s="222"/>
      <c r="AF107" s="222"/>
      <c r="AG107" s="187"/>
      <c r="AH107" s="187"/>
      <c r="AI107" s="187"/>
      <c r="AJ107" s="282"/>
      <c r="AK107" s="282"/>
      <c r="AL107" s="282"/>
      <c r="AM107" s="282"/>
      <c r="AN107" s="282"/>
      <c r="AO107" s="282"/>
      <c r="AP107" s="282"/>
      <c r="AQ107" s="282"/>
      <c r="AR107" s="187"/>
      <c r="AS107" s="187"/>
      <c r="AT107" s="187"/>
      <c r="AU107" s="187"/>
      <c r="AV107" s="186"/>
    </row>
    <row r="108" spans="1:54" ht="19.5" customHeight="1" thickBot="1" x14ac:dyDescent="0.3">
      <c r="A108" s="221"/>
      <c r="B108" s="225"/>
      <c r="C108" s="225"/>
      <c r="D108" s="225"/>
      <c r="E108" s="225"/>
      <c r="F108" s="225"/>
      <c r="G108" s="57"/>
      <c r="H108" s="288"/>
      <c r="I108" s="288"/>
      <c r="J108" s="288"/>
      <c r="K108" s="288"/>
      <c r="L108" s="225"/>
      <c r="M108" s="187"/>
      <c r="N108" s="187"/>
      <c r="O108" s="187"/>
      <c r="P108" s="187"/>
      <c r="Q108" s="187"/>
      <c r="R108" s="288"/>
      <c r="Y108" s="288"/>
      <c r="Z108" s="288"/>
      <c r="AA108" s="222"/>
      <c r="AB108" s="211"/>
      <c r="AC108" s="222"/>
      <c r="AD108" s="222"/>
      <c r="AE108" s="222"/>
      <c r="AF108" s="222"/>
      <c r="AG108" s="187"/>
      <c r="AH108" s="187"/>
      <c r="AI108" s="187"/>
      <c r="AJ108" s="282"/>
      <c r="AK108" s="282"/>
      <c r="AL108" s="282"/>
      <c r="AM108" s="282"/>
      <c r="AN108" s="282"/>
      <c r="AO108" s="282"/>
      <c r="AP108" s="282"/>
      <c r="AQ108" s="282"/>
      <c r="AR108" s="187"/>
      <c r="AS108" s="187"/>
      <c r="AT108" s="187"/>
      <c r="AU108" s="187"/>
      <c r="AV108" s="186"/>
    </row>
    <row r="109" spans="1:54" s="212" customFormat="1" ht="19.5" customHeight="1" thickBot="1" x14ac:dyDescent="0.3">
      <c r="A109" s="391" t="s">
        <v>243</v>
      </c>
      <c r="B109" s="392"/>
      <c r="C109" s="216"/>
      <c r="D109" s="216"/>
      <c r="E109" s="393"/>
      <c r="F109" s="216"/>
      <c r="G109" s="389"/>
      <c r="H109" s="216"/>
      <c r="I109" s="297"/>
      <c r="J109" s="394"/>
      <c r="K109" s="395"/>
      <c r="L109" s="396" t="s">
        <v>163</v>
      </c>
      <c r="M109" s="379"/>
      <c r="N109" s="379"/>
      <c r="O109" s="397"/>
      <c r="Q109" s="396" t="s">
        <v>581</v>
      </c>
      <c r="R109" s="398"/>
      <c r="S109" s="389"/>
      <c r="T109" s="389"/>
      <c r="U109" s="399"/>
      <c r="Y109" s="400"/>
      <c r="Z109" s="400"/>
      <c r="AA109" s="400"/>
      <c r="AB109" s="400"/>
      <c r="AC109" s="400"/>
      <c r="AD109" s="400"/>
      <c r="AE109" s="225"/>
      <c r="AF109" s="299"/>
      <c r="AG109" s="299"/>
      <c r="AH109" s="225"/>
      <c r="AI109" s="299"/>
      <c r="AJ109" s="299"/>
      <c r="AK109" s="225"/>
      <c r="AL109" s="299"/>
      <c r="AM109" s="299"/>
      <c r="AN109" s="225"/>
      <c r="AO109" s="299"/>
      <c r="AP109" s="299"/>
      <c r="AQ109" s="225"/>
      <c r="AR109" s="299"/>
      <c r="AS109" s="299"/>
      <c r="AT109" s="220"/>
      <c r="AU109" s="211"/>
      <c r="AV109" s="221"/>
      <c r="AW109" s="222"/>
      <c r="AX109" s="225"/>
      <c r="AY109" s="225"/>
      <c r="AZ109" s="225"/>
      <c r="BA109" s="225"/>
      <c r="BB109" s="225"/>
    </row>
    <row r="110" spans="1:54" s="212" customFormat="1" ht="19.5" customHeight="1" thickBot="1" x14ac:dyDescent="0.3">
      <c r="A110" s="401"/>
      <c r="B110" s="222"/>
      <c r="C110" s="225"/>
      <c r="D110" s="240"/>
      <c r="E110" s="402"/>
      <c r="F110" s="403" t="s">
        <v>55</v>
      </c>
      <c r="G110" s="211"/>
      <c r="H110" s="222"/>
      <c r="I110" s="211"/>
      <c r="J110" s="404"/>
      <c r="K110" s="395"/>
      <c r="L110" s="405" t="s">
        <v>577</v>
      </c>
      <c r="M110" s="406"/>
      <c r="N110" s="406"/>
      <c r="O110" s="407"/>
      <c r="Q110" s="408" t="s">
        <v>579</v>
      </c>
      <c r="R110" s="398"/>
      <c r="S110" s="389"/>
      <c r="T110" s="389"/>
      <c r="U110" s="399"/>
      <c r="Y110" s="400"/>
      <c r="Z110" s="400"/>
      <c r="AA110" s="400"/>
      <c r="AB110" s="400"/>
      <c r="AC110" s="400"/>
      <c r="AD110" s="400"/>
      <c r="AE110" s="225"/>
      <c r="AF110" s="299"/>
      <c r="AG110" s="299"/>
      <c r="AH110" s="225"/>
      <c r="AI110" s="299"/>
      <c r="AJ110" s="299"/>
      <c r="AK110" s="225"/>
      <c r="AL110" s="299"/>
      <c r="AM110" s="299"/>
      <c r="AN110" s="225"/>
      <c r="AO110" s="299"/>
      <c r="AP110" s="299"/>
      <c r="AQ110" s="225"/>
      <c r="AR110" s="299"/>
      <c r="AS110" s="299"/>
      <c r="AT110" s="220"/>
      <c r="AU110" s="211"/>
      <c r="AV110" s="221"/>
      <c r="AW110" s="222"/>
      <c r="AX110" s="225"/>
      <c r="AY110" s="225"/>
      <c r="AZ110" s="225"/>
      <c r="BA110" s="225"/>
      <c r="BB110" s="225"/>
    </row>
    <row r="111" spans="1:54" s="212" customFormat="1" ht="19.5" customHeight="1" thickBot="1" x14ac:dyDescent="0.3">
      <c r="A111" s="221"/>
      <c r="B111" s="308" t="s">
        <v>68</v>
      </c>
      <c r="C111" s="409" t="s">
        <v>81</v>
      </c>
      <c r="D111" s="410"/>
      <c r="E111" s="58">
        <v>0.5</v>
      </c>
      <c r="F111" s="411">
        <f>$C$4</f>
        <v>6</v>
      </c>
      <c r="G111" s="411">
        <f>$D$4</f>
        <v>10</v>
      </c>
      <c r="H111" s="411">
        <f>$E$4</f>
        <v>18</v>
      </c>
      <c r="I111" s="411" t="str">
        <f>$F$4</f>
        <v>6 FFF</v>
      </c>
      <c r="J111" s="412" t="str">
        <f>$G$4</f>
        <v>10 FFF</v>
      </c>
      <c r="K111" s="395"/>
      <c r="L111" s="413"/>
      <c r="M111" s="414" t="s">
        <v>38</v>
      </c>
      <c r="N111" s="415" t="s">
        <v>38</v>
      </c>
      <c r="O111" s="416" t="s">
        <v>156</v>
      </c>
      <c r="Q111" s="1847">
        <v>5.6999999999999999E-16</v>
      </c>
      <c r="R111" s="390"/>
      <c r="S111" s="390"/>
      <c r="T111" s="390"/>
      <c r="U111" s="417"/>
      <c r="Y111" s="400"/>
      <c r="Z111" s="400"/>
      <c r="AA111" s="400"/>
      <c r="AB111" s="400"/>
      <c r="AC111" s="400"/>
      <c r="AD111" s="400"/>
      <c r="AE111" s="225"/>
      <c r="AF111" s="299"/>
      <c r="AG111" s="299"/>
      <c r="AH111" s="225"/>
      <c r="AI111" s="299"/>
      <c r="AJ111" s="299"/>
      <c r="AK111" s="225"/>
      <c r="AL111" s="299"/>
      <c r="AM111" s="299"/>
      <c r="AN111" s="225"/>
      <c r="AO111" s="299"/>
      <c r="AP111" s="299"/>
      <c r="AQ111" s="225"/>
      <c r="AR111" s="299"/>
      <c r="AS111" s="299"/>
      <c r="AT111" s="220"/>
      <c r="AU111" s="211"/>
      <c r="AV111" s="221"/>
      <c r="AW111" s="222"/>
      <c r="AX111" s="225"/>
      <c r="AY111" s="225"/>
      <c r="AZ111" s="225"/>
      <c r="BA111" s="225"/>
      <c r="BB111" s="225"/>
    </row>
    <row r="112" spans="1:54" s="212" customFormat="1" ht="19.5" customHeight="1" thickBot="1" x14ac:dyDescent="0.3">
      <c r="A112" s="418" t="s">
        <v>293</v>
      </c>
      <c r="B112" s="419" t="s">
        <v>282</v>
      </c>
      <c r="C112" s="420">
        <f>IF($G$106="parallel",75,30)</f>
        <v>30</v>
      </c>
      <c r="D112" s="421"/>
      <c r="E112" s="422"/>
      <c r="F112" s="423">
        <f>IF($G$106="parallel",VLOOKUP($F$111,reflectiecoefficienten!$A$11:$F$20,2),VLOOKUP($F$111,reflectiecoefficienten!$A$28:$F$37,2))</f>
        <v>5.1999999999999998E-3</v>
      </c>
      <c r="G112" s="423">
        <f>IF($G$106="parallel",VLOOKUP($G$111,reflectiecoefficienten!$A$11:$F$20,2),VLOOKUP($G$111,reflectiecoefficienten!$A$28:$F$37,2))</f>
        <v>4.1000000000000003E-3</v>
      </c>
      <c r="H112" s="423">
        <f>IF($G$106="parallel",VLOOKUP($H$111,reflectiecoefficienten!$A$11:$F$20,2),VLOOKUP($H$111,reflectiecoefficienten!$A$28:$F$37,2))</f>
        <v>3.3999999999999998E-3</v>
      </c>
      <c r="I112" s="424">
        <f>IF($G$106="parallel",VLOOKUP($I$111,reflectiecoefficienten!$A$11:$F$20,2),VLOOKUP($I$111,reflectiecoefficienten!$A$28:$F$37,2))</f>
        <v>6.4999999999999997E-3</v>
      </c>
      <c r="J112" s="425">
        <f>IF($G$106="parallel",VLOOKUP($J$111,reflectiecoefficienten!$A$11:$F$20,2),VLOOKUP($J$111,reflectiecoefficienten!$A$28:$F$37,2))</f>
        <v>6.4999999999999997E-3</v>
      </c>
      <c r="K112" s="395"/>
      <c r="L112" s="257"/>
      <c r="M112" s="312" t="s">
        <v>578</v>
      </c>
      <c r="N112" s="308" t="s">
        <v>33</v>
      </c>
      <c r="O112" s="309" t="s">
        <v>245</v>
      </c>
      <c r="Q112" s="426" t="s">
        <v>580</v>
      </c>
      <c r="R112" s="400"/>
      <c r="S112" s="225"/>
      <c r="T112" s="225"/>
      <c r="U112" s="427"/>
      <c r="Y112" s="400"/>
      <c r="Z112" s="400"/>
      <c r="AA112" s="400"/>
      <c r="AB112" s="400"/>
      <c r="AC112" s="400"/>
      <c r="AD112" s="400"/>
      <c r="AE112" s="225"/>
      <c r="AF112" s="299"/>
      <c r="AG112" s="299"/>
      <c r="AH112" s="225"/>
      <c r="AI112" s="299"/>
      <c r="AJ112" s="299"/>
      <c r="AK112" s="225"/>
      <c r="AL112" s="299"/>
      <c r="AM112" s="299"/>
      <c r="AN112" s="225"/>
      <c r="AO112" s="299"/>
      <c r="AP112" s="299"/>
      <c r="AQ112" s="225"/>
      <c r="AR112" s="299"/>
      <c r="AS112" s="299"/>
      <c r="AT112" s="220"/>
      <c r="AU112" s="211"/>
      <c r="AV112" s="221"/>
      <c r="AW112" s="222"/>
      <c r="AX112" s="225"/>
      <c r="AY112" s="225"/>
      <c r="AZ112" s="225"/>
      <c r="BA112" s="225"/>
      <c r="BB112" s="225"/>
    </row>
    <row r="113" spans="1:54" s="212" customFormat="1" ht="19.5" customHeight="1" thickBot="1" x14ac:dyDescent="0.3">
      <c r="A113" s="428" t="s">
        <v>294</v>
      </c>
      <c r="B113" s="179" t="s">
        <v>282</v>
      </c>
      <c r="C113" s="308">
        <v>75</v>
      </c>
      <c r="D113" s="421"/>
      <c r="E113" s="429"/>
      <c r="F113" s="423">
        <f>IF($G$106="parallel",VLOOKUP($F$111,reflectiecoefficienten!$A$11:$F$20,3),VLOOKUP($F$111,reflectiecoefficienten!$A$28:$F$37,3))</f>
        <v>2.7000000000000001E-3</v>
      </c>
      <c r="G113" s="423">
        <f>IF($G$106="parallel",VLOOKUP($G$111,reflectiecoefficienten!$A$11:$F$20,3),VLOOKUP($G$111,reflectiecoefficienten!$A$28:$F$37,3))</f>
        <v>2.0999999999999999E-3</v>
      </c>
      <c r="H113" s="423">
        <f>IF($G$106="parallel",VLOOKUP($H$111,reflectiecoefficienten!$A$11:$F$20,3),VLOOKUP($H$111,reflectiecoefficienten!$A$28:$F$37,3))</f>
        <v>1.6000000000000001E-3</v>
      </c>
      <c r="I113" s="424">
        <f>IF($G$106="parallel",VLOOKUP($I$111,reflectiecoefficienten!$A$11:$F$20,3),VLOOKUP($I$111,reflectiecoefficienten!$A$28:$F$37,3))</f>
        <v>3.5000000000000001E-3</v>
      </c>
      <c r="J113" s="425">
        <f>IF($G$106="parallel",VLOOKUP($J$111,reflectiecoefficienten!$A$11:$F$20,3),VLOOKUP($J$111,reflectiecoefficienten!$A$28:$F$37,3))</f>
        <v>3.3E-3</v>
      </c>
      <c r="K113" s="395"/>
      <c r="L113" s="307" t="s">
        <v>55</v>
      </c>
      <c r="M113" s="430">
        <v>0.5</v>
      </c>
      <c r="N113" s="415">
        <v>0.1</v>
      </c>
      <c r="O113" s="416">
        <v>3.6</v>
      </c>
      <c r="Q113" s="1848">
        <v>6.2</v>
      </c>
      <c r="R113" s="431"/>
      <c r="S113" s="390"/>
      <c r="T113" s="390"/>
      <c r="U113" s="417"/>
      <c r="Y113" s="400"/>
      <c r="Z113" s="400"/>
      <c r="AA113" s="400"/>
      <c r="AB113" s="400"/>
      <c r="AC113" s="400"/>
      <c r="AD113" s="400"/>
      <c r="AE113" s="225"/>
      <c r="AF113" s="299"/>
      <c r="AG113" s="299"/>
      <c r="AH113" s="225"/>
      <c r="AI113" s="299"/>
      <c r="AJ113" s="299"/>
      <c r="AK113" s="225"/>
      <c r="AL113" s="299"/>
      <c r="AM113" s="299"/>
      <c r="AN113" s="225"/>
      <c r="AO113" s="299"/>
      <c r="AP113" s="299"/>
      <c r="AQ113" s="225"/>
      <c r="AR113" s="299"/>
      <c r="AS113" s="299"/>
      <c r="AT113" s="220"/>
      <c r="AU113" s="211"/>
      <c r="AV113" s="221"/>
      <c r="AW113" s="222"/>
      <c r="AX113" s="225"/>
      <c r="AY113" s="225"/>
      <c r="AZ113" s="225"/>
      <c r="BA113" s="225"/>
      <c r="BB113" s="225"/>
    </row>
    <row r="114" spans="1:54" s="212" customFormat="1" ht="19.5" customHeight="1" x14ac:dyDescent="0.25">
      <c r="A114" s="428" t="s">
        <v>295</v>
      </c>
      <c r="B114" s="308">
        <f>IF($G$106="parallel","loodrecht",45)</f>
        <v>45</v>
      </c>
      <c r="C114" s="308">
        <f>IF($G$106="parallel",75,0)</f>
        <v>0</v>
      </c>
      <c r="D114" s="421"/>
      <c r="E114" s="432">
        <f>IF($G$106="parallel",VLOOKUP($E$111,reflectiecoefficienten!$A$11:$F$20,4),VLOOKUP($E$111,reflectiecoefficienten!$A$28:$F$37,4))</f>
        <v>2.1999999999999999E-2</v>
      </c>
      <c r="F114" s="433"/>
      <c r="G114" s="423"/>
      <c r="H114" s="423"/>
      <c r="I114" s="424"/>
      <c r="J114" s="425"/>
      <c r="K114" s="395"/>
      <c r="L114" s="307" t="s">
        <v>3</v>
      </c>
      <c r="M114" s="263">
        <f>VLOOKUP($M$113,'TVT''s afscherming'!$A$10:$J$23,5)</f>
        <v>5.5</v>
      </c>
      <c r="N114" s="435">
        <f>VLOOKUP($N$113,'TVT''s afscherming'!$A$45:$J$45,3)</f>
        <v>37</v>
      </c>
      <c r="O114" s="436">
        <f>VLOOKUP($O$113,'TVT''s afscherming'!$A$47:$J$47,3)</f>
        <v>13.5</v>
      </c>
      <c r="R114" s="400"/>
      <c r="Y114" s="400"/>
      <c r="Z114" s="400"/>
      <c r="AA114" s="400"/>
      <c r="AB114" s="400"/>
      <c r="AC114" s="400"/>
      <c r="AD114" s="400"/>
      <c r="AE114" s="225"/>
      <c r="AF114" s="299"/>
      <c r="AG114" s="299"/>
      <c r="AH114" s="225"/>
      <c r="AI114" s="299"/>
      <c r="AJ114" s="299"/>
      <c r="AK114" s="225"/>
      <c r="AL114" s="299"/>
      <c r="AM114" s="299"/>
      <c r="AN114" s="225"/>
      <c r="AO114" s="299"/>
      <c r="AP114" s="299"/>
      <c r="AQ114" s="225"/>
      <c r="AR114" s="299"/>
      <c r="AS114" s="299"/>
      <c r="AT114" s="220"/>
      <c r="AU114" s="211"/>
      <c r="AV114" s="221"/>
      <c r="AW114" s="222"/>
      <c r="AX114" s="225"/>
      <c r="AY114" s="225"/>
      <c r="AZ114" s="225"/>
      <c r="BA114" s="225"/>
      <c r="BB114" s="225"/>
    </row>
    <row r="115" spans="1:54" s="212" customFormat="1" ht="19.5" customHeight="1" x14ac:dyDescent="0.25">
      <c r="A115" s="428" t="s">
        <v>296</v>
      </c>
      <c r="B115" s="308">
        <v>45</v>
      </c>
      <c r="C115" s="308">
        <v>0</v>
      </c>
      <c r="D115" s="421"/>
      <c r="E115" s="432">
        <f>IF($G$106="parallel",VLOOKUP($E$111,reflectiecoefficienten!$A$11:$F$20,5),VLOOKUP($E$111,reflectiecoefficienten!$A$28:$F$37,5))</f>
        <v>2.1999999999999999E-2</v>
      </c>
      <c r="F115" s="423">
        <f>IF($G$106="parallel",VLOOKUP($F$111,reflectiecoefficienten!$A$11:$F$20,5),VLOOKUP($F$111,reflectiecoefficienten!$A$28:$F$37,5))</f>
        <v>6.4000000000000003E-3</v>
      </c>
      <c r="G115" s="423">
        <f>IF($G$106="parallel",VLOOKUP($G$111,reflectiecoefficienten!$A$11:$F$20,5),VLOOKUP($G$111,reflectiecoefficienten!$A$28:$F$37,5))</f>
        <v>5.1000000000000004E-3</v>
      </c>
      <c r="H115" s="423">
        <f>IF($G$106="parallel",VLOOKUP($H$111,reflectiecoefficienten!$A$11:$F$20,5),VLOOKUP($H$111,reflectiecoefficienten!$A$28:$F$37,5))</f>
        <v>4.4999999999999997E-3</v>
      </c>
      <c r="I115" s="424">
        <f>IF($G$106="parallel",VLOOKUP($I$111,reflectiecoefficienten!$A$11:$F$20,5),VLOOKUP($I$111,reflectiecoefficienten!$A$28:$F$37,5))</f>
        <v>8.3000000000000001E-3</v>
      </c>
      <c r="J115" s="425">
        <f>IF($G$106="parallel",VLOOKUP($J$111,reflectiecoefficienten!$A$11:$F$20,5),VLOOKUP($J$111,reflectiecoefficienten!$A$28:$F$37,5))</f>
        <v>7.3000000000000001E-3</v>
      </c>
      <c r="K115" s="395"/>
      <c r="L115" s="307" t="s">
        <v>22</v>
      </c>
      <c r="M115" s="263">
        <f>VLOOKUP($M$113,'TVT''s afscherming'!$A$10:$J$23,6)</f>
        <v>1.6</v>
      </c>
      <c r="N115" s="258">
        <f>VLOOKUP($N$113,'TVT''s afscherming'!$A$45:$J$45,4)</f>
        <v>37</v>
      </c>
      <c r="O115" s="721">
        <f>IF(M134&gt;5,'TVT''s afscherming'!$D$48,'TVT''s afscherming'!$D$47)</f>
        <v>0.6</v>
      </c>
      <c r="R115" s="400"/>
      <c r="Y115" s="400"/>
      <c r="Z115" s="400"/>
      <c r="AA115" s="400"/>
      <c r="AB115" s="400"/>
      <c r="AC115" s="400"/>
      <c r="AD115" s="400"/>
      <c r="AE115" s="225"/>
      <c r="AF115" s="299"/>
      <c r="AG115" s="299"/>
      <c r="AH115" s="225"/>
      <c r="AI115" s="299"/>
      <c r="AJ115" s="299"/>
      <c r="AK115" s="225"/>
      <c r="AL115" s="299"/>
      <c r="AM115" s="299"/>
      <c r="AN115" s="225"/>
      <c r="AO115" s="299"/>
      <c r="AP115" s="299"/>
      <c r="AQ115" s="225"/>
      <c r="AR115" s="299"/>
      <c r="AS115" s="299"/>
      <c r="AT115" s="220"/>
      <c r="AU115" s="211"/>
      <c r="AV115" s="221"/>
      <c r="AW115" s="222"/>
      <c r="AX115" s="225"/>
      <c r="AY115" s="225"/>
      <c r="AZ115" s="225"/>
      <c r="BA115" s="225"/>
      <c r="BB115" s="225"/>
    </row>
    <row r="116" spans="1:54" s="212" customFormat="1" ht="19.5" customHeight="1" thickBot="1" x14ac:dyDescent="0.3">
      <c r="A116" s="428" t="s">
        <v>297</v>
      </c>
      <c r="B116" s="179" t="s">
        <v>282</v>
      </c>
      <c r="C116" s="308">
        <v>75</v>
      </c>
      <c r="D116" s="222"/>
      <c r="E116" s="424">
        <f>IF(G107=1,1,(IF($G$106="parallel",VLOOKUP($E$111,reflectiecoefficienten!$A$11:$F$20,6),VLOOKUP($E$111,reflectiecoefficienten!$A$28:$F$37,6))))</f>
        <v>1</v>
      </c>
      <c r="F116" s="429"/>
      <c r="G116" s="423"/>
      <c r="H116" s="424"/>
      <c r="I116" s="424"/>
      <c r="J116" s="425"/>
      <c r="K116" s="395"/>
      <c r="L116" s="438" t="s">
        <v>39</v>
      </c>
      <c r="M116" s="439"/>
      <c r="N116" s="276">
        <f>VLOOKUP($N$113,'TVT''s afscherming'!$A$45:$J$45,5)</f>
        <v>4.5</v>
      </c>
      <c r="O116" s="440"/>
      <c r="R116" s="400"/>
      <c r="Y116" s="400"/>
      <c r="Z116" s="400"/>
      <c r="AA116" s="400"/>
      <c r="AB116" s="400"/>
      <c r="AC116" s="400"/>
      <c r="AD116" s="400"/>
      <c r="AE116" s="225"/>
      <c r="AF116" s="299"/>
      <c r="AG116" s="299"/>
      <c r="AH116" s="225"/>
      <c r="AI116" s="299"/>
      <c r="AJ116" s="299"/>
      <c r="AK116" s="225"/>
      <c r="AL116" s="299"/>
      <c r="AM116" s="299"/>
      <c r="AN116" s="225"/>
      <c r="AO116" s="299"/>
      <c r="AP116" s="299"/>
      <c r="AQ116" s="225"/>
      <c r="AR116" s="299"/>
      <c r="AS116" s="299"/>
      <c r="AT116" s="220"/>
      <c r="AU116" s="211"/>
      <c r="AV116" s="221"/>
      <c r="AW116" s="222"/>
      <c r="AX116" s="225"/>
      <c r="AY116" s="225"/>
      <c r="AZ116" s="225"/>
      <c r="BA116" s="225"/>
      <c r="BB116" s="225"/>
    </row>
    <row r="117" spans="1:54" s="212" customFormat="1" ht="19.5" customHeight="1" thickBot="1" x14ac:dyDescent="0.3">
      <c r="A117" s="441"/>
      <c r="B117" s="442"/>
      <c r="C117" s="443"/>
      <c r="D117" s="444"/>
      <c r="E117" s="445"/>
      <c r="F117" s="446"/>
      <c r="G117" s="445"/>
      <c r="H117" s="445"/>
      <c r="I117" s="445"/>
      <c r="J117" s="445"/>
      <c r="K117" s="395"/>
      <c r="R117" s="400"/>
      <c r="Y117" s="400"/>
      <c r="Z117" s="400"/>
      <c r="AA117" s="400"/>
      <c r="AB117" s="400"/>
      <c r="AC117" s="400"/>
      <c r="AD117" s="400"/>
      <c r="AE117" s="225"/>
      <c r="AF117" s="299"/>
      <c r="AG117" s="299"/>
      <c r="AH117" s="225"/>
      <c r="AI117" s="299"/>
      <c r="AJ117" s="299"/>
      <c r="AK117" s="225"/>
      <c r="AL117" s="299"/>
      <c r="AM117" s="299"/>
      <c r="AN117" s="225"/>
      <c r="AO117" s="299"/>
      <c r="AP117" s="299"/>
      <c r="AQ117" s="225"/>
      <c r="AR117" s="299"/>
      <c r="AS117" s="299"/>
      <c r="AT117" s="220"/>
      <c r="AU117" s="211"/>
      <c r="AV117" s="221"/>
      <c r="AW117" s="222"/>
      <c r="AX117" s="225"/>
      <c r="AY117" s="225"/>
      <c r="AZ117" s="225"/>
      <c r="BA117" s="225"/>
      <c r="BB117" s="225"/>
    </row>
    <row r="118" spans="1:54" s="212" customFormat="1" ht="19.5" customHeight="1" x14ac:dyDescent="0.25">
      <c r="A118" s="447" t="s">
        <v>280</v>
      </c>
      <c r="B118" s="272"/>
      <c r="C118" s="222"/>
      <c r="D118" s="222"/>
      <c r="E118" s="310"/>
      <c r="F118" s="448" t="s">
        <v>55</v>
      </c>
      <c r="J118" s="449"/>
      <c r="K118" s="395"/>
      <c r="R118" s="400"/>
      <c r="S118" s="400"/>
      <c r="T118" s="400"/>
      <c r="U118" s="400"/>
      <c r="V118" s="400"/>
      <c r="W118" s="400"/>
      <c r="X118" s="400"/>
      <c r="Y118" s="400"/>
      <c r="Z118" s="400"/>
      <c r="AA118" s="400"/>
      <c r="AB118" s="400"/>
      <c r="AC118" s="400"/>
      <c r="AD118" s="400"/>
      <c r="AE118" s="225"/>
      <c r="AF118" s="299"/>
      <c r="AG118" s="299"/>
      <c r="AH118" s="225"/>
      <c r="AI118" s="299"/>
      <c r="AJ118" s="299"/>
      <c r="AK118" s="225"/>
      <c r="AL118" s="299"/>
      <c r="AM118" s="299"/>
      <c r="AN118" s="225"/>
      <c r="AO118" s="299"/>
      <c r="AP118" s="299"/>
      <c r="AQ118" s="225"/>
      <c r="AR118" s="299"/>
      <c r="AS118" s="299"/>
      <c r="AT118" s="220"/>
      <c r="AU118" s="211"/>
      <c r="AV118" s="221"/>
      <c r="AW118" s="222"/>
      <c r="AX118" s="225"/>
      <c r="AY118" s="225"/>
      <c r="AZ118" s="225"/>
      <c r="BA118" s="225"/>
      <c r="BB118" s="225"/>
    </row>
    <row r="119" spans="1:54" s="212" customFormat="1" ht="19.5" customHeight="1" x14ac:dyDescent="0.25">
      <c r="A119" s="221" t="s">
        <v>291</v>
      </c>
      <c r="B119" s="220"/>
      <c r="C119" s="450" t="s">
        <v>289</v>
      </c>
      <c r="D119" s="266"/>
      <c r="E119" s="451"/>
      <c r="F119" s="411">
        <f>$C$4</f>
        <v>6</v>
      </c>
      <c r="G119" s="269">
        <f>$D$4</f>
        <v>10</v>
      </c>
      <c r="H119" s="269">
        <f>$E$4</f>
        <v>18</v>
      </c>
      <c r="I119" s="411" t="str">
        <f>$F$4</f>
        <v>6 FFF</v>
      </c>
      <c r="J119" s="412" t="str">
        <f>$G$4</f>
        <v>10 FFF</v>
      </c>
      <c r="K119" s="395"/>
      <c r="L119" s="211"/>
      <c r="M119" s="452"/>
      <c r="N119" s="453"/>
      <c r="O119" s="453"/>
      <c r="P119" s="453"/>
      <c r="Q119" s="453"/>
      <c r="R119" s="400"/>
      <c r="S119" s="400"/>
      <c r="T119" s="400"/>
      <c r="U119" s="400"/>
      <c r="V119" s="400"/>
      <c r="W119" s="400"/>
      <c r="X119" s="400"/>
      <c r="Y119" s="400"/>
      <c r="Z119" s="400"/>
      <c r="AA119" s="400"/>
      <c r="AB119" s="400"/>
      <c r="AC119" s="400"/>
      <c r="AD119" s="400"/>
      <c r="AE119" s="225"/>
      <c r="AF119" s="299"/>
      <c r="AG119" s="299"/>
      <c r="AH119" s="225"/>
      <c r="AI119" s="299"/>
      <c r="AJ119" s="299"/>
      <c r="AK119" s="225"/>
      <c r="AL119" s="299"/>
      <c r="AM119" s="299"/>
      <c r="AN119" s="225"/>
      <c r="AO119" s="299"/>
      <c r="AP119" s="299"/>
      <c r="AQ119" s="225"/>
      <c r="AR119" s="299"/>
      <c r="AS119" s="299"/>
      <c r="AT119" s="220"/>
      <c r="AU119" s="211"/>
      <c r="AV119" s="221"/>
      <c r="AW119" s="222"/>
      <c r="AX119" s="225"/>
      <c r="AY119" s="225"/>
      <c r="AZ119" s="225"/>
      <c r="BA119" s="225"/>
      <c r="BB119" s="225"/>
    </row>
    <row r="120" spans="1:54" s="212" customFormat="1" ht="19.5" customHeight="1" x14ac:dyDescent="0.25">
      <c r="A120" s="454" t="s">
        <v>281</v>
      </c>
      <c r="B120" s="455"/>
      <c r="C120" s="456" t="s">
        <v>287</v>
      </c>
      <c r="D120" s="457"/>
      <c r="E120" s="458"/>
      <c r="F120" s="423">
        <f>VLOOKUP($F$119,patientscatterfactoren!$A$18:$I$29,5)</f>
        <v>1.39E-3</v>
      </c>
      <c r="G120" s="423">
        <f>VLOOKUP($G$119,patientscatterfactoren!$A$18:$I$29,5)</f>
        <v>1.3500000000000001E-3</v>
      </c>
      <c r="H120" s="423">
        <f>VLOOKUP($H$119,patientscatterfactoren!$A$18:$I$29,5)</f>
        <v>8.6399999999999997E-4</v>
      </c>
      <c r="I120" s="423">
        <f>VLOOKUP($I$119,patientscatterfactoren!$A$18:$I$29,5)</f>
        <v>1.2999999999999999E-3</v>
      </c>
      <c r="J120" s="425">
        <f>VLOOKUP($J$119,patientscatterfactoren!$A$18:$I$29,5)</f>
        <v>1.1999999999999999E-3</v>
      </c>
      <c r="K120" s="395"/>
      <c r="L120" s="211"/>
      <c r="M120" s="453"/>
      <c r="N120" s="453"/>
      <c r="O120" s="453"/>
      <c r="P120" s="453"/>
      <c r="Q120" s="453"/>
      <c r="R120" s="400"/>
      <c r="S120" s="400"/>
      <c r="T120" s="400"/>
      <c r="U120" s="400"/>
      <c r="V120" s="400"/>
      <c r="W120" s="400"/>
      <c r="X120" s="400"/>
      <c r="Y120" s="400"/>
      <c r="Z120" s="400"/>
      <c r="AA120" s="400"/>
      <c r="AB120" s="400"/>
      <c r="AC120" s="400"/>
      <c r="AD120" s="400"/>
      <c r="AE120" s="225"/>
      <c r="AF120" s="299"/>
      <c r="AG120" s="299"/>
      <c r="AH120" s="225"/>
      <c r="AI120" s="299"/>
      <c r="AJ120" s="299"/>
      <c r="AK120" s="225"/>
      <c r="AL120" s="299"/>
      <c r="AM120" s="299"/>
      <c r="AN120" s="225"/>
      <c r="AO120" s="299"/>
      <c r="AP120" s="299"/>
      <c r="AQ120" s="225"/>
      <c r="AR120" s="299"/>
      <c r="AS120" s="299"/>
      <c r="AT120" s="220"/>
      <c r="AU120" s="211"/>
      <c r="AV120" s="221"/>
      <c r="AW120" s="222"/>
      <c r="AX120" s="225"/>
      <c r="AY120" s="225"/>
      <c r="AZ120" s="225"/>
      <c r="BA120" s="225"/>
      <c r="BB120" s="225"/>
    </row>
    <row r="121" spans="1:54" s="212" customFormat="1" ht="19.5" customHeight="1" x14ac:dyDescent="0.25">
      <c r="A121" s="459" t="s">
        <v>284</v>
      </c>
      <c r="B121" s="272"/>
      <c r="C121" s="460" t="s">
        <v>285</v>
      </c>
      <c r="D121" s="222"/>
      <c r="E121" s="461"/>
      <c r="F121" s="423">
        <f>VLOOKUP($F$119,patientscatterfactoren!$A$18:$I$29,7)</f>
        <v>4.26E-4</v>
      </c>
      <c r="G121" s="423">
        <f>VLOOKUP($G$119,patientscatterfactoren!$A$18:$I$29,7)</f>
        <v>3.8099999999999999E-4</v>
      </c>
      <c r="H121" s="423">
        <f>VLOOKUP($H$119,patientscatterfactoren!$A$18:$I$29,7)</f>
        <v>1.8900000000000001E-4</v>
      </c>
      <c r="I121" s="423">
        <f>VLOOKUP($I$119,patientscatterfactoren!$A$18:$I$29,7)</f>
        <v>4.46E-4</v>
      </c>
      <c r="J121" s="425">
        <f>VLOOKUP($J$119,patientscatterfactoren!$A$18:$I$29,7)</f>
        <v>4.0299999999999998E-4</v>
      </c>
      <c r="K121" s="395"/>
      <c r="L121" s="211"/>
      <c r="M121" s="453"/>
      <c r="N121" s="453"/>
      <c r="O121" s="453"/>
      <c r="P121" s="453"/>
      <c r="Q121" s="453"/>
      <c r="R121" s="400"/>
      <c r="S121" s="400"/>
      <c r="T121" s="400"/>
      <c r="U121" s="400"/>
      <c r="V121" s="400"/>
      <c r="W121" s="400"/>
      <c r="X121" s="400"/>
      <c r="Y121" s="400"/>
      <c r="Z121" s="400"/>
      <c r="AA121" s="400"/>
      <c r="AB121" s="400"/>
      <c r="AC121" s="400"/>
      <c r="AD121" s="400"/>
      <c r="AE121" s="225"/>
      <c r="AF121" s="299"/>
      <c r="AG121" s="299"/>
      <c r="AH121" s="225"/>
      <c r="AI121" s="299"/>
      <c r="AJ121" s="299"/>
      <c r="AK121" s="225"/>
      <c r="AL121" s="299"/>
      <c r="AM121" s="299"/>
      <c r="AN121" s="225"/>
      <c r="AO121" s="299"/>
      <c r="AP121" s="299"/>
      <c r="AQ121" s="225"/>
      <c r="AR121" s="299"/>
      <c r="AS121" s="299"/>
      <c r="AT121" s="220"/>
      <c r="AU121" s="211"/>
      <c r="AV121" s="221"/>
      <c r="AW121" s="222"/>
      <c r="AX121" s="225"/>
      <c r="AY121" s="225"/>
      <c r="AZ121" s="225"/>
      <c r="BA121" s="225"/>
      <c r="BB121" s="225"/>
    </row>
    <row r="122" spans="1:54" s="212" customFormat="1" ht="19.5" customHeight="1" thickBot="1" x14ac:dyDescent="0.3">
      <c r="A122" s="459" t="s">
        <v>286</v>
      </c>
      <c r="B122" s="272"/>
      <c r="C122" s="460" t="s">
        <v>288</v>
      </c>
      <c r="D122" s="222"/>
      <c r="E122" s="462"/>
      <c r="F122" s="423">
        <f>VLOOKUP($F$119,patientscatterfactoren!$A$18:$I$29,8)</f>
        <v>2.9999999999999997E-4</v>
      </c>
      <c r="G122" s="423">
        <f>VLOOKUP($G$119,patientscatterfactoren!$A$18:$I$29,8)</f>
        <v>3.0200000000000002E-4</v>
      </c>
      <c r="H122" s="463">
        <f>VLOOKUP($H$119,patientscatterfactoren!$A$18:$I$29,8)</f>
        <v>1.2400000000000001E-4</v>
      </c>
      <c r="I122" s="463">
        <f>VLOOKUP($I$119,patientscatterfactoren!$A$18:$I$29,8)</f>
        <v>3.4200000000000002E-4</v>
      </c>
      <c r="J122" s="464">
        <f>VLOOKUP($J$119,patientscatterfactoren!$A$18:$I$29,8)</f>
        <v>3.8200000000000002E-4</v>
      </c>
      <c r="K122" s="395"/>
      <c r="L122" s="211"/>
      <c r="M122" s="453"/>
      <c r="N122" s="453"/>
      <c r="O122" s="453"/>
      <c r="P122" s="453"/>
      <c r="Q122" s="453"/>
      <c r="R122" s="400"/>
      <c r="S122" s="400"/>
      <c r="T122" s="400"/>
      <c r="U122" s="400"/>
      <c r="V122" s="400"/>
      <c r="W122" s="400"/>
      <c r="X122" s="400"/>
      <c r="Y122" s="400"/>
      <c r="Z122" s="400"/>
      <c r="AA122" s="400"/>
      <c r="AB122" s="400"/>
      <c r="AC122" s="400"/>
      <c r="AD122" s="400"/>
      <c r="AE122" s="225"/>
      <c r="AF122" s="299"/>
      <c r="AG122" s="299"/>
      <c r="AH122" s="225"/>
      <c r="AI122" s="299"/>
      <c r="AJ122" s="299"/>
      <c r="AK122" s="225"/>
      <c r="AL122" s="299"/>
      <c r="AM122" s="299"/>
      <c r="AN122" s="225"/>
      <c r="AO122" s="299"/>
      <c r="AP122" s="299"/>
      <c r="AQ122" s="225"/>
      <c r="AR122" s="299"/>
      <c r="AS122" s="299"/>
      <c r="AT122" s="220"/>
      <c r="AU122" s="211"/>
      <c r="AV122" s="221"/>
      <c r="AW122" s="222"/>
      <c r="AX122" s="225"/>
      <c r="AY122" s="225"/>
      <c r="AZ122" s="225"/>
      <c r="BA122" s="225"/>
      <c r="BB122" s="225"/>
    </row>
    <row r="123" spans="1:54" s="212" customFormat="1" ht="19.5" customHeight="1" thickBot="1" x14ac:dyDescent="0.3">
      <c r="A123" s="465"/>
      <c r="B123" s="466"/>
      <c r="C123" s="466"/>
      <c r="D123" s="444"/>
      <c r="E123" s="445"/>
      <c r="F123" s="445"/>
      <c r="G123" s="445"/>
      <c r="H123" s="467"/>
      <c r="I123" s="467"/>
      <c r="J123" s="467"/>
      <c r="K123" s="395"/>
      <c r="L123" s="395"/>
      <c r="M123" s="400"/>
      <c r="N123" s="400"/>
      <c r="O123" s="400"/>
      <c r="P123" s="400"/>
      <c r="Q123" s="400"/>
      <c r="R123" s="400"/>
      <c r="S123" s="400"/>
      <c r="T123" s="400"/>
      <c r="U123" s="400"/>
      <c r="V123" s="400"/>
      <c r="W123" s="400"/>
      <c r="X123" s="400"/>
      <c r="Y123" s="400"/>
      <c r="Z123" s="400"/>
      <c r="AA123" s="400"/>
      <c r="AB123" s="400"/>
      <c r="AC123" s="400"/>
      <c r="AD123" s="400"/>
      <c r="AE123" s="225"/>
      <c r="AF123" s="299"/>
      <c r="AG123" s="299"/>
      <c r="AH123" s="225"/>
      <c r="AI123" s="299"/>
      <c r="AJ123" s="299"/>
      <c r="AK123" s="225"/>
      <c r="AL123" s="299"/>
      <c r="AM123" s="299"/>
      <c r="AN123" s="225"/>
      <c r="AO123" s="299"/>
      <c r="AP123" s="299"/>
      <c r="AQ123" s="225"/>
      <c r="AR123" s="299"/>
      <c r="AS123" s="299"/>
      <c r="AT123" s="220"/>
      <c r="AU123" s="211"/>
      <c r="AV123" s="221"/>
      <c r="AW123" s="222"/>
      <c r="AX123" s="225"/>
      <c r="AY123" s="225"/>
      <c r="AZ123" s="225"/>
      <c r="BA123" s="225"/>
      <c r="BB123" s="225"/>
    </row>
    <row r="124" spans="1:54" s="212" customFormat="1" ht="19.5" customHeight="1" x14ac:dyDescent="0.25">
      <c r="A124" s="428" t="s">
        <v>244</v>
      </c>
      <c r="B124" s="225"/>
      <c r="C124" s="225"/>
      <c r="D124" s="211"/>
      <c r="E124" s="211"/>
      <c r="F124" s="225"/>
      <c r="G124" s="427"/>
      <c r="H124" s="225"/>
      <c r="I124" s="225"/>
      <c r="J124" s="222"/>
      <c r="K124" s="395"/>
      <c r="L124" s="395"/>
      <c r="M124" s="400"/>
      <c r="N124" s="400"/>
      <c r="O124" s="400"/>
      <c r="P124" s="400"/>
      <c r="Q124" s="400"/>
      <c r="R124" s="400"/>
      <c r="S124" s="400"/>
      <c r="T124" s="400"/>
      <c r="U124" s="400"/>
      <c r="V124" s="400"/>
      <c r="W124" s="400"/>
      <c r="X124" s="400"/>
      <c r="Y124" s="400"/>
      <c r="Z124" s="400"/>
      <c r="AA124" s="400"/>
      <c r="AB124" s="400"/>
      <c r="AC124" s="400"/>
      <c r="AD124" s="400"/>
      <c r="AE124" s="225"/>
      <c r="AF124" s="299"/>
      <c r="AG124" s="299"/>
      <c r="AH124" s="225"/>
      <c r="AI124" s="299"/>
      <c r="AJ124" s="299"/>
      <c r="AK124" s="225"/>
      <c r="AL124" s="299"/>
      <c r="AM124" s="299"/>
      <c r="AN124" s="225"/>
      <c r="AO124" s="299"/>
      <c r="AP124" s="299"/>
      <c r="AQ124" s="225"/>
      <c r="AR124" s="299"/>
      <c r="AS124" s="299"/>
      <c r="AT124" s="220"/>
      <c r="AU124" s="211"/>
      <c r="AV124" s="221"/>
      <c r="AW124" s="222"/>
      <c r="AX124" s="225"/>
      <c r="AY124" s="225"/>
      <c r="AZ124" s="225"/>
      <c r="BA124" s="225"/>
      <c r="BB124" s="225"/>
    </row>
    <row r="125" spans="1:54" s="212" customFormat="1" ht="19.5" customHeight="1" x14ac:dyDescent="0.25">
      <c r="A125" s="401" t="s">
        <v>241</v>
      </c>
      <c r="B125" s="267"/>
      <c r="C125" s="222"/>
      <c r="D125" s="222"/>
      <c r="E125" s="222"/>
      <c r="F125" s="222"/>
      <c r="G125" s="1849">
        <v>0.5</v>
      </c>
      <c r="H125" s="225"/>
      <c r="I125" s="225"/>
      <c r="J125" s="222"/>
      <c r="K125" s="395"/>
      <c r="L125" s="395"/>
      <c r="M125" s="400"/>
      <c r="N125" s="400"/>
      <c r="O125" s="400"/>
      <c r="P125" s="400"/>
      <c r="Q125" s="400"/>
      <c r="R125" s="400"/>
      <c r="S125" s="400"/>
      <c r="T125" s="400"/>
      <c r="U125" s="400"/>
      <c r="V125" s="400"/>
      <c r="W125" s="400"/>
      <c r="X125" s="400"/>
      <c r="Y125" s="400"/>
      <c r="Z125" s="400"/>
      <c r="AA125" s="400"/>
      <c r="AB125" s="400"/>
      <c r="AC125" s="400"/>
      <c r="AD125" s="400"/>
      <c r="AE125" s="225"/>
      <c r="AF125" s="299"/>
      <c r="AG125" s="299"/>
      <c r="AH125" s="225"/>
      <c r="AI125" s="299"/>
      <c r="AJ125" s="299"/>
      <c r="AK125" s="225"/>
      <c r="AL125" s="299"/>
      <c r="AM125" s="299"/>
      <c r="AN125" s="225"/>
      <c r="AO125" s="299"/>
      <c r="AP125" s="299"/>
      <c r="AQ125" s="225"/>
      <c r="AR125" s="299"/>
      <c r="AS125" s="299"/>
      <c r="AT125" s="220"/>
      <c r="AU125" s="211"/>
      <c r="AV125" s="221"/>
      <c r="AW125" s="222"/>
      <c r="AX125" s="225"/>
      <c r="AY125" s="225"/>
      <c r="AZ125" s="225"/>
      <c r="BA125" s="225"/>
      <c r="BB125" s="225"/>
    </row>
    <row r="126" spans="1:54" s="212" customFormat="1" ht="19.5" customHeight="1" thickBot="1" x14ac:dyDescent="0.3">
      <c r="A126" s="468" t="s">
        <v>242</v>
      </c>
      <c r="B126" s="388"/>
      <c r="C126" s="388"/>
      <c r="D126" s="388"/>
      <c r="E126" s="388"/>
      <c r="F126" s="388"/>
      <c r="G126" s="1850">
        <v>0.32</v>
      </c>
      <c r="H126" s="225"/>
      <c r="I126" s="225"/>
      <c r="J126" s="222"/>
      <c r="K126" s="395"/>
      <c r="L126" s="395"/>
      <c r="M126" s="400"/>
      <c r="N126" s="400"/>
      <c r="O126" s="400"/>
      <c r="P126" s="400"/>
      <c r="Q126" s="400"/>
      <c r="R126" s="400"/>
      <c r="S126" s="400"/>
      <c r="T126" s="400"/>
      <c r="U126" s="400"/>
      <c r="V126" s="400"/>
      <c r="W126" s="400"/>
      <c r="X126" s="400"/>
      <c r="Y126" s="400"/>
      <c r="Z126" s="400"/>
      <c r="AA126" s="400"/>
      <c r="AB126" s="400"/>
      <c r="AC126" s="400"/>
      <c r="AD126" s="400"/>
      <c r="AE126" s="225"/>
      <c r="AF126" s="299"/>
      <c r="AG126" s="299"/>
      <c r="AH126" s="225"/>
      <c r="AI126" s="299"/>
      <c r="AJ126" s="299"/>
      <c r="AK126" s="225"/>
      <c r="AL126" s="299"/>
      <c r="AM126" s="299"/>
      <c r="AN126" s="225"/>
      <c r="AO126" s="299"/>
      <c r="AP126" s="299"/>
      <c r="AQ126" s="225"/>
      <c r="AR126" s="299"/>
      <c r="AS126" s="299"/>
      <c r="AT126" s="220"/>
      <c r="AU126" s="211"/>
      <c r="AV126" s="221"/>
      <c r="AW126" s="222"/>
      <c r="AX126" s="225"/>
      <c r="AY126" s="225"/>
      <c r="AZ126" s="225"/>
      <c r="BA126" s="225"/>
      <c r="BB126" s="225"/>
    </row>
    <row r="127" spans="1:54" s="212" customFormat="1" ht="19.5" customHeight="1" x14ac:dyDescent="0.25">
      <c r="A127" s="469"/>
      <c r="B127" s="400"/>
      <c r="C127" s="400"/>
      <c r="D127" s="400"/>
      <c r="E127" s="400"/>
      <c r="F127" s="400"/>
      <c r="G127" s="395"/>
      <c r="H127" s="395"/>
      <c r="I127" s="395"/>
      <c r="J127" s="395"/>
      <c r="K127" s="395"/>
      <c r="L127" s="395"/>
      <c r="M127" s="400"/>
      <c r="N127" s="400"/>
      <c r="O127" s="400"/>
      <c r="P127" s="400"/>
      <c r="Q127" s="400"/>
      <c r="R127" s="400"/>
      <c r="S127" s="400"/>
      <c r="T127" s="400"/>
      <c r="U127" s="400"/>
      <c r="V127" s="400"/>
      <c r="W127" s="400"/>
      <c r="X127" s="400"/>
      <c r="Y127" s="400"/>
      <c r="Z127" s="400"/>
      <c r="AA127" s="400"/>
      <c r="AB127" s="400"/>
      <c r="AC127" s="400"/>
      <c r="AD127" s="400"/>
      <c r="AE127" s="472"/>
      <c r="AF127" s="473">
        <f>$C$4</f>
        <v>6</v>
      </c>
      <c r="AG127" s="474"/>
      <c r="AH127" s="475"/>
      <c r="AI127" s="473">
        <f>$D$4</f>
        <v>10</v>
      </c>
      <c r="AJ127" s="474"/>
      <c r="AK127" s="476"/>
      <c r="AL127" s="473">
        <f>$E$4</f>
        <v>18</v>
      </c>
      <c r="AM127" s="474"/>
      <c r="AN127" s="476"/>
      <c r="AO127" s="473" t="str">
        <f>$F$4</f>
        <v>6 FFF</v>
      </c>
      <c r="AP127" s="474"/>
      <c r="AQ127" s="476"/>
      <c r="AR127" s="473" t="str">
        <f>$G$4</f>
        <v>10 FFF</v>
      </c>
      <c r="AS127" s="473"/>
      <c r="AT127" s="477" t="s">
        <v>16</v>
      </c>
      <c r="AU127" s="478"/>
      <c r="AV127" s="222"/>
      <c r="AW127" s="222"/>
      <c r="AX127" s="225"/>
      <c r="AY127" s="225"/>
      <c r="AZ127" s="225"/>
      <c r="BA127" s="225"/>
      <c r="BB127" s="225"/>
    </row>
    <row r="128" spans="1:54" s="212" customFormat="1" ht="19.5" customHeight="1" x14ac:dyDescent="0.2">
      <c r="A128" s="479" t="s">
        <v>50</v>
      </c>
      <c r="B128" s="480" t="s">
        <v>15</v>
      </c>
      <c r="C128" s="481" t="s">
        <v>25</v>
      </c>
      <c r="D128" s="482" t="s">
        <v>158</v>
      </c>
      <c r="E128" s="483"/>
      <c r="F128" s="484" t="s">
        <v>386</v>
      </c>
      <c r="G128" s="485"/>
      <c r="H128" s="482"/>
      <c r="I128" s="482"/>
      <c r="J128" s="482"/>
      <c r="K128" s="482"/>
      <c r="L128" s="482"/>
      <c r="M128" s="486"/>
      <c r="N128" s="487" t="s">
        <v>381</v>
      </c>
      <c r="O128" s="484"/>
      <c r="P128" s="484" t="s">
        <v>386</v>
      </c>
      <c r="Q128" s="488"/>
      <c r="R128" s="488"/>
      <c r="S128" s="482"/>
      <c r="T128" s="482"/>
      <c r="U128" s="486"/>
      <c r="V128" s="489" t="s">
        <v>525</v>
      </c>
      <c r="W128" s="301" t="s">
        <v>524</v>
      </c>
      <c r="X128" s="1990" t="s">
        <v>77</v>
      </c>
      <c r="Y128" s="1991"/>
      <c r="Z128" s="1992"/>
      <c r="AA128" s="490"/>
      <c r="AB128" s="491"/>
      <c r="AC128" s="492" t="s">
        <v>334</v>
      </c>
      <c r="AD128" s="485"/>
      <c r="AE128" s="493"/>
      <c r="AF128" s="420" t="s">
        <v>206</v>
      </c>
      <c r="AG128" s="420" t="s">
        <v>16</v>
      </c>
      <c r="AH128" s="420" t="s">
        <v>86</v>
      </c>
      <c r="AI128" s="420" t="s">
        <v>206</v>
      </c>
      <c r="AJ128" s="420" t="s">
        <v>16</v>
      </c>
      <c r="AK128" s="420" t="s">
        <v>86</v>
      </c>
      <c r="AL128" s="420" t="s">
        <v>206</v>
      </c>
      <c r="AM128" s="420" t="s">
        <v>16</v>
      </c>
      <c r="AN128" s="420" t="s">
        <v>86</v>
      </c>
      <c r="AO128" s="420" t="s">
        <v>206</v>
      </c>
      <c r="AP128" s="420" t="s">
        <v>16</v>
      </c>
      <c r="AQ128" s="420" t="s">
        <v>86</v>
      </c>
      <c r="AR128" s="420" t="s">
        <v>206</v>
      </c>
      <c r="AS128" s="420" t="s">
        <v>16</v>
      </c>
      <c r="AT128" s="494"/>
      <c r="AU128" s="495" t="s">
        <v>11</v>
      </c>
      <c r="AV128" s="222"/>
      <c r="AW128" s="222"/>
      <c r="AX128" s="225"/>
      <c r="AY128" s="225"/>
      <c r="AZ128" s="225"/>
      <c r="BA128" s="225"/>
      <c r="BB128" s="225"/>
    </row>
    <row r="129" spans="1:90" s="212" customFormat="1" ht="19.5" customHeight="1" thickBot="1" x14ac:dyDescent="0.25">
      <c r="A129" s="496"/>
      <c r="B129" s="497"/>
      <c r="C129" s="498"/>
      <c r="D129" s="499" t="s">
        <v>367</v>
      </c>
      <c r="E129" s="498" t="s">
        <v>364</v>
      </c>
      <c r="F129" s="498" t="s">
        <v>370</v>
      </c>
      <c r="G129" s="499" t="s">
        <v>368</v>
      </c>
      <c r="H129" s="498" t="s">
        <v>365</v>
      </c>
      <c r="I129" s="499" t="s">
        <v>369</v>
      </c>
      <c r="J129" s="498" t="s">
        <v>371</v>
      </c>
      <c r="K129" s="498" t="s">
        <v>366</v>
      </c>
      <c r="L129" s="498" t="s">
        <v>373</v>
      </c>
      <c r="M129" s="498" t="s">
        <v>372</v>
      </c>
      <c r="N129" s="498" t="s">
        <v>374</v>
      </c>
      <c r="O129" s="498" t="s">
        <v>375</v>
      </c>
      <c r="P129" s="498" t="s">
        <v>376</v>
      </c>
      <c r="Q129" s="498" t="s">
        <v>377</v>
      </c>
      <c r="R129" s="498" t="s">
        <v>378</v>
      </c>
      <c r="S129" s="498" t="s">
        <v>382</v>
      </c>
      <c r="T129" s="498" t="s">
        <v>379</v>
      </c>
      <c r="U129" s="498" t="s">
        <v>380</v>
      </c>
      <c r="V129" s="498" t="s">
        <v>526</v>
      </c>
      <c r="W129" s="308" t="s">
        <v>528</v>
      </c>
      <c r="X129" s="500" t="s">
        <v>1</v>
      </c>
      <c r="Y129" s="501" t="s">
        <v>61</v>
      </c>
      <c r="Z129" s="502" t="s">
        <v>3</v>
      </c>
      <c r="AA129" s="502" t="s">
        <v>22</v>
      </c>
      <c r="AB129" s="502" t="s">
        <v>3</v>
      </c>
      <c r="AC129" s="503" t="s">
        <v>22</v>
      </c>
      <c r="AD129" s="504" t="s">
        <v>39</v>
      </c>
      <c r="AE129" s="505" t="s">
        <v>208</v>
      </c>
      <c r="AF129" s="505" t="s">
        <v>207</v>
      </c>
      <c r="AG129" s="506" t="s">
        <v>174</v>
      </c>
      <c r="AH129" s="505" t="s">
        <v>208</v>
      </c>
      <c r="AI129" s="505" t="s">
        <v>207</v>
      </c>
      <c r="AJ129" s="506" t="s">
        <v>174</v>
      </c>
      <c r="AK129" s="507" t="s">
        <v>208</v>
      </c>
      <c r="AL129" s="507" t="s">
        <v>207</v>
      </c>
      <c r="AM129" s="179" t="s">
        <v>174</v>
      </c>
      <c r="AN129" s="507" t="s">
        <v>208</v>
      </c>
      <c r="AO129" s="507" t="s">
        <v>207</v>
      </c>
      <c r="AP129" s="179" t="s">
        <v>174</v>
      </c>
      <c r="AQ129" s="507" t="s">
        <v>208</v>
      </c>
      <c r="AR129" s="507" t="s">
        <v>207</v>
      </c>
      <c r="AS129" s="179" t="s">
        <v>174</v>
      </c>
      <c r="AT129" s="508" t="s">
        <v>174</v>
      </c>
      <c r="AU129" s="509" t="s">
        <v>166</v>
      </c>
      <c r="AV129" s="211"/>
      <c r="AW129" s="222"/>
      <c r="AX129" s="225"/>
      <c r="AY129" s="225"/>
      <c r="AZ129" s="225"/>
      <c r="BA129" s="225"/>
      <c r="BB129" s="225"/>
    </row>
    <row r="130" spans="1:90" s="212" customFormat="1" ht="30" customHeight="1" thickBot="1" x14ac:dyDescent="0.3">
      <c r="A130" s="510" t="str">
        <f>A97</f>
        <v>L10</v>
      </c>
      <c r="B130" s="712" t="str">
        <f>B97</f>
        <v>ingang labyrint linac 10</v>
      </c>
      <c r="C130" s="512" t="s">
        <v>200</v>
      </c>
      <c r="D130" s="1851">
        <v>5</v>
      </c>
      <c r="E130" s="111"/>
      <c r="F130" s="116"/>
      <c r="G130" s="1851">
        <v>10</v>
      </c>
      <c r="H130" s="120"/>
      <c r="I130" s="1853">
        <v>10</v>
      </c>
      <c r="J130" s="123"/>
      <c r="K130" s="1982">
        <v>1</v>
      </c>
      <c r="L130" s="114"/>
      <c r="M130" s="113"/>
      <c r="N130" s="1851">
        <v>4</v>
      </c>
      <c r="O130" s="120"/>
      <c r="P130" s="1851">
        <v>5</v>
      </c>
      <c r="Q130" s="134"/>
      <c r="R130" s="1828">
        <v>2</v>
      </c>
      <c r="S130" s="137"/>
      <c r="T130" s="114"/>
      <c r="U130" s="138"/>
      <c r="V130" s="141"/>
      <c r="W130" s="1828">
        <v>0.25</v>
      </c>
      <c r="X130" s="149"/>
      <c r="Y130" s="150"/>
      <c r="Z130" s="151"/>
      <c r="AA130" s="152"/>
      <c r="AB130" s="1984">
        <v>0</v>
      </c>
      <c r="AC130" s="1987">
        <v>0</v>
      </c>
      <c r="AD130" s="168"/>
      <c r="AE130" s="171">
        <f>$AB130/$M$114+$AC130/$M$115</f>
        <v>0</v>
      </c>
      <c r="AF130" s="97">
        <f t="shared" ref="AF130:AF135" si="6">10^(-AE130)</f>
        <v>1</v>
      </c>
      <c r="AG130" s="91">
        <f>$C$7*$C$14*$C$8*$W$130/$D$130^2*$N$130*$F$112/$G$130^2*$P$130*$E$114/$I$130^2*$R$130*$E$116/$K$130^2*AF130*10^6</f>
        <v>3.6608000000000002E-2</v>
      </c>
      <c r="AH130" s="91">
        <f>$AB130/$M$114+$AC130/$M$115</f>
        <v>0</v>
      </c>
      <c r="AI130" s="97">
        <f t="shared" ref="AI130:AI135" si="7">10^(-AH130)</f>
        <v>1</v>
      </c>
      <c r="AJ130" s="91">
        <f>$C$7*$D$14*$D$8*$W$130/$D$130^2*$N$130*$G$112/$G$130^2*$P$130*$E$114/$I$130^2*$R$130*$E$116/$K$130^2*AI130*10^6</f>
        <v>2.8864000000000011E-2</v>
      </c>
      <c r="AK130" s="91">
        <f>$AB130/$M$114+$AC130/$M$115</f>
        <v>0</v>
      </c>
      <c r="AL130" s="97">
        <f t="shared" ref="AL130:AL135" si="8">10^(-AK130)</f>
        <v>1</v>
      </c>
      <c r="AM130" s="91">
        <f>$C$7*$E$14*$E$8*$W$130/$D$130^2*$N$130*$H$112/$G$130^2*$P$130*$E$114/$I$130^2*$R$130*$E$116/$K$130^2*AL130*10^6</f>
        <v>2.3935999999999992E-2</v>
      </c>
      <c r="AN130" s="91">
        <f>$AB130/$M$114+$AC130/$M$115</f>
        <v>0</v>
      </c>
      <c r="AO130" s="97">
        <f t="shared" ref="AO130:AO135" si="9">10^(-AN130)</f>
        <v>1</v>
      </c>
      <c r="AP130" s="91">
        <f>$C$7*$F$14*$F$8*$W$130/$D$130^2*$N$130*$I$112/$G$130^2*$P$130*$E$114/$I$130^2*$R$130*$E$116/$K$130^2*AO130*10^6</f>
        <v>4.5759999999999988E-2</v>
      </c>
      <c r="AQ130" s="91">
        <f>$AB130/$M$114+$AC130/$M$115</f>
        <v>0</v>
      </c>
      <c r="AR130" s="97">
        <f t="shared" ref="AR130:AR135" si="10">10^(-AQ130)</f>
        <v>1</v>
      </c>
      <c r="AS130" s="76">
        <f>$C$7*$G$14*$G$8*$W$130/$D$130^2*$N$130*$J$112/$G$130^2*$P$130*$E$114/$I$130^2*$R$130*$E$116/$K$130^2*AR130*10^6</f>
        <v>4.5759999999999988E-2</v>
      </c>
      <c r="AT130" s="513">
        <f t="shared" ref="AT130:AT135" si="11">SUM(AG130,AJ130,AM130,AP130,AS130)</f>
        <v>0.18092800000000001</v>
      </c>
      <c r="AU130" s="514">
        <f>SUM(AT130:AT136)*52/10^3</f>
        <v>15.51357149243214</v>
      </c>
      <c r="AV130" s="222"/>
      <c r="AW130" s="222"/>
      <c r="AX130" s="225"/>
      <c r="AY130" s="225"/>
      <c r="AZ130" s="225"/>
      <c r="BA130" s="225"/>
      <c r="BB130" s="225"/>
    </row>
    <row r="131" spans="1:90" s="212" customFormat="1" ht="30" customHeight="1" thickBot="1" x14ac:dyDescent="0.3">
      <c r="A131" s="447"/>
      <c r="B131" s="460"/>
      <c r="C131" s="515" t="s">
        <v>536</v>
      </c>
      <c r="D131" s="107"/>
      <c r="E131" s="1852">
        <v>1</v>
      </c>
      <c r="F131" s="117"/>
      <c r="G131" s="118"/>
      <c r="H131" s="1828">
        <v>5</v>
      </c>
      <c r="I131" s="122"/>
      <c r="J131" s="124"/>
      <c r="K131" s="2030"/>
      <c r="L131" s="127"/>
      <c r="M131" s="128"/>
      <c r="N131" s="129"/>
      <c r="O131" s="1828">
        <v>5</v>
      </c>
      <c r="P131" s="133"/>
      <c r="Q131" s="133"/>
      <c r="R131" s="1828">
        <v>2</v>
      </c>
      <c r="S131" s="139"/>
      <c r="T131" s="132"/>
      <c r="U131" s="140"/>
      <c r="V131" s="142"/>
      <c r="W131" s="1828">
        <v>0.25</v>
      </c>
      <c r="X131" s="1856">
        <v>200</v>
      </c>
      <c r="Y131" s="1856">
        <v>0</v>
      </c>
      <c r="Z131" s="1857">
        <v>0</v>
      </c>
      <c r="AA131" s="1857">
        <v>0</v>
      </c>
      <c r="AB131" s="1985"/>
      <c r="AC131" s="1988"/>
      <c r="AD131" s="169"/>
      <c r="AE131" s="171">
        <f>IF($X131=0,0,1+($X131-$C$21)/$C$22)+$Y131/$C$23+$Z131/$C$24+$AA131/$C$25+$AB130/$M$114+$AC130/$M$115</f>
        <v>5.9393939393939394</v>
      </c>
      <c r="AF131" s="97">
        <f t="shared" si="6"/>
        <v>1.1497569953977332E-6</v>
      </c>
      <c r="AG131" s="91">
        <f>$C$7*$C$14*$C$8*$W$131/$E$131^2*$O$131*$F$113/$H$131^2*$R$131*$E$116/$K$130^2*AF131*10^6</f>
        <v>2.4834751100591044E-3</v>
      </c>
      <c r="AH131" s="91">
        <f>IF($X131=0,0,1+($X131-$D$21)/$D$22)+$Y131/$D$23+$Z131/$D$24+$AB130/$M$114+$AC130/$M$115</f>
        <v>5.2972972972972974</v>
      </c>
      <c r="AI131" s="97">
        <f t="shared" si="7"/>
        <v>5.0431594871713543E-6</v>
      </c>
      <c r="AJ131" s="91">
        <f>$C$7*$D$14*$D$8*$W$131/$E$131^2*$O$131*$G$113/$H$131^2*$R$131*$E$116/$K$130^2*AI131*10^6</f>
        <v>8.4725079384478739E-3</v>
      </c>
      <c r="AK131" s="91">
        <f>IF($X131=0,0,1+($X131-$E$21)/$E$22)+$Y131/$E$23+$Z131/$E$24+$AB130/$M$114+$AC130/$M$115</f>
        <v>4.6046511627906979</v>
      </c>
      <c r="AL131" s="97">
        <f t="shared" si="8"/>
        <v>2.485128426980553E-5</v>
      </c>
      <c r="AM131" s="91">
        <f>$C$7*$E$14*$E$8*$W$131/$E$131^2*$O$131*$H$113/$H$131^2*$R$131*$E$116/$K$130^2*AL131*10^6</f>
        <v>3.1809643865351081E-2</v>
      </c>
      <c r="AN131" s="91">
        <f>IF($X131=0,0,1+($X131-$F$21)/$F$22)+$Y131/$F$23+$Z131/$E$24+$AB130/$M$114+$AC130/$M$115</f>
        <v>7.2962962962962967</v>
      </c>
      <c r="AO131" s="97">
        <f t="shared" si="9"/>
        <v>5.0547968211912231E-8</v>
      </c>
      <c r="AP131" s="91">
        <f>$C$7*$F$14*$F$8*$W$131/$E$131^2*$O$131*$I$113/$H$131^2*$R$131*$E$116/$K$130^2*AO131*10^6</f>
        <v>1.4153431099335427E-4</v>
      </c>
      <c r="AQ131" s="91">
        <f>IF($X131=0,0,1+($X131-$G$21)/$G$22)+$Y131/$G$23+$Z131/$G$24+$AB130/$M$114+$AC130/$M$115</f>
        <v>5.5555555555555554</v>
      </c>
      <c r="AR131" s="97">
        <f t="shared" si="10"/>
        <v>2.782559402207123E-6</v>
      </c>
      <c r="AS131" s="76">
        <f>$C$7*$G$14*$G$8*$W$131/$E$131^2*$O$131*$J$113/$H$131^2*$R$131*$E$116/$K$130^2*AR131*10^6</f>
        <v>7.3459568218268044E-3</v>
      </c>
      <c r="AT131" s="513">
        <f t="shared" si="11"/>
        <v>5.0253118046678216E-2</v>
      </c>
      <c r="AU131" s="516"/>
      <c r="AV131" s="222"/>
      <c r="AW131" s="222"/>
      <c r="AX131" s="225"/>
      <c r="AY131" s="225"/>
      <c r="AZ131" s="225"/>
      <c r="BA131" s="225"/>
      <c r="BB131" s="225"/>
    </row>
    <row r="132" spans="1:90" s="212" customFormat="1" ht="30" customHeight="1" thickBot="1" x14ac:dyDescent="0.3">
      <c r="A132" s="221"/>
      <c r="B132" s="517"/>
      <c r="C132" s="518" t="s">
        <v>537</v>
      </c>
      <c r="D132" s="108"/>
      <c r="E132" s="112"/>
      <c r="F132" s="1987">
        <v>5</v>
      </c>
      <c r="G132" s="119"/>
      <c r="H132" s="121"/>
      <c r="I132" s="113"/>
      <c r="J132" s="1980">
        <v>10</v>
      </c>
      <c r="K132" s="2030"/>
      <c r="L132" s="114"/>
      <c r="M132" s="113"/>
      <c r="N132" s="119"/>
      <c r="O132" s="121"/>
      <c r="P132" s="113"/>
      <c r="Q132" s="1980">
        <v>5</v>
      </c>
      <c r="R132" s="1982">
        <v>2</v>
      </c>
      <c r="S132" s="137"/>
      <c r="T132" s="114"/>
      <c r="U132" s="138"/>
      <c r="V132" s="143"/>
      <c r="W132" s="144">
        <v>1</v>
      </c>
      <c r="X132" s="153"/>
      <c r="Y132" s="154"/>
      <c r="Z132" s="155"/>
      <c r="AA132" s="156"/>
      <c r="AB132" s="1985"/>
      <c r="AC132" s="1988"/>
      <c r="AD132" s="168"/>
      <c r="AE132" s="91">
        <f>$AB130/$M$114+$AC130/$M$115</f>
        <v>0</v>
      </c>
      <c r="AF132" s="97">
        <f t="shared" si="6"/>
        <v>1</v>
      </c>
      <c r="AG132" s="91">
        <f>$C$7*$C$15*$C$8*($C$9+$C$10*$C$11)*$W$132/$F$132^2*$Q$132*$F$115/$J$132^2*$R$132*$E$116/$K$130^2*AF132*10^6</f>
        <v>15.360000000000005</v>
      </c>
      <c r="AH132" s="91">
        <f>$AB130/$M$114+$AC130/$M$115</f>
        <v>0</v>
      </c>
      <c r="AI132" s="97">
        <f t="shared" si="7"/>
        <v>1</v>
      </c>
      <c r="AJ132" s="91">
        <f>$C$7*$C$15*$D$8*($D$9+$D$10*$D$11)*$W$132/$F$132^2*$Q$132*$G$115/$J$132^2*$R$132*$E$116/$K$130^2*AI132*10^6</f>
        <v>12.240000000000004</v>
      </c>
      <c r="AK132" s="91">
        <f>$AB130/$M$114+$AC130/$M$115</f>
        <v>0</v>
      </c>
      <c r="AL132" s="97">
        <f t="shared" si="8"/>
        <v>1</v>
      </c>
      <c r="AM132" s="91">
        <f>$C$7*$C$15*$E$8*($E$9+$E$10*$E$11)*$W$132/$F$132^2*$Q$132*$H$115/$J$132^2*$R$132*$E$116/$K$130^2*AL132*10^6</f>
        <v>10.800000000000002</v>
      </c>
      <c r="AN132" s="91">
        <f>$AB130/$M$114+$AC130/$M$115</f>
        <v>0</v>
      </c>
      <c r="AO132" s="97">
        <f t="shared" si="9"/>
        <v>1</v>
      </c>
      <c r="AP132" s="91">
        <f>$C$7*$C$15*$F$8*($F$9+$F$10*$F$11)*$W$132/$F$132^2*$Q$132*$I$115/$J$132^2*$R$132*$E$116/$K$130^2*AO132*10^6</f>
        <v>19.920000000000002</v>
      </c>
      <c r="AQ132" s="91">
        <f>$AB130/$M$114+$AC130/$M$115</f>
        <v>0</v>
      </c>
      <c r="AR132" s="97">
        <f t="shared" si="10"/>
        <v>1</v>
      </c>
      <c r="AS132" s="76">
        <f>$C$7*$C$15*$G$8*($G$9+$G$10*$G$11)*$W$132/$F$132^2*$Q$132*$J$115/$J$132^2*$R$132*$E$116/$K$130^2*AR132*10^6</f>
        <v>17.520000000000003</v>
      </c>
      <c r="AT132" s="519">
        <f t="shared" si="11"/>
        <v>75.840000000000018</v>
      </c>
      <c r="AU132" s="516"/>
      <c r="AV132" s="222"/>
      <c r="AW132" s="520"/>
      <c r="AX132" s="222"/>
      <c r="AY132" s="211"/>
      <c r="AZ132" s="222"/>
      <c r="BA132" s="222"/>
      <c r="BB132" s="225"/>
    </row>
    <row r="133" spans="1:90" s="212" customFormat="1" ht="30" customHeight="1" thickBot="1" x14ac:dyDescent="0.3">
      <c r="A133" s="221"/>
      <c r="B133" s="517"/>
      <c r="C133" s="521" t="s">
        <v>523</v>
      </c>
      <c r="D133" s="108"/>
      <c r="E133" s="113"/>
      <c r="F133" s="2029"/>
      <c r="G133" s="119"/>
      <c r="H133" s="114"/>
      <c r="I133" s="113"/>
      <c r="J133" s="1981"/>
      <c r="K133" s="1983"/>
      <c r="L133" s="114"/>
      <c r="M133" s="113"/>
      <c r="N133" s="119"/>
      <c r="O133" s="114"/>
      <c r="P133" s="113"/>
      <c r="Q133" s="1981"/>
      <c r="R133" s="1983"/>
      <c r="S133" s="137"/>
      <c r="T133" s="114"/>
      <c r="U133" s="113"/>
      <c r="V133" s="1855">
        <f>20*20</f>
        <v>400</v>
      </c>
      <c r="W133" s="1828">
        <v>0.25</v>
      </c>
      <c r="X133" s="157"/>
      <c r="Y133" s="158"/>
      <c r="Z133" s="159"/>
      <c r="AA133" s="160"/>
      <c r="AB133" s="1985"/>
      <c r="AC133" s="1988"/>
      <c r="AD133" s="168"/>
      <c r="AE133" s="98">
        <f>$AB130/$M$114+$AC130/$M$115</f>
        <v>0</v>
      </c>
      <c r="AF133" s="97">
        <f t="shared" si="6"/>
        <v>1</v>
      </c>
      <c r="AG133" s="91">
        <f>$C$7*$C$8*$W$133*$F$120*$V$133/400*$E$115*$E$116*$Q$132*$R$132/1/1/$F$132^2/$J$132^2/$K$130^2*AF133*10^6</f>
        <v>6.1159999999999988</v>
      </c>
      <c r="AH133" s="98">
        <f>$AB130/$M$114+$AC130/$M$115</f>
        <v>0</v>
      </c>
      <c r="AI133" s="97">
        <f t="shared" si="7"/>
        <v>1</v>
      </c>
      <c r="AJ133" s="91">
        <f>$C$7*$D$8*$W$133*$G$120*$V$133/400*$E$115*$E$116*$Q$132*$R$132/1/1/$F$132^2/$J$132^2/$K$130^2*AI133*10^6</f>
        <v>5.9399999999999995</v>
      </c>
      <c r="AK133" s="98">
        <f>$AB130/$M$114+$AC130/$M$115</f>
        <v>0</v>
      </c>
      <c r="AL133" s="97">
        <f t="shared" si="8"/>
        <v>1</v>
      </c>
      <c r="AM133" s="91">
        <f>$C$7*$E$8*$W$133*$H$120*$V$133/400*$E$115*$E$116*$Q$132*$R$132/1/1/$F$132^2/$J$132^2/$K$130^2*AL133*10^6</f>
        <v>3.8015999999999992</v>
      </c>
      <c r="AN133" s="98">
        <f>$AB130/$M$114+$AC130/$M$115</f>
        <v>0</v>
      </c>
      <c r="AO133" s="97">
        <f t="shared" si="9"/>
        <v>1</v>
      </c>
      <c r="AP133" s="91">
        <f>$C$7*$F$8*$W$133*$I$120*$V$133/400*$E$115*$E$116*$R$132*$Q$132/1/1/$F$132^2/$J$132^2/$K$130^2*AO133*10^6</f>
        <v>5.7200000000000006</v>
      </c>
      <c r="AQ133" s="98">
        <f>$AB130/$M$114+$AC130/$M$115</f>
        <v>0</v>
      </c>
      <c r="AR133" s="97">
        <f t="shared" si="10"/>
        <v>1</v>
      </c>
      <c r="AS133" s="76">
        <f>$C$7*$G$8*$W$133*$J$120*$V$133/400*$E$115*$E$116*$Q$132*$R$132/1/1/$F$132^2/$J$132^2/$K$130^2*AR133*10^6</f>
        <v>5.2799999999999994</v>
      </c>
      <c r="AT133" s="513">
        <f t="shared" si="11"/>
        <v>26.857599999999998</v>
      </c>
      <c r="AU133" s="516"/>
      <c r="AV133" s="222"/>
      <c r="AW133" s="520"/>
      <c r="AX133" s="222"/>
      <c r="AY133" s="211"/>
      <c r="AZ133" s="222"/>
      <c r="BA133" s="222"/>
      <c r="BB133" s="225"/>
      <c r="BC133" s="225"/>
      <c r="BD133" s="225"/>
      <c r="BE133" s="225"/>
      <c r="BF133" s="225"/>
      <c r="BG133" s="300"/>
      <c r="BH133" s="300"/>
      <c r="BI133" s="300"/>
      <c r="BJ133" s="522"/>
      <c r="BK133" s="522"/>
      <c r="BL133" s="522"/>
    </row>
    <row r="134" spans="1:90" s="212" customFormat="1" ht="30" customHeight="1" x14ac:dyDescent="0.25">
      <c r="A134" s="221"/>
      <c r="B134" s="517"/>
      <c r="C134" s="523" t="s">
        <v>33</v>
      </c>
      <c r="D134" s="109"/>
      <c r="E134" s="114"/>
      <c r="F134" s="114"/>
      <c r="G134" s="114"/>
      <c r="H134" s="114"/>
      <c r="I134" s="114"/>
      <c r="J134" s="114"/>
      <c r="K134" s="125"/>
      <c r="L134" s="2028">
        <v>5</v>
      </c>
      <c r="M134" s="2028">
        <v>10</v>
      </c>
      <c r="N134" s="130"/>
      <c r="O134" s="132"/>
      <c r="P134" s="132"/>
      <c r="Q134" s="132"/>
      <c r="R134" s="135"/>
      <c r="S134" s="1851">
        <v>225</v>
      </c>
      <c r="T134" s="1854">
        <v>1</v>
      </c>
      <c r="U134" s="1851">
        <v>1</v>
      </c>
      <c r="V134" s="145"/>
      <c r="W134" s="146"/>
      <c r="X134" s="161"/>
      <c r="Y134" s="162"/>
      <c r="Z134" s="122"/>
      <c r="AA134" s="163"/>
      <c r="AB134" s="1985"/>
      <c r="AC134" s="1988"/>
      <c r="AD134" s="1858">
        <v>0</v>
      </c>
      <c r="AE134" s="91">
        <f>$AB130/$N$114+$AC130/$N$115+$AD134/$N$116</f>
        <v>0</v>
      </c>
      <c r="AF134" s="97">
        <f t="shared" si="6"/>
        <v>1</v>
      </c>
      <c r="AG134" s="91">
        <f>$C$7*$C$8*($C$9+$C$10*$C$11)*0.0000000000000024*($C$16*$C$17*10^12/(4*PI()*$L$134^2)+5.4*$C$16*$C$17*10^12/(2*PI()*$S$134)+1.3*$C$17*10^12/(2*PI()*$S$134))*(SQRT($T$134/$U$134)*((1.64*10^(-$M$134/1.9)+10^(-$M$134/(2.06*SQRT($U$134))))*(1-$G$125)*$AF$134*10^6))</f>
        <v>0.11345901793121269</v>
      </c>
      <c r="AH134" s="91">
        <f>$AB130/$N$114+$AC130/$N$115+$AD134/$N$116</f>
        <v>0</v>
      </c>
      <c r="AI134" s="97">
        <f t="shared" si="7"/>
        <v>1</v>
      </c>
      <c r="AJ134" s="91">
        <f>$C$7*$D$8*($D$9+$D$10*$D$11)*0.0000000000000024*($C$16*$D$17*10^12/(4*PI()*$L$134^2)+5.4*$C$16*$D$17*10^12/(2*PI()*$S$134)+1.3*$D$17*10^12/(2*PI()*$S$134))*(SQRT($T$134/$U$134)*((1.64*10^(-$M$134/1.9)+10^(-$M$134/(2.06*SQRT($U$134))))*(1-$G$125)*$AI$134*10^6))</f>
        <v>0.11345901793121269</v>
      </c>
      <c r="AK134" s="91">
        <f>$AB130/$N$114+$AC130/$N$115+$AD134/$N$116</f>
        <v>0</v>
      </c>
      <c r="AL134" s="97">
        <f t="shared" si="8"/>
        <v>1</v>
      </c>
      <c r="AM134" s="91">
        <f>$C$7*$E$8*($E$9+$E$10*$E$11)*0.0000000000000024*($C$16*$E$17*10^12/(4*PI()*$L$134^2)+5.4*$C$16*$E$17*10^12/(2*PI()*$S$134)+1.3*$E$17*10^12/(2*PI()*$S$134))*(SQRT($T$134/$U$134)*((1.64*10^(-$M$134/1.9)+10^(-$M$134/(2.06*SQRT($U$134))))*(1-$G$125)*$AL$134*10^6))</f>
        <v>0.11345901793121269</v>
      </c>
      <c r="AN134" s="91">
        <f>$AB130/$N$114+$AC130/$N$115+$AD134/$N$116</f>
        <v>0</v>
      </c>
      <c r="AO134" s="97">
        <f t="shared" si="9"/>
        <v>1</v>
      </c>
      <c r="AP134" s="91">
        <f>$C$7*$F$8*($F$9+$F$10*$F$11)*0.0000000000000024*($C$16*$F$17*10^12/(4*PI()*$L$134^2)+5.4*$C$16*$F$17*10^12/(2*PI()*$S$134)+1.3*$F$17*10^12/(2*PI()*$S$134))*(SQRT($T$134/$U$134)*((1.64*10^(-$M$134/1.9)+10^(-$M$134/(2.06*SQRT($U$134))))*(1-$G$125)*$AO$134*10^6))</f>
        <v>0.11345901793121269</v>
      </c>
      <c r="AQ134" s="91">
        <f>$AB130/$N$114+$AC130/$N$115+$AD134/$N$116</f>
        <v>0</v>
      </c>
      <c r="AR134" s="97">
        <f t="shared" si="10"/>
        <v>1</v>
      </c>
      <c r="AS134" s="76">
        <f>$C$7*$G$8*($G$9+$G$10*$G$11)*0.0000000000000024*($C$16*$G$17*10^12/(4*PI()*$L$134^2)+5.4*$C$16*$G$17*10^12/(2*PI()*$S$134)+1.3*$G$17*10^12/(2*PI()*$S$134))*(SQRT($T$134/$U$134)*((1.64*10^(-$M$134/1.9)+10^(-$M$134/(2.06*SQRT($U$134))))*(1-$G$125)*$AR$134*10^6))</f>
        <v>0.11345901793121269</v>
      </c>
      <c r="AT134" s="513">
        <f t="shared" si="11"/>
        <v>0.56729508965606346</v>
      </c>
      <c r="AU134" s="516"/>
      <c r="AV134" s="222"/>
      <c r="AW134" s="189"/>
      <c r="AX134" s="222"/>
      <c r="AY134" s="211"/>
      <c r="AZ134" s="222"/>
      <c r="BA134" s="222"/>
      <c r="BB134" s="225"/>
      <c r="BC134" s="225"/>
      <c r="BD134" s="225"/>
      <c r="BE134" s="225"/>
      <c r="BF134" s="225"/>
      <c r="BG134" s="300"/>
      <c r="BH134" s="300"/>
      <c r="BI134" s="300"/>
      <c r="BJ134" s="522"/>
      <c r="BK134" s="522"/>
      <c r="BL134" s="522"/>
    </row>
    <row r="135" spans="1:90" s="212" customFormat="1" ht="30" customHeight="1" thickBot="1" x14ac:dyDescent="0.3">
      <c r="A135" s="226"/>
      <c r="B135" s="524"/>
      <c r="C135" s="525" t="s">
        <v>157</v>
      </c>
      <c r="D135" s="110"/>
      <c r="E135" s="115"/>
      <c r="F135" s="115"/>
      <c r="G135" s="115"/>
      <c r="H135" s="115"/>
      <c r="I135" s="115"/>
      <c r="J135" s="115"/>
      <c r="K135" s="126"/>
      <c r="L135" s="1989"/>
      <c r="M135" s="1989"/>
      <c r="N135" s="131"/>
      <c r="O135" s="115"/>
      <c r="P135" s="115"/>
      <c r="Q135" s="136"/>
      <c r="R135" s="136"/>
      <c r="S135" s="115"/>
      <c r="T135" s="115"/>
      <c r="U135" s="126"/>
      <c r="V135" s="147"/>
      <c r="W135" s="148"/>
      <c r="X135" s="164"/>
      <c r="Y135" s="165"/>
      <c r="Z135" s="166"/>
      <c r="AA135" s="167"/>
      <c r="AB135" s="1986"/>
      <c r="AC135" s="1989"/>
      <c r="AD135" s="170"/>
      <c r="AE135" s="172">
        <f>$AB130/$O$114+$AC130/$O$115</f>
        <v>0</v>
      </c>
      <c r="AF135" s="173">
        <f t="shared" si="6"/>
        <v>1</v>
      </c>
      <c r="AG135" s="174">
        <f>$C$7*$C$8*($C$9+$C$10*$C$11)*$Q$111*($C$16*$C$17*10^12/(4*PI()*$L$134^2)+5.4*$C$16*$C$17*10^12/(2*PI()*$S$134)+1.3*$C$17*10^12/(2*PI()*$S$134))*10^-($M$134/$Q$113)*(1-$G$126)*AF135*10^6</f>
        <v>38.968367421659991</v>
      </c>
      <c r="AH135" s="172">
        <f>$AB130/$O$114+$AC130/$O$115</f>
        <v>0</v>
      </c>
      <c r="AI135" s="173">
        <f t="shared" si="7"/>
        <v>1</v>
      </c>
      <c r="AJ135" s="175">
        <f>$C$7*$D$8*($D$9+$D$10*$D$11)*$Q$111*($C$16*$D$17*10^12/(4*PI()*$L$134^2)+5.4*$C$16*$D$17*10^12/(2*PI()*$S$134)+1.3*$D$17*10^12/(2*PI()*$S$134))*10^-($M$134/$Q$113)*(1-$G$126)*AI135*10^6</f>
        <v>38.968367421659991</v>
      </c>
      <c r="AK135" s="176">
        <f>$AB130/$O$114+$AC130/$O$115</f>
        <v>0</v>
      </c>
      <c r="AL135" s="173">
        <f t="shared" si="8"/>
        <v>1</v>
      </c>
      <c r="AM135" s="175">
        <f>$C$7*$E$8*($E$9+$E$10*$E$11)*$Q$111*($C$16*$E$17*10^12/(4*PI()*$L$134^2)+5.4*$C$16*$E$17*10^12/(2*PI()*$S$134)+1.3*$E$17*10^12/(2*PI()*$S$134))*10^-($M$134/$Q$113)*(1-$G$126)*AL135*10^6</f>
        <v>38.968367421659991</v>
      </c>
      <c r="AN135" s="172">
        <f>$AB130/$O$114+$AC130/$O$115</f>
        <v>0</v>
      </c>
      <c r="AO135" s="173">
        <f t="shared" si="9"/>
        <v>1</v>
      </c>
      <c r="AP135" s="175">
        <f>$C$7*$F$8*($F$9+$F$10*$F$11)*$Q$111*($C$16*$F$17*10^12/(4*PI()*$L$134^2)+5.4*$C$16*$F$17*10^12/(2*PI()*$S$134)+1.3*$F$17*10^12/(2*PI()*$S$134))*10^-($M$134/$Q$113)*(1-$G$126)*AO135*10^6</f>
        <v>38.968367421659991</v>
      </c>
      <c r="AQ135" s="172">
        <f>$AB130/$O$114+$AC130/$O$115</f>
        <v>0</v>
      </c>
      <c r="AR135" s="173">
        <f t="shared" si="10"/>
        <v>1</v>
      </c>
      <c r="AS135" s="177">
        <f>$C$7*$G$8*($G$9+$G$10*$G$11)*$Q$111*($C$16*$G$17*10^12/(4*PI()*$L$134^2)+5.4*$C$16*$G$17*10^12/(2*PI()*$S$134)+1.3*$G$17*10^12/(2*PI()*$S$134))*10^-($M$134/$Q$113)*(1-$G$126)*AR135*10^6</f>
        <v>38.968367421659991</v>
      </c>
      <c r="AT135" s="526">
        <f t="shared" si="11"/>
        <v>194.84183710829996</v>
      </c>
      <c r="AU135" s="527"/>
      <c r="AV135" s="222"/>
      <c r="AW135" s="189"/>
      <c r="AX135" s="222"/>
      <c r="AY135" s="211"/>
      <c r="AZ135" s="222"/>
      <c r="BA135" s="222"/>
      <c r="BB135" s="225"/>
      <c r="BC135" s="225"/>
      <c r="BD135" s="225"/>
      <c r="BE135" s="225"/>
      <c r="BF135" s="225"/>
      <c r="BG135" s="300"/>
      <c r="BH135" s="300"/>
      <c r="BI135" s="300"/>
      <c r="BJ135" s="522"/>
      <c r="BK135" s="522"/>
      <c r="BL135" s="522"/>
    </row>
    <row r="136" spans="1:90" s="212" customFormat="1" ht="30" hidden="1" customHeight="1" x14ac:dyDescent="0.25">
      <c r="A136" s="222"/>
      <c r="B136" s="222"/>
      <c r="C136" s="282"/>
      <c r="D136" s="282"/>
      <c r="E136" s="211"/>
      <c r="F136" s="211"/>
      <c r="G136" s="211"/>
      <c r="H136" s="211"/>
      <c r="I136" s="211"/>
      <c r="J136" s="211"/>
      <c r="K136" s="211"/>
      <c r="L136" s="211"/>
      <c r="M136" s="211"/>
      <c r="N136" s="211"/>
      <c r="O136" s="211"/>
      <c r="P136" s="211"/>
      <c r="Q136" s="211"/>
      <c r="R136" s="211"/>
      <c r="S136" s="211"/>
      <c r="T136" s="211"/>
      <c r="U136" s="211"/>
      <c r="V136" s="211"/>
      <c r="W136" s="211"/>
      <c r="X136" s="453"/>
      <c r="Y136" s="528"/>
      <c r="Z136" s="57"/>
      <c r="AA136" s="57"/>
      <c r="AB136" s="57"/>
      <c r="AC136" s="57"/>
      <c r="AD136" s="529"/>
      <c r="AE136" s="369"/>
      <c r="AF136" s="328"/>
      <c r="AG136" s="530"/>
      <c r="AH136" s="369"/>
      <c r="AI136" s="328"/>
      <c r="AJ136" s="530"/>
      <c r="AK136" s="369"/>
      <c r="AL136" s="328"/>
      <c r="AM136" s="530"/>
      <c r="AN136" s="369"/>
      <c r="AO136" s="328"/>
      <c r="AP136" s="530"/>
      <c r="AQ136" s="369"/>
      <c r="AR136" s="328"/>
      <c r="AS136" s="530"/>
      <c r="AT136" s="369"/>
      <c r="AU136" s="233"/>
      <c r="AV136" s="222"/>
      <c r="AW136" s="189"/>
      <c r="AX136" s="222"/>
      <c r="AY136" s="211"/>
      <c r="AZ136" s="222"/>
      <c r="BA136" s="222"/>
      <c r="BB136" s="225"/>
      <c r="BC136" s="225"/>
      <c r="BD136" s="225"/>
      <c r="BE136" s="225"/>
      <c r="BF136" s="225"/>
      <c r="BG136" s="300"/>
      <c r="BH136" s="300"/>
      <c r="BI136" s="300"/>
      <c r="BJ136" s="522"/>
      <c r="BK136" s="522"/>
      <c r="BL136" s="522"/>
    </row>
    <row r="137" spans="1:90" s="212" customFormat="1" ht="19.5" customHeight="1" x14ac:dyDescent="0.25">
      <c r="A137" s="222"/>
      <c r="B137" s="222"/>
      <c r="C137" s="282"/>
      <c r="D137" s="282"/>
      <c r="E137" s="211"/>
      <c r="F137" s="211"/>
      <c r="G137" s="211"/>
      <c r="H137" s="211"/>
      <c r="I137" s="211"/>
      <c r="J137" s="211"/>
      <c r="K137" s="211"/>
      <c r="L137" s="211"/>
      <c r="M137" s="211"/>
      <c r="N137" s="211"/>
      <c r="O137" s="211"/>
      <c r="P137" s="211"/>
      <c r="Q137" s="211"/>
      <c r="R137" s="211"/>
      <c r="S137" s="211"/>
      <c r="T137" s="211"/>
      <c r="U137" s="211"/>
      <c r="V137" s="211"/>
      <c r="W137" s="211"/>
      <c r="X137" s="57"/>
      <c r="Y137" s="453"/>
      <c r="Z137" s="528"/>
      <c r="AA137" s="57"/>
      <c r="AB137" s="57"/>
      <c r="AC137" s="57"/>
      <c r="AD137" s="57"/>
      <c r="AE137" s="529"/>
      <c r="AF137" s="369"/>
      <c r="AG137" s="328"/>
      <c r="AH137" s="530"/>
      <c r="AI137" s="369"/>
      <c r="AJ137" s="328"/>
      <c r="AK137" s="530"/>
      <c r="AL137" s="369"/>
      <c r="AM137" s="328"/>
      <c r="AN137" s="530"/>
      <c r="AO137" s="369"/>
      <c r="AP137" s="328"/>
      <c r="AQ137" s="530"/>
      <c r="AR137" s="369"/>
      <c r="AS137" s="328"/>
      <c r="AT137" s="530"/>
      <c r="AU137" s="369"/>
      <c r="AV137" s="233"/>
      <c r="AW137" s="222"/>
      <c r="AX137" s="189"/>
      <c r="AY137" s="222"/>
      <c r="AZ137" s="211"/>
      <c r="BA137" s="222"/>
      <c r="BB137" s="222"/>
      <c r="BC137" s="225"/>
      <c r="BD137" s="225"/>
      <c r="BE137" s="225"/>
      <c r="BF137" s="225"/>
      <c r="BG137" s="225"/>
      <c r="BH137" s="300"/>
      <c r="BI137" s="300"/>
      <c r="BJ137" s="300"/>
      <c r="BK137" s="522"/>
      <c r="BL137" s="522"/>
      <c r="BM137" s="522"/>
    </row>
    <row r="138" spans="1:90" s="212" customFormat="1" ht="19.5" customHeight="1" x14ac:dyDescent="0.25">
      <c r="A138" s="222"/>
      <c r="B138" s="222"/>
      <c r="C138" s="282"/>
      <c r="D138" s="282"/>
      <c r="E138" s="211"/>
      <c r="F138" s="211"/>
      <c r="G138" s="211"/>
      <c r="H138" s="211"/>
      <c r="I138" s="211"/>
      <c r="J138" s="211"/>
      <c r="K138" s="211"/>
      <c r="L138" s="211"/>
      <c r="M138" s="211"/>
      <c r="N138" s="211"/>
      <c r="O138" s="211"/>
      <c r="P138" s="211"/>
      <c r="Q138" s="211"/>
      <c r="R138" s="211"/>
      <c r="S138" s="211"/>
      <c r="T138" s="211"/>
      <c r="U138" s="211"/>
      <c r="V138" s="211"/>
      <c r="W138" s="211"/>
      <c r="X138" s="57"/>
      <c r="Y138" s="453"/>
      <c r="Z138" s="528"/>
      <c r="AA138" s="57"/>
      <c r="AB138" s="57"/>
      <c r="AC138" s="57"/>
      <c r="AD138" s="529"/>
      <c r="AE138" s="369"/>
      <c r="AF138" s="328"/>
      <c r="AG138" s="530"/>
      <c r="AH138" s="369"/>
      <c r="AI138" s="328"/>
      <c r="AJ138" s="530"/>
      <c r="AK138" s="369"/>
      <c r="AL138" s="328"/>
      <c r="AM138" s="530"/>
      <c r="AN138" s="369"/>
      <c r="AO138" s="328"/>
      <c r="AP138" s="530"/>
      <c r="AQ138" s="369"/>
      <c r="AR138" s="328"/>
      <c r="AS138" s="530"/>
      <c r="AT138" s="369"/>
      <c r="AU138" s="233"/>
      <c r="AV138" s="222"/>
      <c r="AW138" s="189"/>
      <c r="AX138" s="222"/>
      <c r="AY138" s="211"/>
      <c r="AZ138" s="222"/>
      <c r="BA138" s="222"/>
      <c r="BB138" s="225"/>
      <c r="BC138" s="225"/>
      <c r="BD138" s="225"/>
      <c r="BE138" s="225"/>
      <c r="BF138" s="225"/>
      <c r="BG138" s="300"/>
      <c r="BH138" s="300"/>
      <c r="BI138" s="300"/>
      <c r="BJ138" s="522"/>
      <c r="BK138" s="522"/>
      <c r="BL138" s="522"/>
    </row>
    <row r="139" spans="1:90" s="212" customFormat="1" ht="19.5" customHeight="1" thickBot="1" x14ac:dyDescent="0.3">
      <c r="A139" s="532" t="s">
        <v>645</v>
      </c>
      <c r="B139" s="533"/>
      <c r="C139" s="310"/>
      <c r="D139" s="57"/>
      <c r="E139" s="57"/>
      <c r="F139" s="57"/>
      <c r="G139" s="57"/>
      <c r="H139" s="57"/>
      <c r="I139" s="57"/>
      <c r="J139" s="57"/>
      <c r="K139" s="57"/>
      <c r="L139" s="529"/>
      <c r="M139" s="529"/>
      <c r="N139" s="529"/>
      <c r="O139" s="530"/>
      <c r="P139" s="328"/>
      <c r="Q139" s="369"/>
      <c r="R139" s="369"/>
      <c r="S139" s="328"/>
      <c r="T139" s="369"/>
      <c r="U139" s="369"/>
      <c r="V139" s="328"/>
      <c r="W139" s="369"/>
      <c r="X139" s="369"/>
      <c r="Y139" s="328"/>
      <c r="Z139" s="369"/>
      <c r="AA139" s="369"/>
      <c r="AB139" s="328"/>
      <c r="AC139" s="369"/>
      <c r="AD139" s="369"/>
      <c r="AE139" s="328"/>
      <c r="AF139" s="233"/>
      <c r="AG139" s="222"/>
      <c r="AH139" s="189"/>
      <c r="AI139" s="222"/>
      <c r="AJ139" s="211"/>
      <c r="AK139" s="222"/>
      <c r="AL139" s="222"/>
      <c r="AM139" s="225"/>
      <c r="AN139" s="225"/>
      <c r="AO139" s="225"/>
      <c r="AP139" s="225"/>
      <c r="AQ139" s="225"/>
      <c r="AR139" s="300"/>
      <c r="AS139" s="300"/>
      <c r="AT139" s="300"/>
      <c r="AU139" s="300"/>
      <c r="AV139" s="300"/>
      <c r="AW139" s="300"/>
      <c r="AX139" s="225"/>
      <c r="AY139" s="225"/>
      <c r="AZ139" s="225"/>
      <c r="BA139" s="225"/>
      <c r="BB139" s="225"/>
      <c r="BC139" s="225"/>
      <c r="BD139" s="225"/>
      <c r="BE139" s="225"/>
      <c r="BF139" s="225"/>
      <c r="BG139" s="225"/>
      <c r="BH139" s="225"/>
      <c r="BI139" s="225"/>
      <c r="BJ139" s="225"/>
      <c r="BK139" s="225"/>
      <c r="BL139" s="225"/>
    </row>
    <row r="140" spans="1:90" ht="19.5" customHeight="1" x14ac:dyDescent="0.25">
      <c r="C140" s="534"/>
      <c r="D140" s="535"/>
      <c r="E140" s="535"/>
      <c r="F140" s="535"/>
      <c r="G140" s="535"/>
      <c r="H140" s="536"/>
      <c r="I140" s="536"/>
      <c r="J140" s="536"/>
      <c r="K140" s="536"/>
      <c r="L140" s="536"/>
      <c r="M140" s="537"/>
      <c r="N140" s="473">
        <f>$C$4</f>
        <v>6</v>
      </c>
      <c r="O140" s="293"/>
      <c r="P140" s="2005">
        <f>$D$4</f>
        <v>10</v>
      </c>
      <c r="Q140" s="2006"/>
      <c r="R140" s="2007"/>
      <c r="S140" s="2005">
        <f>$E$4</f>
        <v>18</v>
      </c>
      <c r="T140" s="2006"/>
      <c r="U140" s="2007"/>
      <c r="V140" s="2005" t="str">
        <f>$F$4</f>
        <v>6 FFF</v>
      </c>
      <c r="W140" s="2006"/>
      <c r="X140" s="2007"/>
      <c r="Y140" s="2005" t="str">
        <f>$G$4</f>
        <v>10 FFF</v>
      </c>
      <c r="Z140" s="2006"/>
      <c r="AA140" s="2033"/>
      <c r="AB140" s="1995" t="s">
        <v>16</v>
      </c>
      <c r="AC140" s="1996"/>
      <c r="AD140" s="1997"/>
      <c r="AE140" s="538"/>
      <c r="AF140" s="538"/>
      <c r="AG140" s="538"/>
      <c r="AH140" s="538"/>
    </row>
    <row r="141" spans="1:90" s="212" customFormat="1" ht="19.5" customHeight="1" x14ac:dyDescent="0.25">
      <c r="A141" s="415" t="s">
        <v>50</v>
      </c>
      <c r="B141" s="415" t="s">
        <v>15</v>
      </c>
      <c r="C141" s="539" t="s">
        <v>25</v>
      </c>
      <c r="D141" s="402" t="s">
        <v>158</v>
      </c>
      <c r="E141" s="310"/>
      <c r="F141" s="540"/>
      <c r="G141" s="541" t="s">
        <v>529</v>
      </c>
      <c r="H141" s="301" t="s">
        <v>524</v>
      </c>
      <c r="I141" s="542"/>
      <c r="J141" s="541" t="s">
        <v>77</v>
      </c>
      <c r="K141" s="541"/>
      <c r="L141" s="543"/>
      <c r="M141" s="1998" t="s">
        <v>216</v>
      </c>
      <c r="N141" s="301" t="s">
        <v>206</v>
      </c>
      <c r="O141" s="301" t="s">
        <v>16</v>
      </c>
      <c r="P141" s="1998" t="s">
        <v>216</v>
      </c>
      <c r="Q141" s="301" t="s">
        <v>206</v>
      </c>
      <c r="R141" s="301" t="s">
        <v>16</v>
      </c>
      <c r="S141" s="1998" t="s">
        <v>216</v>
      </c>
      <c r="T141" s="301" t="s">
        <v>206</v>
      </c>
      <c r="U141" s="301" t="s">
        <v>16</v>
      </c>
      <c r="V141" s="1998" t="s">
        <v>216</v>
      </c>
      <c r="W141" s="301" t="s">
        <v>206</v>
      </c>
      <c r="X141" s="301" t="s">
        <v>16</v>
      </c>
      <c r="Y141" s="1998" t="s">
        <v>216</v>
      </c>
      <c r="Z141" s="301" t="s">
        <v>206</v>
      </c>
      <c r="AA141" s="304" t="s">
        <v>16</v>
      </c>
      <c r="AB141" s="544" t="s">
        <v>23</v>
      </c>
      <c r="AC141" s="1993" t="s">
        <v>178</v>
      </c>
      <c r="AD141" s="1994"/>
      <c r="AE141" s="538"/>
      <c r="AF141" s="538"/>
      <c r="AG141" s="538"/>
      <c r="AH141" s="538"/>
      <c r="AI141" s="538"/>
      <c r="AJ141" s="538"/>
      <c r="AK141" s="538"/>
      <c r="AL141" s="538"/>
      <c r="AM141" s="538"/>
      <c r="AN141" s="538"/>
      <c r="AO141" s="538"/>
      <c r="AP141" s="538"/>
      <c r="AQ141" s="538"/>
      <c r="AR141" s="538"/>
      <c r="AS141" s="545"/>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69"/>
      <c r="BO141" s="233"/>
      <c r="BP141" s="233"/>
      <c r="BQ141" s="222"/>
      <c r="BR141" s="233"/>
      <c r="BS141" s="222"/>
      <c r="BT141" s="211"/>
      <c r="BU141" s="222"/>
      <c r="BV141" s="222"/>
      <c r="BW141" s="225"/>
      <c r="BX141" s="225"/>
      <c r="BY141" s="225"/>
      <c r="BZ141" s="225"/>
      <c r="CA141" s="225"/>
      <c r="CB141" s="300"/>
      <c r="CC141" s="300"/>
      <c r="CD141" s="300"/>
      <c r="CE141" s="522"/>
      <c r="CF141" s="522"/>
      <c r="CG141" s="522"/>
    </row>
    <row r="142" spans="1:90" s="212" customFormat="1" ht="19.5" customHeight="1" thickBot="1" x14ac:dyDescent="0.3">
      <c r="A142" s="308"/>
      <c r="B142" s="308"/>
      <c r="C142" s="546"/>
      <c r="D142" s="313" t="s">
        <v>383</v>
      </c>
      <c r="E142" s="313" t="s">
        <v>384</v>
      </c>
      <c r="F142" s="313" t="s">
        <v>385</v>
      </c>
      <c r="G142" s="541" t="s">
        <v>28</v>
      </c>
      <c r="H142" s="312" t="s">
        <v>528</v>
      </c>
      <c r="I142" s="542" t="s">
        <v>2</v>
      </c>
      <c r="J142" s="547" t="s">
        <v>61</v>
      </c>
      <c r="K142" s="541" t="s">
        <v>3</v>
      </c>
      <c r="L142" s="547" t="s">
        <v>22</v>
      </c>
      <c r="M142" s="1999"/>
      <c r="N142" s="314" t="s">
        <v>207</v>
      </c>
      <c r="O142" s="315" t="s">
        <v>174</v>
      </c>
      <c r="P142" s="1999"/>
      <c r="Q142" s="314" t="s">
        <v>207</v>
      </c>
      <c r="R142" s="315" t="s">
        <v>174</v>
      </c>
      <c r="S142" s="1999"/>
      <c r="T142" s="314" t="s">
        <v>207</v>
      </c>
      <c r="U142" s="315" t="s">
        <v>174</v>
      </c>
      <c r="V142" s="1999"/>
      <c r="W142" s="314" t="s">
        <v>207</v>
      </c>
      <c r="X142" s="315" t="s">
        <v>174</v>
      </c>
      <c r="Y142" s="1999"/>
      <c r="Z142" s="314" t="s">
        <v>207</v>
      </c>
      <c r="AA142" s="178" t="s">
        <v>174</v>
      </c>
      <c r="AB142" s="548" t="s">
        <v>173</v>
      </c>
      <c r="AC142" s="679" t="s">
        <v>173</v>
      </c>
      <c r="AD142" s="550" t="s">
        <v>166</v>
      </c>
      <c r="AE142" s="538"/>
      <c r="AF142" s="538"/>
      <c r="AG142" s="538"/>
      <c r="AH142" s="538"/>
      <c r="AI142" s="551"/>
      <c r="AJ142" s="538"/>
      <c r="AK142" s="538"/>
      <c r="AL142" s="538"/>
      <c r="AM142" s="538"/>
      <c r="AN142" s="538"/>
      <c r="AO142" s="538"/>
      <c r="AP142" s="538"/>
      <c r="AQ142" s="538"/>
      <c r="AR142" s="538"/>
      <c r="AS142" s="538"/>
      <c r="AT142" s="538"/>
      <c r="AU142" s="538"/>
      <c r="AV142" s="538"/>
      <c r="AW142" s="538"/>
      <c r="AX142" s="545"/>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69"/>
      <c r="BT142" s="233"/>
      <c r="BU142" s="233"/>
      <c r="BV142" s="222"/>
      <c r="BW142" s="233"/>
      <c r="BX142" s="222"/>
      <c r="BY142" s="211"/>
      <c r="BZ142" s="222"/>
      <c r="CA142" s="222"/>
      <c r="CB142" s="225"/>
      <c r="CC142" s="225"/>
      <c r="CD142" s="225"/>
      <c r="CE142" s="225"/>
      <c r="CF142" s="225"/>
      <c r="CG142" s="300"/>
      <c r="CH142" s="300"/>
      <c r="CI142" s="300"/>
      <c r="CJ142" s="522"/>
      <c r="CK142" s="522"/>
      <c r="CL142" s="522"/>
    </row>
    <row r="143" spans="1:90" s="212" customFormat="1" ht="19.5" hidden="1" customHeight="1" thickBot="1" x14ac:dyDescent="0.3">
      <c r="A143" s="694"/>
      <c r="B143" s="694"/>
      <c r="C143" s="584"/>
      <c r="D143" s="695"/>
      <c r="E143" s="695"/>
      <c r="F143" s="695"/>
      <c r="G143" s="722"/>
      <c r="H143" s="694"/>
      <c r="I143" s="723"/>
      <c r="J143" s="724"/>
      <c r="K143" s="722"/>
      <c r="L143" s="724"/>
      <c r="M143" s="695"/>
      <c r="N143" s="97"/>
      <c r="O143" s="58"/>
      <c r="P143" s="695"/>
      <c r="Q143" s="97"/>
      <c r="R143" s="58"/>
      <c r="S143" s="695"/>
      <c r="T143" s="97"/>
      <c r="U143" s="58"/>
      <c r="V143" s="695"/>
      <c r="W143" s="97"/>
      <c r="X143" s="58"/>
      <c r="Y143" s="695"/>
      <c r="Z143" s="97"/>
      <c r="AA143" s="90"/>
      <c r="AB143" s="319"/>
      <c r="AC143" s="320"/>
      <c r="AD143" s="321"/>
      <c r="AE143" s="538"/>
      <c r="AF143" s="538"/>
      <c r="AG143" s="538"/>
      <c r="AH143" s="538"/>
      <c r="AI143" s="551"/>
      <c r="AJ143" s="538"/>
      <c r="AK143" s="538"/>
      <c r="AL143" s="538"/>
      <c r="AM143" s="538"/>
      <c r="AN143" s="538"/>
      <c r="AO143" s="538"/>
      <c r="AP143" s="538"/>
      <c r="AQ143" s="538"/>
      <c r="AR143" s="538"/>
      <c r="AS143" s="538"/>
      <c r="AT143" s="538"/>
      <c r="AU143" s="538"/>
      <c r="AV143" s="538"/>
      <c r="AW143" s="538"/>
      <c r="AX143" s="545"/>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69"/>
      <c r="BT143" s="233"/>
      <c r="BU143" s="233"/>
      <c r="BV143" s="222"/>
      <c r="BW143" s="233"/>
      <c r="BX143" s="222"/>
      <c r="BY143" s="211"/>
      <c r="BZ143" s="222"/>
      <c r="CA143" s="222"/>
      <c r="CB143" s="225"/>
      <c r="CC143" s="225"/>
      <c r="CD143" s="225"/>
      <c r="CE143" s="225"/>
      <c r="CF143" s="225"/>
      <c r="CG143" s="300"/>
      <c r="CH143" s="300"/>
      <c r="CI143" s="300"/>
      <c r="CJ143" s="522"/>
      <c r="CK143" s="522"/>
      <c r="CL143" s="522"/>
    </row>
    <row r="144" spans="1:90" s="212" customFormat="1" ht="30" customHeight="1" x14ac:dyDescent="0.25">
      <c r="A144" s="552"/>
      <c r="B144" s="322"/>
      <c r="C144" s="323" t="s">
        <v>569</v>
      </c>
      <c r="D144" s="1836">
        <v>1</v>
      </c>
      <c r="E144" s="89"/>
      <c r="F144" s="89"/>
      <c r="G144" s="89"/>
      <c r="H144" s="1836">
        <v>0.25</v>
      </c>
      <c r="I144" s="1836">
        <v>250</v>
      </c>
      <c r="J144" s="1836">
        <v>0</v>
      </c>
      <c r="K144" s="1836">
        <v>0</v>
      </c>
      <c r="L144" s="1836">
        <v>0</v>
      </c>
      <c r="M144" s="91">
        <f>IF($I144=0,0,1+($I144-$C$21)/$C$22)+$J144/$C$23+$K144/$C$24+$L144/$C$25</f>
        <v>7.4545454545454541</v>
      </c>
      <c r="N144" s="92">
        <f t="shared" ref="N144:N162" si="12">10^(-M144)</f>
        <v>3.5111917342151263E-8</v>
      </c>
      <c r="O144" s="93">
        <f>$C$7*$C$14*$C$8*$H144/$D144^2*N144*10^6</f>
        <v>7.022383468430253E-2</v>
      </c>
      <c r="P144" s="91">
        <f>IF($I144=0,0,1+($I144-$D$21)/$D$22)+$J144/$D$23+$K144/$D$24+$L144/$D$25</f>
        <v>6.6486486486486482</v>
      </c>
      <c r="Q144" s="92">
        <f t="shared" ref="Q144:Q162" si="13">10^(-P144)</f>
        <v>2.2456979955397711E-7</v>
      </c>
      <c r="R144" s="93">
        <f>$C$7*$D$14*$D$8*$H144/$D144^2*$Q144*10^6</f>
        <v>0.4491395991079542</v>
      </c>
      <c r="S144" s="93">
        <f>IF($I144=0,0,1+(I144-$E$21)/$E$22)+$J144/$E$23+K144/$E$24+$L144/$E$25</f>
        <v>5.7674418604651159</v>
      </c>
      <c r="T144" s="92">
        <f t="shared" ref="T144:T162" si="14">10^(-S144)</f>
        <v>1.7082763938087111E-6</v>
      </c>
      <c r="U144" s="93">
        <f>$C$7*$E$14*$E$8*$H144/$D144^2*$T144*10^6</f>
        <v>3.4165527876174222</v>
      </c>
      <c r="V144" s="93">
        <f>IF($I144=0,0,1+(I144-$F$21)/$F$22)+$J144/$F$23+K144/$F$24+$L144/$F$25</f>
        <v>9.1481481481481488</v>
      </c>
      <c r="W144" s="92">
        <f t="shared" ref="W144:W162" si="15">10^(-V144)</f>
        <v>7.1097094323124171E-10</v>
      </c>
      <c r="X144" s="93">
        <f>$C$7*$F$14*$F$8*$H144/$D144^2*$W144*10^6</f>
        <v>1.4219418864624834E-3</v>
      </c>
      <c r="Y144" s="93">
        <f>IF($I144=0,0,1+(I144-$G$21)/$G$22)+$J144/$G$23+K144/$G$24+$L144/$G$25</f>
        <v>6.9444444444444446</v>
      </c>
      <c r="Z144" s="92">
        <f t="shared" ref="Z144:Z162" si="16">10^(-Y144)</f>
        <v>1.136463666385722E-7</v>
      </c>
      <c r="AA144" s="94">
        <f>$C$7*$G$14*$G$8*$H144/$D144^2*$Z144*10^6</f>
        <v>0.22729273327714439</v>
      </c>
      <c r="AB144" s="553">
        <f>SUM(O144,R144,U144,X144,AA144)</f>
        <v>4.1646308965732857</v>
      </c>
      <c r="AC144" s="554"/>
      <c r="AD144" s="555"/>
      <c r="AE144" s="538"/>
      <c r="AF144" s="538"/>
      <c r="AG144" s="538"/>
      <c r="AH144" s="556"/>
      <c r="AI144" s="551"/>
      <c r="AJ144" s="551"/>
      <c r="AK144" s="551"/>
      <c r="AL144" s="538"/>
      <c r="AM144" s="538"/>
      <c r="AN144" s="538"/>
      <c r="AO144" s="538"/>
      <c r="AP144" s="538"/>
      <c r="AQ144" s="538"/>
      <c r="AR144" s="538"/>
      <c r="AS144" s="538"/>
      <c r="AT144" s="538"/>
      <c r="AU144" s="538"/>
      <c r="AV144" s="538"/>
      <c r="AW144" s="538"/>
      <c r="AX144" s="545"/>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69"/>
      <c r="BT144" s="233"/>
      <c r="BU144" s="233"/>
      <c r="BV144" s="222"/>
      <c r="BW144" s="222"/>
      <c r="BX144" s="222"/>
      <c r="BY144" s="211"/>
      <c r="BZ144" s="222"/>
      <c r="CA144" s="222"/>
      <c r="CB144" s="225"/>
      <c r="CC144" s="225"/>
      <c r="CD144" s="225"/>
      <c r="CE144" s="225"/>
      <c r="CF144" s="225"/>
      <c r="CG144" s="300"/>
      <c r="CH144" s="300"/>
      <c r="CI144" s="300"/>
      <c r="CJ144" s="522"/>
      <c r="CK144" s="522"/>
      <c r="CL144" s="522"/>
    </row>
    <row r="145" spans="1:90" s="212" customFormat="1" ht="30" customHeight="1" x14ac:dyDescent="0.25">
      <c r="A145" s="557" t="str">
        <f>Samenvatting!A332</f>
        <v>T1</v>
      </c>
      <c r="B145" s="558" t="str">
        <f>Samenvatting!B332</f>
        <v>terreingrens 1</v>
      </c>
      <c r="C145" s="331" t="s">
        <v>568</v>
      </c>
      <c r="D145" s="1836">
        <v>25</v>
      </c>
      <c r="E145" s="89"/>
      <c r="F145" s="89"/>
      <c r="G145" s="89"/>
      <c r="H145" s="559"/>
      <c r="I145" s="1836">
        <v>250</v>
      </c>
      <c r="J145" s="1836">
        <v>0</v>
      </c>
      <c r="K145" s="1836">
        <v>0</v>
      </c>
      <c r="L145" s="1836">
        <v>0</v>
      </c>
      <c r="M145" s="93">
        <f>$I145/$C$27+$J145/$C$28+K145/$C$29+$L145/$C$30</f>
        <v>7.3529411764705879</v>
      </c>
      <c r="N145" s="92">
        <f t="shared" si="12"/>
        <v>4.4366873309786093E-8</v>
      </c>
      <c r="O145" s="93">
        <f>$C$7*$C$15*$C$8*($C$9+$C$10*$C$11)/$D145^2*$N145*10^6</f>
        <v>4.2592198377394652E-5</v>
      </c>
      <c r="P145" s="93">
        <f>$I145/$D$27+$J145/$D$28+K145/$D$29+$L145/$D$30</f>
        <v>6.5789473684210522</v>
      </c>
      <c r="Q145" s="92">
        <f t="shared" si="13"/>
        <v>2.636650898730358E-7</v>
      </c>
      <c r="R145" s="93">
        <f>$C$7*$C$15*$D$8*($D$9+$D$10*$D$11)/$D145^2*$Q145*10^6</f>
        <v>2.5311848627811444E-4</v>
      </c>
      <c r="S145" s="93">
        <f>$I145/$E$27+$J145/$E$28+K145/$E$29+$L145/$E$30</f>
        <v>5.6818181818181817</v>
      </c>
      <c r="T145" s="92">
        <f t="shared" si="14"/>
        <v>2.0805675382171676E-6</v>
      </c>
      <c r="U145" s="93">
        <f>$C$7*$C$15*$E$8*($E$9+$E$10*$E$11)/$D145^2*$T145*10^6</f>
        <v>1.9973448366884814E-3</v>
      </c>
      <c r="V145" s="93">
        <f>$I145/$F$27+$J145/$F$28+K145/$F$29+$L145/$F$30</f>
        <v>8.1967213114754092</v>
      </c>
      <c r="W145" s="92">
        <f t="shared" si="15"/>
        <v>6.3573875711648393E-9</v>
      </c>
      <c r="X145" s="93">
        <f>$C$7*$C$15*$F$8*($F$9+$F$10*$F$11)/$D145^2*$W145*10^6</f>
        <v>6.1030920683182469E-6</v>
      </c>
      <c r="Y145" s="93">
        <f>$I145/$G$27+$J145/$G$28+K145/$G$29+$L145/$G$30</f>
        <v>7.0224719101123592</v>
      </c>
      <c r="Z145" s="92">
        <f t="shared" si="16"/>
        <v>9.4957241494880226E-8</v>
      </c>
      <c r="AA145" s="94">
        <f>$C$7*$C$15*$G$8*($G$9+$G$10*$G$11)/$D145^2*$Z145*10^6</f>
        <v>9.1158951835085031E-5</v>
      </c>
      <c r="AB145" s="560">
        <f>SUM(O145,R145,U145,X145,AA145)</f>
        <v>2.3903175652473939E-3</v>
      </c>
      <c r="AC145" s="561">
        <f>SUM(AB143:AB148)</f>
        <v>4.1670929152189826</v>
      </c>
      <c r="AD145" s="562">
        <f>AC145*52/10^3</f>
        <v>0.2166888315913871</v>
      </c>
      <c r="AE145" s="538"/>
      <c r="AF145" s="538"/>
      <c r="AG145" s="538"/>
      <c r="AH145" s="556"/>
      <c r="AI145" s="563"/>
      <c r="AJ145" s="551"/>
      <c r="AK145" s="551"/>
      <c r="AL145" s="538"/>
      <c r="AM145" s="538"/>
      <c r="AN145" s="538"/>
      <c r="AO145" s="538"/>
      <c r="AP145" s="538"/>
      <c r="AQ145" s="538"/>
      <c r="AR145" s="538"/>
      <c r="AS145" s="538"/>
      <c r="AT145" s="538"/>
      <c r="AU145" s="538"/>
      <c r="AV145" s="538"/>
      <c r="AW145" s="538"/>
      <c r="AX145" s="545"/>
      <c r="AY145" s="545"/>
      <c r="AZ145" s="545"/>
      <c r="BA145" s="545"/>
      <c r="BB145" s="328"/>
      <c r="BC145" s="328"/>
      <c r="BD145" s="328"/>
      <c r="BE145" s="328"/>
      <c r="BF145" s="328"/>
      <c r="BG145" s="328"/>
      <c r="BH145" s="328"/>
      <c r="BI145" s="328"/>
      <c r="BJ145" s="328"/>
      <c r="BK145" s="328"/>
      <c r="BL145" s="328"/>
      <c r="BM145" s="328"/>
      <c r="BN145" s="328"/>
      <c r="BO145" s="328"/>
      <c r="BP145" s="328"/>
      <c r="BQ145" s="328"/>
      <c r="BR145" s="328"/>
      <c r="BS145" s="369"/>
      <c r="BT145" s="233"/>
      <c r="BU145" s="233"/>
      <c r="BV145" s="222"/>
      <c r="BW145" s="222"/>
      <c r="BX145" s="222"/>
      <c r="BY145" s="211"/>
      <c r="BZ145" s="222"/>
      <c r="CA145" s="222"/>
      <c r="CB145" s="225"/>
      <c r="CC145" s="225"/>
      <c r="CD145" s="225"/>
      <c r="CE145" s="225"/>
      <c r="CF145" s="225"/>
      <c r="CG145" s="300"/>
      <c r="CH145" s="300"/>
      <c r="CI145" s="300"/>
      <c r="CJ145" s="522"/>
      <c r="CK145" s="522"/>
      <c r="CL145" s="522"/>
    </row>
    <row r="146" spans="1:90" s="212" customFormat="1" ht="30" customHeight="1" x14ac:dyDescent="0.25">
      <c r="A146" s="557"/>
      <c r="B146" s="558"/>
      <c r="C146" s="331" t="s">
        <v>26</v>
      </c>
      <c r="D146" s="564"/>
      <c r="E146" s="1836">
        <v>11</v>
      </c>
      <c r="F146" s="89">
        <f>D145</f>
        <v>25</v>
      </c>
      <c r="G146" s="1836">
        <v>15</v>
      </c>
      <c r="H146" s="1836">
        <v>0.25</v>
      </c>
      <c r="I146" s="1836">
        <v>210</v>
      </c>
      <c r="J146" s="1836">
        <v>0</v>
      </c>
      <c r="K146" s="1836">
        <v>0</v>
      </c>
      <c r="L146" s="1836">
        <v>0</v>
      </c>
      <c r="M146" s="93">
        <f>IF($I146=0,0,1+(I146-$C$21)/$C$22)+$J146/$C$23+K146/$C$24+$L146/$C$25</f>
        <v>6.2424242424242422</v>
      </c>
      <c r="N146" s="92">
        <f t="shared" si="12"/>
        <v>5.722367659350211E-7</v>
      </c>
      <c r="O146" s="95">
        <f>2.5*0.01*$C$7*$C$14*$C$8*$H146*(2*PI()*(1-COS($G146/180*PI())))^1.3/$E146^2/$F146^2*N146*10^6</f>
        <v>5.101138747051231E-8</v>
      </c>
      <c r="P146" s="91">
        <f>IF($I146=0,0,1+($I146-$D$21)/$D$22)+$J146/$D$23+$K146/$D$24+$L146/$D$25</f>
        <v>5.5675675675675675</v>
      </c>
      <c r="Q146" s="92">
        <f t="shared" si="13"/>
        <v>2.7066520700332395E-6</v>
      </c>
      <c r="R146" s="95">
        <f>2.5*0.01*$C$7*$D$14*$D$8*$H146*(2*PI()*(1-COS($G146/180*PI())))^1.3/$E146^2/$F146^2*Q146*10^6</f>
        <v>2.4128138160910826E-7</v>
      </c>
      <c r="S146" s="93">
        <f>IF($I146=0,0,1+(I146-$E$21)/$E$22)+$J146/$E$23+K146/$E$24+$L146/$E$25</f>
        <v>4.8372093023255811</v>
      </c>
      <c r="T146" s="92">
        <f t="shared" si="14"/>
        <v>1.4547578108480478E-5</v>
      </c>
      <c r="U146" s="95">
        <f>2.5*0.01*$C$7*$E$14*$E$8*$H146*(2*PI()*(1-COS($G146/180*PI())))^1.3/$E146^2/$F146^2*T146*10^6</f>
        <v>1.2968270964496306E-6</v>
      </c>
      <c r="V146" s="93">
        <f>IF($I146=0,0,1+(I146-$F$21)/$F$22)+$J146/$F$23+K146/$F$24+$L146/$F$25</f>
        <v>7.666666666666667</v>
      </c>
      <c r="W146" s="92">
        <f t="shared" si="15"/>
        <v>2.1544346900318783E-8</v>
      </c>
      <c r="X146" s="95">
        <f>2.5*0.01*$C$7*$F$14*$F$8*$H146*(2*PI()*(1-COS($G146/180*PI())))^1.3/$E146^2/$F146^2*W146*10^6</f>
        <v>1.920545992418962E-9</v>
      </c>
      <c r="Y146" s="93">
        <f>IF($I146=0,0,1+(I146-$G$21)/$G$22)+$J146/$G$23+K146/$G$24+$L146/$G$25</f>
        <v>5.833333333333333</v>
      </c>
      <c r="Z146" s="92">
        <f t="shared" si="16"/>
        <v>1.4677992676220696E-6</v>
      </c>
      <c r="AA146" s="96">
        <f>2.5*0.01*$C$7*$G$14*$G$8*$H146*(2*PI()*(1-COS($G146/180*PI())))^1.3/$E146^2/$F146^2*Z146*10^6</f>
        <v>1.3084527528960935E-7</v>
      </c>
      <c r="AB146" s="560">
        <f>SUM(O146,R146,U146,X146,AA146)</f>
        <v>1.7218856868112794E-6</v>
      </c>
      <c r="AC146" s="565"/>
      <c r="AD146" s="566"/>
      <c r="AE146" s="538"/>
      <c r="AF146" s="538"/>
      <c r="AG146" s="567"/>
      <c r="AH146" s="538"/>
      <c r="AI146" s="563"/>
      <c r="AJ146" s="545"/>
      <c r="AK146" s="545"/>
      <c r="AL146" s="538"/>
      <c r="AM146" s="538"/>
      <c r="AN146" s="538"/>
      <c r="AO146" s="538"/>
      <c r="AP146" s="538"/>
      <c r="AQ146" s="538"/>
      <c r="AR146" s="538"/>
      <c r="AS146" s="538"/>
      <c r="AT146" s="538"/>
      <c r="AU146" s="538"/>
      <c r="AV146" s="538"/>
      <c r="AW146" s="538"/>
      <c r="AX146" s="545"/>
      <c r="AY146" s="545"/>
      <c r="AZ146" s="545"/>
      <c r="BA146" s="545"/>
      <c r="BB146" s="328"/>
      <c r="BC146" s="328"/>
      <c r="BD146" s="328"/>
      <c r="BE146" s="328"/>
      <c r="BF146" s="328"/>
      <c r="BG146" s="328"/>
      <c r="BH146" s="328"/>
      <c r="BI146" s="328"/>
      <c r="BJ146" s="328"/>
      <c r="BK146" s="328"/>
      <c r="BL146" s="328"/>
      <c r="BM146" s="328"/>
      <c r="BN146" s="328"/>
      <c r="BO146" s="328"/>
      <c r="BP146" s="328"/>
      <c r="BQ146" s="328"/>
      <c r="BR146" s="328"/>
      <c r="BS146" s="369"/>
      <c r="BT146" s="233"/>
      <c r="BU146" s="233"/>
      <c r="BV146" s="222"/>
      <c r="BW146" s="222"/>
      <c r="BX146" s="222"/>
      <c r="BY146" s="211"/>
      <c r="BZ146" s="222"/>
      <c r="CA146" s="222"/>
      <c r="CB146" s="225"/>
      <c r="CC146" s="225"/>
      <c r="CD146" s="225"/>
      <c r="CE146" s="225"/>
      <c r="CF146" s="225"/>
      <c r="CG146" s="300"/>
      <c r="CH146" s="300"/>
      <c r="CI146" s="300"/>
      <c r="CJ146" s="522"/>
      <c r="CK146" s="522"/>
      <c r="CL146" s="522"/>
    </row>
    <row r="147" spans="1:90" s="538" customFormat="1" ht="30" customHeight="1" thickBot="1" x14ac:dyDescent="0.3">
      <c r="A147" s="557"/>
      <c r="B147" s="558"/>
      <c r="C147" s="331" t="s">
        <v>27</v>
      </c>
      <c r="D147" s="89"/>
      <c r="E147" s="1836">
        <v>10</v>
      </c>
      <c r="F147" s="89"/>
      <c r="G147" s="1836">
        <v>60</v>
      </c>
      <c r="H147" s="568"/>
      <c r="I147" s="1836">
        <v>190</v>
      </c>
      <c r="J147" s="1836">
        <v>0</v>
      </c>
      <c r="K147" s="1836">
        <v>0</v>
      </c>
      <c r="L147" s="1836">
        <v>0</v>
      </c>
      <c r="M147" s="93">
        <f>$I147/$C$27+$J147/$C$28+K147/$C$29+$L147/$C$30</f>
        <v>5.5882352941176467</v>
      </c>
      <c r="N147" s="92">
        <f t="shared" si="12"/>
        <v>2.580861540418073E-6</v>
      </c>
      <c r="O147" s="95">
        <f>2.5*0.01*$C$7*$C$15*$C$8*($C$9+$C$10*$C$11)*(2*PI()*(1-COS($G147/180*PI())))^1.3/E$147^2/$F146^2*N147*10^6</f>
        <v>2.7432840731901286E-6</v>
      </c>
      <c r="P147" s="93">
        <f>$I147/$D$27+$J147/$D$28+K147/$D$29+$L147/$D$30</f>
        <v>5</v>
      </c>
      <c r="Q147" s="92">
        <f t="shared" si="13"/>
        <v>1.0000000000000001E-5</v>
      </c>
      <c r="R147" s="95">
        <f>2.5*0.01*$C$7*$C$15*$D$8*($D$9+$D$10*$D$11)*(2*PI()*(1-COS($G147/180*PI())))^1.3/$E147^2/$F146^2*Q147*10^6</f>
        <v>1.0629334546733355E-5</v>
      </c>
      <c r="S147" s="93">
        <f>$I147/$E$27+$J147/$E$28+K147/$E$29+$L147/$E$30</f>
        <v>4.3181818181818183</v>
      </c>
      <c r="T147" s="92">
        <f t="shared" si="14"/>
        <v>4.8063808630643867E-5</v>
      </c>
      <c r="U147" s="95">
        <f>2.5*0.01*$C$7*$C$15*$E$8*($E$9+$E$10*$E$11)*(2*PI()*(1-COS($G147/180*PI())))^1.3/$E147^2/$F146^2*T147*10^6</f>
        <v>5.1088630152528366E-5</v>
      </c>
      <c r="V147" s="93">
        <f>$I147/$F$27+$J147/$F$28+K147/$F$29+$L147/$F$30</f>
        <v>6.2295081967213113</v>
      </c>
      <c r="W147" s="92">
        <f t="shared" si="15"/>
        <v>5.8951085074002664E-7</v>
      </c>
      <c r="X147" s="95">
        <f>2.5*0.01*$C$7*$C$15*$F$8*($F$9+$F$10*$F$11)*(2*PI()*(1-COS($G147/180*PI())))^1.3/$E147^2/$F146^2*W147*10^6</f>
        <v>6.2661080514451354E-7</v>
      </c>
      <c r="Y147" s="93">
        <f>$I147/$G$27+$J147/$G$28+K147/$G$29+$L147/$G$30</f>
        <v>5.3370786516853927</v>
      </c>
      <c r="Z147" s="92">
        <f t="shared" si="16"/>
        <v>4.6017322765137984E-6</v>
      </c>
      <c r="AA147" s="96">
        <f>2.5*0.01*$C$7*$C$15*$G$8*($G$9+$G$10*$G$11)*(2*PI()*(1-COS($G147/180*PI())))^1.3/$E147^2/$F146^2*Z147*10^6</f>
        <v>4.891335186156605E-6</v>
      </c>
      <c r="AB147" s="569">
        <f>SUM(O147,R147,U147,X147,AA147)</f>
        <v>6.9979194763752965E-5</v>
      </c>
      <c r="AC147" s="570"/>
      <c r="AD147" s="571"/>
      <c r="AH147" s="572"/>
      <c r="AI147" s="573"/>
      <c r="AJ147" s="563"/>
      <c r="AK147" s="551"/>
      <c r="AX147" s="545"/>
      <c r="AY147" s="545"/>
      <c r="AZ147" s="545"/>
      <c r="BA147" s="545"/>
      <c r="BB147" s="545"/>
      <c r="BC147" s="545"/>
      <c r="BD147" s="545"/>
      <c r="BE147" s="545"/>
      <c r="BF147" s="545"/>
      <c r="BG147" s="545"/>
      <c r="BH147" s="545"/>
      <c r="BI147" s="545"/>
      <c r="BJ147" s="545"/>
      <c r="BK147" s="545"/>
      <c r="BL147" s="545"/>
      <c r="BM147" s="545"/>
      <c r="BN147" s="545"/>
      <c r="BO147" s="545"/>
      <c r="BP147" s="545"/>
      <c r="BQ147" s="545"/>
      <c r="BR147" s="545"/>
      <c r="BS147" s="545"/>
      <c r="BT147" s="545"/>
      <c r="BU147" s="545"/>
      <c r="BV147" s="545"/>
      <c r="BW147" s="545"/>
      <c r="BX147" s="545"/>
      <c r="BY147" s="545"/>
      <c r="BZ147" s="545"/>
    </row>
    <row r="148" spans="1:90" s="212" customFormat="1" ht="30" hidden="1" customHeight="1" thickBot="1" x14ac:dyDescent="0.3">
      <c r="A148" s="574"/>
      <c r="B148" s="575"/>
      <c r="C148" s="576"/>
      <c r="D148" s="89"/>
      <c r="E148" s="89"/>
      <c r="F148" s="89"/>
      <c r="G148" s="89"/>
      <c r="H148" s="1837"/>
      <c r="I148" s="1837"/>
      <c r="J148" s="1837"/>
      <c r="K148" s="1837"/>
      <c r="L148" s="1837"/>
      <c r="M148" s="91"/>
      <c r="N148" s="97"/>
      <c r="O148" s="98"/>
      <c r="P148" s="91"/>
      <c r="Q148" s="97"/>
      <c r="R148" s="98"/>
      <c r="S148" s="91"/>
      <c r="T148" s="97"/>
      <c r="U148" s="98"/>
      <c r="V148" s="91"/>
      <c r="W148" s="97"/>
      <c r="X148" s="98"/>
      <c r="Y148" s="91"/>
      <c r="Z148" s="97"/>
      <c r="AA148" s="99"/>
      <c r="AB148" s="577"/>
      <c r="AC148" s="578"/>
      <c r="AD148" s="579"/>
      <c r="AH148" s="580"/>
      <c r="AI148" s="581"/>
      <c r="AJ148" s="282"/>
      <c r="AK148" s="300"/>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row>
    <row r="149" spans="1:90" s="212" customFormat="1" ht="30" customHeight="1" x14ac:dyDescent="0.25">
      <c r="A149" s="552"/>
      <c r="B149" s="322"/>
      <c r="C149" s="323" t="s">
        <v>569</v>
      </c>
      <c r="D149" s="1836">
        <v>1</v>
      </c>
      <c r="E149" s="89"/>
      <c r="F149" s="89"/>
      <c r="G149" s="89"/>
      <c r="H149" s="1836">
        <v>0.25</v>
      </c>
      <c r="I149" s="1836">
        <v>250</v>
      </c>
      <c r="J149" s="1836">
        <v>0</v>
      </c>
      <c r="K149" s="1836">
        <v>0</v>
      </c>
      <c r="L149" s="1836">
        <v>0</v>
      </c>
      <c r="M149" s="91">
        <f>IF($I149=0,0,1+($I149-$C$21)/$C$22)+$J149/$C$23+$K149/$C$24+$L149/$C$25</f>
        <v>7.4545454545454541</v>
      </c>
      <c r="N149" s="92">
        <f t="shared" si="12"/>
        <v>3.5111917342151263E-8</v>
      </c>
      <c r="O149" s="93">
        <f>$C$7*$C$14*$C$8*$H149/$D149^2*N149*10^6</f>
        <v>7.022383468430253E-2</v>
      </c>
      <c r="P149" s="91">
        <f>IF($I149=0,0,1+($I149-$D$21)/$D$22)+$J149/$D$23+$K149/$D$24+$L149/$D$25</f>
        <v>6.6486486486486482</v>
      </c>
      <c r="Q149" s="92">
        <f t="shared" si="13"/>
        <v>2.2456979955397711E-7</v>
      </c>
      <c r="R149" s="93">
        <f>$C$7*$D$14*$D$8*$H149/$D149^2*$Q149*10^6</f>
        <v>0.4491395991079542</v>
      </c>
      <c r="S149" s="93">
        <f>IF($I149=0,0,1+(I149-$E$21)/$E$22)+$J149/$E$23+K149/$E$24+$L149/$E$25</f>
        <v>5.7674418604651159</v>
      </c>
      <c r="T149" s="92">
        <f t="shared" si="14"/>
        <v>1.7082763938087111E-6</v>
      </c>
      <c r="U149" s="93">
        <f>$C$7*$E$14*$E$8*$H149/$D149^2*$T149*10^6</f>
        <v>3.4165527876174222</v>
      </c>
      <c r="V149" s="93">
        <f>IF($I149=0,0,1+(I149-$F$21)/$F$22)+$J149/$F$23+K149/$F$24+$L149/$F$25</f>
        <v>9.1481481481481488</v>
      </c>
      <c r="W149" s="92">
        <f t="shared" si="15"/>
        <v>7.1097094323124171E-10</v>
      </c>
      <c r="X149" s="93">
        <f>$C$7*$F$14*$F$8*$H149/$D149^2*$W149*10^6</f>
        <v>1.4219418864624834E-3</v>
      </c>
      <c r="Y149" s="93">
        <f>IF($I149=0,0,1+(I149-$G$21)/$G$22)+$J149/$G$23+K149/$G$24+$L149/$G$25</f>
        <v>6.9444444444444446</v>
      </c>
      <c r="Z149" s="92">
        <f t="shared" si="16"/>
        <v>1.136463666385722E-7</v>
      </c>
      <c r="AA149" s="94">
        <f>$C$7*$G$14*$G$8*$H149/$D149^2*$Z149*10^6</f>
        <v>0.22729273327714439</v>
      </c>
      <c r="AB149" s="553">
        <f>SUM(O149,R149,U149,X149,AA149)</f>
        <v>4.1646308965732857</v>
      </c>
      <c r="AC149" s="554"/>
      <c r="AD149" s="555"/>
      <c r="AE149" s="538"/>
      <c r="AF149" s="538"/>
      <c r="AG149" s="538"/>
      <c r="AH149" s="556"/>
      <c r="AI149" s="551"/>
      <c r="AJ149" s="551"/>
      <c r="AK149" s="551"/>
      <c r="AL149" s="538"/>
      <c r="AM149" s="538"/>
      <c r="AN149" s="538"/>
      <c r="AO149" s="538"/>
      <c r="AP149" s="538"/>
      <c r="AQ149" s="538"/>
      <c r="AR149" s="538"/>
      <c r="AS149" s="538"/>
      <c r="AT149" s="538"/>
      <c r="AU149" s="538"/>
      <c r="AV149" s="538"/>
      <c r="AW149" s="538"/>
      <c r="AX149" s="545"/>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69"/>
      <c r="BT149" s="233"/>
      <c r="BU149" s="233"/>
      <c r="BV149" s="222"/>
      <c r="BW149" s="222"/>
      <c r="BX149" s="222"/>
      <c r="BY149" s="211"/>
      <c r="BZ149" s="222"/>
      <c r="CA149" s="222"/>
      <c r="CB149" s="225"/>
      <c r="CC149" s="225"/>
      <c r="CD149" s="225"/>
      <c r="CE149" s="225"/>
      <c r="CF149" s="225"/>
      <c r="CG149" s="300"/>
      <c r="CH149" s="300"/>
      <c r="CI149" s="300"/>
      <c r="CJ149" s="522"/>
      <c r="CK149" s="522"/>
      <c r="CL149" s="522"/>
    </row>
    <row r="150" spans="1:90" s="212" customFormat="1" ht="30" customHeight="1" x14ac:dyDescent="0.25">
      <c r="A150" s="557" t="str">
        <f>Samenvatting!A343</f>
        <v>T2</v>
      </c>
      <c r="B150" s="558" t="str">
        <f>Samenvatting!B343</f>
        <v>terreingrens 2</v>
      </c>
      <c r="C150" s="331" t="s">
        <v>568</v>
      </c>
      <c r="D150" s="1836">
        <v>25</v>
      </c>
      <c r="E150" s="89"/>
      <c r="F150" s="89"/>
      <c r="G150" s="89"/>
      <c r="H150" s="559"/>
      <c r="I150" s="1836">
        <v>250</v>
      </c>
      <c r="J150" s="1836">
        <v>0</v>
      </c>
      <c r="K150" s="1836">
        <v>0</v>
      </c>
      <c r="L150" s="1836">
        <v>0</v>
      </c>
      <c r="M150" s="93">
        <f>$I150/$C$27+$J150/$C$28+K150/$C$29+$L150/$C$30</f>
        <v>7.3529411764705879</v>
      </c>
      <c r="N150" s="92">
        <f t="shared" si="12"/>
        <v>4.4366873309786093E-8</v>
      </c>
      <c r="O150" s="93">
        <f>$C$7*$C$15*$C$8*($C$9+$C$10*$C$11)/$D150^2*$N150*10^6</f>
        <v>4.2592198377394652E-5</v>
      </c>
      <c r="P150" s="93">
        <f>$I150/$D$27+$J150/$D$28+K150/$D$29+$L150/$D$30</f>
        <v>6.5789473684210522</v>
      </c>
      <c r="Q150" s="92">
        <f t="shared" si="13"/>
        <v>2.636650898730358E-7</v>
      </c>
      <c r="R150" s="93">
        <f>$C$7*$C$15*$D$8*($D$9+$D$10*$D$11)/$D150^2*$Q150*10^6</f>
        <v>2.5311848627811444E-4</v>
      </c>
      <c r="S150" s="93">
        <f>$I150/$E$27+$J150/$E$28+K150/$E$29+$L150/$E$30</f>
        <v>5.6818181818181817</v>
      </c>
      <c r="T150" s="92">
        <f t="shared" si="14"/>
        <v>2.0805675382171676E-6</v>
      </c>
      <c r="U150" s="93">
        <f>$C$7*$C$15*$E$8*($E$9+$E$10*$E$11)/$D150^2*$T150*10^6</f>
        <v>1.9973448366884814E-3</v>
      </c>
      <c r="V150" s="93">
        <f>$I150/$F$27+$J150/$F$28+K150/$F$29+$L150/$F$30</f>
        <v>8.1967213114754092</v>
      </c>
      <c r="W150" s="92">
        <f t="shared" si="15"/>
        <v>6.3573875711648393E-9</v>
      </c>
      <c r="X150" s="93">
        <f>$C$7*$C$15*$F$8*($F$9+$F$10*$F$11)/$D150^2*$W150*10^6</f>
        <v>6.1030920683182469E-6</v>
      </c>
      <c r="Y150" s="93">
        <f>$I150/$G$27+$J150/$G$28+K150/$G$29+$L150/$G$30</f>
        <v>7.0224719101123592</v>
      </c>
      <c r="Z150" s="92">
        <f t="shared" si="16"/>
        <v>9.4957241494880226E-8</v>
      </c>
      <c r="AA150" s="94">
        <f>$C$7*$C$15*$G$8*($G$9+$G$10*$G$11)/$D150^2*$Z150*10^6</f>
        <v>9.1158951835085031E-5</v>
      </c>
      <c r="AB150" s="560">
        <f>SUM(O150,R150,U150,X150,AA150)</f>
        <v>2.3903175652473939E-3</v>
      </c>
      <c r="AC150" s="561">
        <f>SUM(AB148:AB153)</f>
        <v>4.1670929152189826</v>
      </c>
      <c r="AD150" s="562">
        <f>AC150*52/10^3</f>
        <v>0.2166888315913871</v>
      </c>
      <c r="AE150" s="538"/>
      <c r="AF150" s="538"/>
      <c r="AG150" s="538"/>
      <c r="AH150" s="556"/>
      <c r="AI150" s="563"/>
      <c r="AJ150" s="551"/>
      <c r="AK150" s="551"/>
      <c r="AL150" s="538"/>
      <c r="AM150" s="538"/>
      <c r="AN150" s="538"/>
      <c r="AO150" s="538"/>
      <c r="AP150" s="538"/>
      <c r="AQ150" s="538"/>
      <c r="AR150" s="538"/>
      <c r="AS150" s="538"/>
      <c r="AT150" s="538"/>
      <c r="AU150" s="538"/>
      <c r="AV150" s="538"/>
      <c r="AW150" s="538"/>
      <c r="AX150" s="545"/>
      <c r="AY150" s="545"/>
      <c r="AZ150" s="545"/>
      <c r="BA150" s="545"/>
      <c r="BB150" s="328"/>
      <c r="BC150" s="328"/>
      <c r="BD150" s="328"/>
      <c r="BE150" s="328"/>
      <c r="BF150" s="328"/>
      <c r="BG150" s="328"/>
      <c r="BH150" s="328"/>
      <c r="BI150" s="328"/>
      <c r="BJ150" s="328"/>
      <c r="BK150" s="328"/>
      <c r="BL150" s="328"/>
      <c r="BM150" s="328"/>
      <c r="BN150" s="328"/>
      <c r="BO150" s="328"/>
      <c r="BP150" s="328"/>
      <c r="BQ150" s="328"/>
      <c r="BR150" s="328"/>
      <c r="BS150" s="369"/>
      <c r="BT150" s="233"/>
      <c r="BU150" s="233"/>
      <c r="BV150" s="222"/>
      <c r="BW150" s="222"/>
      <c r="BX150" s="222"/>
      <c r="BY150" s="211"/>
      <c r="BZ150" s="222"/>
      <c r="CA150" s="222"/>
      <c r="CB150" s="225"/>
      <c r="CC150" s="225"/>
      <c r="CD150" s="225"/>
      <c r="CE150" s="225"/>
      <c r="CF150" s="225"/>
      <c r="CG150" s="300"/>
      <c r="CH150" s="300"/>
      <c r="CI150" s="300"/>
      <c r="CJ150" s="522"/>
      <c r="CK150" s="522"/>
      <c r="CL150" s="522"/>
    </row>
    <row r="151" spans="1:90" s="212" customFormat="1" ht="30" customHeight="1" x14ac:dyDescent="0.25">
      <c r="A151" s="557"/>
      <c r="B151" s="558"/>
      <c r="C151" s="331" t="s">
        <v>26</v>
      </c>
      <c r="D151" s="564"/>
      <c r="E151" s="89">
        <f>E146</f>
        <v>11</v>
      </c>
      <c r="F151" s="89">
        <f>D150</f>
        <v>25</v>
      </c>
      <c r="G151" s="1836">
        <v>15</v>
      </c>
      <c r="H151" s="1836">
        <v>0.25</v>
      </c>
      <c r="I151" s="1836">
        <v>210</v>
      </c>
      <c r="J151" s="1836">
        <v>0</v>
      </c>
      <c r="K151" s="1836">
        <v>0</v>
      </c>
      <c r="L151" s="1836">
        <v>0</v>
      </c>
      <c r="M151" s="93">
        <f>IF($I151=0,0,1+(I151-$C$21)/$C$22)+$J151/$C$23+K151/$C$24+$L151/$C$25</f>
        <v>6.2424242424242422</v>
      </c>
      <c r="N151" s="92">
        <f t="shared" si="12"/>
        <v>5.722367659350211E-7</v>
      </c>
      <c r="O151" s="95">
        <f>2.5*0.01*$C$7*$C$14*$C$8*$H151*(2*PI()*(1-COS($G151/180*PI())))^1.3/$E151^2/$F151^2*N151*10^6</f>
        <v>5.101138747051231E-8</v>
      </c>
      <c r="P151" s="91">
        <f>IF($I151=0,0,1+($I151-$D$21)/$D$22)+$J151/$D$23+$K151/$D$24+$L151/$D$25</f>
        <v>5.5675675675675675</v>
      </c>
      <c r="Q151" s="92">
        <f t="shared" si="13"/>
        <v>2.7066520700332395E-6</v>
      </c>
      <c r="R151" s="95">
        <f>2.5*0.01*$C$7*$D$14*$D$8*$H151*(2*PI()*(1-COS($G151/180*PI())))^1.3/$E151^2/$F151^2*Q151*10^6</f>
        <v>2.4128138160910826E-7</v>
      </c>
      <c r="S151" s="93">
        <f>IF($I151=0,0,1+(I151-$E$21)/$E$22)+$J151/$E$23+K151/$E$24+$L151/$E$25</f>
        <v>4.8372093023255811</v>
      </c>
      <c r="T151" s="92">
        <f t="shared" si="14"/>
        <v>1.4547578108480478E-5</v>
      </c>
      <c r="U151" s="95">
        <f>2.5*0.01*$C$7*$E$14*$E$8*$H151*(2*PI()*(1-COS($G151/180*PI())))^1.3/$E151^2/$F151^2*T151*10^6</f>
        <v>1.2968270964496306E-6</v>
      </c>
      <c r="V151" s="93">
        <f>IF($I151=0,0,1+(I151-$F$21)/$F$22)+$J151/$F$23+K151/$F$24+$L151/$F$25</f>
        <v>7.666666666666667</v>
      </c>
      <c r="W151" s="92">
        <f t="shared" si="15"/>
        <v>2.1544346900318783E-8</v>
      </c>
      <c r="X151" s="95">
        <f>2.5*0.01*$C$7*$F$14*$F$8*$H151*(2*PI()*(1-COS($G151/180*PI())))^1.3/$E151^2/$F151^2*W151*10^6</f>
        <v>1.920545992418962E-9</v>
      </c>
      <c r="Y151" s="93">
        <f>IF($I151=0,0,1+(I151-$G$21)/$G$22)+$J151/$G$23+K151/$G$24+$L151/$G$25</f>
        <v>5.833333333333333</v>
      </c>
      <c r="Z151" s="92">
        <f t="shared" si="16"/>
        <v>1.4677992676220696E-6</v>
      </c>
      <c r="AA151" s="96">
        <f>2.5*0.01*$C$7*$G$14*$G$8*$H151*(2*PI()*(1-COS($G151/180*PI())))^1.3/$E151^2/$F151^2*Z151*10^6</f>
        <v>1.3084527528960935E-7</v>
      </c>
      <c r="AB151" s="560">
        <f>SUM(O151,R151,U151,X151,AA151)</f>
        <v>1.7218856868112794E-6</v>
      </c>
      <c r="AC151" s="565"/>
      <c r="AD151" s="566"/>
      <c r="AE151" s="538"/>
      <c r="AF151" s="538"/>
      <c r="AG151" s="567"/>
      <c r="AH151" s="538"/>
      <c r="AI151" s="563"/>
      <c r="AJ151" s="545"/>
      <c r="AK151" s="545"/>
      <c r="AL151" s="538"/>
      <c r="AM151" s="538"/>
      <c r="AN151" s="538"/>
      <c r="AO151" s="538"/>
      <c r="AP151" s="538"/>
      <c r="AQ151" s="538"/>
      <c r="AR151" s="538"/>
      <c r="AS151" s="538"/>
      <c r="AT151" s="538"/>
      <c r="AU151" s="538"/>
      <c r="AV151" s="538"/>
      <c r="AW151" s="538"/>
      <c r="AX151" s="545"/>
      <c r="AY151" s="545"/>
      <c r="AZ151" s="545"/>
      <c r="BA151" s="545"/>
      <c r="BB151" s="328"/>
      <c r="BC151" s="328"/>
      <c r="BD151" s="328"/>
      <c r="BE151" s="328"/>
      <c r="BF151" s="328"/>
      <c r="BG151" s="328"/>
      <c r="BH151" s="328"/>
      <c r="BI151" s="328"/>
      <c r="BJ151" s="328"/>
      <c r="BK151" s="328"/>
      <c r="BL151" s="328"/>
      <c r="BM151" s="328"/>
      <c r="BN151" s="328"/>
      <c r="BO151" s="328"/>
      <c r="BP151" s="328"/>
      <c r="BQ151" s="328"/>
      <c r="BR151" s="328"/>
      <c r="BS151" s="369"/>
      <c r="BT151" s="233"/>
      <c r="BU151" s="233"/>
      <c r="BV151" s="222"/>
      <c r="BW151" s="222"/>
      <c r="BX151" s="222"/>
      <c r="BY151" s="211"/>
      <c r="BZ151" s="222"/>
      <c r="CA151" s="222"/>
      <c r="CB151" s="225"/>
      <c r="CC151" s="225"/>
      <c r="CD151" s="225"/>
      <c r="CE151" s="225"/>
      <c r="CF151" s="225"/>
      <c r="CG151" s="300"/>
      <c r="CH151" s="300"/>
      <c r="CI151" s="300"/>
      <c r="CJ151" s="522"/>
      <c r="CK151" s="522"/>
      <c r="CL151" s="522"/>
    </row>
    <row r="152" spans="1:90" s="538" customFormat="1" ht="30" customHeight="1" thickBot="1" x14ac:dyDescent="0.3">
      <c r="A152" s="557"/>
      <c r="B152" s="558"/>
      <c r="C152" s="331" t="s">
        <v>27</v>
      </c>
      <c r="D152" s="89"/>
      <c r="E152" s="89">
        <f>E147</f>
        <v>10</v>
      </c>
      <c r="F152" s="89"/>
      <c r="G152" s="1836">
        <v>60</v>
      </c>
      <c r="H152" s="568"/>
      <c r="I152" s="1836">
        <v>190</v>
      </c>
      <c r="J152" s="1836">
        <v>0</v>
      </c>
      <c r="K152" s="1836">
        <v>0</v>
      </c>
      <c r="L152" s="1836">
        <v>0</v>
      </c>
      <c r="M152" s="93">
        <f>$I152/$C$27+$J152/$C$28+K152/$C$29+$L152/$C$30</f>
        <v>5.5882352941176467</v>
      </c>
      <c r="N152" s="92">
        <f t="shared" si="12"/>
        <v>2.580861540418073E-6</v>
      </c>
      <c r="O152" s="95">
        <f>2.5*0.01*$C$7*$C$15*$C$8*($C$9+$C$10*$C$11)*(2*PI()*(1-COS($G152/180*PI())))^1.3/E$147^2/$F151^2*N152*10^6</f>
        <v>2.7432840731901286E-6</v>
      </c>
      <c r="P152" s="93">
        <f>$I152/$D$27+$J152/$D$28+K152/$D$29+$L152/$D$30</f>
        <v>5</v>
      </c>
      <c r="Q152" s="92">
        <f t="shared" si="13"/>
        <v>1.0000000000000001E-5</v>
      </c>
      <c r="R152" s="95">
        <f>2.5*0.01*$C$7*$C$15*$D$8*($D$9+$D$10*$D$11)*(2*PI()*(1-COS($G152/180*PI())))^1.3/$E152^2/$F151^2*Q152*10^6</f>
        <v>1.0629334546733355E-5</v>
      </c>
      <c r="S152" s="93">
        <f>$I152/$E$27+$J152/$E$28+K152/$E$29+$L152/$E$30</f>
        <v>4.3181818181818183</v>
      </c>
      <c r="T152" s="92">
        <f t="shared" si="14"/>
        <v>4.8063808630643867E-5</v>
      </c>
      <c r="U152" s="95">
        <f>2.5*0.01*$C$7*$C$15*$E$8*($E$9+$E$10*$E$11)*(2*PI()*(1-COS($G152/180*PI())))^1.3/$E152^2/$F151^2*T152*10^6</f>
        <v>5.1088630152528366E-5</v>
      </c>
      <c r="V152" s="93">
        <f>$I152/$F$27+$J152/$F$28+K152/$F$29+$L152/$F$30</f>
        <v>6.2295081967213113</v>
      </c>
      <c r="W152" s="92">
        <f t="shared" si="15"/>
        <v>5.8951085074002664E-7</v>
      </c>
      <c r="X152" s="95">
        <f>2.5*0.01*$C$7*$C$15*$F$8*($F$9+$F$10*$F$11)*(2*PI()*(1-COS($G152/180*PI())))^1.3/$E152^2/$F151^2*W152*10^6</f>
        <v>6.2661080514451354E-7</v>
      </c>
      <c r="Y152" s="93">
        <f>$I152/$G$27+$J152/$G$28+K152/$G$29+$L152/$G$30</f>
        <v>5.3370786516853927</v>
      </c>
      <c r="Z152" s="92">
        <f t="shared" si="16"/>
        <v>4.6017322765137984E-6</v>
      </c>
      <c r="AA152" s="96">
        <f>2.5*0.01*$C$7*$C$15*$G$8*($G$9+$G$10*$G$11)*(2*PI()*(1-COS($G152/180*PI())))^1.3/$E152^2/$F151^2*Z152*10^6</f>
        <v>4.891335186156605E-6</v>
      </c>
      <c r="AB152" s="569">
        <f>SUM(O152,R152,U152,X152,AA152)</f>
        <v>6.9979194763752965E-5</v>
      </c>
      <c r="AC152" s="570"/>
      <c r="AD152" s="571"/>
      <c r="AH152" s="572"/>
      <c r="AI152" s="573"/>
      <c r="AJ152" s="563"/>
      <c r="AK152" s="551"/>
      <c r="AX152" s="545"/>
      <c r="AY152" s="545"/>
      <c r="AZ152" s="545"/>
      <c r="BA152" s="545"/>
      <c r="BB152" s="545"/>
      <c r="BC152" s="545"/>
      <c r="BD152" s="545"/>
      <c r="BE152" s="545"/>
      <c r="BF152" s="545"/>
      <c r="BG152" s="545"/>
      <c r="BH152" s="545"/>
      <c r="BI152" s="545"/>
      <c r="BJ152" s="545"/>
      <c r="BK152" s="545"/>
      <c r="BL152" s="545"/>
      <c r="BM152" s="545"/>
      <c r="BN152" s="545"/>
      <c r="BO152" s="545"/>
      <c r="BP152" s="545"/>
      <c r="BQ152" s="545"/>
      <c r="BR152" s="545"/>
      <c r="BS152" s="545"/>
      <c r="BT152" s="545"/>
      <c r="BU152" s="545"/>
      <c r="BV152" s="545"/>
      <c r="BW152" s="545"/>
      <c r="BX152" s="545"/>
      <c r="BY152" s="545"/>
      <c r="BZ152" s="545"/>
    </row>
    <row r="153" spans="1:90" s="212" customFormat="1" ht="30" hidden="1" customHeight="1" thickBot="1" x14ac:dyDescent="0.3">
      <c r="A153" s="574"/>
      <c r="B153" s="575"/>
      <c r="C153" s="576"/>
      <c r="D153" s="89"/>
      <c r="E153" s="89"/>
      <c r="F153" s="89"/>
      <c r="G153" s="89"/>
      <c r="H153" s="1837"/>
      <c r="I153" s="1837"/>
      <c r="J153" s="1837"/>
      <c r="K153" s="1837"/>
      <c r="L153" s="1837"/>
      <c r="M153" s="91"/>
      <c r="N153" s="97"/>
      <c r="O153" s="98"/>
      <c r="P153" s="91"/>
      <c r="Q153" s="97"/>
      <c r="R153" s="98"/>
      <c r="S153" s="91"/>
      <c r="T153" s="97"/>
      <c r="U153" s="98"/>
      <c r="V153" s="91"/>
      <c r="W153" s="97"/>
      <c r="X153" s="98"/>
      <c r="Y153" s="91"/>
      <c r="Z153" s="97"/>
      <c r="AA153" s="99"/>
      <c r="AB153" s="577"/>
      <c r="AC153" s="578"/>
      <c r="AD153" s="579"/>
      <c r="AH153" s="580"/>
      <c r="AI153" s="581"/>
      <c r="AJ153" s="282"/>
      <c r="AK153" s="300"/>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row>
    <row r="154" spans="1:90" s="212" customFormat="1" ht="30" customHeight="1" x14ac:dyDescent="0.25">
      <c r="A154" s="552"/>
      <c r="B154" s="322"/>
      <c r="C154" s="323" t="s">
        <v>569</v>
      </c>
      <c r="D154" s="1836">
        <v>1</v>
      </c>
      <c r="E154" s="89"/>
      <c r="F154" s="89"/>
      <c r="G154" s="89"/>
      <c r="H154" s="1836">
        <v>0.25</v>
      </c>
      <c r="I154" s="1836">
        <v>250</v>
      </c>
      <c r="J154" s="1836">
        <v>0</v>
      </c>
      <c r="K154" s="1836">
        <v>0</v>
      </c>
      <c r="L154" s="1836">
        <v>0</v>
      </c>
      <c r="M154" s="91">
        <f>IF($I154=0,0,1+($I154-$C$21)/$C$22)+$J154/$C$23+$K154/$C$24+$L154/$C$25</f>
        <v>7.4545454545454541</v>
      </c>
      <c r="N154" s="92">
        <f t="shared" si="12"/>
        <v>3.5111917342151263E-8</v>
      </c>
      <c r="O154" s="93">
        <f>$C$7*$C$14*$C$8*$H154/$D154^2*N154*10^6</f>
        <v>7.022383468430253E-2</v>
      </c>
      <c r="P154" s="91">
        <f>IF($I154=0,0,1+($I154-$D$21)/$D$22)+$J154/$D$23+$K154/$D$24+$L154/$D$25</f>
        <v>6.6486486486486482</v>
      </c>
      <c r="Q154" s="92">
        <f t="shared" si="13"/>
        <v>2.2456979955397711E-7</v>
      </c>
      <c r="R154" s="93">
        <f>$C$7*$D$14*$D$8*$H154/$D154^2*$Q154*10^6</f>
        <v>0.4491395991079542</v>
      </c>
      <c r="S154" s="93">
        <f>IF($I154=0,0,1+(I154-$E$21)/$E$22)+$J154/$E$23+K154/$E$24+$L154/$E$25</f>
        <v>5.7674418604651159</v>
      </c>
      <c r="T154" s="92">
        <f t="shared" si="14"/>
        <v>1.7082763938087111E-6</v>
      </c>
      <c r="U154" s="93">
        <f>$C$7*$E$14*$E$8*$H154/$D154^2*$T154*10^6</f>
        <v>3.4165527876174222</v>
      </c>
      <c r="V154" s="93">
        <f>IF($I154=0,0,1+(I154-$F$21)/$F$22)+$J154/$F$23+K154/$F$24+$L154/$F$25</f>
        <v>9.1481481481481488</v>
      </c>
      <c r="W154" s="92">
        <f t="shared" si="15"/>
        <v>7.1097094323124171E-10</v>
      </c>
      <c r="X154" s="93">
        <f>$C$7*$F$14*$F$8*$H154/$D154^2*$W154*10^6</f>
        <v>1.4219418864624834E-3</v>
      </c>
      <c r="Y154" s="93">
        <f>IF($I154=0,0,1+(I154-$G$21)/$G$22)+$J154/$G$23+K154/$G$24+$L154/$G$25</f>
        <v>6.9444444444444446</v>
      </c>
      <c r="Z154" s="92">
        <f t="shared" si="16"/>
        <v>1.136463666385722E-7</v>
      </c>
      <c r="AA154" s="94">
        <f>$C$7*$G$14*$G$8*$H154/$D154^2*$Z154*10^6</f>
        <v>0.22729273327714439</v>
      </c>
      <c r="AB154" s="553">
        <f>SUM(O154,R154,U154,X154,AA154)</f>
        <v>4.1646308965732857</v>
      </c>
      <c r="AC154" s="554"/>
      <c r="AD154" s="555"/>
      <c r="AE154" s="538"/>
      <c r="AF154" s="538"/>
      <c r="AG154" s="538"/>
      <c r="AH154" s="556"/>
      <c r="AI154" s="551"/>
      <c r="AJ154" s="551"/>
      <c r="AK154" s="551"/>
      <c r="AL154" s="538"/>
      <c r="AM154" s="538"/>
      <c r="AN154" s="538"/>
      <c r="AO154" s="538"/>
      <c r="AP154" s="538"/>
      <c r="AQ154" s="538"/>
      <c r="AR154" s="538"/>
      <c r="AS154" s="538"/>
      <c r="AT154" s="538"/>
      <c r="AU154" s="538"/>
      <c r="AV154" s="538"/>
      <c r="AW154" s="538"/>
      <c r="AX154" s="545"/>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69"/>
      <c r="BT154" s="233"/>
      <c r="BU154" s="233"/>
      <c r="BV154" s="222"/>
      <c r="BW154" s="222"/>
      <c r="BX154" s="222"/>
      <c r="BY154" s="211"/>
      <c r="BZ154" s="222"/>
      <c r="CA154" s="222"/>
      <c r="CB154" s="225"/>
      <c r="CC154" s="225"/>
      <c r="CD154" s="225"/>
      <c r="CE154" s="225"/>
      <c r="CF154" s="225"/>
      <c r="CG154" s="300"/>
      <c r="CH154" s="300"/>
      <c r="CI154" s="300"/>
      <c r="CJ154" s="522"/>
      <c r="CK154" s="522"/>
      <c r="CL154" s="522"/>
    </row>
    <row r="155" spans="1:90" s="212" customFormat="1" ht="30" customHeight="1" x14ac:dyDescent="0.25">
      <c r="A155" s="557" t="str">
        <f>Samenvatting!A354</f>
        <v>T3</v>
      </c>
      <c r="B155" s="558" t="str">
        <f>Samenvatting!B354</f>
        <v>terreingrens 3</v>
      </c>
      <c r="C155" s="331" t="s">
        <v>568</v>
      </c>
      <c r="D155" s="1836">
        <v>25</v>
      </c>
      <c r="E155" s="89"/>
      <c r="F155" s="89"/>
      <c r="G155" s="89"/>
      <c r="H155" s="559"/>
      <c r="I155" s="1836">
        <v>250</v>
      </c>
      <c r="J155" s="1836">
        <v>0</v>
      </c>
      <c r="K155" s="1836">
        <v>0</v>
      </c>
      <c r="L155" s="1836">
        <v>0</v>
      </c>
      <c r="M155" s="93">
        <f>$I155/$C$27+$J155/$C$28+K155/$C$29+$L155/$C$30</f>
        <v>7.3529411764705879</v>
      </c>
      <c r="N155" s="92">
        <f t="shared" si="12"/>
        <v>4.4366873309786093E-8</v>
      </c>
      <c r="O155" s="93">
        <f>$C$7*$C$15*$C$8*($C$9+$C$10*$C$11)/$D155^2*$N155*10^6</f>
        <v>4.2592198377394652E-5</v>
      </c>
      <c r="P155" s="93">
        <f>$I155/$D$27+$J155/$D$28+K155/$D$29+$L155/$D$30</f>
        <v>6.5789473684210522</v>
      </c>
      <c r="Q155" s="92">
        <f t="shared" si="13"/>
        <v>2.636650898730358E-7</v>
      </c>
      <c r="R155" s="93">
        <f>$C$7*$C$15*$D$8*($D$9+$D$10*$D$11)/$D155^2*$Q155*10^6</f>
        <v>2.5311848627811444E-4</v>
      </c>
      <c r="S155" s="93">
        <f>$I155/$E$27+$J155/$E$28+K155/$E$29+$L155/$E$30</f>
        <v>5.6818181818181817</v>
      </c>
      <c r="T155" s="92">
        <f t="shared" si="14"/>
        <v>2.0805675382171676E-6</v>
      </c>
      <c r="U155" s="93">
        <f>$C$7*$C$15*$E$8*($E$9+$E$10*$E$11)/$D155^2*$T155*10^6</f>
        <v>1.9973448366884814E-3</v>
      </c>
      <c r="V155" s="93">
        <f>$I155/$F$27+$J155/$F$28+K155/$F$29+$L155/$F$30</f>
        <v>8.1967213114754092</v>
      </c>
      <c r="W155" s="92">
        <f t="shared" si="15"/>
        <v>6.3573875711648393E-9</v>
      </c>
      <c r="X155" s="93">
        <f>$C$7*$C$15*$F$8*($F$9+$F$10*$F$11)/$D155^2*$W155*10^6</f>
        <v>6.1030920683182469E-6</v>
      </c>
      <c r="Y155" s="93">
        <f>$I155/$G$27+$J155/$G$28+K155/$G$29+$L155/$G$30</f>
        <v>7.0224719101123592</v>
      </c>
      <c r="Z155" s="92">
        <f t="shared" si="16"/>
        <v>9.4957241494880226E-8</v>
      </c>
      <c r="AA155" s="94">
        <f>$C$7*$C$15*$G$8*($G$9+$G$10*$G$11)/$D155^2*$Z155*10^6</f>
        <v>9.1158951835085031E-5</v>
      </c>
      <c r="AB155" s="560">
        <f>SUM(O155,R155,U155,X155,AA155)</f>
        <v>2.3903175652473939E-3</v>
      </c>
      <c r="AC155" s="561">
        <f>SUM(AB153:AB158)</f>
        <v>4.1670929152189826</v>
      </c>
      <c r="AD155" s="562">
        <f>AC155*52/10^3</f>
        <v>0.2166888315913871</v>
      </c>
      <c r="AE155" s="538"/>
      <c r="AF155" s="538"/>
      <c r="AG155" s="538"/>
      <c r="AH155" s="556"/>
      <c r="AI155" s="563"/>
      <c r="AJ155" s="551"/>
      <c r="AK155" s="551"/>
      <c r="AL155" s="538"/>
      <c r="AM155" s="538"/>
      <c r="AN155" s="538"/>
      <c r="AO155" s="538"/>
      <c r="AP155" s="538"/>
      <c r="AQ155" s="538"/>
      <c r="AR155" s="538"/>
      <c r="AS155" s="538"/>
      <c r="AT155" s="538"/>
      <c r="AU155" s="538"/>
      <c r="AV155" s="538"/>
      <c r="AW155" s="538"/>
      <c r="AX155" s="545"/>
      <c r="AY155" s="545"/>
      <c r="AZ155" s="545"/>
      <c r="BA155" s="545"/>
      <c r="BB155" s="328"/>
      <c r="BC155" s="328"/>
      <c r="BD155" s="328"/>
      <c r="BE155" s="328"/>
      <c r="BF155" s="328"/>
      <c r="BG155" s="328"/>
      <c r="BH155" s="328"/>
      <c r="BI155" s="328"/>
      <c r="BJ155" s="328"/>
      <c r="BK155" s="328"/>
      <c r="BL155" s="328"/>
      <c r="BM155" s="328"/>
      <c r="BN155" s="328"/>
      <c r="BO155" s="328"/>
      <c r="BP155" s="328"/>
      <c r="BQ155" s="328"/>
      <c r="BR155" s="328"/>
      <c r="BS155" s="369"/>
      <c r="BT155" s="233"/>
      <c r="BU155" s="233"/>
      <c r="BV155" s="222"/>
      <c r="BW155" s="222"/>
      <c r="BX155" s="222"/>
      <c r="BY155" s="211"/>
      <c r="BZ155" s="222"/>
      <c r="CA155" s="222"/>
      <c r="CB155" s="225"/>
      <c r="CC155" s="225"/>
      <c r="CD155" s="225"/>
      <c r="CE155" s="225"/>
      <c r="CF155" s="225"/>
      <c r="CG155" s="300"/>
      <c r="CH155" s="300"/>
      <c r="CI155" s="300"/>
      <c r="CJ155" s="522"/>
      <c r="CK155" s="522"/>
      <c r="CL155" s="522"/>
    </row>
    <row r="156" spans="1:90" s="212" customFormat="1" ht="30" customHeight="1" x14ac:dyDescent="0.25">
      <c r="A156" s="557"/>
      <c r="B156" s="558"/>
      <c r="C156" s="331" t="s">
        <v>26</v>
      </c>
      <c r="D156" s="564"/>
      <c r="E156" s="89">
        <f>E146</f>
        <v>11</v>
      </c>
      <c r="F156" s="89">
        <f>D155</f>
        <v>25</v>
      </c>
      <c r="G156" s="1836">
        <v>15</v>
      </c>
      <c r="H156" s="1836">
        <v>0.25</v>
      </c>
      <c r="I156" s="1836">
        <v>210</v>
      </c>
      <c r="J156" s="1836">
        <v>0</v>
      </c>
      <c r="K156" s="1836">
        <v>0</v>
      </c>
      <c r="L156" s="1836">
        <v>0</v>
      </c>
      <c r="M156" s="93">
        <f>IF($I156=0,0,1+(I156-$C$21)/$C$22)+$J156/$C$23+K156/$C$24+$L156/$C$25</f>
        <v>6.2424242424242422</v>
      </c>
      <c r="N156" s="92">
        <f t="shared" si="12"/>
        <v>5.722367659350211E-7</v>
      </c>
      <c r="O156" s="95">
        <f>2.5*0.01*$C$7*$C$14*$C$8*$H156*(2*PI()*(1-COS($G156/180*PI())))^1.3/$E156^2/$F156^2*N156*10^6</f>
        <v>5.101138747051231E-8</v>
      </c>
      <c r="P156" s="91">
        <f>IF($I156=0,0,1+($I156-$D$21)/$D$22)+$J156/$D$23+$K156/$D$24+$L156/$D$25</f>
        <v>5.5675675675675675</v>
      </c>
      <c r="Q156" s="92">
        <f t="shared" si="13"/>
        <v>2.7066520700332395E-6</v>
      </c>
      <c r="R156" s="95">
        <f>2.5*0.01*$C$7*$D$14*$D$8*$H156*(2*PI()*(1-COS($G156/180*PI())))^1.3/$E156^2/$F156^2*Q156*10^6</f>
        <v>2.4128138160910826E-7</v>
      </c>
      <c r="S156" s="93">
        <f>IF($I156=0,0,1+(I156-$E$21)/$E$22)+$J156/$E$23+K156/$E$24+$L156/$E$25</f>
        <v>4.8372093023255811</v>
      </c>
      <c r="T156" s="92">
        <f t="shared" si="14"/>
        <v>1.4547578108480478E-5</v>
      </c>
      <c r="U156" s="95">
        <f>2.5*0.01*$C$7*$E$14*$E$8*$H156*(2*PI()*(1-COS($G156/180*PI())))^1.3/$E156^2/$F156^2*T156*10^6</f>
        <v>1.2968270964496306E-6</v>
      </c>
      <c r="V156" s="93">
        <f>IF($I156=0,0,1+(I156-$F$21)/$F$22)+$J156/$F$23+K156/$F$24+$L156/$F$25</f>
        <v>7.666666666666667</v>
      </c>
      <c r="W156" s="92">
        <f t="shared" si="15"/>
        <v>2.1544346900318783E-8</v>
      </c>
      <c r="X156" s="95">
        <f>2.5*0.01*$C$7*$F$14*$F$8*$H156*(2*PI()*(1-COS($G156/180*PI())))^1.3/$E156^2/$F156^2*W156*10^6</f>
        <v>1.920545992418962E-9</v>
      </c>
      <c r="Y156" s="93">
        <f>IF($I156=0,0,1+(I156-$G$21)/$G$22)+$J156/$G$23+K156/$G$24+$L156/$G$25</f>
        <v>5.833333333333333</v>
      </c>
      <c r="Z156" s="92">
        <f t="shared" si="16"/>
        <v>1.4677992676220696E-6</v>
      </c>
      <c r="AA156" s="96">
        <f>2.5*0.01*$C$7*$G$14*$G$8*$H156*(2*PI()*(1-COS($G156/180*PI())))^1.3/$E156^2/$F156^2*Z156*10^6</f>
        <v>1.3084527528960935E-7</v>
      </c>
      <c r="AB156" s="560">
        <f>SUM(O156,R156,U156,X156,AA156)</f>
        <v>1.7218856868112794E-6</v>
      </c>
      <c r="AC156" s="565"/>
      <c r="AD156" s="566"/>
      <c r="AE156" s="538"/>
      <c r="AF156" s="538"/>
      <c r="AG156" s="567"/>
      <c r="AH156" s="538"/>
      <c r="AI156" s="563"/>
      <c r="AJ156" s="545"/>
      <c r="AK156" s="545"/>
      <c r="AL156" s="538"/>
      <c r="AM156" s="538"/>
      <c r="AN156" s="538"/>
      <c r="AO156" s="538"/>
      <c r="AP156" s="538"/>
      <c r="AQ156" s="538"/>
      <c r="AR156" s="538"/>
      <c r="AS156" s="538"/>
      <c r="AT156" s="538"/>
      <c r="AU156" s="538"/>
      <c r="AV156" s="538"/>
      <c r="AW156" s="538"/>
      <c r="AX156" s="545"/>
      <c r="AY156" s="545"/>
      <c r="AZ156" s="545"/>
      <c r="BA156" s="545"/>
      <c r="BB156" s="328"/>
      <c r="BC156" s="328"/>
      <c r="BD156" s="328"/>
      <c r="BE156" s="328"/>
      <c r="BF156" s="328"/>
      <c r="BG156" s="328"/>
      <c r="BH156" s="328"/>
      <c r="BI156" s="328"/>
      <c r="BJ156" s="328"/>
      <c r="BK156" s="328"/>
      <c r="BL156" s="328"/>
      <c r="BM156" s="328"/>
      <c r="BN156" s="328"/>
      <c r="BO156" s="328"/>
      <c r="BP156" s="328"/>
      <c r="BQ156" s="328"/>
      <c r="BR156" s="328"/>
      <c r="BS156" s="369"/>
      <c r="BT156" s="233"/>
      <c r="BU156" s="233"/>
      <c r="BV156" s="222"/>
      <c r="BW156" s="222"/>
      <c r="BX156" s="222"/>
      <c r="BY156" s="211"/>
      <c r="BZ156" s="222"/>
      <c r="CA156" s="222"/>
      <c r="CB156" s="225"/>
      <c r="CC156" s="225"/>
      <c r="CD156" s="225"/>
      <c r="CE156" s="225"/>
      <c r="CF156" s="225"/>
      <c r="CG156" s="300"/>
      <c r="CH156" s="300"/>
      <c r="CI156" s="300"/>
      <c r="CJ156" s="522"/>
      <c r="CK156" s="522"/>
      <c r="CL156" s="522"/>
    </row>
    <row r="157" spans="1:90" s="538" customFormat="1" ht="30" customHeight="1" thickBot="1" x14ac:dyDescent="0.3">
      <c r="A157" s="557"/>
      <c r="B157" s="558"/>
      <c r="C157" s="331" t="s">
        <v>27</v>
      </c>
      <c r="D157" s="89"/>
      <c r="E157" s="89">
        <f>E147</f>
        <v>10</v>
      </c>
      <c r="F157" s="89"/>
      <c r="G157" s="1836">
        <v>60</v>
      </c>
      <c r="H157" s="568"/>
      <c r="I157" s="1836">
        <v>190</v>
      </c>
      <c r="J157" s="1836">
        <v>0</v>
      </c>
      <c r="K157" s="1836">
        <v>0</v>
      </c>
      <c r="L157" s="1836">
        <v>0</v>
      </c>
      <c r="M157" s="93">
        <f>$I157/$C$27+$J157/$C$28+K157/$C$29+$L157/$C$30</f>
        <v>5.5882352941176467</v>
      </c>
      <c r="N157" s="92">
        <f t="shared" si="12"/>
        <v>2.580861540418073E-6</v>
      </c>
      <c r="O157" s="95">
        <f>2.5*0.01*$C$7*$C$15*$C$8*($C$9+$C$10*$C$11)*(2*PI()*(1-COS($G157/180*PI())))^1.3/E$147^2/$F156^2*N157*10^6</f>
        <v>2.7432840731901286E-6</v>
      </c>
      <c r="P157" s="93">
        <f>$I157/$D$27+$J157/$D$28+K157/$D$29+$L157/$D$30</f>
        <v>5</v>
      </c>
      <c r="Q157" s="92">
        <f t="shared" si="13"/>
        <v>1.0000000000000001E-5</v>
      </c>
      <c r="R157" s="95">
        <f>2.5*0.01*$C$7*$C$15*$D$8*($D$9+$D$10*$D$11)*(2*PI()*(1-COS($G157/180*PI())))^1.3/$E157^2/$F156^2*Q157*10^6</f>
        <v>1.0629334546733355E-5</v>
      </c>
      <c r="S157" s="93">
        <f>$I157/$E$27+$J157/$E$28+K157/$E$29+$L157/$E$30</f>
        <v>4.3181818181818183</v>
      </c>
      <c r="T157" s="92">
        <f t="shared" si="14"/>
        <v>4.8063808630643867E-5</v>
      </c>
      <c r="U157" s="95">
        <f>2.5*0.01*$C$7*$C$15*$E$8*($E$9+$E$10*$E$11)*(2*PI()*(1-COS($G157/180*PI())))^1.3/$E157^2/$F156^2*T157*10^6</f>
        <v>5.1088630152528366E-5</v>
      </c>
      <c r="V157" s="93">
        <f>$I157/$F$27+$J157/$F$28+K157/$F$29+$L157/$F$30</f>
        <v>6.2295081967213113</v>
      </c>
      <c r="W157" s="92">
        <f t="shared" si="15"/>
        <v>5.8951085074002664E-7</v>
      </c>
      <c r="X157" s="95">
        <f>2.5*0.01*$C$7*$C$15*$F$8*($F$9+$F$10*$F$11)*(2*PI()*(1-COS($G157/180*PI())))^1.3/$E157^2/$F156^2*W157*10^6</f>
        <v>6.2661080514451354E-7</v>
      </c>
      <c r="Y157" s="93">
        <f>$I157/$G$27+$J157/$G$28+K157/$G$29+$L157/$G$30</f>
        <v>5.3370786516853927</v>
      </c>
      <c r="Z157" s="92">
        <f t="shared" si="16"/>
        <v>4.6017322765137984E-6</v>
      </c>
      <c r="AA157" s="96">
        <f>2.5*0.01*$C$7*$C$15*$G$8*($G$9+$G$10*$G$11)*(2*PI()*(1-COS($G157/180*PI())))^1.3/$E157^2/$F156^2*Z157*10^6</f>
        <v>4.891335186156605E-6</v>
      </c>
      <c r="AB157" s="569">
        <f>SUM(O157,R157,U157,X157,AA157)</f>
        <v>6.9979194763752965E-5</v>
      </c>
      <c r="AC157" s="570"/>
      <c r="AD157" s="571"/>
      <c r="AH157" s="572"/>
      <c r="AI157" s="573"/>
      <c r="AJ157" s="563"/>
      <c r="AK157" s="551"/>
      <c r="AX157" s="545"/>
      <c r="AY157" s="545"/>
      <c r="AZ157" s="545"/>
      <c r="BA157" s="545"/>
      <c r="BB157" s="545"/>
      <c r="BC157" s="545"/>
      <c r="BD157" s="545"/>
      <c r="BE157" s="545"/>
      <c r="BF157" s="545"/>
      <c r="BG157" s="545"/>
      <c r="BH157" s="545"/>
      <c r="BI157" s="545"/>
      <c r="BJ157" s="545"/>
      <c r="BK157" s="545"/>
      <c r="BL157" s="545"/>
      <c r="BM157" s="545"/>
      <c r="BN157" s="545"/>
      <c r="BO157" s="545"/>
      <c r="BP157" s="545"/>
      <c r="BQ157" s="545"/>
      <c r="BR157" s="545"/>
      <c r="BS157" s="545"/>
      <c r="BT157" s="545"/>
      <c r="BU157" s="545"/>
      <c r="BV157" s="545"/>
      <c r="BW157" s="545"/>
      <c r="BX157" s="545"/>
      <c r="BY157" s="545"/>
      <c r="BZ157" s="545"/>
    </row>
    <row r="158" spans="1:90" s="212" customFormat="1" ht="30" hidden="1" customHeight="1" thickBot="1" x14ac:dyDescent="0.3">
      <c r="A158" s="574"/>
      <c r="B158" s="575"/>
      <c r="C158" s="576"/>
      <c r="D158" s="89"/>
      <c r="E158" s="89"/>
      <c r="F158" s="89"/>
      <c r="G158" s="89"/>
      <c r="H158" s="1837"/>
      <c r="I158" s="1837"/>
      <c r="J158" s="1837"/>
      <c r="K158" s="1837"/>
      <c r="L158" s="1837"/>
      <c r="M158" s="91"/>
      <c r="N158" s="97"/>
      <c r="O158" s="98"/>
      <c r="P158" s="91"/>
      <c r="Q158" s="97"/>
      <c r="R158" s="98"/>
      <c r="S158" s="91"/>
      <c r="T158" s="97"/>
      <c r="U158" s="98"/>
      <c r="V158" s="91"/>
      <c r="W158" s="97"/>
      <c r="X158" s="98"/>
      <c r="Y158" s="91"/>
      <c r="Z158" s="97"/>
      <c r="AA158" s="99"/>
      <c r="AB158" s="577"/>
      <c r="AC158" s="578"/>
      <c r="AD158" s="579"/>
      <c r="AH158" s="580"/>
      <c r="AI158" s="581"/>
      <c r="AJ158" s="282"/>
      <c r="AK158" s="300"/>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row>
    <row r="159" spans="1:90" s="212" customFormat="1" ht="30" customHeight="1" x14ac:dyDescent="0.25">
      <c r="A159" s="552"/>
      <c r="B159" s="322"/>
      <c r="C159" s="323" t="s">
        <v>569</v>
      </c>
      <c r="D159" s="1836">
        <v>1</v>
      </c>
      <c r="E159" s="89"/>
      <c r="F159" s="89"/>
      <c r="G159" s="89"/>
      <c r="H159" s="1836">
        <v>0.25</v>
      </c>
      <c r="I159" s="1836">
        <v>250</v>
      </c>
      <c r="J159" s="1836">
        <v>0</v>
      </c>
      <c r="K159" s="1836">
        <v>0</v>
      </c>
      <c r="L159" s="1836">
        <v>0</v>
      </c>
      <c r="M159" s="91">
        <f>IF($I159=0,0,1+($I159-$C$21)/$C$22)+$J159/$C$23+$K159/$C$24+$L159/$C$25</f>
        <v>7.4545454545454541</v>
      </c>
      <c r="N159" s="92">
        <f t="shared" si="12"/>
        <v>3.5111917342151263E-8</v>
      </c>
      <c r="O159" s="93">
        <f>$C$7*$C$14*$C$8*$H159/$D159^2*N159*10^6</f>
        <v>7.022383468430253E-2</v>
      </c>
      <c r="P159" s="91">
        <f>IF($I159=0,0,1+($I159-$D$21)/$D$22)+$J159/$D$23+$K159/$D$24+$L159/$D$25</f>
        <v>6.6486486486486482</v>
      </c>
      <c r="Q159" s="92">
        <f t="shared" si="13"/>
        <v>2.2456979955397711E-7</v>
      </c>
      <c r="R159" s="93">
        <f>$C$7*$D$14*$D$8*$H159/$D159^2*$Q159*10^6</f>
        <v>0.4491395991079542</v>
      </c>
      <c r="S159" s="93">
        <f>IF($I159=0,0,1+(I159-$E$21)/$E$22)+$J159/$E$23+K159/$E$24+$L159/$E$25</f>
        <v>5.7674418604651159</v>
      </c>
      <c r="T159" s="92">
        <f t="shared" si="14"/>
        <v>1.7082763938087111E-6</v>
      </c>
      <c r="U159" s="93">
        <f>$C$7*$E$14*$E$8*$H159/$D159^2*$T159*10^6</f>
        <v>3.4165527876174222</v>
      </c>
      <c r="V159" s="93">
        <f>IF($I159=0,0,1+(I159-$F$21)/$F$22)+$J159/$F$23+K159/$F$24+$L159/$F$25</f>
        <v>9.1481481481481488</v>
      </c>
      <c r="W159" s="92">
        <f t="shared" si="15"/>
        <v>7.1097094323124171E-10</v>
      </c>
      <c r="X159" s="93">
        <f>$C$7*$F$14*$F$8*$H159/$D159^2*$W159*10^6</f>
        <v>1.4219418864624834E-3</v>
      </c>
      <c r="Y159" s="93">
        <f>IF($I159=0,0,1+(I159-$G$21)/$G$22)+$J159/$G$23+K159/$G$24+$L159/$G$25</f>
        <v>6.9444444444444446</v>
      </c>
      <c r="Z159" s="92">
        <f t="shared" si="16"/>
        <v>1.136463666385722E-7</v>
      </c>
      <c r="AA159" s="94">
        <f>$C$7*$G$14*$G$8*$H159/$D159^2*$Z159*10^6</f>
        <v>0.22729273327714439</v>
      </c>
      <c r="AB159" s="553">
        <f>SUM(O159,R159,U159,X159,AA159)</f>
        <v>4.1646308965732857</v>
      </c>
      <c r="AC159" s="554"/>
      <c r="AD159" s="555"/>
      <c r="AE159" s="538"/>
      <c r="AF159" s="538"/>
      <c r="AG159" s="538"/>
      <c r="AH159" s="556"/>
      <c r="AI159" s="551"/>
      <c r="AJ159" s="551"/>
      <c r="AK159" s="551"/>
      <c r="AL159" s="538"/>
      <c r="AM159" s="538"/>
      <c r="AN159" s="538"/>
      <c r="AO159" s="538"/>
      <c r="AP159" s="538"/>
      <c r="AQ159" s="538"/>
      <c r="AR159" s="538"/>
      <c r="AS159" s="538"/>
      <c r="AT159" s="538"/>
      <c r="AU159" s="538"/>
      <c r="AV159" s="538"/>
      <c r="AW159" s="538"/>
      <c r="AX159" s="545"/>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69"/>
      <c r="BT159" s="233"/>
      <c r="BU159" s="233"/>
      <c r="BV159" s="222"/>
      <c r="BW159" s="222"/>
      <c r="BX159" s="222"/>
      <c r="BY159" s="211"/>
      <c r="BZ159" s="222"/>
      <c r="CA159" s="222"/>
      <c r="CB159" s="225"/>
      <c r="CC159" s="225"/>
      <c r="CD159" s="225"/>
      <c r="CE159" s="225"/>
      <c r="CF159" s="225"/>
      <c r="CG159" s="300"/>
      <c r="CH159" s="300"/>
      <c r="CI159" s="300"/>
      <c r="CJ159" s="522"/>
      <c r="CK159" s="522"/>
      <c r="CL159" s="522"/>
    </row>
    <row r="160" spans="1:90" s="212" customFormat="1" ht="30" customHeight="1" x14ac:dyDescent="0.25">
      <c r="A160" s="557" t="str">
        <f>Samenvatting!A365</f>
        <v>T4</v>
      </c>
      <c r="B160" s="558" t="str">
        <f>Samenvatting!B365</f>
        <v>terreingrens 4</v>
      </c>
      <c r="C160" s="331" t="s">
        <v>568</v>
      </c>
      <c r="D160" s="1836">
        <v>25</v>
      </c>
      <c r="E160" s="89"/>
      <c r="F160" s="89"/>
      <c r="G160" s="89"/>
      <c r="H160" s="559"/>
      <c r="I160" s="1836">
        <v>250</v>
      </c>
      <c r="J160" s="1836">
        <v>0</v>
      </c>
      <c r="K160" s="1836">
        <v>0</v>
      </c>
      <c r="L160" s="1836">
        <v>0</v>
      </c>
      <c r="M160" s="93">
        <f>$I160/$C$27+$J160/$C$28+K160/$C$29+$L160/$C$30</f>
        <v>7.3529411764705879</v>
      </c>
      <c r="N160" s="92">
        <f t="shared" si="12"/>
        <v>4.4366873309786093E-8</v>
      </c>
      <c r="O160" s="93">
        <f>$C$7*$C$15*$C$8*($C$9+$C$10*$C$11)/$D160^2*$N160*10^6</f>
        <v>4.2592198377394652E-5</v>
      </c>
      <c r="P160" s="93">
        <f>$I160/$D$27+$J160/$D$28+$K160/$D$29+$L160/$D$30</f>
        <v>6.5789473684210522</v>
      </c>
      <c r="Q160" s="92">
        <f t="shared" si="13"/>
        <v>2.636650898730358E-7</v>
      </c>
      <c r="R160" s="93">
        <f>$C$7*$C$15*$D$8*($D$9+$D$10*$D$11)/$D160^2*$Q160*10^6</f>
        <v>2.5311848627811444E-4</v>
      </c>
      <c r="S160" s="93">
        <f>$I160/$E$27+$J160/$E$28+K160/$E$29+$L160/$E$30</f>
        <v>5.6818181818181817</v>
      </c>
      <c r="T160" s="92">
        <f t="shared" si="14"/>
        <v>2.0805675382171676E-6</v>
      </c>
      <c r="U160" s="93">
        <f>$C$7*$C$15*$E$8*($E$9+$E$10*$E$11)/$D160^2*$T160*10^6</f>
        <v>1.9973448366884814E-3</v>
      </c>
      <c r="V160" s="93">
        <f>$I160/$F$27+$J160/$F$28+K160/$F$29+$L160/$F$30</f>
        <v>8.1967213114754092</v>
      </c>
      <c r="W160" s="92">
        <f t="shared" si="15"/>
        <v>6.3573875711648393E-9</v>
      </c>
      <c r="X160" s="93">
        <f>$C$7*$C$15*$F$8*($F$9+$F$10*$F$11)/$D160^2*$W160*10^6</f>
        <v>6.1030920683182469E-6</v>
      </c>
      <c r="Y160" s="93">
        <f>$I160/$G$27+$J160/$G$28+K160/$G$29+$L160/$G$30</f>
        <v>7.0224719101123592</v>
      </c>
      <c r="Z160" s="92">
        <f t="shared" si="16"/>
        <v>9.4957241494880226E-8</v>
      </c>
      <c r="AA160" s="94">
        <f>$C$7*$C$15*$G$8*($G$9+$G$10*$G$11)/$D160^2*$Z160*10^6</f>
        <v>9.1158951835085031E-5</v>
      </c>
      <c r="AB160" s="560">
        <f>SUM(O160,R160,U160,X160,AA160)</f>
        <v>2.3903175652473939E-3</v>
      </c>
      <c r="AC160" s="561">
        <f>SUM(AB158:AB163)</f>
        <v>4.1670929152189826</v>
      </c>
      <c r="AD160" s="562">
        <f>AC160*52/10^3</f>
        <v>0.2166888315913871</v>
      </c>
      <c r="AE160" s="538"/>
      <c r="AF160" s="538"/>
      <c r="AG160" s="538"/>
      <c r="AH160" s="556"/>
      <c r="AI160" s="563"/>
      <c r="AJ160" s="551"/>
      <c r="AK160" s="551"/>
      <c r="AL160" s="538"/>
      <c r="AM160" s="538"/>
      <c r="AN160" s="538"/>
      <c r="AO160" s="538"/>
      <c r="AP160" s="538"/>
      <c r="AQ160" s="538"/>
      <c r="AR160" s="538"/>
      <c r="AS160" s="538"/>
      <c r="AT160" s="538"/>
      <c r="AU160" s="538"/>
      <c r="AV160" s="538"/>
      <c r="AW160" s="538"/>
      <c r="AX160" s="545"/>
      <c r="AY160" s="545"/>
      <c r="AZ160" s="545"/>
      <c r="BA160" s="545"/>
      <c r="BB160" s="328"/>
      <c r="BC160" s="328"/>
      <c r="BD160" s="328"/>
      <c r="BE160" s="328"/>
      <c r="BF160" s="328"/>
      <c r="BG160" s="328"/>
      <c r="BH160" s="328"/>
      <c r="BI160" s="328"/>
      <c r="BJ160" s="328"/>
      <c r="BK160" s="328"/>
      <c r="BL160" s="328"/>
      <c r="BM160" s="328"/>
      <c r="BN160" s="328"/>
      <c r="BO160" s="328"/>
      <c r="BP160" s="328"/>
      <c r="BQ160" s="328"/>
      <c r="BR160" s="328"/>
      <c r="BS160" s="369"/>
      <c r="BT160" s="233"/>
      <c r="BU160" s="233"/>
      <c r="BV160" s="222"/>
      <c r="BW160" s="222"/>
      <c r="BX160" s="222"/>
      <c r="BY160" s="211"/>
      <c r="BZ160" s="222"/>
      <c r="CA160" s="222"/>
      <c r="CB160" s="225"/>
      <c r="CC160" s="225"/>
      <c r="CD160" s="225"/>
      <c r="CE160" s="225"/>
      <c r="CF160" s="225"/>
      <c r="CG160" s="300"/>
      <c r="CH160" s="300"/>
      <c r="CI160" s="300"/>
      <c r="CJ160" s="522"/>
      <c r="CK160" s="522"/>
      <c r="CL160" s="522"/>
    </row>
    <row r="161" spans="1:90" s="212" customFormat="1" ht="30" customHeight="1" x14ac:dyDescent="0.25">
      <c r="A161" s="557"/>
      <c r="B161" s="558"/>
      <c r="C161" s="331" t="s">
        <v>26</v>
      </c>
      <c r="D161" s="564"/>
      <c r="E161" s="89">
        <f>E146</f>
        <v>11</v>
      </c>
      <c r="F161" s="89">
        <f>D160</f>
        <v>25</v>
      </c>
      <c r="G161" s="1836">
        <v>15</v>
      </c>
      <c r="H161" s="1836">
        <v>0.25</v>
      </c>
      <c r="I161" s="1836">
        <v>210</v>
      </c>
      <c r="J161" s="1836">
        <v>0</v>
      </c>
      <c r="K161" s="1836">
        <v>0</v>
      </c>
      <c r="L161" s="1836">
        <v>0</v>
      </c>
      <c r="M161" s="93">
        <f>IF($I161=0,0,1+(I161-$C$21)/$C$22)+$J161/$C$23+K161/$C$24+$L161/$C$25</f>
        <v>6.2424242424242422</v>
      </c>
      <c r="N161" s="92">
        <f t="shared" si="12"/>
        <v>5.722367659350211E-7</v>
      </c>
      <c r="O161" s="95">
        <f>2.5*0.01*$C$7*$C$14*$C$8*$H161*(2*PI()*(1-COS($G161/180*PI())))^1.3/$E161^2/$F161^2*N161*10^6</f>
        <v>5.101138747051231E-8</v>
      </c>
      <c r="P161" s="91">
        <f>IF($I161=0,0,1+($I161-$D$21)/$D$22)+$J161/$D$23+$K161/$D$24+$L161/$D$25</f>
        <v>5.5675675675675675</v>
      </c>
      <c r="Q161" s="92">
        <f t="shared" si="13"/>
        <v>2.7066520700332395E-6</v>
      </c>
      <c r="R161" s="95">
        <f>2.5*0.01*$C$7*$D$14*$D$8*$H161*(2*PI()*(1-COS($G161/180*PI())))^1.3/$E161^2/$F161^2*Q161*10^6</f>
        <v>2.4128138160910826E-7</v>
      </c>
      <c r="S161" s="93">
        <f>IF($I161=0,0,1+(I161-$E$21)/$E$22)+$J161/$E$23+K161/$E$24+$L161/$E$25</f>
        <v>4.8372093023255811</v>
      </c>
      <c r="T161" s="92">
        <f t="shared" si="14"/>
        <v>1.4547578108480478E-5</v>
      </c>
      <c r="U161" s="95">
        <f>2.5*0.01*$C$7*$E$14*$E$8*$H161*(2*PI()*(1-COS($G161/180*PI())))^1.3/$E161^2/$F161^2*T161*10^6</f>
        <v>1.2968270964496306E-6</v>
      </c>
      <c r="V161" s="93">
        <f>IF($I161=0,0,1+(I161-$F$21)/$F$22)+$J161/$F$23+K161/$F$24+$L161/$F$25</f>
        <v>7.666666666666667</v>
      </c>
      <c r="W161" s="92">
        <f t="shared" si="15"/>
        <v>2.1544346900318783E-8</v>
      </c>
      <c r="X161" s="95">
        <f>2.5*0.01*$C$7*$F$14*$F$8*$H161*(2*PI()*(1-COS($G161/180*PI())))^1.3/$E161^2/$F161^2*W161*10^6</f>
        <v>1.920545992418962E-9</v>
      </c>
      <c r="Y161" s="93">
        <f>IF($I161=0,0,1+(I161-$G$21)/$G$22)+$J161/$G$23+K161/$G$24+$L161/$G$25</f>
        <v>5.833333333333333</v>
      </c>
      <c r="Z161" s="92">
        <f t="shared" si="16"/>
        <v>1.4677992676220696E-6</v>
      </c>
      <c r="AA161" s="96">
        <f>2.5*0.01*$C$7*$G$14*$G$8*$H161*(2*PI()*(1-COS($G161/180*PI())))^1.3/$E161^2/$F161^2*Z161*10^6</f>
        <v>1.3084527528960935E-7</v>
      </c>
      <c r="AB161" s="560">
        <f>SUM(O161,R161,U161,X161,AA161)</f>
        <v>1.7218856868112794E-6</v>
      </c>
      <c r="AC161" s="565"/>
      <c r="AD161" s="566"/>
      <c r="AE161" s="538"/>
      <c r="AF161" s="538"/>
      <c r="AG161" s="567"/>
      <c r="AH161" s="538"/>
      <c r="AI161" s="563"/>
      <c r="AJ161" s="545"/>
      <c r="AK161" s="545"/>
      <c r="AL161" s="538"/>
      <c r="AM161" s="538"/>
      <c r="AN161" s="538"/>
      <c r="AO161" s="538"/>
      <c r="AP161" s="538"/>
      <c r="AQ161" s="538"/>
      <c r="AR161" s="538"/>
      <c r="AS161" s="538"/>
      <c r="AT161" s="538"/>
      <c r="AU161" s="538"/>
      <c r="AV161" s="538"/>
      <c r="AW161" s="538"/>
      <c r="AX161" s="545"/>
      <c r="AY161" s="545"/>
      <c r="AZ161" s="545"/>
      <c r="BA161" s="545"/>
      <c r="BB161" s="328"/>
      <c r="BC161" s="328"/>
      <c r="BD161" s="328"/>
      <c r="BE161" s="328"/>
      <c r="BF161" s="328"/>
      <c r="BG161" s="328"/>
      <c r="BH161" s="328"/>
      <c r="BI161" s="328"/>
      <c r="BJ161" s="328"/>
      <c r="BK161" s="328"/>
      <c r="BL161" s="328"/>
      <c r="BM161" s="328"/>
      <c r="BN161" s="328"/>
      <c r="BO161" s="328"/>
      <c r="BP161" s="328"/>
      <c r="BQ161" s="328"/>
      <c r="BR161" s="328"/>
      <c r="BS161" s="369"/>
      <c r="BT161" s="233"/>
      <c r="BU161" s="233"/>
      <c r="BV161" s="222"/>
      <c r="BW161" s="222"/>
      <c r="BX161" s="222"/>
      <c r="BY161" s="211"/>
      <c r="BZ161" s="222"/>
      <c r="CA161" s="222"/>
      <c r="CB161" s="225"/>
      <c r="CC161" s="225"/>
      <c r="CD161" s="225"/>
      <c r="CE161" s="225"/>
      <c r="CF161" s="225"/>
      <c r="CG161" s="300"/>
      <c r="CH161" s="300"/>
      <c r="CI161" s="300"/>
      <c r="CJ161" s="522"/>
      <c r="CK161" s="522"/>
      <c r="CL161" s="522"/>
    </row>
    <row r="162" spans="1:90" s="538" customFormat="1" ht="30" customHeight="1" thickBot="1" x14ac:dyDescent="0.3">
      <c r="A162" s="582"/>
      <c r="B162" s="583"/>
      <c r="C162" s="584" t="s">
        <v>27</v>
      </c>
      <c r="D162" s="58"/>
      <c r="E162" s="58">
        <f>E147</f>
        <v>10</v>
      </c>
      <c r="F162" s="58"/>
      <c r="G162" s="1859">
        <v>60</v>
      </c>
      <c r="H162" s="56"/>
      <c r="I162" s="1859">
        <v>190</v>
      </c>
      <c r="J162" s="1859">
        <v>0</v>
      </c>
      <c r="K162" s="1859">
        <v>0</v>
      </c>
      <c r="L162" s="1859">
        <v>0</v>
      </c>
      <c r="M162" s="100">
        <f>$I162/$C$27+$J162/$C$28+K162/$C$29+$L162/$C$30</f>
        <v>5.5882352941176467</v>
      </c>
      <c r="N162" s="101">
        <f t="shared" si="12"/>
        <v>2.580861540418073E-6</v>
      </c>
      <c r="O162" s="102">
        <f>2.5*0.01*$C$7*$C$15*$C$8*($C$9+$C$10*$C$11)*(2*PI()*(1-COS($G162/180*PI())))^1.3/E$147^2/$F161^2*N162*10^6</f>
        <v>2.7432840731901286E-6</v>
      </c>
      <c r="P162" s="100">
        <f>$I162/$D$27+$J162/$D$28+$K162/$D$29+$L162/$D$30</f>
        <v>5</v>
      </c>
      <c r="Q162" s="101">
        <f t="shared" si="13"/>
        <v>1.0000000000000001E-5</v>
      </c>
      <c r="R162" s="102">
        <f>2.5*0.01*$C$7*$C$15*$D$8*($D$9+$D$10*$D$11)*(2*PI()*(1-COS($G162/180*PI())))^1.3/$E162^2/$F161^2*Q162*10^6</f>
        <v>1.0629334546733355E-5</v>
      </c>
      <c r="S162" s="100">
        <f>$I162/$E$27+$J162/$E$28+K162/$E$29+$L162/$E$30</f>
        <v>4.3181818181818183</v>
      </c>
      <c r="T162" s="101">
        <f t="shared" si="14"/>
        <v>4.8063808630643867E-5</v>
      </c>
      <c r="U162" s="102">
        <f>2.5*0.01*$C$7*$C$15*$E$8*($E$9+$E$10*$E$11)*(2*PI()*(1-COS($G162/180*PI())))^1.3/$E162^2/$F161^2*T162*10^6</f>
        <v>5.1088630152528366E-5</v>
      </c>
      <c r="V162" s="100">
        <f>$I162/$F$27+$J162/$F$28+K162/$F$29+$L162/$F$30</f>
        <v>6.2295081967213113</v>
      </c>
      <c r="W162" s="101">
        <f t="shared" si="15"/>
        <v>5.8951085074002664E-7</v>
      </c>
      <c r="X162" s="102">
        <f>2.5*0.01*$C$7*$C$15*$F$8*($F$9+$F$10*$F$11)*(2*PI()*(1-COS($G162/180*PI())))^1.3/$E162^2/$F161^2*W162*10^6</f>
        <v>6.2661080514451354E-7</v>
      </c>
      <c r="Y162" s="100">
        <f>$I162/$G$27+$J162/$G$28+K162/$G$29+$L162/$G$30</f>
        <v>5.3370786516853927</v>
      </c>
      <c r="Z162" s="101">
        <f t="shared" si="16"/>
        <v>4.6017322765137984E-6</v>
      </c>
      <c r="AA162" s="103">
        <f>2.5*0.01*$C$7*$C$15*$G$8*($G$9+$G$10*$G$11)*(2*PI()*(1-COS($G162/180*PI())))^1.3/$E162^2/$F161^2*Z162*10^6</f>
        <v>4.891335186156605E-6</v>
      </c>
      <c r="AB162" s="569">
        <f>SUM(O162,R162,U162,X162,AA162)</f>
        <v>6.9979194763752965E-5</v>
      </c>
      <c r="AC162" s="570"/>
      <c r="AD162" s="571"/>
      <c r="AH162" s="572"/>
      <c r="AI162" s="573"/>
      <c r="AJ162" s="563"/>
      <c r="AK162" s="551"/>
      <c r="AX162" s="545"/>
      <c r="AY162" s="545"/>
      <c r="AZ162" s="545"/>
      <c r="BA162" s="545"/>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row>
    <row r="163" spans="1:90" s="212" customFormat="1" ht="30" hidden="1" customHeight="1" x14ac:dyDescent="0.25">
      <c r="A163" s="57"/>
      <c r="B163" s="220"/>
      <c r="C163" s="310"/>
      <c r="D163" s="57"/>
      <c r="E163" s="57"/>
      <c r="F163" s="57"/>
      <c r="G163" s="57"/>
      <c r="H163" s="57"/>
      <c r="I163" s="57"/>
      <c r="J163" s="57"/>
      <c r="K163" s="57"/>
      <c r="L163" s="57"/>
      <c r="M163" s="369"/>
      <c r="N163" s="328"/>
      <c r="O163" s="586"/>
      <c r="P163" s="369"/>
      <c r="Q163" s="328"/>
      <c r="R163" s="586"/>
      <c r="S163" s="369"/>
      <c r="T163" s="328"/>
      <c r="U163" s="586"/>
      <c r="V163" s="369"/>
      <c r="W163" s="328"/>
      <c r="X163" s="586"/>
      <c r="Y163" s="369"/>
      <c r="Z163" s="328"/>
      <c r="AA163" s="586"/>
      <c r="AB163" s="328"/>
      <c r="AC163" s="587"/>
      <c r="AD163" s="225"/>
      <c r="AH163" s="580"/>
      <c r="AI163" s="581"/>
      <c r="AJ163" s="282"/>
      <c r="AK163" s="300"/>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row>
    <row r="164" spans="1:90" s="538" customFormat="1" ht="19.5" customHeight="1" x14ac:dyDescent="0.25">
      <c r="A164" s="517"/>
      <c r="B164" s="222"/>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189"/>
      <c r="Y164" s="189"/>
      <c r="Z164" s="189"/>
      <c r="AA164" s="189"/>
      <c r="AB164" s="189"/>
      <c r="AC164" s="189"/>
      <c r="AD164" s="202"/>
      <c r="AE164" s="202"/>
      <c r="AF164" s="202"/>
      <c r="AG164" s="202"/>
    </row>
    <row r="165" spans="1:90" s="212" customFormat="1" ht="19.5" customHeight="1" x14ac:dyDescent="0.25">
      <c r="A165" s="222"/>
      <c r="B165" s="222"/>
      <c r="C165" s="222"/>
      <c r="D165" s="222"/>
      <c r="E165" s="222"/>
      <c r="F165" s="222"/>
      <c r="G165" s="222"/>
      <c r="H165" s="222"/>
      <c r="I165" s="272"/>
      <c r="J165" s="588"/>
      <c r="K165" s="589"/>
      <c r="L165" s="288"/>
      <c r="M165" s="590"/>
      <c r="N165" s="591"/>
      <c r="O165" s="590"/>
      <c r="P165" s="592"/>
      <c r="Q165" s="201"/>
      <c r="R165" s="201"/>
      <c r="S165" s="201"/>
      <c r="T165" s="201"/>
      <c r="U165" s="201"/>
      <c r="V165" s="189"/>
      <c r="W165" s="593"/>
      <c r="X165" s="593"/>
      <c r="Y165" s="594"/>
      <c r="Z165" s="189"/>
      <c r="AA165" s="189"/>
      <c r="AB165" s="551"/>
      <c r="AC165" s="551"/>
      <c r="AD165" s="538"/>
      <c r="AE165" s="538"/>
      <c r="AF165" s="189"/>
      <c r="AG165" s="222"/>
      <c r="AH165" s="211"/>
      <c r="AI165" s="222"/>
      <c r="AJ165" s="222"/>
      <c r="AK165" s="225"/>
      <c r="AL165" s="225"/>
      <c r="AM165" s="225"/>
      <c r="AN165" s="225"/>
      <c r="AO165" s="225"/>
      <c r="AP165" s="300"/>
      <c r="AQ165" s="300"/>
      <c r="AR165" s="300"/>
      <c r="AS165" s="300"/>
      <c r="AT165" s="300"/>
      <c r="AU165" s="300"/>
      <c r="AV165" s="225"/>
      <c r="AW165" s="225"/>
      <c r="AX165" s="225"/>
      <c r="AY165" s="225"/>
      <c r="AZ165" s="225"/>
      <c r="BA165" s="225"/>
      <c r="BB165" s="225"/>
      <c r="BC165" s="225"/>
      <c r="BD165" s="225"/>
      <c r="BE165" s="225"/>
      <c r="BF165" s="225"/>
      <c r="BG165" s="225"/>
      <c r="BH165" s="225"/>
      <c r="BI165" s="225"/>
      <c r="BJ165" s="225"/>
    </row>
    <row r="166" spans="1:90" s="212" customFormat="1" ht="19.5" customHeight="1" x14ac:dyDescent="0.25">
      <c r="A166" s="595" t="s">
        <v>418</v>
      </c>
      <c r="B166" s="595"/>
      <c r="C166" s="596"/>
      <c r="D166" s="288"/>
      <c r="E166" s="288"/>
      <c r="F166" s="288"/>
      <c r="G166" s="288"/>
      <c r="H166" s="288"/>
      <c r="I166" s="288"/>
      <c r="J166" s="288"/>
      <c r="K166" s="288"/>
      <c r="L166" s="288"/>
      <c r="M166" s="288"/>
      <c r="N166" s="288"/>
      <c r="O166" s="288"/>
      <c r="P166" s="288"/>
      <c r="Q166" s="288"/>
      <c r="R166" s="288"/>
      <c r="S166" s="288"/>
      <c r="T166" s="288"/>
      <c r="U166" s="288"/>
      <c r="V166" s="222"/>
      <c r="W166" s="222"/>
      <c r="X166" s="222"/>
      <c r="Y166" s="222"/>
      <c r="Z166" s="222"/>
      <c r="AA166" s="222"/>
      <c r="AB166" s="187"/>
      <c r="AC166" s="187"/>
      <c r="AD166" s="187"/>
      <c r="AE166" s="187"/>
      <c r="AF166" s="222"/>
      <c r="AG166" s="587"/>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row>
    <row r="167" spans="1:90" s="604" customFormat="1" ht="19.5" customHeight="1" x14ac:dyDescent="0.25">
      <c r="A167" s="597"/>
      <c r="B167" s="598"/>
      <c r="C167" s="599"/>
      <c r="D167" s="599"/>
      <c r="E167" s="599"/>
      <c r="F167" s="600"/>
      <c r="G167" s="600"/>
      <c r="H167" s="600"/>
      <c r="I167" s="601"/>
      <c r="J167" s="600"/>
      <c r="K167" s="602"/>
      <c r="L167" s="603"/>
      <c r="M167" s="603"/>
    </row>
    <row r="168" spans="1:90" s="212" customFormat="1" ht="19.5" customHeight="1" x14ac:dyDescent="0.25">
      <c r="A168" s="605" t="s">
        <v>322</v>
      </c>
      <c r="C168" s="288"/>
      <c r="D168" s="288"/>
      <c r="E168" s="288"/>
      <c r="F168" s="288"/>
      <c r="G168" s="288"/>
      <c r="H168" s="288"/>
      <c r="I168" s="288"/>
      <c r="J168" s="288"/>
      <c r="K168" s="288"/>
      <c r="L168" s="288"/>
      <c r="M168" s="288"/>
      <c r="N168" s="288"/>
      <c r="O168" s="288"/>
      <c r="P168" s="288"/>
      <c r="Q168" s="288"/>
      <c r="R168" s="288"/>
      <c r="S168" s="288"/>
      <c r="T168" s="288"/>
      <c r="U168" s="288"/>
      <c r="V168" s="222"/>
      <c r="W168" s="222"/>
      <c r="X168" s="222"/>
      <c r="Y168" s="222"/>
      <c r="Z168" s="222"/>
      <c r="AA168" s="222"/>
      <c r="AB168" s="222"/>
      <c r="AC168" s="222"/>
      <c r="AD168" s="222"/>
      <c r="AE168" s="222"/>
      <c r="AF168" s="538"/>
      <c r="AG168" s="538"/>
      <c r="AH168" s="538"/>
      <c r="AI168" s="538"/>
      <c r="AJ168" s="538"/>
      <c r="AK168" s="538"/>
      <c r="AL168" s="538"/>
      <c r="AM168" s="538"/>
      <c r="AN168" s="538"/>
      <c r="AO168" s="538"/>
      <c r="AP168" s="545"/>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69"/>
      <c r="BL168" s="233"/>
      <c r="BM168" s="233"/>
      <c r="BN168" s="222"/>
      <c r="BO168" s="233"/>
      <c r="BP168" s="222"/>
      <c r="BQ168" s="211"/>
      <c r="BR168" s="222"/>
      <c r="BS168" s="222"/>
      <c r="BT168" s="225"/>
      <c r="BU168" s="225"/>
      <c r="BV168" s="225"/>
      <c r="BW168" s="225"/>
      <c r="BX168" s="225"/>
      <c r="BY168" s="300"/>
      <c r="BZ168" s="300"/>
      <c r="CA168" s="300"/>
      <c r="CB168" s="522"/>
      <c r="CC168" s="522"/>
      <c r="CD168" s="522"/>
    </row>
    <row r="169" spans="1:90" s="222" customFormat="1" ht="19.5" customHeight="1" x14ac:dyDescent="0.25">
      <c r="A169" s="301"/>
      <c r="B169" s="305"/>
      <c r="C169" s="302"/>
      <c r="D169" s="606" t="s">
        <v>261</v>
      </c>
      <c r="E169" s="607" t="s">
        <v>323</v>
      </c>
      <c r="F169" s="608"/>
      <c r="G169" s="609" t="s">
        <v>224</v>
      </c>
      <c r="H169" s="608" t="s">
        <v>329</v>
      </c>
      <c r="I169" s="2014" t="s">
        <v>260</v>
      </c>
      <c r="J169" s="2015"/>
      <c r="K169" s="607" t="s">
        <v>260</v>
      </c>
      <c r="L169" s="288"/>
      <c r="M169" s="288"/>
      <c r="N169" s="288"/>
      <c r="O169" s="288"/>
      <c r="P169" s="610"/>
      <c r="Q169" s="288"/>
      <c r="R169" s="288"/>
      <c r="S169" s="610"/>
      <c r="T169" s="288"/>
      <c r="U169" s="288"/>
      <c r="V169" s="610"/>
      <c r="W169" s="288"/>
      <c r="X169" s="288"/>
      <c r="Y169" s="288"/>
      <c r="Z169" s="288"/>
      <c r="AB169" s="288"/>
      <c r="AC169" s="288"/>
    </row>
    <row r="170" spans="1:90" s="222" customFormat="1" ht="19.5" customHeight="1" x14ac:dyDescent="0.25">
      <c r="A170" s="308" t="s">
        <v>50</v>
      </c>
      <c r="B170" s="611" t="s">
        <v>15</v>
      </c>
      <c r="C170" s="498" t="s">
        <v>25</v>
      </c>
      <c r="D170" s="612" t="s">
        <v>356</v>
      </c>
      <c r="E170" s="613" t="s">
        <v>324</v>
      </c>
      <c r="F170" s="613" t="s">
        <v>4</v>
      </c>
      <c r="G170" s="299" t="s">
        <v>259</v>
      </c>
      <c r="H170" s="613" t="s">
        <v>87</v>
      </c>
      <c r="I170" s="614"/>
      <c r="J170" s="614" t="s">
        <v>11</v>
      </c>
      <c r="K170" s="614" t="s">
        <v>11</v>
      </c>
      <c r="L170" s="288"/>
      <c r="M170" s="288"/>
      <c r="N170" s="288"/>
      <c r="O170" s="288"/>
      <c r="P170" s="610"/>
      <c r="Q170" s="288"/>
      <c r="R170" s="288"/>
      <c r="S170" s="610"/>
      <c r="T170" s="288"/>
      <c r="U170" s="288"/>
      <c r="V170" s="610"/>
      <c r="W170" s="288"/>
      <c r="X170" s="288"/>
      <c r="Y170" s="288"/>
      <c r="Z170" s="288"/>
      <c r="AB170" s="288"/>
      <c r="AC170" s="288"/>
    </row>
    <row r="171" spans="1:90" s="222" customFormat="1" ht="19.5" customHeight="1" x14ac:dyDescent="0.25">
      <c r="A171" s="615"/>
      <c r="B171" s="616"/>
      <c r="C171" s="499"/>
      <c r="D171" s="612" t="s">
        <v>357</v>
      </c>
      <c r="E171" s="617" t="s">
        <v>325</v>
      </c>
      <c r="F171" s="617" t="s">
        <v>78</v>
      </c>
      <c r="G171" s="299" t="s">
        <v>258</v>
      </c>
      <c r="H171" s="617"/>
      <c r="I171" s="614" t="s">
        <v>337</v>
      </c>
      <c r="J171" s="614" t="s">
        <v>337</v>
      </c>
      <c r="K171" s="614" t="s">
        <v>166</v>
      </c>
      <c r="L171" s="288"/>
      <c r="M171" s="288"/>
      <c r="N171" s="288"/>
      <c r="O171" s="288"/>
      <c r="P171" s="610"/>
      <c r="Q171" s="288"/>
      <c r="R171" s="288"/>
      <c r="S171" s="610"/>
      <c r="T171" s="288"/>
      <c r="U171" s="288"/>
      <c r="V171" s="610"/>
      <c r="W171" s="288"/>
      <c r="X171" s="288"/>
      <c r="Y171" s="288"/>
      <c r="Z171" s="288"/>
      <c r="AB171" s="288"/>
      <c r="AC171" s="288"/>
    </row>
    <row r="172" spans="1:90" s="222" customFormat="1" ht="30" customHeight="1" thickBot="1" x14ac:dyDescent="0.3">
      <c r="A172" s="684"/>
      <c r="B172" s="2031" t="str">
        <f>Samenvatting!A265</f>
        <v>achterblijven in bestralingsruimte tijdens bestraling</v>
      </c>
      <c r="C172" s="619" t="s">
        <v>0</v>
      </c>
      <c r="D172" s="1860">
        <v>550</v>
      </c>
      <c r="E172" s="620"/>
      <c r="F172" s="1861">
        <v>2</v>
      </c>
      <c r="G172" s="1862">
        <v>30</v>
      </c>
      <c r="H172" s="1860">
        <v>1</v>
      </c>
      <c r="I172" s="621">
        <f>D172*$C$15/F172^2*G172/60*10</f>
        <v>0.6875</v>
      </c>
      <c r="J172" s="622">
        <f>SUM(I172:I173)</f>
        <v>2.0625</v>
      </c>
      <c r="K172" s="622">
        <f>J172*H172</f>
        <v>2.0625</v>
      </c>
      <c r="N172" s="288"/>
      <c r="O172" s="288"/>
      <c r="P172" s="288"/>
      <c r="Q172" s="288"/>
      <c r="R172" s="288"/>
      <c r="S172" s="288"/>
      <c r="T172" s="288"/>
      <c r="U172" s="288"/>
      <c r="V172" s="288"/>
      <c r="W172" s="288"/>
      <c r="X172" s="288"/>
      <c r="Y172" s="288"/>
      <c r="Z172" s="288"/>
      <c r="AA172" s="288"/>
      <c r="AB172" s="288"/>
    </row>
    <row r="173" spans="1:90" s="222" customFormat="1" ht="30" customHeight="1" thickBot="1" x14ac:dyDescent="0.3">
      <c r="A173" s="623"/>
      <c r="B173" s="2032"/>
      <c r="C173" s="619" t="s">
        <v>33</v>
      </c>
      <c r="D173" s="624"/>
      <c r="E173" s="1852">
        <f>0.01*20</f>
        <v>0.2</v>
      </c>
      <c r="F173" s="625">
        <f>F172</f>
        <v>2</v>
      </c>
      <c r="G173" s="626">
        <f>G172</f>
        <v>30</v>
      </c>
      <c r="H173" s="629"/>
      <c r="I173" s="621">
        <f>D172*E173/100/F173^2*G173/60*10</f>
        <v>1.375</v>
      </c>
      <c r="J173" s="627"/>
      <c r="K173" s="627"/>
      <c r="N173" s="288"/>
      <c r="O173" s="288"/>
      <c r="P173" s="288"/>
      <c r="Q173" s="288"/>
      <c r="R173" s="288"/>
      <c r="S173" s="288"/>
      <c r="T173" s="288"/>
      <c r="U173" s="288"/>
      <c r="V173" s="288"/>
      <c r="W173" s="288"/>
      <c r="X173" s="288"/>
      <c r="Y173" s="288"/>
      <c r="Z173" s="288"/>
      <c r="AA173" s="288"/>
      <c r="AB173" s="288"/>
    </row>
    <row r="174" spans="1:90" s="222" customFormat="1" ht="19.5" customHeight="1" x14ac:dyDescent="0.25">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189"/>
      <c r="W174" s="189"/>
      <c r="X174" s="189"/>
      <c r="Y174" s="189"/>
      <c r="Z174" s="189"/>
      <c r="AA174" s="189"/>
      <c r="AB174" s="202"/>
      <c r="AC174" s="202"/>
      <c r="AD174" s="202"/>
      <c r="AE174" s="202"/>
      <c r="AK174" s="299"/>
      <c r="AL174" s="299"/>
      <c r="AM174" s="299"/>
      <c r="AN174" s="299"/>
      <c r="AO174" s="299"/>
      <c r="AP174" s="299"/>
      <c r="AU174" s="211"/>
      <c r="AV174" s="266"/>
      <c r="BC174" s="211"/>
      <c r="BD174" s="211"/>
    </row>
    <row r="175" spans="1:90" x14ac:dyDescent="0.25">
      <c r="A175" s="605" t="s">
        <v>339</v>
      </c>
      <c r="B175" s="202"/>
      <c r="C175" s="288"/>
      <c r="D175" s="288"/>
      <c r="E175" s="288"/>
      <c r="F175" s="288"/>
      <c r="G175" s="288"/>
      <c r="H175" s="288"/>
      <c r="I175" s="288"/>
      <c r="J175" s="288"/>
      <c r="K175" s="288"/>
      <c r="L175" s="288"/>
      <c r="M175" s="288"/>
      <c r="N175" s="288"/>
      <c r="O175" s="288"/>
      <c r="P175" s="288"/>
      <c r="Q175" s="288"/>
      <c r="R175" s="288"/>
      <c r="S175" s="288"/>
      <c r="T175" s="288"/>
      <c r="U175" s="288"/>
      <c r="V175" s="222"/>
      <c r="W175" s="222"/>
      <c r="X175" s="222"/>
      <c r="Y175" s="222"/>
      <c r="Z175" s="222"/>
      <c r="AA175" s="222"/>
      <c r="AB175" s="222"/>
      <c r="AC175" s="222"/>
      <c r="AD175" s="222"/>
      <c r="AE175" s="222"/>
    </row>
    <row r="176" spans="1:90" s="187" customFormat="1" ht="19.5" customHeight="1" x14ac:dyDescent="0.25">
      <c r="A176" s="2020" t="s">
        <v>50</v>
      </c>
      <c r="B176" s="2023" t="s">
        <v>15</v>
      </c>
      <c r="C176" s="606" t="s">
        <v>261</v>
      </c>
      <c r="D176" s="607" t="s">
        <v>224</v>
      </c>
      <c r="E176" s="608" t="s">
        <v>329</v>
      </c>
      <c r="F176" s="607" t="s">
        <v>260</v>
      </c>
      <c r="G176" s="607" t="s">
        <v>260</v>
      </c>
      <c r="H176" s="628"/>
      <c r="I176" s="222"/>
      <c r="J176" s="288"/>
      <c r="K176" s="288"/>
      <c r="L176" s="288"/>
      <c r="M176" s="288"/>
      <c r="N176" s="288"/>
      <c r="O176" s="610"/>
      <c r="P176" s="288"/>
      <c r="Q176" s="288"/>
      <c r="R176" s="610"/>
      <c r="S176" s="288"/>
      <c r="T176" s="288"/>
      <c r="U176" s="610"/>
      <c r="V176" s="288"/>
      <c r="W176" s="288"/>
      <c r="X176" s="288"/>
      <c r="Y176" s="288"/>
      <c r="Z176" s="222"/>
      <c r="AA176" s="288"/>
      <c r="AB176" s="288"/>
      <c r="AC176" s="222"/>
      <c r="AD176" s="222"/>
      <c r="AE176" s="222"/>
    </row>
    <row r="177" spans="1:52" s="222" customFormat="1" ht="19.5" customHeight="1" x14ac:dyDescent="0.25">
      <c r="A177" s="2021"/>
      <c r="B177" s="2024"/>
      <c r="C177" s="2026" t="s">
        <v>340</v>
      </c>
      <c r="D177" s="613" t="s">
        <v>328</v>
      </c>
      <c r="E177" s="613" t="s">
        <v>87</v>
      </c>
      <c r="F177" s="613"/>
      <c r="G177" s="614" t="s">
        <v>11</v>
      </c>
      <c r="H177" s="628"/>
      <c r="J177" s="288"/>
      <c r="K177" s="288"/>
      <c r="L177" s="288"/>
      <c r="M177" s="288"/>
      <c r="N177" s="288"/>
      <c r="O177" s="610"/>
      <c r="P177" s="288"/>
      <c r="Q177" s="288"/>
      <c r="R177" s="610"/>
      <c r="S177" s="288"/>
      <c r="T177" s="288"/>
      <c r="U177" s="610"/>
      <c r="V177" s="288"/>
      <c r="W177" s="288"/>
      <c r="X177" s="288"/>
      <c r="Y177" s="288"/>
      <c r="AA177" s="288"/>
      <c r="AB177" s="288"/>
    </row>
    <row r="178" spans="1:52" s="222" customFormat="1" ht="19.5" customHeight="1" x14ac:dyDescent="0.25">
      <c r="A178" s="2022"/>
      <c r="B178" s="2025"/>
      <c r="C178" s="2027"/>
      <c r="D178" s="617" t="s">
        <v>229</v>
      </c>
      <c r="E178" s="617"/>
      <c r="F178" s="614" t="s">
        <v>337</v>
      </c>
      <c r="G178" s="614" t="s">
        <v>166</v>
      </c>
      <c r="H178" s="628"/>
      <c r="J178" s="288"/>
      <c r="K178" s="288"/>
      <c r="L178" s="288"/>
      <c r="M178" s="288"/>
      <c r="N178" s="288"/>
      <c r="O178" s="610"/>
      <c r="P178" s="288"/>
      <c r="Q178" s="288"/>
      <c r="R178" s="610"/>
      <c r="S178" s="288"/>
      <c r="T178" s="288"/>
      <c r="U178" s="610"/>
      <c r="V178" s="288"/>
      <c r="W178" s="288"/>
      <c r="X178" s="288"/>
      <c r="Y178" s="288"/>
      <c r="AA178" s="288"/>
      <c r="AB178" s="288"/>
    </row>
    <row r="179" spans="1:52" s="222" customFormat="1" ht="30" customHeight="1" x14ac:dyDescent="0.25">
      <c r="A179" s="630"/>
      <c r="B179" s="631" t="str">
        <f>Samenvatting!A276</f>
        <v>werken in nabijheid geactiveerde target</v>
      </c>
      <c r="C179" s="1861">
        <v>25</v>
      </c>
      <c r="D179" s="1861">
        <v>0.5</v>
      </c>
      <c r="E179" s="1861">
        <v>4</v>
      </c>
      <c r="F179" s="632">
        <f>C179*D179/10^3</f>
        <v>1.2500000000000001E-2</v>
      </c>
      <c r="G179" s="621">
        <f>F179*E179</f>
        <v>0.05</v>
      </c>
      <c r="H179" s="633"/>
      <c r="M179" s="288"/>
      <c r="N179" s="288"/>
      <c r="O179" s="288"/>
      <c r="P179" s="288"/>
      <c r="Q179" s="288"/>
      <c r="R179" s="288"/>
      <c r="S179" s="288"/>
      <c r="T179" s="288"/>
      <c r="U179" s="288"/>
      <c r="V179" s="288"/>
      <c r="W179" s="288"/>
      <c r="X179" s="288"/>
      <c r="Y179" s="288"/>
      <c r="Z179" s="288"/>
      <c r="AA179" s="288"/>
    </row>
    <row r="180" spans="1:52" s="222" customFormat="1" ht="19.5" customHeight="1" x14ac:dyDescent="0.25">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189"/>
      <c r="W180" s="189"/>
      <c r="X180" s="189"/>
      <c r="Y180" s="189"/>
      <c r="Z180" s="189"/>
      <c r="AA180" s="189"/>
      <c r="AB180" s="202"/>
      <c r="AC180" s="202"/>
      <c r="AD180" s="202"/>
      <c r="AE180" s="202"/>
    </row>
    <row r="181" spans="1:52" s="225" customFormat="1" ht="19.5" customHeight="1" x14ac:dyDescent="0.25">
      <c r="A181" s="634" t="s">
        <v>327</v>
      </c>
      <c r="C181" s="288"/>
      <c r="D181" s="288"/>
      <c r="E181" s="288"/>
      <c r="F181" s="288"/>
      <c r="G181" s="288"/>
      <c r="H181" s="288"/>
      <c r="I181" s="288"/>
      <c r="J181" s="288"/>
      <c r="K181" s="288"/>
      <c r="L181" s="288"/>
      <c r="M181" s="288"/>
      <c r="N181" s="288"/>
      <c r="O181" s="288"/>
      <c r="P181" s="288"/>
      <c r="Q181" s="288"/>
      <c r="R181" s="288"/>
      <c r="S181" s="288"/>
      <c r="T181" s="288"/>
      <c r="U181" s="288"/>
      <c r="V181" s="222"/>
      <c r="W181" s="222"/>
      <c r="X181" s="222"/>
      <c r="Y181" s="222"/>
      <c r="Z181" s="222"/>
      <c r="AA181" s="222"/>
      <c r="AB181" s="222"/>
      <c r="AC181" s="222"/>
      <c r="AD181" s="222"/>
      <c r="AE181" s="222"/>
      <c r="AG181" s="328"/>
      <c r="AI181" s="328"/>
      <c r="AJ181" s="328"/>
      <c r="AK181" s="328"/>
      <c r="AL181" s="328"/>
      <c r="AP181" s="222"/>
      <c r="AQ181" s="211"/>
      <c r="AR181" s="222"/>
      <c r="AS181" s="222"/>
      <c r="AY181" s="300"/>
      <c r="AZ181" s="300"/>
    </row>
    <row r="182" spans="1:52" s="187" customFormat="1" ht="19.5" customHeight="1" x14ac:dyDescent="0.25">
      <c r="A182" s="2020" t="s">
        <v>50</v>
      </c>
      <c r="B182" s="2023" t="s">
        <v>15</v>
      </c>
      <c r="C182" s="606" t="s">
        <v>261</v>
      </c>
      <c r="D182" s="607" t="s">
        <v>224</v>
      </c>
      <c r="E182" s="608" t="s">
        <v>329</v>
      </c>
      <c r="F182" s="607" t="s">
        <v>260</v>
      </c>
      <c r="G182" s="607" t="s">
        <v>260</v>
      </c>
      <c r="H182" s="628"/>
      <c r="I182" s="222"/>
      <c r="J182" s="288"/>
      <c r="K182" s="288"/>
      <c r="L182" s="288"/>
      <c r="M182" s="288"/>
      <c r="N182" s="288"/>
      <c r="O182" s="610"/>
      <c r="P182" s="288"/>
      <c r="Q182" s="288"/>
      <c r="R182" s="610"/>
      <c r="S182" s="288"/>
      <c r="T182" s="288"/>
      <c r="U182" s="610"/>
      <c r="V182" s="288"/>
      <c r="W182" s="288"/>
      <c r="X182" s="288"/>
      <c r="Y182" s="288"/>
      <c r="Z182" s="222"/>
      <c r="AA182" s="288"/>
      <c r="AB182" s="288"/>
      <c r="AC182" s="222"/>
      <c r="AD182" s="222"/>
      <c r="AE182" s="222"/>
    </row>
    <row r="183" spans="1:52" s="222" customFormat="1" ht="19.5" customHeight="1" x14ac:dyDescent="0.25">
      <c r="A183" s="2021"/>
      <c r="B183" s="2024"/>
      <c r="C183" s="2026" t="s">
        <v>340</v>
      </c>
      <c r="D183" s="613" t="s">
        <v>328</v>
      </c>
      <c r="E183" s="613" t="s">
        <v>87</v>
      </c>
      <c r="F183" s="613"/>
      <c r="G183" s="614" t="s">
        <v>11</v>
      </c>
      <c r="H183" s="628"/>
      <c r="J183" s="288"/>
      <c r="K183" s="288"/>
      <c r="L183" s="288"/>
      <c r="M183" s="288"/>
      <c r="N183" s="288"/>
      <c r="O183" s="610"/>
      <c r="P183" s="288"/>
      <c r="Q183" s="288"/>
      <c r="R183" s="610"/>
      <c r="S183" s="288"/>
      <c r="T183" s="288"/>
      <c r="U183" s="610"/>
      <c r="V183" s="288"/>
      <c r="W183" s="288"/>
      <c r="X183" s="288"/>
      <c r="Y183" s="288"/>
      <c r="AA183" s="288"/>
      <c r="AB183" s="288"/>
    </row>
    <row r="184" spans="1:52" s="222" customFormat="1" ht="19.5" customHeight="1" x14ac:dyDescent="0.25">
      <c r="A184" s="2022"/>
      <c r="B184" s="2025"/>
      <c r="C184" s="2027"/>
      <c r="D184" s="617" t="s">
        <v>229</v>
      </c>
      <c r="E184" s="617"/>
      <c r="F184" s="614" t="s">
        <v>337</v>
      </c>
      <c r="G184" s="614" t="s">
        <v>166</v>
      </c>
      <c r="H184" s="628"/>
      <c r="J184" s="288"/>
      <c r="K184" s="288"/>
      <c r="L184" s="288"/>
      <c r="M184" s="288"/>
      <c r="N184" s="288"/>
      <c r="O184" s="610"/>
      <c r="P184" s="288"/>
      <c r="Q184" s="288"/>
      <c r="R184" s="610"/>
      <c r="S184" s="288"/>
      <c r="T184" s="288"/>
      <c r="U184" s="610"/>
      <c r="V184" s="288"/>
      <c r="W184" s="288"/>
      <c r="X184" s="288"/>
      <c r="Y184" s="288"/>
      <c r="AA184" s="288"/>
      <c r="AB184" s="288"/>
    </row>
    <row r="185" spans="1:52" s="222" customFormat="1" ht="30" customHeight="1" x14ac:dyDescent="0.25">
      <c r="A185" s="623"/>
      <c r="B185" s="631" t="str">
        <f>Samenvatting!A287</f>
        <v>werken in nabijheid geactiveerde onderdelen</v>
      </c>
      <c r="C185" s="1861">
        <v>1.5</v>
      </c>
      <c r="D185" s="1861">
        <v>2</v>
      </c>
      <c r="E185" s="1861">
        <v>24</v>
      </c>
      <c r="F185" s="632">
        <f>C185*D185/10^3</f>
        <v>3.0000000000000001E-3</v>
      </c>
      <c r="G185" s="621">
        <f>F185*E185</f>
        <v>7.2000000000000008E-2</v>
      </c>
      <c r="H185" s="635"/>
      <c r="M185" s="288"/>
      <c r="N185" s="288"/>
      <c r="O185" s="288"/>
      <c r="P185" s="288"/>
      <c r="Q185" s="288"/>
      <c r="R185" s="288"/>
      <c r="S185" s="288"/>
      <c r="T185" s="288"/>
      <c r="U185" s="288"/>
      <c r="V185" s="288"/>
      <c r="W185" s="288"/>
      <c r="X185" s="288"/>
      <c r="Y185" s="288"/>
      <c r="Z185" s="288"/>
      <c r="AA185" s="288"/>
    </row>
    <row r="186" spans="1:52" s="222" customFormat="1" ht="19.5" customHeight="1" x14ac:dyDescent="0.25">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189"/>
      <c r="W186" s="189"/>
      <c r="X186" s="189"/>
      <c r="Y186" s="189"/>
      <c r="Z186" s="189"/>
      <c r="AA186" s="189"/>
      <c r="AB186" s="202"/>
      <c r="AC186" s="202"/>
      <c r="AD186" s="202"/>
      <c r="AE186" s="202"/>
    </row>
    <row r="187" spans="1:52" s="225" customFormat="1" ht="19.5" customHeight="1" thickBot="1" x14ac:dyDescent="0.3">
      <c r="A187" s="288" t="s">
        <v>326</v>
      </c>
      <c r="C187" s="636"/>
      <c r="D187" s="265"/>
      <c r="E187" s="265"/>
      <c r="F187" s="265"/>
      <c r="G187" s="265"/>
      <c r="H187" s="265"/>
      <c r="I187" s="233"/>
      <c r="J187" s="242"/>
      <c r="K187" s="233"/>
      <c r="L187" s="233"/>
      <c r="M187" s="242"/>
      <c r="N187" s="369"/>
      <c r="O187" s="222"/>
      <c r="P187" s="222"/>
      <c r="Q187" s="222"/>
      <c r="R187" s="222"/>
      <c r="T187" s="328"/>
      <c r="V187" s="328"/>
      <c r="W187" s="328"/>
      <c r="X187" s="328"/>
      <c r="Y187" s="328"/>
      <c r="AC187" s="222"/>
      <c r="AD187" s="211"/>
      <c r="AE187" s="222"/>
      <c r="AF187" s="222"/>
      <c r="AL187" s="300"/>
      <c r="AM187" s="300"/>
    </row>
    <row r="188" spans="1:52" s="225" customFormat="1" ht="19.5" customHeight="1" thickBot="1" x14ac:dyDescent="0.3">
      <c r="A188" s="2020" t="s">
        <v>50</v>
      </c>
      <c r="B188" s="2023" t="s">
        <v>15</v>
      </c>
      <c r="C188" s="1998" t="s">
        <v>25</v>
      </c>
      <c r="D188" s="1998" t="s">
        <v>158</v>
      </c>
      <c r="E188" s="2012" t="s">
        <v>527</v>
      </c>
      <c r="F188" s="304" t="s">
        <v>77</v>
      </c>
      <c r="G188" s="637"/>
      <c r="H188" s="305"/>
      <c r="I188" s="607" t="s">
        <v>224</v>
      </c>
      <c r="J188" s="608" t="s">
        <v>329</v>
      </c>
      <c r="K188" s="2016">
        <v>18</v>
      </c>
      <c r="L188" s="2017"/>
      <c r="M188" s="2018"/>
      <c r="N188" s="2003" t="s">
        <v>16</v>
      </c>
      <c r="O188" s="2004"/>
      <c r="P188" s="222"/>
      <c r="Q188" s="222"/>
      <c r="R188" s="222"/>
      <c r="T188" s="328"/>
      <c r="V188" s="328"/>
      <c r="W188" s="328"/>
      <c r="X188" s="328"/>
      <c r="Y188" s="328"/>
      <c r="AC188" s="222"/>
      <c r="AD188" s="211"/>
      <c r="AE188" s="222"/>
      <c r="AF188" s="222"/>
      <c r="AL188" s="300"/>
      <c r="AM188" s="300"/>
    </row>
    <row r="189" spans="1:52" s="222" customFormat="1" ht="19.5" customHeight="1" x14ac:dyDescent="0.25">
      <c r="A189" s="2021"/>
      <c r="B189" s="2024"/>
      <c r="C189" s="2010"/>
      <c r="D189" s="2010"/>
      <c r="E189" s="2010"/>
      <c r="F189" s="639"/>
      <c r="G189" s="211"/>
      <c r="H189" s="611"/>
      <c r="I189" s="614" t="s">
        <v>328</v>
      </c>
      <c r="J189" s="613" t="s">
        <v>87</v>
      </c>
      <c r="K189" s="312" t="s">
        <v>86</v>
      </c>
      <c r="L189" s="312" t="s">
        <v>206</v>
      </c>
      <c r="M189" s="312" t="s">
        <v>260</v>
      </c>
      <c r="N189" s="613"/>
      <c r="O189" s="614" t="s">
        <v>11</v>
      </c>
      <c r="T189" s="328"/>
      <c r="V189" s="328"/>
      <c r="W189" s="328"/>
      <c r="X189" s="328"/>
      <c r="Y189" s="328"/>
      <c r="AD189" s="211"/>
      <c r="AL189" s="211"/>
      <c r="AM189" s="211"/>
    </row>
    <row r="190" spans="1:52" s="222" customFormat="1" ht="19.5" customHeight="1" thickBot="1" x14ac:dyDescent="0.3">
      <c r="A190" s="2022"/>
      <c r="B190" s="2025"/>
      <c r="C190" s="2011"/>
      <c r="D190" s="2011"/>
      <c r="E190" s="2013"/>
      <c r="F190" s="615" t="s">
        <v>1</v>
      </c>
      <c r="G190" s="615" t="s">
        <v>61</v>
      </c>
      <c r="H190" s="615" t="s">
        <v>3</v>
      </c>
      <c r="I190" s="179" t="s">
        <v>229</v>
      </c>
      <c r="J190" s="179"/>
      <c r="K190" s="505" t="s">
        <v>208</v>
      </c>
      <c r="L190" s="505" t="s">
        <v>207</v>
      </c>
      <c r="M190" s="506" t="s">
        <v>341</v>
      </c>
      <c r="N190" s="614" t="s">
        <v>337</v>
      </c>
      <c r="O190" s="614" t="s">
        <v>166</v>
      </c>
      <c r="U190" s="328"/>
      <c r="W190" s="328"/>
      <c r="X190" s="328"/>
      <c r="Y190" s="328"/>
      <c r="Z190" s="328"/>
      <c r="AE190" s="211"/>
      <c r="AM190" s="211"/>
      <c r="AN190" s="211"/>
    </row>
    <row r="191" spans="1:52" s="222" customFormat="1" ht="30" customHeight="1" x14ac:dyDescent="0.25">
      <c r="A191" s="301"/>
      <c r="B191" s="2008" t="str">
        <f>Samenvatting!A298</f>
        <v>werkzaamheden uitvoeren in gecontroleerde ruimte (buiten de bestralingsruimte) terwijl er gestraald word: bv dak wegens reparaties</v>
      </c>
      <c r="C191" s="323" t="s">
        <v>569</v>
      </c>
      <c r="D191" s="1840">
        <v>6</v>
      </c>
      <c r="E191" s="1863">
        <v>0.25</v>
      </c>
      <c r="F191" s="1834">
        <v>250</v>
      </c>
      <c r="G191" s="1834">
        <v>0</v>
      </c>
      <c r="H191" s="1834">
        <v>0</v>
      </c>
      <c r="I191" s="640"/>
      <c r="J191" s="641"/>
      <c r="K191" s="686">
        <f>IF(K188=C4,IF($F191=0,0,1+($F191-$C$21)/$C$22)+$G191/$C$23+$H191/$C$24,IF(K188=D4,(IF($F191=0,0,1+($F191-$D$21)/$D$22)+$G191/$D$23+$H191/$D$24),IF(K188=E4,IF($F191=0,0,1+($F191-$E$21)/$E$22)+$G191/$E$23+$H191/$E$24,IF(K188=F4,IF($F191=0,0,1+($F191-$F$21)/$F$22)+$G191/$F$23+$H191/$F$24,IF(K188=G4,IF($F191=0,0,1+($F191-$G$21)/$G$22)+$G191/$G$23+$H191/$G$24,2)))))</f>
        <v>5.7674418604651159</v>
      </c>
      <c r="L191" s="72">
        <f>10^(-K191)</f>
        <v>1.7082763938087111E-6</v>
      </c>
      <c r="M191" s="71">
        <f>($C$7*$C$14*I192/40*$E191/$D191^2*L191*10^6)</f>
        <v>1.1863030512560492E-2</v>
      </c>
      <c r="N191" s="642">
        <f>M191+M192</f>
        <v>1.8104733127211996E-2</v>
      </c>
      <c r="O191" s="643">
        <f>N191*J192</f>
        <v>1.8104733127211996E-2</v>
      </c>
      <c r="U191" s="328"/>
      <c r="V191" s="328"/>
      <c r="W191" s="328"/>
      <c r="X191" s="328"/>
      <c r="Y191" s="328"/>
      <c r="Z191" s="328"/>
      <c r="AE191" s="211"/>
      <c r="AM191" s="211"/>
      <c r="AN191" s="211"/>
    </row>
    <row r="192" spans="1:52" s="222" customFormat="1" ht="30" customHeight="1" thickBot="1" x14ac:dyDescent="0.3">
      <c r="A192" s="623"/>
      <c r="B192" s="2019"/>
      <c r="C192" s="331" t="s">
        <v>568</v>
      </c>
      <c r="D192" s="1864">
        <v>5</v>
      </c>
      <c r="E192" s="644"/>
      <c r="F192" s="1865">
        <v>250</v>
      </c>
      <c r="G192" s="1865">
        <v>0</v>
      </c>
      <c r="H192" s="1865">
        <v>0</v>
      </c>
      <c r="I192" s="1866">
        <v>1</v>
      </c>
      <c r="J192" s="1867">
        <v>1</v>
      </c>
      <c r="K192" s="105">
        <f>IF(K188=$C$4,$F192/$C$27+$G192/$C$28+$H192/$C$29,IF(K188=$D$4,$F192/$D$27+$G192/$D$28+$H192/$D$29,IF(K188=$E$4,$F192/$E$27+$G192/$E$28+$H192/$E$29,IF(K188=$F$4,$F192/$F$27+$G192/$F$28+$H192/$F$29,IF(K188=$G$4,$F192/$G$27+$G192/$G$28+$H192/$G$29, )))))</f>
        <v>5.6818181818181817</v>
      </c>
      <c r="L192" s="106">
        <f>10^(-K192)</f>
        <v>2.0805675382171676E-6</v>
      </c>
      <c r="M192" s="105">
        <f>($C$7*I192/40*$C$15*($C$9+$C$10*$C$11)/$D192^2*L192*10^6)</f>
        <v>6.2417026146515033E-3</v>
      </c>
      <c r="N192" s="645"/>
      <c r="O192" s="646"/>
      <c r="U192" s="328"/>
      <c r="V192" s="328"/>
      <c r="W192" s="328"/>
      <c r="X192" s="328"/>
      <c r="Y192" s="328"/>
      <c r="Z192" s="328"/>
      <c r="AE192" s="211"/>
      <c r="AM192" s="211"/>
      <c r="AN192" s="211"/>
    </row>
    <row r="193" spans="1:31" s="222" customFormat="1" ht="30" customHeight="1" x14ac:dyDescent="0.25">
      <c r="A193" s="201"/>
      <c r="B193" s="201"/>
      <c r="C193" s="201"/>
      <c r="D193" s="201"/>
      <c r="E193" s="201"/>
      <c r="F193" s="201"/>
      <c r="G193" s="201"/>
      <c r="H193" s="201"/>
      <c r="I193" s="201"/>
      <c r="J193" s="201"/>
      <c r="K193" s="201"/>
      <c r="L193" s="201"/>
      <c r="M193" s="201"/>
      <c r="N193" s="189"/>
      <c r="O193" s="202"/>
      <c r="P193" s="202"/>
      <c r="Q193" s="202"/>
      <c r="R193" s="202"/>
    </row>
    <row r="194" spans="1:31" s="222" customFormat="1" ht="19.5" customHeight="1" x14ac:dyDescent="0.25">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189"/>
      <c r="W194" s="189"/>
      <c r="X194" s="189"/>
      <c r="Y194" s="189"/>
      <c r="Z194" s="189"/>
      <c r="AA194" s="189"/>
      <c r="AB194" s="202"/>
      <c r="AC194" s="202"/>
      <c r="AD194" s="202"/>
      <c r="AE194" s="202"/>
    </row>
    <row r="195" spans="1:31" ht="19.5" customHeight="1" x14ac:dyDescent="0.25">
      <c r="C195" s="279"/>
      <c r="D195" s="280"/>
      <c r="L195" s="647"/>
      <c r="M195" s="647"/>
      <c r="S195" s="648"/>
      <c r="U195" s="189"/>
      <c r="V195" s="190"/>
      <c r="AA195" s="202"/>
      <c r="AB195" s="538"/>
      <c r="AC195" s="538"/>
      <c r="AD195" s="538"/>
      <c r="AE195" s="538"/>
    </row>
    <row r="196" spans="1:31" ht="19.5" customHeight="1" x14ac:dyDescent="0.25"/>
    <row r="197" spans="1:31" ht="19.5" customHeight="1" x14ac:dyDescent="0.25"/>
  </sheetData>
  <sheetProtection algorithmName="SHA-512" hashValue="Y4YDbH26aETxVMqtV2ysYHTSq81LdHx/BgoMsrvKmUZIVC439gj2O2lBFpGmt/GQLzWM4XPkDNgOTu+Iej0HXA==" saltValue="8k3EwgJlittFgsjf1ZXtlQ==" spinCount="100000" sheet="1" objects="1" scenarios="1"/>
  <mergeCells count="37">
    <mergeCell ref="B191:B192"/>
    <mergeCell ref="P140:R140"/>
    <mergeCell ref="S140:U140"/>
    <mergeCell ref="V140:X140"/>
    <mergeCell ref="Y140:AA140"/>
    <mergeCell ref="N188:O188"/>
    <mergeCell ref="K188:M188"/>
    <mergeCell ref="X128:Z128"/>
    <mergeCell ref="A182:A184"/>
    <mergeCell ref="B182:B184"/>
    <mergeCell ref="C183:C184"/>
    <mergeCell ref="M141:M142"/>
    <mergeCell ref="P141:P142"/>
    <mergeCell ref="B172:B173"/>
    <mergeCell ref="I169:J169"/>
    <mergeCell ref="A176:A178"/>
    <mergeCell ref="B176:B178"/>
    <mergeCell ref="C177:C178"/>
    <mergeCell ref="S141:S142"/>
    <mergeCell ref="V141:V142"/>
    <mergeCell ref="Y141:Y142"/>
    <mergeCell ref="Q132:Q133"/>
    <mergeCell ref="R132:R133"/>
    <mergeCell ref="AB130:AB135"/>
    <mergeCell ref="AC130:AC135"/>
    <mergeCell ref="A188:A190"/>
    <mergeCell ref="B188:B190"/>
    <mergeCell ref="C188:C190"/>
    <mergeCell ref="D188:D190"/>
    <mergeCell ref="E188:E190"/>
    <mergeCell ref="AB140:AD140"/>
    <mergeCell ref="AC141:AD141"/>
    <mergeCell ref="L134:L135"/>
    <mergeCell ref="M134:M135"/>
    <mergeCell ref="F132:F133"/>
    <mergeCell ref="J132:J133"/>
    <mergeCell ref="K130:K133"/>
  </mergeCells>
  <dataValidations xWindow="1056" yWindow="904" count="21">
    <dataValidation allowBlank="1" showInputMessage="1" showErrorMessage="1" promptTitle="let op" prompt="Als labyrint 1 bocht heeft dan dan is er geen dz5: 1 invullen_x000a_" sqref="S131:V131 P131:Q131 K130 L131:N131"/>
    <dataValidation allowBlank="1" showInputMessage="1" showErrorMessage="1" promptTitle="let op" prompt="als versneller parallel aan het labyrint draait is er geen dp2: 1 invullen" sqref="E131:G131"/>
    <dataValidation allowBlank="1" showInputMessage="1" showErrorMessage="1" promptTitle="let op" prompt="Fr richting opp A2._x000a_Als versneller parallel aan labyrint draait dan is er geen A2: fr is dan 0" sqref="W131"/>
    <dataValidation allowBlank="1" showInputMessage="1" showErrorMessage="1" prompt="Fr richting  opp A1_x000a_" sqref="W130"/>
    <dataValidation allowBlank="1" showInputMessage="1" showErrorMessage="1" promptTitle="let op" prompt="Alleen van belang als E &gt; 10 MV (neutronenproduktie)" sqref="G125:G126"/>
    <dataValidation allowBlank="1" showInputMessage="1" showErrorMessage="1" promptTitle="let op" prompt="als er geen afstand dp is: 1 invullen_x000a_Bij de voorbeeld plattegronden is er alleen een afstand dp in fig 6. " sqref="P17"/>
    <dataValidation type="list" allowBlank="1" showInputMessage="1" showErrorMessage="1" sqref="G107:G108">
      <formula1>"1,2"</formula1>
    </dataValidation>
    <dataValidation type="list" allowBlank="1" showInputMessage="1" showErrorMessage="1" sqref="G106">
      <formula1>"parallel,loodrecht"</formula1>
    </dataValidation>
    <dataValidation allowBlank="1" showInputMessage="1" showErrorMessage="1" promptTitle="let op" prompt="is 1 las versneller parallel aan het labyrint draait" sqref="R15:R16"/>
    <dataValidation allowBlank="1" showInputMessage="1" showErrorMessage="1" promptTitle="let op" prompt="als versneller parallel aan het labyrint draait is er geen dz2:_x000a_ 1 invullen" sqref="H131:J131"/>
    <dataValidation allowBlank="1" showInputMessage="1" showErrorMessage="1" prompt="als versneller parallel aan het labyrint draait is er geen A2_x000a_: 1 invullen" sqref="O131"/>
    <dataValidation allowBlank="1" showInputMessage="1" showErrorMessage="1" promptTitle="let op" prompt="Als labyrint 1 bocht heeft dan dan is er geen A5: 1 invullen" sqref="R130:R132"/>
    <dataValidation allowBlank="1" showInputMessage="1" showErrorMessage="1" prompt="Als labyrint 1 bocht heeft dan dan is er geen A5: 1 invullen_x000a_" sqref="E116:E117"/>
    <dataValidation allowBlank="1" showInputMessage="1" showErrorMessage="1" prompt="Fr voor gantry  90 graden als versneller parallel aan labyrint draait of Fr voor gantry 270 graden als versneller loodrecht op labyrint draait _x000a_" sqref="W133"/>
    <dataValidation allowBlank="1" showInputMessage="1" showErrorMessage="1" prompt="binnenmuur labyrint" sqref="X131:AA131"/>
    <dataValidation allowBlank="1" showInputMessage="1" showErrorMessage="1" prompt="Als kort labyrint (&lt; 5m) gebruik dan 6,1 cm" sqref="O115"/>
    <dataValidation type="list" allowBlank="1" showInputMessage="1" showErrorMessage="1" prompt="Zie handleiding voor verwijzing naar literatuur._x000a_" sqref="Q111">
      <formula1>"1,5,7E-16,6,9E-16"</formula1>
    </dataValidation>
    <dataValidation type="list" allowBlank="1" showInputMessage="1" showErrorMessage="1" prompt="Zie handleiding voor verwijzing naar literatuur._x000a_" sqref="Q113">
      <formula1>"1,3,9,5,4,6,2"</formula1>
    </dataValidation>
    <dataValidation type="list" allowBlank="1" showInputMessage="1" showErrorMessage="1" sqref="K188:M188">
      <formula1>$C$4:$H$4</formula1>
    </dataValidation>
    <dataValidation allowBlank="1" showInputMessage="1" showErrorMessage="1" prompt="Stralingsweegfactor, WR = 20" sqref="E173"/>
    <dataValidation type="list" allowBlank="1" showInputMessage="1" showErrorMessage="1" prompt="als head shielding van wolfraam dan 0,85, als van lood dan 1_x000a_als geen neutronen dan ook 1" sqref="C16">
      <formula1>"0,85,1"</formula1>
    </dataValidation>
  </dataValidations>
  <pageMargins left="0.70866141732283472" right="0.70866141732283472" top="0.74803149606299213" bottom="0.74803149606299213" header="0.31496062992125984" footer="0.31496062992125984"/>
  <pageSetup paperSize="8" scale="30" orientation="landscape" r:id="rId1"/>
  <headerFooter>
    <oddFooter>&amp;C&amp;F &amp;A</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
  <sheetViews>
    <sheetView showGridLines="0" topLeftCell="AA13" zoomScaleNormal="100" workbookViewId="0">
      <selection activeCell="V89" sqref="V89"/>
    </sheetView>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theme="0" tint="-0.249977111117893"/>
  </sheetPr>
  <dimension ref="A1:AJ58"/>
  <sheetViews>
    <sheetView showGridLines="0" topLeftCell="A13" zoomScale="85" zoomScaleNormal="85" workbookViewId="0">
      <selection activeCell="M50" sqref="M50"/>
    </sheetView>
  </sheetViews>
  <sheetFormatPr defaultRowHeight="12.75" x14ac:dyDescent="0.2"/>
  <cols>
    <col min="1" max="1" width="6.7109375" style="811" customWidth="1"/>
    <col min="2" max="2" width="20.7109375" style="811" customWidth="1"/>
    <col min="3" max="14" width="12.7109375" style="811" customWidth="1"/>
    <col min="15" max="15" width="14.28515625" style="811" customWidth="1"/>
    <col min="16" max="16" width="11.85546875" style="811" customWidth="1"/>
    <col min="17" max="16384" width="9.140625" style="811"/>
  </cols>
  <sheetData>
    <row r="1" spans="1:27" s="736" customFormat="1" ht="27" thickBot="1" x14ac:dyDescent="0.45">
      <c r="A1" s="731" t="s">
        <v>43</v>
      </c>
      <c r="B1" s="732"/>
      <c r="C1" s="733"/>
      <c r="D1" s="733"/>
      <c r="E1" s="733"/>
      <c r="F1" s="733"/>
      <c r="G1" s="733"/>
      <c r="H1" s="733"/>
      <c r="I1" s="733"/>
      <c r="J1" s="733"/>
      <c r="K1" s="733"/>
      <c r="L1" s="733"/>
      <c r="M1" s="733"/>
      <c r="N1" s="734"/>
      <c r="O1" s="735"/>
    </row>
    <row r="2" spans="1:27" s="37" customFormat="1" ht="18.75" customHeight="1" thickBot="1" x14ac:dyDescent="0.25">
      <c r="A2" s="737"/>
      <c r="F2" s="738"/>
      <c r="G2" s="738"/>
      <c r="H2" s="738"/>
    </row>
    <row r="3" spans="1:27" s="743" customFormat="1" ht="26.25" customHeight="1" thickBot="1" x14ac:dyDescent="0.45">
      <c r="A3" s="739" t="s">
        <v>314</v>
      </c>
      <c r="B3" s="740"/>
      <c r="C3" s="1873" t="s">
        <v>316</v>
      </c>
      <c r="D3" s="1874"/>
      <c r="E3" s="1874"/>
      <c r="F3" s="1875"/>
      <c r="G3" s="741"/>
      <c r="H3" s="742"/>
      <c r="K3" s="193"/>
      <c r="L3" s="194" t="s">
        <v>420</v>
      </c>
    </row>
    <row r="4" spans="1:27" s="743" customFormat="1" ht="22.5" customHeight="1" x14ac:dyDescent="0.4">
      <c r="A4" s="744"/>
      <c r="B4" s="745"/>
      <c r="C4" s="746"/>
      <c r="D4" s="745"/>
      <c r="E4" s="745"/>
      <c r="F4" s="395"/>
      <c r="G4" s="395"/>
      <c r="H4" s="742"/>
      <c r="K4" s="195"/>
      <c r="L4" s="194"/>
    </row>
    <row r="5" spans="1:27" s="39" customFormat="1" ht="19.5" customHeight="1" thickBot="1" x14ac:dyDescent="0.3">
      <c r="A5" s="747" t="s">
        <v>532</v>
      </c>
      <c r="B5" s="748"/>
      <c r="C5" s="748"/>
      <c r="D5" s="749"/>
      <c r="E5" s="749" t="s">
        <v>236</v>
      </c>
      <c r="F5" s="749"/>
      <c r="G5" s="749"/>
      <c r="H5" s="749"/>
      <c r="I5" s="749"/>
      <c r="J5" s="749"/>
      <c r="K5" s="210"/>
      <c r="L5" s="194" t="s">
        <v>421</v>
      </c>
      <c r="M5" s="747"/>
      <c r="N5" s="749"/>
      <c r="O5" s="749"/>
      <c r="P5" s="749"/>
      <c r="Q5" s="749"/>
      <c r="R5" s="749"/>
      <c r="S5" s="749"/>
      <c r="T5" s="749"/>
      <c r="U5" s="749"/>
      <c r="V5" s="37"/>
      <c r="W5" s="37"/>
      <c r="X5" s="37"/>
      <c r="Y5" s="37"/>
      <c r="Z5" s="37"/>
      <c r="AA5" s="37"/>
    </row>
    <row r="6" spans="1:27" s="751" customFormat="1" ht="30" customHeight="1" x14ac:dyDescent="0.25">
      <c r="A6" s="2036" t="s">
        <v>71</v>
      </c>
      <c r="B6" s="2037"/>
      <c r="C6" s="750" t="s">
        <v>44</v>
      </c>
      <c r="D6" s="30" t="s">
        <v>211</v>
      </c>
      <c r="E6" s="30" t="s">
        <v>358</v>
      </c>
      <c r="F6" s="2034" t="s">
        <v>75</v>
      </c>
      <c r="K6" s="214"/>
      <c r="L6" s="194"/>
    </row>
    <row r="7" spans="1:27" s="751" customFormat="1" ht="30" customHeight="1" x14ac:dyDescent="0.25">
      <c r="A7" s="2038"/>
      <c r="B7" s="2039"/>
      <c r="C7" s="752"/>
      <c r="D7" s="23"/>
      <c r="E7" s="23" t="s">
        <v>359</v>
      </c>
      <c r="F7" s="2035"/>
      <c r="K7" s="223"/>
      <c r="L7" s="194" t="s">
        <v>422</v>
      </c>
      <c r="M7" s="753"/>
    </row>
    <row r="8" spans="1:27" s="751" customFormat="1" ht="30" customHeight="1" x14ac:dyDescent="0.25">
      <c r="A8" s="2040" t="s">
        <v>49</v>
      </c>
      <c r="B8" s="2041"/>
      <c r="C8" s="754">
        <v>120</v>
      </c>
      <c r="D8" s="1876">
        <v>30</v>
      </c>
      <c r="E8" s="1877">
        <v>600</v>
      </c>
      <c r="F8" s="45">
        <f>E8*1.2*0.0003</f>
        <v>0.21599999999999997</v>
      </c>
      <c r="K8" s="195"/>
      <c r="L8" s="195"/>
      <c r="M8" s="753"/>
    </row>
    <row r="9" spans="1:27" s="751" customFormat="1" ht="30" customHeight="1" x14ac:dyDescent="0.25">
      <c r="A9" s="2042" t="s">
        <v>70</v>
      </c>
      <c r="B9" s="2043"/>
      <c r="C9" s="755"/>
      <c r="D9" s="1878">
        <v>10</v>
      </c>
      <c r="E9" s="1879">
        <v>1200</v>
      </c>
      <c r="F9" s="46">
        <f>E9*0.00009</f>
        <v>0.10800000000000001</v>
      </c>
      <c r="K9" s="228"/>
      <c r="L9" s="194" t="s">
        <v>650</v>
      </c>
      <c r="M9" s="753"/>
    </row>
    <row r="10" spans="1:27" s="751" customFormat="1" ht="30" customHeight="1" x14ac:dyDescent="0.25">
      <c r="A10" s="2040" t="s">
        <v>49</v>
      </c>
      <c r="B10" s="2041"/>
      <c r="C10" s="754">
        <v>140</v>
      </c>
      <c r="D10" s="1878">
        <v>30</v>
      </c>
      <c r="E10" s="1879">
        <v>600</v>
      </c>
      <c r="F10" s="46">
        <f>E10*1.2*0.0003</f>
        <v>0.21599999999999997</v>
      </c>
      <c r="K10" s="195"/>
      <c r="L10" s="194"/>
    </row>
    <row r="11" spans="1:27" s="751" customFormat="1" ht="30" customHeight="1" thickBot="1" x14ac:dyDescent="0.3">
      <c r="A11" s="2044" t="s">
        <v>70</v>
      </c>
      <c r="B11" s="2045"/>
      <c r="C11" s="756"/>
      <c r="D11" s="1880">
        <v>10</v>
      </c>
      <c r="E11" s="1823">
        <v>1200</v>
      </c>
      <c r="F11" s="47">
        <f>E11*0.00009</f>
        <v>0.10800000000000001</v>
      </c>
      <c r="K11" s="232"/>
      <c r="L11" s="194" t="s">
        <v>649</v>
      </c>
    </row>
    <row r="12" spans="1:27" s="39" customFormat="1" ht="22.5" customHeight="1" x14ac:dyDescent="0.25">
      <c r="A12" s="749"/>
      <c r="B12" s="749"/>
      <c r="C12" s="749"/>
      <c r="D12" s="749"/>
      <c r="E12" s="749"/>
      <c r="F12" s="749"/>
      <c r="G12" s="749"/>
      <c r="H12" s="749"/>
      <c r="I12" s="749"/>
      <c r="J12" s="749"/>
      <c r="M12" s="749"/>
      <c r="N12" s="757"/>
      <c r="O12" s="749"/>
      <c r="P12" s="757"/>
      <c r="Q12" s="757"/>
      <c r="R12" s="749"/>
      <c r="S12" s="749"/>
      <c r="T12" s="749"/>
      <c r="U12" s="749"/>
      <c r="V12" s="37"/>
      <c r="W12" s="37"/>
      <c r="X12" s="37"/>
      <c r="Y12" s="37"/>
      <c r="Z12" s="37"/>
      <c r="AA12" s="37"/>
    </row>
    <row r="13" spans="1:27" s="751" customFormat="1" ht="20.100000000000001" customHeight="1" x14ac:dyDescent="0.25">
      <c r="A13" s="758" t="s">
        <v>428</v>
      </c>
    </row>
    <row r="14" spans="1:27" s="751" customFormat="1" ht="14.25" x14ac:dyDescent="0.2">
      <c r="B14" s="759" t="s">
        <v>48</v>
      </c>
      <c r="C14" s="760" t="s">
        <v>45</v>
      </c>
      <c r="D14" s="760" t="s">
        <v>46</v>
      </c>
      <c r="E14" s="761" t="s">
        <v>47</v>
      </c>
      <c r="K14" s="235"/>
      <c r="L14" s="194"/>
    </row>
    <row r="15" spans="1:27" s="751" customFormat="1" ht="14.25" x14ac:dyDescent="0.2">
      <c r="A15" s="762" t="s">
        <v>22</v>
      </c>
      <c r="B15" s="762">
        <v>120</v>
      </c>
      <c r="C15" s="763">
        <v>2.246</v>
      </c>
      <c r="D15" s="763">
        <v>5.73</v>
      </c>
      <c r="E15" s="763">
        <v>0.54700000000000004</v>
      </c>
      <c r="K15" s="235"/>
      <c r="L15" s="235"/>
    </row>
    <row r="16" spans="1:27" s="751" customFormat="1" ht="14.25" x14ac:dyDescent="0.2">
      <c r="A16" s="764"/>
      <c r="B16" s="762">
        <v>140</v>
      </c>
      <c r="C16" s="763">
        <v>2.0089999999999999</v>
      </c>
      <c r="D16" s="763">
        <v>3.99</v>
      </c>
      <c r="E16" s="763">
        <v>0.34200000000000003</v>
      </c>
    </row>
    <row r="17" spans="1:36" s="751" customFormat="1" ht="14.25" x14ac:dyDescent="0.2">
      <c r="A17" s="765" t="s">
        <v>2</v>
      </c>
      <c r="B17" s="762">
        <v>120</v>
      </c>
      <c r="C17" s="763">
        <v>3.8300000000000001E-2</v>
      </c>
      <c r="D17" s="763">
        <v>1.4200000000000001E-2</v>
      </c>
      <c r="E17" s="763">
        <v>0.65800000000000003</v>
      </c>
    </row>
    <row r="18" spans="1:36" s="751" customFormat="1" ht="15" x14ac:dyDescent="0.25">
      <c r="A18" s="766"/>
      <c r="B18" s="762">
        <v>140</v>
      </c>
      <c r="C18" s="763">
        <v>3.3599999999999998E-2</v>
      </c>
      <c r="D18" s="763">
        <v>1.2200000000000001E-2</v>
      </c>
      <c r="E18" s="763">
        <v>0.51900000000000002</v>
      </c>
    </row>
    <row r="19" spans="1:36" s="751" customFormat="1" ht="19.5" customHeight="1" x14ac:dyDescent="0.2">
      <c r="B19" s="767"/>
      <c r="C19" s="768"/>
      <c r="D19" s="769"/>
      <c r="E19" s="767"/>
      <c r="F19" s="767"/>
      <c r="G19" s="767"/>
    </row>
    <row r="20" spans="1:36" s="39" customFormat="1" ht="19.5" customHeight="1" x14ac:dyDescent="0.25">
      <c r="A20" s="747"/>
      <c r="B20" s="770"/>
      <c r="C20" s="770"/>
      <c r="D20" s="771"/>
      <c r="E20" s="749"/>
      <c r="F20" s="749"/>
      <c r="G20" s="749"/>
      <c r="H20" s="749"/>
      <c r="I20" s="749"/>
      <c r="J20" s="749"/>
      <c r="K20" s="749"/>
      <c r="L20" s="757"/>
      <c r="M20" s="757"/>
      <c r="N20" s="757"/>
      <c r="O20" s="749"/>
      <c r="P20" s="749"/>
      <c r="Q20" s="749"/>
      <c r="R20" s="749"/>
      <c r="S20" s="749"/>
      <c r="T20" s="749"/>
      <c r="U20" s="749"/>
      <c r="V20" s="37"/>
      <c r="W20" s="738"/>
      <c r="X20" s="37"/>
      <c r="Y20" s="37"/>
      <c r="Z20" s="37"/>
      <c r="AA20" s="37"/>
      <c r="AE20" s="772"/>
      <c r="AF20" s="772"/>
      <c r="AG20" s="772"/>
      <c r="AH20" s="772"/>
      <c r="AI20" s="772"/>
      <c r="AJ20" s="772"/>
    </row>
    <row r="21" spans="1:36" s="604" customFormat="1" ht="15.75" customHeight="1" thickBot="1" x14ac:dyDescent="0.3">
      <c r="A21" s="283" t="s">
        <v>506</v>
      </c>
      <c r="B21" s="284"/>
      <c r="C21" s="284"/>
      <c r="D21" s="36"/>
      <c r="E21" s="37"/>
      <c r="F21" s="37"/>
      <c r="G21" s="37"/>
      <c r="H21" s="37"/>
      <c r="I21" s="37"/>
      <c r="J21" s="37"/>
      <c r="K21" s="773"/>
      <c r="L21" s="774"/>
      <c r="M21" s="774"/>
      <c r="N21" s="738"/>
      <c r="O21" s="37"/>
      <c r="P21" s="37"/>
      <c r="Q21" s="37"/>
      <c r="R21" s="37"/>
      <c r="S21" s="37"/>
      <c r="T21" s="37"/>
      <c r="U21" s="37"/>
      <c r="V21" s="37"/>
      <c r="W21" s="738"/>
      <c r="X21" s="37"/>
      <c r="Y21" s="37"/>
      <c r="Z21" s="37"/>
      <c r="AA21" s="37"/>
      <c r="AE21" s="775"/>
      <c r="AF21" s="775"/>
      <c r="AG21" s="775"/>
      <c r="AH21" s="775"/>
      <c r="AI21" s="775"/>
      <c r="AJ21" s="775"/>
    </row>
    <row r="22" spans="1:36" s="751" customFormat="1" ht="15" customHeight="1" x14ac:dyDescent="0.2">
      <c r="A22" s="37"/>
      <c r="B22" s="37"/>
      <c r="C22" s="776"/>
      <c r="D22" s="776"/>
      <c r="J22" s="777"/>
      <c r="K22" s="2046" t="s">
        <v>17</v>
      </c>
      <c r="L22" s="2047"/>
      <c r="M22" s="2047"/>
      <c r="N22" s="2048"/>
    </row>
    <row r="23" spans="1:36" s="751" customFormat="1" ht="14.25" x14ac:dyDescent="0.2">
      <c r="A23" s="37"/>
      <c r="B23" s="37"/>
      <c r="C23" s="778" t="s">
        <v>44</v>
      </c>
      <c r="D23" s="779" t="s">
        <v>4</v>
      </c>
      <c r="E23" s="2049" t="s">
        <v>9</v>
      </c>
      <c r="F23" s="2050"/>
      <c r="G23" s="2051" t="s">
        <v>73</v>
      </c>
      <c r="H23" s="2052"/>
      <c r="I23" s="2053"/>
      <c r="K23" s="741" t="s">
        <v>23</v>
      </c>
      <c r="L23" s="501" t="s">
        <v>11</v>
      </c>
      <c r="M23" s="395" t="s">
        <v>11</v>
      </c>
      <c r="N23" s="780" t="s">
        <v>573</v>
      </c>
    </row>
    <row r="24" spans="1:36" s="751" customFormat="1" ht="14.25" x14ac:dyDescent="0.2">
      <c r="A24" s="781" t="s">
        <v>50</v>
      </c>
      <c r="B24" s="782" t="s">
        <v>15</v>
      </c>
      <c r="C24" s="755"/>
      <c r="D24" s="783" t="s">
        <v>78</v>
      </c>
      <c r="E24" s="783" t="s">
        <v>76</v>
      </c>
      <c r="F24" s="755" t="s">
        <v>72</v>
      </c>
      <c r="G24" s="784" t="s">
        <v>45</v>
      </c>
      <c r="H24" s="785" t="s">
        <v>46</v>
      </c>
      <c r="I24" s="786" t="s">
        <v>47</v>
      </c>
      <c r="J24" s="34" t="s">
        <v>228</v>
      </c>
      <c r="K24" s="787" t="s">
        <v>237</v>
      </c>
      <c r="L24" s="788" t="s">
        <v>237</v>
      </c>
      <c r="M24" s="789" t="s">
        <v>238</v>
      </c>
      <c r="N24" s="790" t="s">
        <v>318</v>
      </c>
    </row>
    <row r="25" spans="1:36" s="751" customFormat="1" ht="30" customHeight="1" x14ac:dyDescent="0.2">
      <c r="A25" s="791" t="str">
        <f>Samenvatting!A247</f>
        <v>C1</v>
      </c>
      <c r="B25" s="792" t="str">
        <f>Samenvatting!B247</f>
        <v>bedieningsruimte CT1</v>
      </c>
      <c r="C25" s="793">
        <v>120</v>
      </c>
      <c r="D25" s="1834">
        <v>4</v>
      </c>
      <c r="E25" s="1881" t="s">
        <v>22</v>
      </c>
      <c r="F25" s="1834">
        <v>2</v>
      </c>
      <c r="G25" s="48">
        <f>IF($E$25="lood",VLOOKUP($C$25,$B$15:$E$16,2),VLOOKUP($C$25,$B$17:$E$18,2))</f>
        <v>2.246</v>
      </c>
      <c r="H25" s="48">
        <f>IF($E$25="lood",VLOOKUP($C$25,$B$15:$E$16,3),VLOOKUP($C$25,$B$17:$E$18,3))</f>
        <v>5.73</v>
      </c>
      <c r="I25" s="48">
        <f>IF($E$25="lood",VLOOKUP($C$25,$B$15:$E$16,4),VLOOKUP($C$25,$B$17:$E$18,4))</f>
        <v>0.54700000000000004</v>
      </c>
      <c r="J25" s="51">
        <f>((((1+$H25/$G25)*EXP(1)^($G25*$I25*$F25))-($H25/$G25))^(-1/$I25))</f>
        <v>1.2399901794882939E-3</v>
      </c>
      <c r="K25" s="68">
        <f>($D$8*$F$8+$D$9*$F$9)*$J25/$D25^2</f>
        <v>5.8589535980821872E-4</v>
      </c>
      <c r="L25" s="42">
        <f>SUM(K25:K26)</f>
        <v>1.1805388714428568E-3</v>
      </c>
      <c r="M25" s="43">
        <f>L25*52</f>
        <v>6.1388021315028553E-2</v>
      </c>
      <c r="N25" s="44">
        <f>$L25/(SUM(D$8:D$11))</f>
        <v>1.4756735893035709E-5</v>
      </c>
    </row>
    <row r="26" spans="1:36" s="751" customFormat="1" ht="30" customHeight="1" thickBot="1" x14ac:dyDescent="0.25">
      <c r="A26" s="794"/>
      <c r="B26" s="795"/>
      <c r="C26" s="796">
        <v>140</v>
      </c>
      <c r="D26" s="506"/>
      <c r="E26" s="797"/>
      <c r="F26" s="506"/>
      <c r="G26" s="49">
        <f>IF($E$25="lood",VLOOKUP($C$26,$B$15:$E$16,2),VLOOKUP($C$26,$B$17:$E$18,2))</f>
        <v>2.0089999999999999</v>
      </c>
      <c r="H26" s="49">
        <f>IF($E$25="lood",VLOOKUP($C$26,$B$15:$E$16,3),VLOOKUP($C$26,$B$17:$E$18,3))</f>
        <v>3.99</v>
      </c>
      <c r="I26" s="50">
        <f>IF($E$25="lood",VLOOKUP($C$26,$B$15:$E$16,4),VLOOKUP($C$26,$B$17:$E$18,5))</f>
        <v>0.34200000000000003</v>
      </c>
      <c r="J26" s="51">
        <f>((((1+$H26/$G26)*EXP(1)^($G26*$I26*$F25))-($H26/$G26))^(-1/$I26))</f>
        <v>1.2585047865283343E-3</v>
      </c>
      <c r="K26" s="69">
        <f>($D$10*$F$10+$D$11*$F$11)*$J26/$D25^2</f>
        <v>5.9464351163463793E-4</v>
      </c>
      <c r="L26" s="31"/>
      <c r="M26" s="32"/>
      <c r="N26" s="33"/>
    </row>
    <row r="27" spans="1:36" s="751" customFormat="1" ht="19.5" customHeight="1" x14ac:dyDescent="0.2"/>
    <row r="28" spans="1:36" s="751" customFormat="1" ht="19.5" customHeight="1" x14ac:dyDescent="0.2"/>
    <row r="29" spans="1:36" s="604" customFormat="1" ht="18" x14ac:dyDescent="0.25">
      <c r="A29" s="595" t="s">
        <v>418</v>
      </c>
      <c r="B29" s="595"/>
      <c r="C29" s="596"/>
      <c r="D29" s="599"/>
      <c r="E29" s="599"/>
      <c r="F29" s="600"/>
      <c r="G29" s="600"/>
      <c r="H29" s="600"/>
      <c r="I29" s="601"/>
      <c r="J29" s="600"/>
      <c r="K29" s="602"/>
      <c r="L29" s="603"/>
      <c r="M29" s="603"/>
    </row>
    <row r="30" spans="1:36" s="604" customFormat="1" ht="19.5" customHeight="1" x14ac:dyDescent="0.25">
      <c r="A30" s="597"/>
      <c r="B30" s="598"/>
      <c r="C30" s="599"/>
      <c r="D30" s="599"/>
      <c r="E30" s="599"/>
      <c r="F30" s="600"/>
      <c r="G30" s="600"/>
      <c r="H30" s="600"/>
      <c r="I30" s="601"/>
      <c r="J30" s="600"/>
      <c r="K30" s="602"/>
      <c r="L30" s="603"/>
      <c r="M30" s="603"/>
    </row>
    <row r="31" spans="1:36" s="751" customFormat="1" ht="15" thickBot="1" x14ac:dyDescent="0.25">
      <c r="A31" s="751" t="s">
        <v>466</v>
      </c>
    </row>
    <row r="32" spans="1:36" s="751" customFormat="1" ht="15" customHeight="1" x14ac:dyDescent="0.2">
      <c r="A32" s="37"/>
      <c r="B32" s="37"/>
      <c r="C32" s="798"/>
      <c r="D32" s="2056" t="s">
        <v>335</v>
      </c>
      <c r="E32" s="1998" t="s">
        <v>338</v>
      </c>
      <c r="F32" s="799"/>
      <c r="G32" s="2049" t="s">
        <v>9</v>
      </c>
      <c r="H32" s="2050"/>
      <c r="I32" s="2051" t="s">
        <v>73</v>
      </c>
      <c r="J32" s="2052"/>
      <c r="K32" s="2053"/>
      <c r="L32" s="800"/>
      <c r="M32" s="2061" t="s">
        <v>16</v>
      </c>
      <c r="N32" s="2062"/>
      <c r="O32" s="801"/>
      <c r="P32" s="801"/>
    </row>
    <row r="33" spans="1:15" s="751" customFormat="1" ht="14.25" x14ac:dyDescent="0.2">
      <c r="A33" s="37"/>
      <c r="B33" s="37"/>
      <c r="C33" s="778" t="s">
        <v>44</v>
      </c>
      <c r="D33" s="2057"/>
      <c r="E33" s="2010"/>
      <c r="F33" s="779" t="s">
        <v>4</v>
      </c>
      <c r="G33" s="779"/>
      <c r="H33" s="778"/>
      <c r="I33" s="784" t="s">
        <v>45</v>
      </c>
      <c r="J33" s="785" t="s">
        <v>46</v>
      </c>
      <c r="K33" s="786" t="s">
        <v>47</v>
      </c>
      <c r="L33" s="34" t="s">
        <v>6</v>
      </c>
      <c r="M33" s="741"/>
      <c r="N33" s="780"/>
      <c r="O33" s="802"/>
    </row>
    <row r="34" spans="1:15" s="751" customFormat="1" ht="14.25" x14ac:dyDescent="0.2">
      <c r="A34" s="37"/>
      <c r="B34" s="37"/>
      <c r="C34" s="778"/>
      <c r="D34" s="2057"/>
      <c r="E34" s="2010"/>
      <c r="F34" s="779"/>
      <c r="G34" s="779"/>
      <c r="H34" s="778"/>
      <c r="I34" s="784"/>
      <c r="J34" s="785"/>
      <c r="K34" s="786"/>
      <c r="L34" s="34"/>
      <c r="M34" s="741"/>
      <c r="N34" s="780"/>
      <c r="O34" s="802"/>
    </row>
    <row r="35" spans="1:15" s="751" customFormat="1" ht="14.25" x14ac:dyDescent="0.2">
      <c r="A35" s="781" t="s">
        <v>50</v>
      </c>
      <c r="B35" s="782" t="s">
        <v>15</v>
      </c>
      <c r="C35" s="755"/>
      <c r="D35" s="2058"/>
      <c r="E35" s="2011"/>
      <c r="F35" s="783" t="s">
        <v>8</v>
      </c>
      <c r="G35" s="783" t="s">
        <v>76</v>
      </c>
      <c r="H35" s="755" t="s">
        <v>72</v>
      </c>
      <c r="I35" s="783"/>
      <c r="J35" s="755"/>
      <c r="K35" s="803"/>
      <c r="L35" s="804"/>
      <c r="M35" s="805" t="s">
        <v>342</v>
      </c>
      <c r="N35" s="790" t="s">
        <v>343</v>
      </c>
      <c r="O35" s="802"/>
    </row>
    <row r="36" spans="1:15" s="751" customFormat="1" ht="30" customHeight="1" x14ac:dyDescent="0.2">
      <c r="A36" s="2054"/>
      <c r="B36" s="1998" t="s">
        <v>103</v>
      </c>
      <c r="C36" s="793">
        <v>120</v>
      </c>
      <c r="D36" s="1860">
        <v>1</v>
      </c>
      <c r="E36" s="1860">
        <v>1</v>
      </c>
      <c r="F36" s="1834">
        <v>1</v>
      </c>
      <c r="G36" s="1881" t="s">
        <v>22</v>
      </c>
      <c r="H36" s="1834">
        <v>0</v>
      </c>
      <c r="I36" s="48">
        <f>IF($G$36="lood",VLOOKUP($C$25,$B$15:$E$16,2),VLOOKUP($C$25,$B$17:$E$18,2))</f>
        <v>2.246</v>
      </c>
      <c r="J36" s="48">
        <f>IF($G$36="lood",VLOOKUP($C$25,$B$15:$E$16,3),VLOOKUP($C$25,$B$17:$E$18,3))</f>
        <v>5.73</v>
      </c>
      <c r="K36" s="48">
        <f>IF($G$36="lood",VLOOKUP($C$25,$B$15:$E$16,4),VLOOKUP($C$25,$B$17:$E$18,4))</f>
        <v>0.54700000000000004</v>
      </c>
      <c r="L36" s="51">
        <f>((((1+$J36/$I36)*EXP(1)^($I36*$K36*$H36))-($J36/$I36))^(-1/$K36))</f>
        <v>1</v>
      </c>
      <c r="M36" s="2063">
        <f>(($D$8*$F$8+$D$9*$F$9)*$L36/$F36^2+($D$10*$F$10+$D$11*$F$11)*$L37/$F36^2)/SUM(D8:D11)*D36</f>
        <v>0.18899999999999997</v>
      </c>
      <c r="N36" s="2059">
        <f>M36*E36</f>
        <v>0.18899999999999997</v>
      </c>
      <c r="O36" s="806"/>
    </row>
    <row r="37" spans="1:15" s="751" customFormat="1" ht="30" customHeight="1" thickBot="1" x14ac:dyDescent="0.25">
      <c r="A37" s="2055"/>
      <c r="B37" s="2011"/>
      <c r="C37" s="796">
        <v>140</v>
      </c>
      <c r="D37" s="615"/>
      <c r="E37" s="615"/>
      <c r="F37" s="506"/>
      <c r="G37" s="797"/>
      <c r="H37" s="506"/>
      <c r="I37" s="49">
        <f>IF($G$36="lood",VLOOKUP($C$26,$B$15:$E$16,2),VLOOKUP($C$26,$B$17:$E$18,2))</f>
        <v>2.0089999999999999</v>
      </c>
      <c r="J37" s="49">
        <f>IF($G$36="lood",VLOOKUP($C$26,$B$15:$E$16,3),VLOOKUP($C$26,$B$17:$E$18,3))</f>
        <v>3.99</v>
      </c>
      <c r="K37" s="50">
        <f>IF($G$36="lood",VLOOKUP($C$26,$B$15:$E$16,4),VLOOKUP($C$26,$B$17:$E$18,4))</f>
        <v>0.34200000000000003</v>
      </c>
      <c r="L37" s="51">
        <f>((((1+$J37/$I37)*EXP(1)^($I37*$K37*$H36))-($J37/$I37))^(-1/$K37))</f>
        <v>1</v>
      </c>
      <c r="M37" s="2064"/>
      <c r="N37" s="2060"/>
      <c r="O37" s="806"/>
    </row>
    <row r="38" spans="1:15" s="751" customFormat="1" ht="14.25" x14ac:dyDescent="0.2">
      <c r="A38" s="541"/>
      <c r="B38" s="368"/>
      <c r="C38" s="34"/>
      <c r="D38" s="807"/>
      <c r="E38" s="807"/>
      <c r="F38" s="807"/>
      <c r="G38" s="808"/>
      <c r="H38" s="808"/>
      <c r="I38" s="808"/>
      <c r="J38" s="29"/>
      <c r="K38" s="600"/>
      <c r="L38" s="809"/>
      <c r="M38" s="602"/>
      <c r="N38" s="600"/>
    </row>
    <row r="39" spans="1:15" s="751" customFormat="1" ht="14.25" x14ac:dyDescent="0.2">
      <c r="A39" s="541"/>
      <c r="B39" s="368"/>
      <c r="C39" s="34"/>
      <c r="D39" s="807"/>
      <c r="E39" s="807"/>
      <c r="F39" s="807"/>
      <c r="G39" s="808"/>
      <c r="H39" s="808"/>
      <c r="I39" s="808"/>
      <c r="J39" s="29"/>
      <c r="K39" s="600"/>
      <c r="L39" s="809"/>
      <c r="M39" s="602"/>
      <c r="N39" s="600"/>
    </row>
    <row r="40" spans="1:15" s="751" customFormat="1" ht="14.25" x14ac:dyDescent="0.2">
      <c r="B40" s="810"/>
      <c r="C40" s="767"/>
      <c r="D40" s="767"/>
      <c r="E40" s="767"/>
      <c r="F40" s="767"/>
      <c r="G40" s="767"/>
    </row>
    <row r="41" spans="1:15" x14ac:dyDescent="0.2">
      <c r="B41" s="812"/>
      <c r="C41" s="813"/>
      <c r="D41" s="813"/>
      <c r="E41" s="813"/>
      <c r="F41" s="813"/>
      <c r="G41" s="813"/>
    </row>
    <row r="42" spans="1:15" x14ac:dyDescent="0.2">
      <c r="B42" s="5"/>
      <c r="C42" s="5"/>
      <c r="D42" s="6"/>
      <c r="E42" s="6"/>
      <c r="F42" s="7"/>
      <c r="G42" s="7"/>
      <c r="H42" s="8"/>
      <c r="I42" s="8"/>
      <c r="J42" s="8"/>
      <c r="K42" s="8"/>
      <c r="L42" s="9"/>
      <c r="M42" s="9"/>
    </row>
    <row r="43" spans="1:15" x14ac:dyDescent="0.2">
      <c r="B43" s="814"/>
      <c r="C43" s="815"/>
      <c r="D43" s="815"/>
      <c r="E43" s="10"/>
      <c r="F43" s="816"/>
      <c r="G43" s="817"/>
      <c r="H43" s="818"/>
      <c r="I43" s="819"/>
      <c r="J43" s="819"/>
      <c r="K43" s="819"/>
      <c r="L43" s="11"/>
      <c r="M43" s="12"/>
    </row>
    <row r="44" spans="1:15" x14ac:dyDescent="0.2">
      <c r="B44" s="814"/>
      <c r="C44" s="815"/>
      <c r="D44" s="815"/>
      <c r="E44" s="13"/>
      <c r="F44" s="820"/>
      <c r="G44" s="817"/>
      <c r="H44" s="818"/>
      <c r="I44" s="819"/>
      <c r="J44" s="819"/>
      <c r="K44" s="819"/>
      <c r="L44" s="11"/>
      <c r="M44" s="12"/>
      <c r="N44" s="821"/>
      <c r="O44" s="821"/>
    </row>
    <row r="45" spans="1:15" x14ac:dyDescent="0.2">
      <c r="B45" s="813"/>
      <c r="C45" s="813"/>
      <c r="D45" s="813"/>
      <c r="E45" s="813"/>
      <c r="F45" s="813"/>
      <c r="G45" s="813"/>
    </row>
    <row r="46" spans="1:15" x14ac:dyDescent="0.2">
      <c r="B46" s="822"/>
      <c r="C46" s="823"/>
      <c r="D46" s="823"/>
      <c r="E46" s="823"/>
      <c r="F46" s="823"/>
      <c r="G46" s="823"/>
      <c r="H46" s="824"/>
      <c r="I46" s="824"/>
      <c r="J46" s="821"/>
      <c r="K46" s="824"/>
      <c r="L46" s="824"/>
      <c r="M46" s="821"/>
    </row>
    <row r="53" spans="6:13" x14ac:dyDescent="0.2">
      <c r="L53" s="825"/>
      <c r="M53" s="825"/>
    </row>
    <row r="57" spans="6:13" x14ac:dyDescent="0.2">
      <c r="F57" s="825"/>
      <c r="G57" s="825"/>
      <c r="H57" s="825"/>
      <c r="I57" s="825"/>
    </row>
    <row r="58" spans="6:13" x14ac:dyDescent="0.2">
      <c r="F58" s="825"/>
      <c r="G58" s="825"/>
      <c r="H58" s="825"/>
      <c r="I58" s="825"/>
    </row>
  </sheetData>
  <sheetProtection algorithmName="SHA-512" hashValue="wjBOMuHxldmmStQT4O3R3ONhpiOHp5BiIGm3EraW6gR9KNZwaQIHAIBRzwhIOYVSnaWKIaSVOkbFJBd0XYUhYw==" saltValue="ckKcowikDnHGU3iAo+XTXw==" spinCount="100000" sheet="1" objects="1" scenarios="1"/>
  <mergeCells count="18">
    <mergeCell ref="A36:A37"/>
    <mergeCell ref="B36:B37"/>
    <mergeCell ref="D32:D35"/>
    <mergeCell ref="E32:E35"/>
    <mergeCell ref="N36:N37"/>
    <mergeCell ref="M32:N32"/>
    <mergeCell ref="M36:M37"/>
    <mergeCell ref="A11:B11"/>
    <mergeCell ref="K22:N22"/>
    <mergeCell ref="G32:H32"/>
    <mergeCell ref="I32:K32"/>
    <mergeCell ref="G23:I23"/>
    <mergeCell ref="E23:F23"/>
    <mergeCell ref="F6:F7"/>
    <mergeCell ref="A6:B7"/>
    <mergeCell ref="A8:B8"/>
    <mergeCell ref="A9:B9"/>
    <mergeCell ref="A10:B10"/>
  </mergeCells>
  <phoneticPr fontId="0" type="noConversion"/>
  <dataValidations count="1">
    <dataValidation type="list" allowBlank="1" showInputMessage="1" showErrorMessage="1" sqref="E25:E26 E38:E39 G36">
      <formula1>"lood,beton"</formula1>
    </dataValidation>
  </dataValidations>
  <pageMargins left="0.74803149606299213" right="0.74803149606299213" top="0.78740157480314965" bottom="0.78740157480314965" header="0.51181102362204722" footer="0.51181102362204722"/>
  <pageSetup paperSize="9" scale="50" orientation="landscape" horizontalDpi="300" verticalDpi="300" r:id="rId1"/>
  <headerFooter alignWithMargins="0">
    <oddFooter>&amp;C[Tabblad]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theme="0" tint="-0.249977111117893"/>
  </sheetPr>
  <dimension ref="A1:AU56"/>
  <sheetViews>
    <sheetView showGridLines="0" topLeftCell="A25" zoomScale="85" zoomScaleNormal="85" workbookViewId="0">
      <selection activeCell="F52" sqref="F52"/>
    </sheetView>
  </sheetViews>
  <sheetFormatPr defaultRowHeight="15" x14ac:dyDescent="0.25"/>
  <cols>
    <col min="1" max="1" width="6.7109375" style="39" customWidth="1"/>
    <col min="2" max="2" width="20.7109375" style="39" customWidth="1"/>
    <col min="3" max="31" width="12.7109375" style="39" customWidth="1"/>
    <col min="32" max="16384" width="9.140625" style="39"/>
  </cols>
  <sheetData>
    <row r="1" spans="1:31" s="828" customFormat="1" ht="27" thickBot="1" x14ac:dyDescent="0.45">
      <c r="A1" s="731" t="s">
        <v>91</v>
      </c>
      <c r="B1" s="826"/>
      <c r="C1" s="826"/>
      <c r="D1" s="826"/>
      <c r="E1" s="826"/>
      <c r="F1" s="826"/>
      <c r="G1" s="826"/>
      <c r="H1" s="826"/>
      <c r="I1" s="826"/>
      <c r="J1" s="826"/>
      <c r="K1" s="826"/>
      <c r="L1" s="826"/>
      <c r="M1" s="826"/>
      <c r="N1" s="826"/>
      <c r="O1" s="826"/>
      <c r="P1" s="826"/>
      <c r="Q1" s="826"/>
      <c r="R1" s="826"/>
      <c r="S1" s="826"/>
      <c r="T1" s="826"/>
      <c r="U1" s="826"/>
      <c r="V1" s="826"/>
      <c r="W1" s="826"/>
      <c r="X1" s="826"/>
      <c r="Y1" s="826"/>
      <c r="Z1" s="826"/>
      <c r="AA1" s="826"/>
      <c r="AB1" s="826"/>
      <c r="AC1" s="826"/>
      <c r="AD1" s="826"/>
      <c r="AE1" s="827"/>
    </row>
    <row r="2" spans="1:31" s="37" customFormat="1" ht="18.75" customHeight="1" thickBot="1" x14ac:dyDescent="0.25">
      <c r="A2" s="737"/>
      <c r="F2" s="738"/>
      <c r="G2" s="738"/>
      <c r="H2" s="738"/>
    </row>
    <row r="3" spans="1:31" s="743" customFormat="1" ht="26.25" customHeight="1" thickBot="1" x14ac:dyDescent="0.45">
      <c r="A3" s="739" t="s">
        <v>314</v>
      </c>
      <c r="B3" s="740"/>
      <c r="C3" s="1873" t="s">
        <v>91</v>
      </c>
      <c r="D3" s="1874"/>
      <c r="E3" s="1874"/>
      <c r="F3" s="1875"/>
      <c r="G3" s="1875"/>
      <c r="H3" s="1875"/>
      <c r="I3" s="1882"/>
      <c r="L3" s="193"/>
      <c r="M3" s="194" t="s">
        <v>420</v>
      </c>
    </row>
    <row r="4" spans="1:31" s="743" customFormat="1" ht="22.5" customHeight="1" x14ac:dyDescent="0.25">
      <c r="A4" s="829"/>
      <c r="B4" s="830"/>
      <c r="C4" s="831" t="s">
        <v>212</v>
      </c>
      <c r="D4" s="1883">
        <v>50</v>
      </c>
      <c r="E4" s="1883">
        <v>100</v>
      </c>
      <c r="F4" s="1883">
        <v>150</v>
      </c>
      <c r="G4" s="1883">
        <v>200</v>
      </c>
      <c r="H4" s="1883">
        <v>250</v>
      </c>
      <c r="I4" s="1884">
        <v>300</v>
      </c>
      <c r="L4" s="195"/>
      <c r="M4" s="194"/>
    </row>
    <row r="5" spans="1:31" s="743" customFormat="1" ht="19.5" customHeight="1" x14ac:dyDescent="0.25">
      <c r="A5" s="40"/>
      <c r="B5" s="40"/>
      <c r="C5" s="832"/>
      <c r="D5" s="833"/>
      <c r="E5" s="833"/>
      <c r="F5" s="833"/>
      <c r="G5" s="833"/>
      <c r="H5" s="833"/>
      <c r="I5" s="833"/>
      <c r="L5" s="210"/>
      <c r="M5" s="194" t="s">
        <v>421</v>
      </c>
    </row>
    <row r="6" spans="1:31" ht="19.5" customHeight="1" thickBot="1" x14ac:dyDescent="0.3">
      <c r="A6" s="747" t="s">
        <v>532</v>
      </c>
      <c r="B6" s="748"/>
      <c r="C6" s="749"/>
      <c r="D6" s="834"/>
      <c r="E6" s="834"/>
      <c r="F6" s="834"/>
      <c r="G6" s="834"/>
      <c r="H6" s="834"/>
      <c r="I6" s="834"/>
      <c r="J6" s="749"/>
      <c r="K6" s="749"/>
      <c r="L6" s="214"/>
      <c r="M6" s="194"/>
      <c r="N6" s="749"/>
      <c r="O6" s="749"/>
      <c r="P6" s="749"/>
      <c r="Q6" s="749"/>
      <c r="R6" s="749"/>
      <c r="S6" s="749"/>
      <c r="T6" s="749"/>
      <c r="U6" s="37"/>
      <c r="V6" s="37"/>
      <c r="W6" s="37"/>
      <c r="X6" s="37"/>
      <c r="Y6" s="37"/>
      <c r="Z6" s="37"/>
    </row>
    <row r="7" spans="1:31" s="604" customFormat="1" ht="19.5" customHeight="1" thickBot="1" x14ac:dyDescent="0.3">
      <c r="A7" s="829" t="s">
        <v>214</v>
      </c>
      <c r="B7" s="835"/>
      <c r="C7" s="836"/>
      <c r="D7" s="1885">
        <v>15</v>
      </c>
      <c r="E7" s="1885">
        <v>15</v>
      </c>
      <c r="F7" s="1885">
        <v>15</v>
      </c>
      <c r="G7" s="1885">
        <v>15</v>
      </c>
      <c r="H7" s="1885">
        <v>15</v>
      </c>
      <c r="I7" s="1886">
        <v>15</v>
      </c>
      <c r="J7" s="37"/>
      <c r="K7" s="37"/>
      <c r="L7" s="219"/>
      <c r="M7" s="194" t="s">
        <v>651</v>
      </c>
    </row>
    <row r="8" spans="1:31" s="604" customFormat="1" ht="19.5" customHeight="1" thickBot="1" x14ac:dyDescent="0.3">
      <c r="A8" s="837" t="s">
        <v>430</v>
      </c>
      <c r="B8" s="838"/>
      <c r="C8" s="839"/>
      <c r="D8" s="1887">
        <v>2</v>
      </c>
      <c r="E8" s="1887">
        <v>2</v>
      </c>
      <c r="F8" s="1887">
        <v>2</v>
      </c>
      <c r="G8" s="1887">
        <v>2</v>
      </c>
      <c r="H8" s="1887">
        <v>2</v>
      </c>
      <c r="I8" s="1888">
        <v>2</v>
      </c>
      <c r="J8" s="37"/>
      <c r="K8" s="37"/>
      <c r="L8" s="195"/>
      <c r="M8" s="194"/>
    </row>
    <row r="9" spans="1:31" ht="19.5" customHeight="1" x14ac:dyDescent="0.25">
      <c r="D9" s="840"/>
      <c r="E9" s="840"/>
      <c r="F9" s="840"/>
      <c r="G9" s="840"/>
      <c r="H9" s="840"/>
      <c r="I9" s="840"/>
      <c r="L9" s="223"/>
      <c r="M9" s="194" t="s">
        <v>422</v>
      </c>
    </row>
    <row r="10" spans="1:31" ht="19.5" customHeight="1" thickBot="1" x14ac:dyDescent="0.3">
      <c r="A10" s="230" t="s">
        <v>429</v>
      </c>
      <c r="B10" s="222"/>
      <c r="C10" s="57"/>
      <c r="D10" s="840"/>
      <c r="E10" s="840"/>
      <c r="F10" s="840"/>
      <c r="G10" s="840"/>
      <c r="H10" s="840"/>
      <c r="I10" s="840"/>
      <c r="L10" s="195"/>
      <c r="M10" s="195"/>
    </row>
    <row r="11" spans="1:31" s="604" customFormat="1" ht="19.5" customHeight="1" x14ac:dyDescent="0.25">
      <c r="A11" s="829" t="s">
        <v>321</v>
      </c>
      <c r="B11" s="835"/>
      <c r="C11" s="836"/>
      <c r="D11" s="1883">
        <v>1</v>
      </c>
      <c r="E11" s="1883">
        <v>2</v>
      </c>
      <c r="F11" s="1883">
        <v>3</v>
      </c>
      <c r="G11" s="1883">
        <v>4</v>
      </c>
      <c r="H11" s="1883">
        <v>5</v>
      </c>
      <c r="I11" s="1884">
        <v>6</v>
      </c>
      <c r="J11" s="37"/>
      <c r="K11" s="37"/>
      <c r="L11" s="228"/>
      <c r="M11" s="194" t="s">
        <v>650</v>
      </c>
    </row>
    <row r="12" spans="1:31" s="604" customFormat="1" ht="19.5" customHeight="1" x14ac:dyDescent="0.35">
      <c r="A12" s="841" t="s">
        <v>120</v>
      </c>
      <c r="B12" s="842"/>
      <c r="C12" s="843"/>
      <c r="D12" s="1889">
        <v>1E-3</v>
      </c>
      <c r="E12" s="844"/>
      <c r="F12" s="844"/>
      <c r="G12" s="844"/>
      <c r="H12" s="844"/>
      <c r="I12" s="845"/>
      <c r="J12" s="40"/>
      <c r="K12" s="40"/>
      <c r="L12" s="195"/>
      <c r="M12" s="194"/>
      <c r="P12" s="603"/>
      <c r="Q12" s="603"/>
      <c r="R12" s="603"/>
      <c r="S12" s="603"/>
      <c r="T12" s="603"/>
      <c r="U12" s="603"/>
      <c r="V12" s="603"/>
    </row>
    <row r="13" spans="1:31" s="604" customFormat="1" ht="19.5" customHeight="1" x14ac:dyDescent="0.25">
      <c r="A13" s="841" t="s">
        <v>220</v>
      </c>
      <c r="B13" s="842"/>
      <c r="C13" s="843"/>
      <c r="D13" s="1890">
        <v>0.5</v>
      </c>
      <c r="E13" s="1890">
        <v>0.5</v>
      </c>
      <c r="F13" s="1890">
        <v>0.5</v>
      </c>
      <c r="G13" s="1890">
        <v>0.5</v>
      </c>
      <c r="H13" s="1890">
        <v>0.5</v>
      </c>
      <c r="I13" s="1891">
        <v>0.5</v>
      </c>
      <c r="J13" s="37"/>
      <c r="K13" s="37"/>
      <c r="L13" s="232"/>
      <c r="M13" s="194" t="s">
        <v>649</v>
      </c>
    </row>
    <row r="14" spans="1:31" s="604" customFormat="1" ht="19.5" customHeight="1" thickBot="1" x14ac:dyDescent="0.3">
      <c r="A14" s="837" t="s">
        <v>222</v>
      </c>
      <c r="B14" s="838"/>
      <c r="C14" s="839"/>
      <c r="D14" s="1892">
        <f t="shared" ref="D14:I14" si="0">15*15</f>
        <v>225</v>
      </c>
      <c r="E14" s="1892">
        <f t="shared" si="0"/>
        <v>225</v>
      </c>
      <c r="F14" s="1892">
        <f t="shared" si="0"/>
        <v>225</v>
      </c>
      <c r="G14" s="1892">
        <f t="shared" si="0"/>
        <v>225</v>
      </c>
      <c r="H14" s="1892">
        <f t="shared" si="0"/>
        <v>225</v>
      </c>
      <c r="I14" s="1893">
        <f t="shared" si="0"/>
        <v>225</v>
      </c>
      <c r="J14" s="37"/>
      <c r="K14" s="37"/>
      <c r="L14" s="235"/>
      <c r="M14" s="194"/>
    </row>
    <row r="15" spans="1:31" ht="19.5" customHeight="1" x14ac:dyDescent="0.25">
      <c r="D15" s="840"/>
      <c r="E15" s="840"/>
      <c r="F15" s="840"/>
      <c r="G15" s="840"/>
      <c r="H15" s="840"/>
      <c r="I15" s="840"/>
      <c r="L15" s="235"/>
      <c r="M15" s="235"/>
    </row>
    <row r="16" spans="1:31" ht="19.5" customHeight="1" thickBot="1" x14ac:dyDescent="0.3">
      <c r="A16" s="247" t="s">
        <v>419</v>
      </c>
      <c r="B16" s="222"/>
      <c r="C16" s="57"/>
      <c r="D16" s="231"/>
      <c r="E16" s="846"/>
      <c r="F16" s="846"/>
      <c r="G16" s="846"/>
      <c r="H16" s="846"/>
      <c r="I16" s="846"/>
    </row>
    <row r="17" spans="1:46" s="604" customFormat="1" ht="19.5" customHeight="1" x14ac:dyDescent="0.25">
      <c r="A17" s="847"/>
      <c r="B17" s="848"/>
      <c r="C17" s="849" t="s">
        <v>2</v>
      </c>
      <c r="D17" s="850">
        <f>VLOOKUP(D$4,'TVT''s afscherming'!$A$52:$D$58,2)</f>
        <v>1.7</v>
      </c>
      <c r="E17" s="851">
        <f>VLOOKUP(E$4,'TVT''s afscherming'!$A$52:$D$58,2)</f>
        <v>6.1</v>
      </c>
      <c r="F17" s="851">
        <f>VLOOKUP(F$4,'TVT''s afscherming'!$A$52:$D$58,2)</f>
        <v>7.4</v>
      </c>
      <c r="G17" s="851">
        <f>VLOOKUP(G$4,'TVT''s afscherming'!$A$52:$D$58,2)</f>
        <v>9.3000000000000007</v>
      </c>
      <c r="H17" s="851">
        <f>VLOOKUP(H$4,'TVT''s afscherming'!$A$52:$D$58,2)</f>
        <v>9.8000000000000007</v>
      </c>
      <c r="I17" s="852">
        <f>VLOOKUP(I$4,'TVT''s afscherming'!$A$52:$D$58,2)</f>
        <v>10.6</v>
      </c>
      <c r="J17" s="853"/>
      <c r="K17" s="34"/>
      <c r="L17" s="40"/>
      <c r="M17" s="40"/>
      <c r="N17" s="854"/>
      <c r="O17" s="854"/>
      <c r="P17" s="854"/>
      <c r="Q17" s="601"/>
      <c r="R17" s="601"/>
      <c r="S17" s="855"/>
      <c r="T17" s="855"/>
      <c r="U17" s="855"/>
      <c r="V17" s="34"/>
      <c r="W17" s="603"/>
      <c r="X17" s="603"/>
      <c r="Y17" s="603"/>
      <c r="Z17" s="603"/>
    </row>
    <row r="18" spans="1:46" s="604" customFormat="1" ht="19.5" customHeight="1" x14ac:dyDescent="0.25">
      <c r="A18" s="856"/>
      <c r="B18" s="34"/>
      <c r="C18" s="853" t="s">
        <v>3</v>
      </c>
      <c r="D18" s="857">
        <f>VLOOKUP(D$4,'TVT''s afscherming'!$A$52:$D$58,3)</f>
        <v>0.16</v>
      </c>
      <c r="E18" s="858">
        <f>VLOOKUP(E$4,'TVT''s afscherming'!$A$52:$D$58,3)</f>
        <v>0.81</v>
      </c>
      <c r="F18" s="858">
        <f>VLOOKUP(F$4,'TVT''s afscherming'!$A$52:$D$58,3)</f>
        <v>1.1499999999999999</v>
      </c>
      <c r="G18" s="858">
        <f>VLOOKUP(G$4,'TVT''s afscherming'!$A$52:$D$58,3)</f>
        <v>1.78</v>
      </c>
      <c r="H18" s="858">
        <f>VLOOKUP(H$4,'TVT''s afscherming'!$A$52:$D$58,3)</f>
        <v>2.0099999999999998</v>
      </c>
      <c r="I18" s="859">
        <f>VLOOKUP(I$4,'TVT''s afscherming'!$A$52:$D$58,3)</f>
        <v>2.2200000000000002</v>
      </c>
      <c r="J18" s="34"/>
      <c r="K18" s="34"/>
      <c r="L18" s="40"/>
      <c r="M18" s="40"/>
      <c r="N18" s="854"/>
      <c r="O18" s="854"/>
      <c r="P18" s="854"/>
      <c r="Q18" s="541"/>
      <c r="R18" s="40"/>
      <c r="S18" s="853"/>
      <c r="T18" s="40"/>
      <c r="U18" s="40"/>
      <c r="V18" s="603"/>
      <c r="W18" s="603"/>
      <c r="X18" s="603"/>
      <c r="Y18" s="603"/>
      <c r="Z18" s="603"/>
    </row>
    <row r="19" spans="1:46" s="604" customFormat="1" ht="19.5" customHeight="1" thickBot="1" x14ac:dyDescent="0.3">
      <c r="A19" s="860"/>
      <c r="B19" s="774"/>
      <c r="C19" s="861" t="s">
        <v>22</v>
      </c>
      <c r="D19" s="862">
        <f>VLOOKUP(D$4,'TVT''s afscherming'!$A$52:$D$58,4)</f>
        <v>0.02</v>
      </c>
      <c r="E19" s="863">
        <f>VLOOKUP(E$4,'TVT''s afscherming'!$A$52:$D$58,4)</f>
        <v>0.09</v>
      </c>
      <c r="F19" s="863">
        <f>VLOOKUP(F$4,'TVT''s afscherming'!$A$52:$D$58,4)</f>
        <v>9.9000000000000005E-2</v>
      </c>
      <c r="G19" s="863">
        <f>VLOOKUP(G$4,'TVT''s afscherming'!$A$52:$D$58,4)</f>
        <v>0.17</v>
      </c>
      <c r="H19" s="863">
        <f>VLOOKUP(H$4,'TVT''s afscherming'!$A$52:$D$58,4)</f>
        <v>0.28000000000000003</v>
      </c>
      <c r="I19" s="864">
        <f>VLOOKUP(I$4,'TVT''s afscherming'!$A$52:$D$58,4)</f>
        <v>0.46</v>
      </c>
      <c r="J19" s="34"/>
      <c r="K19" s="34"/>
      <c r="L19" s="34"/>
      <c r="M19" s="541"/>
      <c r="N19" s="854"/>
      <c r="O19" s="854"/>
      <c r="P19" s="854"/>
      <c r="Q19" s="854"/>
      <c r="R19" s="40"/>
      <c r="S19" s="40"/>
      <c r="T19" s="40"/>
      <c r="U19" s="40"/>
      <c r="V19" s="603"/>
      <c r="W19" s="603"/>
      <c r="X19" s="603"/>
      <c r="Y19" s="603"/>
      <c r="Z19" s="603"/>
    </row>
    <row r="20" spans="1:46" s="604" customFormat="1" ht="19.5" customHeight="1" x14ac:dyDescent="0.25">
      <c r="A20" s="40"/>
      <c r="B20" s="38"/>
      <c r="C20" s="36"/>
      <c r="D20" s="865"/>
      <c r="E20" s="865"/>
      <c r="F20" s="865"/>
      <c r="G20" s="865"/>
      <c r="H20" s="865"/>
      <c r="I20" s="865"/>
      <c r="J20" s="738"/>
      <c r="K20" s="738"/>
      <c r="L20" s="738"/>
      <c r="M20" s="37"/>
      <c r="N20" s="37"/>
      <c r="O20" s="37"/>
      <c r="P20" s="37"/>
      <c r="Q20" s="866"/>
      <c r="R20" s="37"/>
      <c r="S20" s="37"/>
      <c r="U20" s="775"/>
      <c r="AC20" s="775"/>
      <c r="AD20" s="775"/>
      <c r="AE20" s="775"/>
      <c r="AF20" s="775"/>
      <c r="AG20" s="775"/>
      <c r="AH20" s="775"/>
    </row>
    <row r="21" spans="1:46" s="604" customFormat="1" ht="19.5" customHeight="1" thickBot="1" x14ac:dyDescent="0.3">
      <c r="A21" s="867" t="s">
        <v>432</v>
      </c>
      <c r="B21" s="38"/>
      <c r="C21" s="36"/>
      <c r="D21" s="868"/>
      <c r="E21" s="868"/>
      <c r="F21" s="868"/>
      <c r="G21" s="868"/>
      <c r="H21" s="868"/>
      <c r="I21" s="868"/>
      <c r="J21" s="738"/>
      <c r="K21" s="738"/>
      <c r="L21" s="738"/>
      <c r="M21" s="37"/>
      <c r="N21" s="37"/>
      <c r="O21" s="37"/>
      <c r="P21" s="37"/>
      <c r="Q21" s="866"/>
      <c r="R21" s="37"/>
      <c r="S21" s="37"/>
      <c r="U21" s="775"/>
      <c r="AC21" s="775"/>
      <c r="AD21" s="775"/>
      <c r="AE21" s="775"/>
      <c r="AF21" s="775"/>
      <c r="AG21" s="775"/>
      <c r="AH21" s="775"/>
    </row>
    <row r="22" spans="1:46" s="604" customFormat="1" ht="19.5" customHeight="1" thickBot="1" x14ac:dyDescent="0.3">
      <c r="A22" s="869"/>
      <c r="B22" s="870"/>
      <c r="C22" s="871"/>
      <c r="D22" s="1894">
        <v>0.05</v>
      </c>
      <c r="E22" s="1894">
        <v>0.1</v>
      </c>
      <c r="F22" s="1894">
        <v>0.2</v>
      </c>
      <c r="G22" s="1894">
        <v>0.3</v>
      </c>
      <c r="H22" s="1894">
        <v>0.4</v>
      </c>
      <c r="I22" s="1895">
        <v>0.5</v>
      </c>
      <c r="J22" s="37"/>
      <c r="K22" s="872"/>
      <c r="L22" s="832"/>
      <c r="M22" s="40"/>
      <c r="N22" s="873"/>
      <c r="Q22" s="603"/>
      <c r="R22" s="603"/>
      <c r="S22" s="603"/>
      <c r="T22" s="603"/>
      <c r="U22" s="603"/>
      <c r="V22" s="603"/>
      <c r="W22" s="603"/>
    </row>
    <row r="23" spans="1:46" s="604" customFormat="1" ht="22.5" customHeight="1" x14ac:dyDescent="0.25">
      <c r="A23" s="40"/>
      <c r="B23" s="38"/>
      <c r="C23" s="36"/>
      <c r="D23" s="865"/>
      <c r="E23" s="865"/>
      <c r="F23" s="865"/>
      <c r="G23" s="865"/>
      <c r="H23" s="865"/>
      <c r="I23" s="865"/>
      <c r="J23" s="738"/>
      <c r="K23" s="738"/>
      <c r="L23" s="738"/>
      <c r="M23" s="37"/>
      <c r="N23" s="37"/>
      <c r="O23" s="37"/>
      <c r="P23" s="37"/>
      <c r="Q23" s="866"/>
      <c r="R23" s="37"/>
      <c r="S23" s="37"/>
      <c r="U23" s="775"/>
      <c r="AC23" s="775"/>
      <c r="AD23" s="775"/>
      <c r="AE23" s="775"/>
      <c r="AF23" s="775"/>
      <c r="AG23" s="775"/>
      <c r="AH23" s="775"/>
    </row>
    <row r="24" spans="1:46" ht="19.5" customHeight="1" thickBot="1" x14ac:dyDescent="0.3">
      <c r="A24" s="874" t="s">
        <v>431</v>
      </c>
      <c r="D24" s="840"/>
      <c r="E24" s="840"/>
      <c r="F24" s="840"/>
      <c r="G24" s="840"/>
      <c r="H24" s="840"/>
      <c r="I24" s="840"/>
    </row>
    <row r="25" spans="1:46" s="604" customFormat="1" ht="19.5" customHeight="1" thickBot="1" x14ac:dyDescent="0.3">
      <c r="A25" s="875" t="s">
        <v>433</v>
      </c>
      <c r="B25" s="876"/>
      <c r="C25" s="871"/>
      <c r="D25" s="877">
        <f>VLOOKUP($D$4,patientscatterfactoren!$A$8:$G$14,5)</f>
        <v>3.5E-4</v>
      </c>
      <c r="E25" s="877">
        <f>VLOOKUP($E$4,patientscatterfactoren!$A$8:$G$14,5)</f>
        <v>1.2999999999999999E-3</v>
      </c>
      <c r="F25" s="877">
        <f>VLOOKUP($F$4,patientscatterfactoren!$A$8:$G$14,5)</f>
        <v>1.6000000000000001E-3</v>
      </c>
      <c r="G25" s="877">
        <f>VLOOKUP($G$4,patientscatterfactoren!$A$8:$G$14,5)</f>
        <v>1.9E-3</v>
      </c>
      <c r="H25" s="877">
        <f>VLOOKUP($H$4,patientscatterfactoren!$A$8:$G$14,5)</f>
        <v>1.9E-3</v>
      </c>
      <c r="I25" s="878">
        <f>VLOOKUP($I$4,patientscatterfactoren!$A$8:$G$14,5)</f>
        <v>1.9E-3</v>
      </c>
      <c r="J25" s="37"/>
      <c r="K25" s="872"/>
      <c r="L25" s="832"/>
      <c r="M25" s="40"/>
      <c r="N25" s="873"/>
      <c r="Q25" s="603"/>
      <c r="R25" s="603"/>
      <c r="S25" s="603"/>
      <c r="T25" s="603"/>
      <c r="U25" s="603"/>
      <c r="V25" s="603"/>
      <c r="W25" s="603"/>
    </row>
    <row r="26" spans="1:46" ht="19.5" customHeight="1" x14ac:dyDescent="0.25"/>
    <row r="27" spans="1:46" ht="18" x14ac:dyDescent="0.25">
      <c r="A27" s="747"/>
      <c r="B27" s="770"/>
      <c r="C27" s="879"/>
      <c r="D27" s="879"/>
      <c r="E27" s="879"/>
      <c r="F27" s="879"/>
      <c r="G27" s="879"/>
      <c r="H27" s="879"/>
      <c r="I27" s="879"/>
      <c r="J27" s="880"/>
      <c r="K27" s="881"/>
      <c r="L27" s="881"/>
      <c r="M27" s="881"/>
      <c r="N27" s="881"/>
      <c r="O27" s="881"/>
      <c r="P27" s="881"/>
      <c r="Q27" s="881"/>
      <c r="R27" s="881"/>
      <c r="S27" s="881"/>
      <c r="T27" s="881"/>
      <c r="U27" s="881"/>
      <c r="V27" s="881"/>
      <c r="W27" s="881"/>
      <c r="X27" s="881"/>
      <c r="Y27" s="881"/>
      <c r="Z27" s="881"/>
      <c r="AA27" s="881"/>
      <c r="AB27" s="881"/>
      <c r="AC27" s="881"/>
      <c r="AD27" s="881"/>
    </row>
    <row r="28" spans="1:46" s="604" customFormat="1" ht="18.75" thickBot="1" x14ac:dyDescent="0.3">
      <c r="A28" s="283" t="s">
        <v>506</v>
      </c>
      <c r="B28" s="284"/>
      <c r="C28" s="284"/>
      <c r="D28" s="40"/>
      <c r="E28" s="40"/>
      <c r="F28" s="40"/>
      <c r="G28" s="40"/>
      <c r="H28" s="34"/>
      <c r="I28" s="40"/>
      <c r="J28" s="40"/>
      <c r="K28" s="882"/>
      <c r="L28" s="40"/>
      <c r="M28" s="40"/>
      <c r="N28" s="40"/>
      <c r="O28" s="40"/>
      <c r="P28" s="40"/>
      <c r="Q28" s="40"/>
      <c r="R28" s="883"/>
      <c r="S28" s="40"/>
      <c r="T28" s="40"/>
      <c r="U28" s="40"/>
      <c r="V28" s="603"/>
      <c r="W28" s="603"/>
      <c r="X28" s="603"/>
      <c r="Y28" s="603"/>
      <c r="Z28" s="603"/>
      <c r="AA28" s="603"/>
      <c r="AB28" s="603"/>
      <c r="AC28" s="603"/>
    </row>
    <row r="29" spans="1:46" s="604" customFormat="1" ht="15.75" x14ac:dyDescent="0.25">
      <c r="A29" s="37"/>
      <c r="B29" s="37"/>
      <c r="C29" s="798"/>
      <c r="D29" s="799"/>
      <c r="E29" s="301"/>
      <c r="F29" s="2051" t="s">
        <v>77</v>
      </c>
      <c r="G29" s="2052"/>
      <c r="H29" s="2052"/>
      <c r="I29" s="2068">
        <f>$D$4</f>
        <v>50</v>
      </c>
      <c r="J29" s="2069"/>
      <c r="K29" s="2069"/>
      <c r="L29" s="2068">
        <f>$E$4</f>
        <v>100</v>
      </c>
      <c r="M29" s="2069"/>
      <c r="N29" s="2069"/>
      <c r="O29" s="2068">
        <f>$F$4</f>
        <v>150</v>
      </c>
      <c r="P29" s="2069"/>
      <c r="Q29" s="2069"/>
      <c r="R29" s="2068">
        <f>$G$4</f>
        <v>200</v>
      </c>
      <c r="S29" s="2069"/>
      <c r="T29" s="2069"/>
      <c r="U29" s="2068">
        <f>$H$4</f>
        <v>250</v>
      </c>
      <c r="V29" s="2069"/>
      <c r="W29" s="2069"/>
      <c r="X29" s="2068">
        <f>$I$4</f>
        <v>300</v>
      </c>
      <c r="Y29" s="2069"/>
      <c r="Z29" s="2069"/>
      <c r="AA29" s="2061" t="s">
        <v>16</v>
      </c>
      <c r="AB29" s="2070"/>
      <c r="AC29" s="2070"/>
      <c r="AD29" s="2062"/>
      <c r="AF29" s="603"/>
      <c r="AG29" s="885"/>
      <c r="AH29" s="886"/>
      <c r="AI29" s="603"/>
      <c r="AJ29" s="603"/>
      <c r="AK29" s="603"/>
      <c r="AL29" s="603"/>
      <c r="AM29" s="603"/>
      <c r="AN29" s="603"/>
      <c r="AO29" s="885"/>
      <c r="AP29" s="885"/>
      <c r="AQ29" s="885"/>
      <c r="AR29" s="775"/>
      <c r="AS29" s="775"/>
      <c r="AT29" s="775"/>
    </row>
    <row r="30" spans="1:46" s="604" customFormat="1" x14ac:dyDescent="0.25">
      <c r="A30" s="37"/>
      <c r="B30" s="37"/>
      <c r="C30" s="887" t="s">
        <v>12</v>
      </c>
      <c r="D30" s="779" t="s">
        <v>4</v>
      </c>
      <c r="E30" s="308" t="s">
        <v>524</v>
      </c>
      <c r="F30" s="779" t="s">
        <v>1</v>
      </c>
      <c r="G30" s="778" t="s">
        <v>3</v>
      </c>
      <c r="H30" s="34" t="s">
        <v>22</v>
      </c>
      <c r="I30" s="888" t="s">
        <v>86</v>
      </c>
      <c r="J30" s="888" t="s">
        <v>206</v>
      </c>
      <c r="K30" s="888" t="s">
        <v>16</v>
      </c>
      <c r="L30" s="888" t="s">
        <v>86</v>
      </c>
      <c r="M30" s="888" t="s">
        <v>206</v>
      </c>
      <c r="N30" s="888" t="s">
        <v>16</v>
      </c>
      <c r="O30" s="888" t="s">
        <v>86</v>
      </c>
      <c r="P30" s="888" t="s">
        <v>206</v>
      </c>
      <c r="Q30" s="888" t="s">
        <v>16</v>
      </c>
      <c r="R30" s="888" t="s">
        <v>86</v>
      </c>
      <c r="S30" s="888" t="s">
        <v>206</v>
      </c>
      <c r="T30" s="888" t="s">
        <v>16</v>
      </c>
      <c r="U30" s="888" t="s">
        <v>86</v>
      </c>
      <c r="V30" s="888" t="s">
        <v>206</v>
      </c>
      <c r="W30" s="888" t="s">
        <v>16</v>
      </c>
      <c r="X30" s="888" t="s">
        <v>86</v>
      </c>
      <c r="Y30" s="888" t="s">
        <v>206</v>
      </c>
      <c r="Z30" s="888" t="s">
        <v>16</v>
      </c>
      <c r="AA30" s="741" t="s">
        <v>23</v>
      </c>
      <c r="AB30" s="500" t="s">
        <v>11</v>
      </c>
      <c r="AC30" s="889" t="s">
        <v>11</v>
      </c>
      <c r="AD30" s="890" t="s">
        <v>574</v>
      </c>
      <c r="AF30" s="603"/>
      <c r="AG30" s="885"/>
      <c r="AH30" s="891"/>
      <c r="AI30" s="603"/>
      <c r="AJ30" s="603"/>
      <c r="AK30" s="603"/>
      <c r="AL30" s="892"/>
      <c r="AM30" s="603"/>
      <c r="AN30" s="603"/>
      <c r="AO30" s="885"/>
      <c r="AP30" s="885"/>
      <c r="AQ30" s="885"/>
      <c r="AR30" s="775"/>
      <c r="AS30" s="775"/>
      <c r="AT30" s="775"/>
    </row>
    <row r="31" spans="1:46" s="604" customFormat="1" ht="15.75" thickBot="1" x14ac:dyDescent="0.3">
      <c r="A31" s="893" t="s">
        <v>7</v>
      </c>
      <c r="B31" s="894" t="s">
        <v>15</v>
      </c>
      <c r="C31" s="895" t="s">
        <v>13</v>
      </c>
      <c r="D31" s="779" t="s">
        <v>78</v>
      </c>
      <c r="E31" s="312" t="s">
        <v>528</v>
      </c>
      <c r="F31" s="779"/>
      <c r="G31" s="896"/>
      <c r="H31" s="34"/>
      <c r="I31" s="897" t="s">
        <v>208</v>
      </c>
      <c r="J31" s="897" t="s">
        <v>207</v>
      </c>
      <c r="K31" s="542" t="s">
        <v>319</v>
      </c>
      <c r="L31" s="897" t="s">
        <v>208</v>
      </c>
      <c r="M31" s="897" t="s">
        <v>207</v>
      </c>
      <c r="N31" s="779" t="s">
        <v>319</v>
      </c>
      <c r="O31" s="897" t="s">
        <v>208</v>
      </c>
      <c r="P31" s="897" t="s">
        <v>207</v>
      </c>
      <c r="Q31" s="779" t="s">
        <v>319</v>
      </c>
      <c r="R31" s="897" t="s">
        <v>208</v>
      </c>
      <c r="S31" s="897" t="s">
        <v>207</v>
      </c>
      <c r="T31" s="779" t="s">
        <v>319</v>
      </c>
      <c r="U31" s="897" t="s">
        <v>208</v>
      </c>
      <c r="V31" s="897" t="s">
        <v>207</v>
      </c>
      <c r="W31" s="779" t="s">
        <v>319</v>
      </c>
      <c r="X31" s="897" t="s">
        <v>208</v>
      </c>
      <c r="Y31" s="897" t="s">
        <v>207</v>
      </c>
      <c r="Z31" s="779" t="s">
        <v>319</v>
      </c>
      <c r="AA31" s="898" t="s">
        <v>173</v>
      </c>
      <c r="AB31" s="899" t="s">
        <v>173</v>
      </c>
      <c r="AC31" s="889" t="s">
        <v>166</v>
      </c>
      <c r="AD31" s="890" t="s">
        <v>317</v>
      </c>
      <c r="AF31" s="603"/>
      <c r="AG31" s="885"/>
      <c r="AH31" s="603"/>
      <c r="AI31" s="603"/>
      <c r="AJ31" s="603"/>
      <c r="AK31" s="603"/>
      <c r="AL31" s="603"/>
      <c r="AM31" s="603"/>
      <c r="AN31" s="603"/>
      <c r="AO31" s="885"/>
      <c r="AP31" s="885"/>
      <c r="AQ31" s="885"/>
      <c r="AR31" s="775"/>
      <c r="AS31" s="775"/>
      <c r="AT31" s="775"/>
    </row>
    <row r="32" spans="1:46" s="604" customFormat="1" ht="15.75" hidden="1" thickBot="1" x14ac:dyDescent="0.3">
      <c r="A32" s="900"/>
      <c r="B32" s="901"/>
      <c r="C32" s="901"/>
      <c r="D32" s="900"/>
      <c r="E32" s="694"/>
      <c r="F32" s="900"/>
      <c r="G32" s="902"/>
      <c r="H32" s="903"/>
      <c r="I32" s="904"/>
      <c r="J32" s="905"/>
      <c r="K32" s="723"/>
      <c r="L32" s="905"/>
      <c r="M32" s="905"/>
      <c r="N32" s="900"/>
      <c r="O32" s="905"/>
      <c r="P32" s="905"/>
      <c r="Q32" s="900"/>
      <c r="R32" s="905"/>
      <c r="S32" s="905"/>
      <c r="T32" s="900"/>
      <c r="U32" s="905"/>
      <c r="V32" s="905"/>
      <c r="W32" s="900"/>
      <c r="X32" s="905"/>
      <c r="Y32" s="905"/>
      <c r="Z32" s="906"/>
      <c r="AA32" s="907"/>
      <c r="AB32" s="908"/>
      <c r="AC32" s="909"/>
      <c r="AD32" s="910"/>
      <c r="AF32" s="603"/>
      <c r="AG32" s="885"/>
      <c r="AH32" s="603"/>
      <c r="AI32" s="603"/>
      <c r="AJ32" s="603"/>
      <c r="AK32" s="603"/>
      <c r="AL32" s="603"/>
      <c r="AM32" s="603"/>
      <c r="AN32" s="603"/>
      <c r="AO32" s="885"/>
      <c r="AP32" s="885"/>
      <c r="AQ32" s="885"/>
      <c r="AR32" s="775"/>
      <c r="AS32" s="775"/>
      <c r="AT32" s="775"/>
    </row>
    <row r="33" spans="1:47" s="604" customFormat="1" ht="30" customHeight="1" x14ac:dyDescent="0.25">
      <c r="A33" s="911"/>
      <c r="B33" s="911"/>
      <c r="C33" s="724" t="s">
        <v>14</v>
      </c>
      <c r="D33" s="1859">
        <v>1</v>
      </c>
      <c r="E33" s="1859">
        <v>0.25</v>
      </c>
      <c r="F33" s="1859">
        <v>70</v>
      </c>
      <c r="G33" s="1859">
        <v>0</v>
      </c>
      <c r="H33" s="1859">
        <v>0</v>
      </c>
      <c r="I33" s="912">
        <f>$F33/$D$17+$G33/$D$18+$H33/$D$19</f>
        <v>41.176470588235297</v>
      </c>
      <c r="J33" s="92">
        <f t="shared" ref="J33:J39" si="1">10^(-I33)</f>
        <v>6.6608462908090221E-42</v>
      </c>
      <c r="K33" s="913">
        <f>$D$7*$D$8*$D$13^2*$E33/($D33+$D$13)^2*$J33*$D$22*10^6</f>
        <v>2.775352621170426E-37</v>
      </c>
      <c r="L33" s="914">
        <f>F33/$E$17+G33/$E$18+H33/$E$19</f>
        <v>11.475409836065575</v>
      </c>
      <c r="M33" s="92">
        <f t="shared" ref="M33:M39" si="2">10^(-L33)</f>
        <v>3.3464948726577551E-12</v>
      </c>
      <c r="N33" s="913">
        <f>$E$7*$E$8*$E$13^2*$E33/($D33+$E$13)^2*$M33*$E$22*10^6</f>
        <v>2.7887457272147961E-7</v>
      </c>
      <c r="O33" s="914">
        <f>F33/$F$17+G33/$F$18+H33/$F$19</f>
        <v>9.4594594594594597</v>
      </c>
      <c r="P33" s="92">
        <f t="shared" ref="P33:P39" si="3">10^(-O33)</f>
        <v>3.4716868189265574E-10</v>
      </c>
      <c r="Q33" s="913">
        <f>$F$7*$F$8*$F$13^2*$E33/($D33+$F$13)^2*$P33*$F$22*10^6</f>
        <v>5.7861446982109292E-5</v>
      </c>
      <c r="R33" s="914">
        <f>F33/$G$17+G33/$G$18+H33/$G$19</f>
        <v>7.5268817204301071</v>
      </c>
      <c r="S33" s="92">
        <f t="shared" ref="S33:S39" si="4">10^(-R33)</f>
        <v>2.9724754715597853E-8</v>
      </c>
      <c r="T33" s="913">
        <f>$G$7*$G$8*$G$13^2*$E33/($D33+$G$13)^2*$S33*$G$22*10^6</f>
        <v>7.4311886788994627E-3</v>
      </c>
      <c r="U33" s="914">
        <f>$F33/$H$17+G33/$H$18+H33/$H$19</f>
        <v>7.1428571428571423</v>
      </c>
      <c r="V33" s="92">
        <f t="shared" ref="V33:V39" si="5">10^(-U33)</f>
        <v>7.1968567300115068E-8</v>
      </c>
      <c r="W33" s="913">
        <f>$H$7*$H$8*$H$13^2*$E33/($D33+$H$13)^2*$V33*$H$22*10^6</f>
        <v>2.3989522433371692E-2</v>
      </c>
      <c r="X33" s="914">
        <f>$F33/$I$17+$G33/$I$18+$H33/$I$19</f>
        <v>6.6037735849056602</v>
      </c>
      <c r="Y33" s="92">
        <f t="shared" ref="Y33:Y39" si="6">10^(-X33)</f>
        <v>2.4901551974978963E-7</v>
      </c>
      <c r="Z33" s="915">
        <f>$I$7*$I$8*$I$13^2*$E33/($D33+$I$13)^2*$Y33*$I$22*10^6</f>
        <v>0.10375646656241236</v>
      </c>
      <c r="AA33" s="916">
        <f t="shared" ref="AA33:AA39" si="7">SUM(K33,N33,Q33,T33,W33,Z33)</f>
        <v>0.13523531799623834</v>
      </c>
      <c r="AB33" s="917"/>
      <c r="AC33" s="918"/>
      <c r="AD33" s="919"/>
      <c r="AF33" s="603"/>
      <c r="AG33" s="885"/>
      <c r="AH33" s="603"/>
      <c r="AI33" s="603"/>
      <c r="AJ33" s="603"/>
      <c r="AK33" s="603"/>
      <c r="AL33" s="603"/>
      <c r="AM33" s="603"/>
      <c r="AN33" s="603"/>
      <c r="AO33" s="885"/>
      <c r="AP33" s="885"/>
      <c r="AQ33" s="885"/>
      <c r="AR33" s="775"/>
      <c r="AS33" s="775"/>
      <c r="AT33" s="775"/>
    </row>
    <row r="34" spans="1:47" s="604" customFormat="1" ht="30" customHeight="1" x14ac:dyDescent="0.25">
      <c r="A34" s="920" t="str">
        <f>Samenvatting!A249</f>
        <v>O1</v>
      </c>
      <c r="B34" s="352" t="str">
        <f>Samenvatting!B249</f>
        <v>bedieningsruimte Orthovolt</v>
      </c>
      <c r="C34" s="724" t="s">
        <v>0</v>
      </c>
      <c r="D34" s="1859">
        <v>1</v>
      </c>
      <c r="E34" s="55"/>
      <c r="F34" s="1859">
        <v>70</v>
      </c>
      <c r="G34" s="1859">
        <v>0</v>
      </c>
      <c r="H34" s="1859">
        <v>0</v>
      </c>
      <c r="I34" s="912">
        <f>$F34/$D$17+$G34/$D$18+$H34/$D$19</f>
        <v>41.176470588235297</v>
      </c>
      <c r="J34" s="92">
        <f t="shared" si="1"/>
        <v>6.6608462908090221E-42</v>
      </c>
      <c r="K34" s="913">
        <f>$D$7*$D$8*$D$13^2*$D$12/$D34^2*$J34*10^6</f>
        <v>4.9956347181067667E-38</v>
      </c>
      <c r="L34" s="914">
        <f>F34/$E$17+G34/$E$18+H34/$E$19</f>
        <v>11.475409836065575</v>
      </c>
      <c r="M34" s="92">
        <f t="shared" si="2"/>
        <v>3.3464948726577551E-12</v>
      </c>
      <c r="N34" s="913">
        <f>$E$7*$E$8*$D$13^2*$D$12/$D34^2*$M34*10^6</f>
        <v>2.5098711544933163E-8</v>
      </c>
      <c r="O34" s="914">
        <f>F34/$F$17+G34/$F$18+H34/$F$19</f>
        <v>9.4594594594594597</v>
      </c>
      <c r="P34" s="92">
        <f t="shared" si="3"/>
        <v>3.4716868189265574E-10</v>
      </c>
      <c r="Q34" s="913">
        <f>$F$7*$F$8*$F$13^2*$D$12/$D34^2*$P34*10^6</f>
        <v>2.6037651141949182E-6</v>
      </c>
      <c r="R34" s="914">
        <f>F34/$G$17+G34/$G$18+H34/$G$19</f>
        <v>7.5268817204301071</v>
      </c>
      <c r="S34" s="92">
        <f t="shared" si="4"/>
        <v>2.9724754715597853E-8</v>
      </c>
      <c r="T34" s="913">
        <f>$G$7*$G$8*$G$13^2*$D$12/$D34^2*$S34*10^6</f>
        <v>2.2293566036698389E-4</v>
      </c>
      <c r="U34" s="914">
        <f>$F34/$H$17+G34/$H$18+H34/$H$19</f>
        <v>7.1428571428571423</v>
      </c>
      <c r="V34" s="92">
        <f t="shared" si="5"/>
        <v>7.1968567300115068E-8</v>
      </c>
      <c r="W34" s="913">
        <f>$H$7*$H$8*$H$13^2*$D$12/$D34^2*$V34*10^6</f>
        <v>5.3976425475086296E-4</v>
      </c>
      <c r="X34" s="914">
        <f>$F34/$I$17+$G34/$I$18+$H34/$I$19</f>
        <v>6.6037735849056602</v>
      </c>
      <c r="Y34" s="92">
        <f t="shared" si="6"/>
        <v>2.4901551974978963E-7</v>
      </c>
      <c r="Z34" s="915">
        <f>$I$7*$I$8*$I$13^2*$D$12/$D34^2*$Y34*10^6</f>
        <v>1.8676163981234224E-3</v>
      </c>
      <c r="AA34" s="921">
        <f t="shared" si="7"/>
        <v>2.6329451770670089E-3</v>
      </c>
      <c r="AB34" s="922">
        <f>SUM(AA32:AA36)</f>
        <v>0.14912231238055412</v>
      </c>
      <c r="AC34" s="923">
        <f>AB34*52/10^3</f>
        <v>7.7543602437888139E-3</v>
      </c>
      <c r="AD34" s="924">
        <f>AB34/(SUM(D$7:I$7))/10^3</f>
        <v>1.656914582006157E-6</v>
      </c>
      <c r="AF34" s="603"/>
      <c r="AG34" s="885"/>
      <c r="AH34" s="603"/>
      <c r="AI34" s="603"/>
      <c r="AJ34" s="603"/>
      <c r="AK34" s="603"/>
      <c r="AL34" s="603"/>
      <c r="AM34" s="603"/>
      <c r="AN34" s="603"/>
      <c r="AO34" s="885"/>
      <c r="AP34" s="885"/>
      <c r="AQ34" s="885"/>
      <c r="AR34" s="775"/>
      <c r="AS34" s="775"/>
      <c r="AT34" s="775"/>
    </row>
    <row r="35" spans="1:47" s="604" customFormat="1" ht="30" customHeight="1" thickBot="1" x14ac:dyDescent="0.3">
      <c r="A35" s="925"/>
      <c r="B35" s="338"/>
      <c r="C35" s="724" t="s">
        <v>221</v>
      </c>
      <c r="D35" s="1859">
        <v>1</v>
      </c>
      <c r="E35" s="56"/>
      <c r="F35" s="1859">
        <v>70</v>
      </c>
      <c r="G35" s="1859">
        <v>0</v>
      </c>
      <c r="H35" s="1859">
        <v>0</v>
      </c>
      <c r="I35" s="914">
        <f>$F35/$D$17+$G35/$D$18+$H35/$D$19</f>
        <v>41.176470588235297</v>
      </c>
      <c r="J35" s="92">
        <f t="shared" si="1"/>
        <v>6.6608462908090221E-42</v>
      </c>
      <c r="K35" s="93">
        <f>$D$7*$D$8*$D$13^2*D$25*D$14/400/$D35^2/D$13^2*$J35*10^6</f>
        <v>3.934062340509079E-38</v>
      </c>
      <c r="L35" s="914">
        <f>F35/$E$17+G35/$E$18+H35/$E$19</f>
        <v>11.475409836065575</v>
      </c>
      <c r="M35" s="92">
        <f t="shared" si="2"/>
        <v>3.3464948726577551E-12</v>
      </c>
      <c r="N35" s="93">
        <f>$E$7*$E$8*$E$13^2*E$25*E$14/400/$D35^2/$E$13^2*$M35*10^6</f>
        <v>7.3413731268929508E-8</v>
      </c>
      <c r="O35" s="914">
        <f>F35/$F$17+G35/$F$18+H35/$F$19</f>
        <v>9.4594594594594597</v>
      </c>
      <c r="P35" s="92">
        <f t="shared" si="3"/>
        <v>3.4716868189265574E-10</v>
      </c>
      <c r="Q35" s="93">
        <f>$F$7*$F$8*$F$13^2*$F$25*$F$14/400/$D35^2/$F$13^2*$P35*10^6</f>
        <v>9.3735544111017069E-6</v>
      </c>
      <c r="R35" s="914">
        <f>F35/$G$17+G35/$G$18+H35/$G$19</f>
        <v>7.5268817204301071</v>
      </c>
      <c r="S35" s="92">
        <f t="shared" si="4"/>
        <v>2.9724754715597853E-8</v>
      </c>
      <c r="T35" s="93">
        <f>$G$7*$G$8*$G$13^2*$G$25*$G$14/400/$D35^2/$G$13^2*$S35*10^6</f>
        <v>9.5304994806885614E-4</v>
      </c>
      <c r="U35" s="914">
        <f>$F35/$H$17+G35/$H$18+H35/$H$19</f>
        <v>7.1428571428571423</v>
      </c>
      <c r="V35" s="92">
        <f t="shared" si="5"/>
        <v>7.1968567300115068E-8</v>
      </c>
      <c r="W35" s="93">
        <f>$H$7*$H$8*$H$13^2*$H$25*$H$14/400/$D35^2/$H$13^2*$V35*10^6</f>
        <v>2.3074921890599391E-3</v>
      </c>
      <c r="X35" s="914">
        <f>$F35/$I$17+$G35/$I$18+$H35/$I$19</f>
        <v>6.6037735849056602</v>
      </c>
      <c r="Y35" s="92">
        <f t="shared" si="6"/>
        <v>2.4901551974978963E-7</v>
      </c>
      <c r="Z35" s="915">
        <f>$I$7*$I$8*$I$13^2*$I$25*$I$14/400/$D35^2/$I$13^2*$Y35*10^6</f>
        <v>7.9840601019776306E-3</v>
      </c>
      <c r="AA35" s="926">
        <f t="shared" si="7"/>
        <v>1.1254049207248797E-2</v>
      </c>
      <c r="AB35" s="927"/>
      <c r="AC35" s="928"/>
      <c r="AD35" s="929"/>
      <c r="AF35" s="603"/>
      <c r="AG35" s="885"/>
      <c r="AH35" s="603"/>
      <c r="AI35" s="603"/>
      <c r="AJ35" s="603"/>
      <c r="AK35" s="603"/>
      <c r="AL35" s="603"/>
      <c r="AM35" s="603"/>
      <c r="AN35" s="603"/>
      <c r="AO35" s="885"/>
      <c r="AP35" s="885"/>
      <c r="AQ35" s="885"/>
      <c r="AR35" s="775"/>
      <c r="AS35" s="775"/>
      <c r="AT35" s="775"/>
    </row>
    <row r="36" spans="1:47" s="938" customFormat="1" ht="30" hidden="1" customHeight="1" thickBot="1" x14ac:dyDescent="0.3">
      <c r="A36" s="930"/>
      <c r="B36" s="931"/>
      <c r="C36" s="694"/>
      <c r="D36" s="1871"/>
      <c r="E36" s="1871"/>
      <c r="F36" s="1871"/>
      <c r="G36" s="1871"/>
      <c r="H36" s="1871"/>
      <c r="I36" s="932"/>
      <c r="J36" s="97"/>
      <c r="K36" s="702"/>
      <c r="L36" s="933"/>
      <c r="M36" s="97"/>
      <c r="N36" s="702"/>
      <c r="O36" s="933"/>
      <c r="P36" s="97"/>
      <c r="Q36" s="702"/>
      <c r="R36" s="933"/>
      <c r="S36" s="97"/>
      <c r="T36" s="702"/>
      <c r="U36" s="933"/>
      <c r="V36" s="97"/>
      <c r="W36" s="702"/>
      <c r="X36" s="933"/>
      <c r="Y36" s="97"/>
      <c r="Z36" s="697"/>
      <c r="AA36" s="934"/>
      <c r="AB36" s="935"/>
      <c r="AC36" s="936"/>
      <c r="AD36" s="937"/>
      <c r="AF36" s="400"/>
      <c r="AG36" s="939"/>
      <c r="AH36" s="400"/>
      <c r="AI36" s="400"/>
      <c r="AJ36" s="400"/>
      <c r="AK36" s="400"/>
      <c r="AL36" s="400"/>
      <c r="AM36" s="400"/>
      <c r="AN36" s="400"/>
      <c r="AO36" s="939"/>
      <c r="AP36" s="939"/>
      <c r="AQ36" s="939"/>
      <c r="AR36" s="940"/>
      <c r="AS36" s="940"/>
      <c r="AT36" s="940"/>
    </row>
    <row r="37" spans="1:47" s="604" customFormat="1" ht="30" customHeight="1" x14ac:dyDescent="0.25">
      <c r="A37" s="911"/>
      <c r="B37" s="911"/>
      <c r="C37" s="724" t="s">
        <v>14</v>
      </c>
      <c r="D37" s="1859">
        <v>1</v>
      </c>
      <c r="E37" s="1859">
        <v>0.25</v>
      </c>
      <c r="F37" s="1859">
        <v>70</v>
      </c>
      <c r="G37" s="1859">
        <v>0</v>
      </c>
      <c r="H37" s="1859">
        <v>0</v>
      </c>
      <c r="I37" s="912">
        <f>$F37/$D$17+$G37/$D$18+$H37/$D$19</f>
        <v>41.176470588235297</v>
      </c>
      <c r="J37" s="92">
        <f t="shared" si="1"/>
        <v>6.6608462908090221E-42</v>
      </c>
      <c r="K37" s="913">
        <f>$D$7*$D$8*$D$13^2*$E37/($D37+$D$13)^2*$J37*$D$22*10^6</f>
        <v>2.775352621170426E-37</v>
      </c>
      <c r="L37" s="914">
        <f>F37/$E$17+G37/$E$18+H37/$E$19</f>
        <v>11.475409836065575</v>
      </c>
      <c r="M37" s="92">
        <f t="shared" si="2"/>
        <v>3.3464948726577551E-12</v>
      </c>
      <c r="N37" s="913">
        <f>$E$7*$E$8*$E$13^2*$E37/($D37+$E$13)^2*$M37*$E$22*10^6</f>
        <v>2.7887457272147961E-7</v>
      </c>
      <c r="O37" s="914">
        <f>F37/$F$17+G37/$F$18+H37/$F$19</f>
        <v>9.4594594594594597</v>
      </c>
      <c r="P37" s="92">
        <f t="shared" si="3"/>
        <v>3.4716868189265574E-10</v>
      </c>
      <c r="Q37" s="913">
        <f>$F$7*$F$8*$F$13^2*$E37/($D37+$F$13)^2*$P37*$F$22*10^6</f>
        <v>5.7861446982109292E-5</v>
      </c>
      <c r="R37" s="914">
        <f>F37/$G$17+G37/$G$18+H37/$G$19</f>
        <v>7.5268817204301071</v>
      </c>
      <c r="S37" s="92">
        <f t="shared" si="4"/>
        <v>2.9724754715597853E-8</v>
      </c>
      <c r="T37" s="913">
        <f>$G$7*$G$8*$G$13^2*$E37/($D37+$G$13)^2*$S37*$G$22*10^6</f>
        <v>7.4311886788994627E-3</v>
      </c>
      <c r="U37" s="914">
        <f>$F37/$H$17+G37/$H$18+H37/$H$19</f>
        <v>7.1428571428571423</v>
      </c>
      <c r="V37" s="92">
        <f t="shared" si="5"/>
        <v>7.1968567300115068E-8</v>
      </c>
      <c r="W37" s="913">
        <f>$H$7*$H$8*$H$13^2*$E37/($D37+$H$13)^2*$V37*$H$22*10^6</f>
        <v>2.3989522433371692E-2</v>
      </c>
      <c r="X37" s="914">
        <f>$F$37/$I$17+$G37/$I$18+$H37/$I$19</f>
        <v>6.6037735849056602</v>
      </c>
      <c r="Y37" s="92">
        <f t="shared" si="6"/>
        <v>2.4901551974978963E-7</v>
      </c>
      <c r="Z37" s="915">
        <f>$I$7*$I$8*$I$13^2*$E37/($D37+$I$13)^2*$Y37*$I$22*10^6</f>
        <v>0.10375646656241236</v>
      </c>
      <c r="AA37" s="916">
        <f t="shared" si="7"/>
        <v>0.13523531799623834</v>
      </c>
      <c r="AB37" s="917"/>
      <c r="AC37" s="918"/>
      <c r="AD37" s="919"/>
      <c r="AF37" s="603"/>
      <c r="AG37" s="885"/>
      <c r="AH37" s="603"/>
      <c r="AI37" s="603"/>
      <c r="AJ37" s="603"/>
      <c r="AK37" s="603"/>
      <c r="AL37" s="603"/>
      <c r="AM37" s="603"/>
      <c r="AN37" s="603"/>
      <c r="AO37" s="885"/>
      <c r="AP37" s="885"/>
      <c r="AQ37" s="885"/>
      <c r="AR37" s="775"/>
      <c r="AS37" s="775"/>
      <c r="AT37" s="775"/>
    </row>
    <row r="38" spans="1:47" s="604" customFormat="1" ht="30" customHeight="1" x14ac:dyDescent="0.25">
      <c r="A38" s="352" t="str">
        <f>Samenvatting!A250</f>
        <v>Ox</v>
      </c>
      <c r="B38" s="352" t="str">
        <f>Samenvatting!B250</f>
        <v>vrij te kiezen</v>
      </c>
      <c r="C38" s="724" t="s">
        <v>0</v>
      </c>
      <c r="D38" s="1859">
        <v>1</v>
      </c>
      <c r="E38" s="55"/>
      <c r="F38" s="1859">
        <v>70</v>
      </c>
      <c r="G38" s="1859">
        <v>0</v>
      </c>
      <c r="H38" s="1859">
        <v>0</v>
      </c>
      <c r="I38" s="912">
        <f>$F38/$D$17+$G38/$D$18+$H38/$D$19</f>
        <v>41.176470588235297</v>
      </c>
      <c r="J38" s="92">
        <f t="shared" si="1"/>
        <v>6.6608462908090221E-42</v>
      </c>
      <c r="K38" s="913">
        <f>$D$7*$D$8*$D$13^2*$D$12/$D38^2*$J38*10^6</f>
        <v>4.9956347181067667E-38</v>
      </c>
      <c r="L38" s="914">
        <f>F38/$E$17+G38/$E$18+H38/$E$19</f>
        <v>11.475409836065575</v>
      </c>
      <c r="M38" s="92">
        <f t="shared" si="2"/>
        <v>3.3464948726577551E-12</v>
      </c>
      <c r="N38" s="913">
        <f>$E$7*$E$8*$D$13^2*$D$12/$D38^2*$M38*10^6</f>
        <v>2.5098711544933163E-8</v>
      </c>
      <c r="O38" s="914">
        <f>F38/$F$17+G38/$F$18+H38/$F$19</f>
        <v>9.4594594594594597</v>
      </c>
      <c r="P38" s="92">
        <f t="shared" si="3"/>
        <v>3.4716868189265574E-10</v>
      </c>
      <c r="Q38" s="913">
        <f>$F$7*$F$8*$F$13^2*$D$12/$D38^2*$P38*10^6</f>
        <v>2.6037651141949182E-6</v>
      </c>
      <c r="R38" s="914">
        <f>F38/$G$17+G38/$G$18+H38/$G$19</f>
        <v>7.5268817204301071</v>
      </c>
      <c r="S38" s="92">
        <f t="shared" si="4"/>
        <v>2.9724754715597853E-8</v>
      </c>
      <c r="T38" s="913">
        <f>$G$7*$G$8*$G$13^2*$D$12/$D38^2*$S38*10^6</f>
        <v>2.2293566036698389E-4</v>
      </c>
      <c r="U38" s="914">
        <f>$F38/$H$17+G38/$H$18+H38/$H$19</f>
        <v>7.1428571428571423</v>
      </c>
      <c r="V38" s="92">
        <f t="shared" si="5"/>
        <v>7.1968567300115068E-8</v>
      </c>
      <c r="W38" s="913">
        <f>$H$7*$H$8*$H$13^2*$D$12/$D38^2*$V38*10^6</f>
        <v>5.3976425475086296E-4</v>
      </c>
      <c r="X38" s="914">
        <f>$F37/$I$17+$G37/$I$18+$H37/$I$19</f>
        <v>6.6037735849056602</v>
      </c>
      <c r="Y38" s="92">
        <f t="shared" si="6"/>
        <v>2.4901551974978963E-7</v>
      </c>
      <c r="Z38" s="915">
        <f>$I$7*$I$8*$I$13^2*$D$12/$D38^2*$Y38*10^6</f>
        <v>1.8676163981234224E-3</v>
      </c>
      <c r="AA38" s="921">
        <f t="shared" si="7"/>
        <v>2.6329451770670089E-3</v>
      </c>
      <c r="AB38" s="922">
        <f>SUM(AA36:AA40)</f>
        <v>0.14912231238055412</v>
      </c>
      <c r="AC38" s="923">
        <f>AB38*52/10^3</f>
        <v>7.7543602437888139E-3</v>
      </c>
      <c r="AD38" s="924">
        <f>AB38/(SUM(D$7:I$7))/10^3</f>
        <v>1.656914582006157E-6</v>
      </c>
      <c r="AF38" s="603"/>
      <c r="AG38" s="885"/>
      <c r="AH38" s="603"/>
      <c r="AI38" s="603"/>
      <c r="AJ38" s="603"/>
      <c r="AK38" s="603"/>
      <c r="AL38" s="603"/>
      <c r="AM38" s="603"/>
      <c r="AN38" s="603"/>
      <c r="AO38" s="885"/>
      <c r="AP38" s="885"/>
      <c r="AQ38" s="885"/>
      <c r="AR38" s="775"/>
      <c r="AS38" s="775"/>
      <c r="AT38" s="775"/>
    </row>
    <row r="39" spans="1:47" s="604" customFormat="1" ht="30" customHeight="1" thickBot="1" x14ac:dyDescent="0.3">
      <c r="A39" s="338"/>
      <c r="B39" s="338"/>
      <c r="C39" s="724" t="s">
        <v>221</v>
      </c>
      <c r="D39" s="1859">
        <v>1</v>
      </c>
      <c r="E39" s="56"/>
      <c r="F39" s="1859">
        <v>70</v>
      </c>
      <c r="G39" s="1859">
        <v>0</v>
      </c>
      <c r="H39" s="1859">
        <v>0</v>
      </c>
      <c r="I39" s="912">
        <f>$F39/$D$17+$G39/$D$18+$H39/$D$19</f>
        <v>41.176470588235297</v>
      </c>
      <c r="J39" s="92">
        <f t="shared" si="1"/>
        <v>6.6608462908090221E-42</v>
      </c>
      <c r="K39" s="93">
        <f>$D$7*$D$8*$D$13^2*D$25*D$14/400/$D39^2/D$13^2*$J39*10^6</f>
        <v>3.934062340509079E-38</v>
      </c>
      <c r="L39" s="914">
        <f>F39/$E$17+G39/$E$18+H39/$E$19</f>
        <v>11.475409836065575</v>
      </c>
      <c r="M39" s="92">
        <f t="shared" si="2"/>
        <v>3.3464948726577551E-12</v>
      </c>
      <c r="N39" s="93">
        <f>$E$7*$E$8*$E$13^2*E$25*E$14/400/$D39^2/$E$13^2*$M39*10^6</f>
        <v>7.3413731268929508E-8</v>
      </c>
      <c r="O39" s="914">
        <f>F39/$F$17+G39/$F$18+H39/$F$19</f>
        <v>9.4594594594594597</v>
      </c>
      <c r="P39" s="92">
        <f t="shared" si="3"/>
        <v>3.4716868189265574E-10</v>
      </c>
      <c r="Q39" s="93">
        <f>$F$7*$F$8*$F$13^2*$F$25*$F$14/400/$D39^2/$F$13^2*$P39*10^6</f>
        <v>9.3735544111017069E-6</v>
      </c>
      <c r="R39" s="914">
        <f>F39/$G$17+G39/$G$18+H39/$G$19</f>
        <v>7.5268817204301071</v>
      </c>
      <c r="S39" s="92">
        <f t="shared" si="4"/>
        <v>2.9724754715597853E-8</v>
      </c>
      <c r="T39" s="93">
        <f>$G$7*$G$8*$G$13^2*$G$25*$G$14/400/$D39^2/$G$13^2*$S39*10^6</f>
        <v>9.5304994806885614E-4</v>
      </c>
      <c r="U39" s="914">
        <f>$F39/$H$17+G39/$H$18+H39/$H$19</f>
        <v>7.1428571428571423</v>
      </c>
      <c r="V39" s="92">
        <f t="shared" si="5"/>
        <v>7.1968567300115068E-8</v>
      </c>
      <c r="W39" s="93">
        <f>$H$7*$H$8*$H$13^2*$H$25*$H$14/400/$D39^2/$H$13^2*$V39*10^6</f>
        <v>2.3074921890599391E-3</v>
      </c>
      <c r="X39" s="914">
        <f>$F37/$I$17+$G37/$I$18+$H37/$I$19</f>
        <v>6.6037735849056602</v>
      </c>
      <c r="Y39" s="92">
        <f t="shared" si="6"/>
        <v>2.4901551974978963E-7</v>
      </c>
      <c r="Z39" s="915">
        <f>$I$7*$I$8*$I$13^2*$I$25*$I$14/400/$D39^2/$I$13^2*$Y39*10^6</f>
        <v>7.9840601019776306E-3</v>
      </c>
      <c r="AA39" s="926">
        <f t="shared" si="7"/>
        <v>1.1254049207248797E-2</v>
      </c>
      <c r="AB39" s="927"/>
      <c r="AC39" s="928"/>
      <c r="AD39" s="929"/>
      <c r="AF39" s="603"/>
      <c r="AG39" s="885"/>
      <c r="AH39" s="603"/>
      <c r="AI39" s="603"/>
      <c r="AJ39" s="603"/>
      <c r="AK39" s="603"/>
      <c r="AL39" s="603"/>
      <c r="AM39" s="603"/>
      <c r="AN39" s="603"/>
      <c r="AO39" s="885"/>
      <c r="AP39" s="885"/>
      <c r="AQ39" s="885"/>
      <c r="AR39" s="775"/>
      <c r="AS39" s="775"/>
      <c r="AT39" s="775"/>
    </row>
    <row r="40" spans="1:47" s="938" customFormat="1" ht="30" hidden="1" customHeight="1" x14ac:dyDescent="0.25">
      <c r="A40" s="636"/>
      <c r="B40" s="636"/>
      <c r="C40" s="211"/>
      <c r="D40" s="57"/>
      <c r="E40" s="57"/>
      <c r="F40" s="57"/>
      <c r="G40" s="57"/>
      <c r="H40" s="57"/>
      <c r="I40" s="941"/>
      <c r="J40" s="328"/>
      <c r="K40" s="328"/>
      <c r="L40" s="941"/>
      <c r="M40" s="328"/>
      <c r="N40" s="328"/>
      <c r="O40" s="941"/>
      <c r="P40" s="328"/>
      <c r="Q40" s="328"/>
      <c r="R40" s="941"/>
      <c r="S40" s="328"/>
      <c r="T40" s="328"/>
      <c r="U40" s="942"/>
      <c r="V40" s="328"/>
      <c r="W40" s="328"/>
      <c r="X40" s="941"/>
      <c r="Y40" s="328"/>
      <c r="Z40" s="328"/>
      <c r="AA40" s="806"/>
      <c r="AB40" s="745"/>
      <c r="AC40" s="943"/>
      <c r="AD40" s="944"/>
      <c r="AE40" s="743"/>
      <c r="AG40" s="400"/>
      <c r="AH40" s="939"/>
      <c r="AI40" s="400"/>
      <c r="AJ40" s="400"/>
      <c r="AK40" s="400"/>
      <c r="AL40" s="400"/>
      <c r="AM40" s="400"/>
      <c r="AN40" s="400"/>
      <c r="AO40" s="400"/>
      <c r="AP40" s="939"/>
      <c r="AQ40" s="939"/>
      <c r="AR40" s="939"/>
      <c r="AS40" s="940"/>
      <c r="AT40" s="940"/>
      <c r="AU40" s="940"/>
    </row>
    <row r="41" spans="1:47" s="604" customFormat="1" ht="19.5" customHeight="1" x14ac:dyDescent="0.25">
      <c r="L41" s="945"/>
      <c r="O41" s="945"/>
      <c r="R41" s="945"/>
      <c r="U41" s="945"/>
      <c r="V41" s="946"/>
      <c r="X41" s="945"/>
    </row>
    <row r="42" spans="1:47" s="604" customFormat="1" ht="19.5" customHeight="1" x14ac:dyDescent="0.25"/>
    <row r="43" spans="1:47" s="604" customFormat="1" ht="18" x14ac:dyDescent="0.25">
      <c r="A43" s="595" t="s">
        <v>418</v>
      </c>
      <c r="B43" s="595"/>
      <c r="C43" s="596"/>
      <c r="D43" s="599"/>
      <c r="E43" s="599"/>
      <c r="F43" s="600"/>
    </row>
    <row r="44" spans="1:47" s="604" customFormat="1" ht="19.5" customHeight="1" x14ac:dyDescent="0.25">
      <c r="A44" s="597"/>
      <c r="B44" s="598"/>
      <c r="C44" s="599"/>
      <c r="D44" s="599"/>
      <c r="E44" s="599"/>
      <c r="F44" s="600"/>
      <c r="G44" s="600"/>
      <c r="H44" s="603"/>
    </row>
    <row r="45" spans="1:47" s="604" customFormat="1" ht="15.75" thickBot="1" x14ac:dyDescent="0.3">
      <c r="A45" s="751" t="s">
        <v>464</v>
      </c>
      <c r="C45" s="751"/>
      <c r="D45" s="751"/>
      <c r="E45" s="751"/>
      <c r="F45" s="751"/>
      <c r="G45" s="603"/>
    </row>
    <row r="46" spans="1:47" s="604" customFormat="1" ht="15.75" customHeight="1" thickBot="1" x14ac:dyDescent="0.3">
      <c r="A46" s="37"/>
      <c r="B46" s="37"/>
      <c r="C46" s="798"/>
      <c r="D46" s="754" t="s">
        <v>224</v>
      </c>
      <c r="E46" s="1998" t="s">
        <v>338</v>
      </c>
      <c r="F46" s="799"/>
      <c r="G46" s="799"/>
      <c r="H46" s="1896">
        <v>200</v>
      </c>
      <c r="I46" s="2070" t="s">
        <v>16</v>
      </c>
      <c r="J46" s="2062"/>
      <c r="K46" s="947"/>
      <c r="L46" s="947"/>
      <c r="N46" s="603"/>
      <c r="O46" s="885"/>
      <c r="P46" s="886"/>
      <c r="Q46" s="603"/>
      <c r="R46" s="603"/>
      <c r="S46" s="603"/>
      <c r="T46" s="603"/>
      <c r="U46" s="603"/>
      <c r="V46" s="603"/>
      <c r="W46" s="885"/>
      <c r="X46" s="885"/>
      <c r="Y46" s="885"/>
      <c r="Z46" s="775"/>
      <c r="AA46" s="775"/>
      <c r="AB46" s="775"/>
    </row>
    <row r="47" spans="1:47" s="604" customFormat="1" x14ac:dyDescent="0.25">
      <c r="A47" s="37"/>
      <c r="B47" s="37"/>
      <c r="C47" s="887" t="s">
        <v>12</v>
      </c>
      <c r="D47" s="779" t="s">
        <v>320</v>
      </c>
      <c r="E47" s="2010"/>
      <c r="F47" s="779" t="s">
        <v>4</v>
      </c>
      <c r="G47" s="308" t="s">
        <v>524</v>
      </c>
      <c r="H47" s="889" t="s">
        <v>16</v>
      </c>
      <c r="I47" s="741"/>
      <c r="J47" s="780"/>
      <c r="K47" s="34"/>
      <c r="L47" s="34"/>
      <c r="M47" s="37"/>
      <c r="O47" s="603"/>
      <c r="P47" s="885"/>
      <c r="Q47" s="891"/>
      <c r="R47" s="603"/>
      <c r="S47" s="603"/>
      <c r="T47" s="603"/>
      <c r="U47" s="892"/>
      <c r="V47" s="603"/>
      <c r="W47" s="603"/>
      <c r="X47" s="885"/>
      <c r="Y47" s="885"/>
      <c r="Z47" s="885"/>
      <c r="AA47" s="775"/>
      <c r="AB47" s="775"/>
      <c r="AC47" s="775"/>
    </row>
    <row r="48" spans="1:47" s="604" customFormat="1" ht="15.75" thickBot="1" x14ac:dyDescent="0.3">
      <c r="A48" s="781" t="s">
        <v>7</v>
      </c>
      <c r="B48" s="948" t="s">
        <v>15</v>
      </c>
      <c r="C48" s="887" t="s">
        <v>13</v>
      </c>
      <c r="D48" s="772" t="s">
        <v>225</v>
      </c>
      <c r="E48" s="2010"/>
      <c r="F48" s="783" t="s">
        <v>78</v>
      </c>
      <c r="G48" s="308" t="s">
        <v>528</v>
      </c>
      <c r="H48" s="779" t="s">
        <v>531</v>
      </c>
      <c r="I48" s="949" t="s">
        <v>344</v>
      </c>
      <c r="J48" s="950" t="s">
        <v>171</v>
      </c>
      <c r="K48" s="34"/>
      <c r="L48" s="34"/>
      <c r="M48" s="37"/>
      <c r="O48" s="603"/>
      <c r="P48" s="885"/>
      <c r="Q48" s="603"/>
      <c r="R48" s="603"/>
      <c r="S48" s="603"/>
      <c r="T48" s="603"/>
      <c r="U48" s="603"/>
      <c r="V48" s="603"/>
      <c r="W48" s="603"/>
      <c r="X48" s="885"/>
      <c r="Y48" s="885"/>
      <c r="Z48" s="885"/>
      <c r="AA48" s="775"/>
      <c r="AB48" s="775"/>
      <c r="AC48" s="775"/>
    </row>
    <row r="49" spans="1:29" s="604" customFormat="1" ht="15.75" hidden="1" thickBot="1" x14ac:dyDescent="0.3">
      <c r="A49" s="951"/>
      <c r="B49" s="952"/>
      <c r="C49" s="895"/>
      <c r="D49" s="772"/>
      <c r="E49" s="313"/>
      <c r="F49" s="779"/>
      <c r="G49" s="639"/>
      <c r="H49" s="779"/>
      <c r="I49" s="898"/>
      <c r="J49" s="953"/>
      <c r="K49" s="34"/>
      <c r="L49" s="34"/>
      <c r="M49" s="37"/>
      <c r="O49" s="603"/>
      <c r="P49" s="885"/>
      <c r="Q49" s="603"/>
      <c r="R49" s="603"/>
      <c r="S49" s="603"/>
      <c r="T49" s="603"/>
      <c r="U49" s="603"/>
      <c r="V49" s="603"/>
      <c r="W49" s="603"/>
      <c r="X49" s="885"/>
      <c r="Y49" s="885"/>
      <c r="Z49" s="885"/>
      <c r="AA49" s="775"/>
      <c r="AB49" s="775"/>
      <c r="AC49" s="775"/>
    </row>
    <row r="50" spans="1:29" s="604" customFormat="1" ht="30" customHeight="1" x14ac:dyDescent="0.25">
      <c r="A50" s="2065"/>
      <c r="B50" s="954"/>
      <c r="C50" s="955" t="s">
        <v>14</v>
      </c>
      <c r="D50" s="301"/>
      <c r="E50" s="956"/>
      <c r="F50" s="1834">
        <v>1</v>
      </c>
      <c r="G50" s="1897">
        <v>0</v>
      </c>
      <c r="H50" s="957">
        <f>IF(H46=$D$4,$D$11*$D$13^2*G50*D51/($D$13+$F$50)^2*$D$22*10^6,IF(H46=$E$4,$E$11*$E$13^2*G50*D51/($E$13+$F$50)^2*$E$22*10^6,IF(H46=$F$4,$F$11*$F$13^2*G50*D51/($F$13+$F$50)^2*$F$22*10^6,IF(H46=$G$4,$G$11*$G$13^2*G50*D51/($G$13+$F$50)^2*$G$22*10^6,IF(H46=$H$4,$H$11*$H$13^2*G50*D51/($H$13+$F$50)^2*$H$22*10^6,IF(H46=$I$4,$I$11*$I$13^2*G50*D51/($I$13+$F$50)^2*$I$22*10^6, ))))))</f>
        <v>0</v>
      </c>
      <c r="I50" s="2071">
        <f>SUM(H49:H53)/10^3</f>
        <v>0.74125000000000008</v>
      </c>
      <c r="J50" s="2073">
        <f>I50*E51</f>
        <v>0.74125000000000008</v>
      </c>
      <c r="K50" s="600"/>
      <c r="L50" s="600"/>
      <c r="M50" s="37"/>
      <c r="O50" s="603"/>
      <c r="P50" s="885"/>
      <c r="Q50" s="603"/>
      <c r="R50" s="603"/>
      <c r="S50" s="603"/>
      <c r="T50" s="603"/>
      <c r="U50" s="603"/>
      <c r="V50" s="603"/>
      <c r="W50" s="603"/>
      <c r="X50" s="885"/>
      <c r="Y50" s="885"/>
      <c r="Z50" s="885"/>
      <c r="AA50" s="775"/>
      <c r="AB50" s="775"/>
      <c r="AC50" s="775"/>
    </row>
    <row r="51" spans="1:29" s="604" customFormat="1" ht="30" customHeight="1" x14ac:dyDescent="0.25">
      <c r="A51" s="2066"/>
      <c r="B51" s="931" t="s">
        <v>103</v>
      </c>
      <c r="C51" s="958" t="s">
        <v>0</v>
      </c>
      <c r="D51" s="1898">
        <v>0.1</v>
      </c>
      <c r="E51" s="1898">
        <v>1</v>
      </c>
      <c r="F51" s="1834">
        <v>1</v>
      </c>
      <c r="G51" s="54"/>
      <c r="H51" s="959">
        <f>IF(H46=$D$4,$D$11*$D$12*$D$13^2*D51/$F51^2*10^6,IF(H46=$E$4,$E$11*$D$12*$E$13^2*D51/$F51^2*10^6,IF(H46=$F$4,$F$11*$D$12*$F$13^2*D51/$F51^2*10^6,IF(H46=$G$4,$G$11*$D$12*$G$13^2*D51/$F51^2*10^6,IF(H46=$H$4,$H$11*$D$12*$H$13^2*D51/$F51^2*10^6,IF(H46=$I$4,$I$11*$D$12*$I$13^2*D51/$F51^2*10^6, ))))))</f>
        <v>100</v>
      </c>
      <c r="I51" s="2072"/>
      <c r="J51" s="2074"/>
      <c r="K51" s="960"/>
      <c r="L51" s="961"/>
      <c r="M51" s="37"/>
      <c r="O51" s="603"/>
      <c r="P51" s="885"/>
      <c r="Q51" s="603"/>
      <c r="R51" s="603"/>
      <c r="S51" s="603"/>
      <c r="T51" s="603"/>
      <c r="U51" s="603"/>
      <c r="V51" s="603"/>
      <c r="W51" s="603"/>
      <c r="X51" s="885"/>
      <c r="Y51" s="885"/>
      <c r="Z51" s="885"/>
      <c r="AA51" s="775"/>
      <c r="AB51" s="775"/>
      <c r="AC51" s="775"/>
    </row>
    <row r="52" spans="1:29" s="604" customFormat="1" ht="30" customHeight="1" thickBot="1" x14ac:dyDescent="0.3">
      <c r="A52" s="2067"/>
      <c r="B52" s="962"/>
      <c r="C52" s="963" t="s">
        <v>221</v>
      </c>
      <c r="D52" s="964"/>
      <c r="E52" s="964"/>
      <c r="F52" s="1859">
        <v>1</v>
      </c>
      <c r="G52" s="53"/>
      <c r="H52" s="965">
        <f>$I$11*$I$13^2*$I$25*$D51*$I$14/400/$F52^2/$I$13^2*10^6</f>
        <v>641.25000000000011</v>
      </c>
      <c r="I52" s="2064"/>
      <c r="J52" s="2075"/>
      <c r="K52" s="960"/>
      <c r="L52" s="961"/>
      <c r="M52" s="37"/>
      <c r="O52" s="603"/>
      <c r="P52" s="885"/>
      <c r="Q52" s="603"/>
      <c r="R52" s="603"/>
      <c r="S52" s="603"/>
      <c r="T52" s="603"/>
      <c r="U52" s="603"/>
      <c r="V52" s="603"/>
      <c r="W52" s="603"/>
      <c r="X52" s="885"/>
      <c r="Y52" s="885"/>
      <c r="Z52" s="885"/>
      <c r="AA52" s="775"/>
      <c r="AB52" s="775"/>
      <c r="AC52" s="775"/>
    </row>
    <row r="53" spans="1:29" s="604" customFormat="1" hidden="1" x14ac:dyDescent="0.25">
      <c r="D53" s="603"/>
      <c r="E53" s="34"/>
      <c r="F53" s="961"/>
      <c r="G53" s="961"/>
    </row>
    <row r="54" spans="1:29" s="604" customFormat="1" x14ac:dyDescent="0.25">
      <c r="D54" s="603"/>
      <c r="E54" s="34"/>
      <c r="F54" s="961"/>
      <c r="G54" s="961"/>
    </row>
    <row r="55" spans="1:29" x14ac:dyDescent="0.25">
      <c r="A55" s="40"/>
      <c r="B55" s="34"/>
      <c r="C55" s="36"/>
      <c r="D55" s="37"/>
      <c r="E55" s="37"/>
      <c r="F55" s="35"/>
      <c r="G55" s="35"/>
    </row>
    <row r="56" spans="1:29" x14ac:dyDescent="0.25">
      <c r="B56" s="38"/>
      <c r="F56" s="37"/>
      <c r="G56" s="37"/>
      <c r="H56" s="37"/>
      <c r="I56" s="37"/>
    </row>
  </sheetData>
  <sheetProtection algorithmName="SHA-512" hashValue="cDStIG2yE23lDVQo1KZNO4GMRntuI9mW7pDpdTMKCr2VD4By3wB0vaY7OD9U1UGBADzdPPFdk/lusyh84nxbGw==" saltValue="/ET7S3doIMqrJy65ym9h8g==" spinCount="100000" sheet="1" objects="1" scenarios="1"/>
  <mergeCells count="13">
    <mergeCell ref="AA29:AD29"/>
    <mergeCell ref="O29:Q29"/>
    <mergeCell ref="R29:T29"/>
    <mergeCell ref="U29:W29"/>
    <mergeCell ref="X29:Z29"/>
    <mergeCell ref="F29:H29"/>
    <mergeCell ref="A50:A52"/>
    <mergeCell ref="E46:E48"/>
    <mergeCell ref="L29:N29"/>
    <mergeCell ref="I46:J46"/>
    <mergeCell ref="I50:I52"/>
    <mergeCell ref="J50:J52"/>
    <mergeCell ref="I29:K29"/>
  </mergeCells>
  <phoneticPr fontId="0" type="noConversion"/>
  <dataValidations count="1">
    <dataValidation type="list" allowBlank="1" showInputMessage="1" showErrorMessage="1" prompt="Kies een energie (de hoogste of meest gebruikte)" sqref="H46">
      <formula1>$D$4:$J$4</formula1>
    </dataValidation>
  </dataValidations>
  <pageMargins left="0.70866141732283472" right="0.70866141732283472" top="0.74803149606299213" bottom="0.74803149606299213" header="0.31496062992125984" footer="0.31496062992125984"/>
  <pageSetup paperSize="9" scale="30" orientation="landscape" r:id="rId1"/>
  <headerFooter>
    <oddFooter>&amp;C&amp;A</oddFooter>
  </headerFooter>
  <ignoredErrors>
    <ignoredError sqref="D14:I14"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theme="0" tint="-0.249977111117893"/>
  </sheetPr>
  <dimension ref="A1:AI54"/>
  <sheetViews>
    <sheetView showGridLines="0" topLeftCell="A4" zoomScaleNormal="100" workbookViewId="0">
      <selection activeCell="D6" sqref="D6"/>
    </sheetView>
  </sheetViews>
  <sheetFormatPr defaultRowHeight="15" x14ac:dyDescent="0.25"/>
  <cols>
    <col min="1" max="1" width="6.7109375" style="39" customWidth="1"/>
    <col min="2" max="2" width="20.7109375" style="39" customWidth="1"/>
    <col min="3" max="12" width="12.7109375" style="39" customWidth="1"/>
    <col min="13" max="13" width="11.5703125" style="39" customWidth="1"/>
    <col min="14" max="16384" width="9.140625" style="39"/>
  </cols>
  <sheetData>
    <row r="1" spans="1:16" s="736" customFormat="1" ht="27" thickBot="1" x14ac:dyDescent="0.45">
      <c r="A1" s="731" t="s">
        <v>57</v>
      </c>
      <c r="B1" s="732"/>
      <c r="C1" s="733"/>
      <c r="D1" s="733"/>
      <c r="E1" s="733"/>
      <c r="F1" s="733"/>
      <c r="G1" s="733"/>
      <c r="H1" s="733"/>
      <c r="I1" s="733"/>
      <c r="J1" s="733"/>
      <c r="K1" s="733"/>
      <c r="L1" s="734"/>
      <c r="M1" s="735"/>
      <c r="N1" s="735"/>
      <c r="O1" s="735"/>
    </row>
    <row r="2" spans="1:16" s="37" customFormat="1" ht="18.75" customHeight="1" thickBot="1" x14ac:dyDescent="0.25">
      <c r="A2" s="737"/>
      <c r="F2" s="738"/>
      <c r="G2" s="738"/>
      <c r="H2" s="738"/>
    </row>
    <row r="3" spans="1:16" s="743" customFormat="1" ht="26.25" customHeight="1" thickBot="1" x14ac:dyDescent="0.45">
      <c r="A3" s="739" t="s">
        <v>314</v>
      </c>
      <c r="B3" s="740"/>
      <c r="C3" s="1873" t="s">
        <v>168</v>
      </c>
      <c r="D3" s="1874"/>
      <c r="E3" s="1874"/>
      <c r="F3" s="741"/>
      <c r="G3" s="395"/>
      <c r="H3" s="395"/>
      <c r="I3" s="745"/>
    </row>
    <row r="4" spans="1:16" s="743" customFormat="1" ht="22.5" customHeight="1" x14ac:dyDescent="0.4">
      <c r="A4" s="744"/>
      <c r="B4" s="745"/>
      <c r="C4" s="746"/>
      <c r="D4" s="745"/>
      <c r="E4" s="745"/>
      <c r="F4" s="395"/>
      <c r="G4" s="395"/>
      <c r="H4" s="742"/>
    </row>
    <row r="5" spans="1:16" s="743" customFormat="1" ht="22.5" customHeight="1" x14ac:dyDescent="0.4">
      <c r="A5" s="188" t="s">
        <v>532</v>
      </c>
      <c r="B5" s="745"/>
      <c r="C5" s="746"/>
      <c r="D5" s="745"/>
      <c r="E5" s="745"/>
      <c r="F5" s="395"/>
      <c r="G5" s="395"/>
      <c r="H5" s="742"/>
    </row>
    <row r="6" spans="1:16" s="743" customFormat="1" ht="15" customHeight="1" x14ac:dyDescent="0.25">
      <c r="A6" s="966" t="s">
        <v>452</v>
      </c>
      <c r="B6" s="967"/>
      <c r="C6" s="968"/>
      <c r="D6" s="1899">
        <v>100</v>
      </c>
      <c r="E6" s="745"/>
      <c r="F6" s="395"/>
      <c r="G6" s="395"/>
      <c r="H6" s="193"/>
      <c r="I6" s="194" t="s">
        <v>420</v>
      </c>
    </row>
    <row r="7" spans="1:16" s="743" customFormat="1" ht="22.5" customHeight="1" x14ac:dyDescent="0.4">
      <c r="A7" s="744"/>
      <c r="B7" s="745"/>
      <c r="C7" s="746"/>
      <c r="D7" s="745"/>
      <c r="E7" s="745"/>
      <c r="F7" s="395"/>
      <c r="G7" s="395"/>
      <c r="H7" s="195"/>
      <c r="I7" s="194"/>
    </row>
    <row r="8" spans="1:16" s="743" customFormat="1" ht="22.5" customHeight="1" thickBot="1" x14ac:dyDescent="0.45">
      <c r="A8" s="230" t="s">
        <v>453</v>
      </c>
      <c r="B8" s="745"/>
      <c r="C8" s="746"/>
      <c r="D8" s="745"/>
      <c r="E8" s="745"/>
      <c r="F8" s="395"/>
      <c r="G8" s="395"/>
      <c r="H8" s="210"/>
      <c r="I8" s="194" t="s">
        <v>421</v>
      </c>
    </row>
    <row r="9" spans="1:16" s="604" customFormat="1" ht="15" customHeight="1" x14ac:dyDescent="0.25">
      <c r="A9" s="969" t="s">
        <v>455</v>
      </c>
      <c r="B9" s="970"/>
      <c r="C9" s="971"/>
      <c r="D9" s="972" t="s">
        <v>19</v>
      </c>
      <c r="F9" s="961"/>
      <c r="G9" s="960"/>
      <c r="H9" s="214"/>
      <c r="I9" s="194"/>
      <c r="J9" s="37"/>
      <c r="K9" s="37"/>
      <c r="L9" s="37"/>
      <c r="M9" s="37"/>
      <c r="N9" s="37"/>
    </row>
    <row r="10" spans="1:16" s="604" customFormat="1" ht="15" customHeight="1" x14ac:dyDescent="0.25">
      <c r="A10" s="973" t="s">
        <v>454</v>
      </c>
      <c r="B10" s="974"/>
      <c r="C10" s="975"/>
      <c r="D10" s="976">
        <v>0.13900000000000001</v>
      </c>
      <c r="F10" s="977"/>
      <c r="G10" s="40"/>
      <c r="H10" s="223"/>
      <c r="I10" s="194" t="s">
        <v>422</v>
      </c>
      <c r="J10" s="37"/>
      <c r="K10" s="37"/>
      <c r="L10" s="37"/>
      <c r="M10" s="37"/>
      <c r="N10" s="37"/>
    </row>
    <row r="11" spans="1:16" s="604" customFormat="1" ht="15" customHeight="1" x14ac:dyDescent="0.25">
      <c r="A11" s="973" t="s">
        <v>254</v>
      </c>
      <c r="B11" s="978"/>
      <c r="C11" s="975"/>
      <c r="D11" s="976">
        <v>73.83</v>
      </c>
      <c r="F11" s="40"/>
      <c r="G11" s="40"/>
      <c r="H11" s="195"/>
      <c r="I11" s="195"/>
      <c r="J11" s="37"/>
      <c r="K11" s="37"/>
      <c r="L11" s="37"/>
      <c r="M11" s="37"/>
      <c r="N11" s="37"/>
    </row>
    <row r="12" spans="1:16" s="604" customFormat="1" ht="15" customHeight="1" x14ac:dyDescent="0.25">
      <c r="A12" s="841" t="s">
        <v>255</v>
      </c>
      <c r="B12" s="979"/>
      <c r="C12" s="975"/>
      <c r="D12" s="1900">
        <f>450</f>
        <v>450</v>
      </c>
      <c r="F12" s="980"/>
      <c r="G12" s="960"/>
      <c r="H12" s="228"/>
      <c r="I12" s="194" t="s">
        <v>650</v>
      </c>
      <c r="J12" s="37"/>
      <c r="K12" s="37"/>
      <c r="L12" s="37"/>
      <c r="M12" s="37"/>
      <c r="N12" s="37"/>
    </row>
    <row r="13" spans="1:16" s="604" customFormat="1" ht="15" customHeight="1" x14ac:dyDescent="0.25">
      <c r="A13" s="973" t="s">
        <v>299</v>
      </c>
      <c r="B13" s="974"/>
      <c r="C13" s="975"/>
      <c r="D13" s="1891">
        <v>4</v>
      </c>
      <c r="F13" s="40"/>
      <c r="G13" s="40"/>
      <c r="H13" s="195"/>
      <c r="I13" s="194"/>
      <c r="J13" s="37"/>
      <c r="K13" s="37"/>
      <c r="L13" s="37"/>
      <c r="M13" s="37"/>
      <c r="N13" s="37"/>
    </row>
    <row r="14" spans="1:16" s="743" customFormat="1" ht="19.5" customHeight="1" x14ac:dyDescent="0.4">
      <c r="A14" s="744"/>
      <c r="B14" s="745"/>
      <c r="C14" s="746"/>
      <c r="D14" s="745"/>
      <c r="E14" s="745"/>
      <c r="F14" s="395"/>
      <c r="G14" s="395"/>
      <c r="H14" s="232"/>
      <c r="I14" s="194" t="s">
        <v>649</v>
      </c>
    </row>
    <row r="15" spans="1:16" s="743" customFormat="1" ht="19.5" customHeight="1" thickBot="1" x14ac:dyDescent="0.45">
      <c r="A15" s="981" t="s">
        <v>419</v>
      </c>
      <c r="B15" s="745"/>
      <c r="C15" s="746"/>
      <c r="D15" s="745"/>
      <c r="E15" s="745"/>
      <c r="F15" s="395"/>
      <c r="G15" s="395"/>
    </row>
    <row r="16" spans="1:16" s="604" customFormat="1" ht="15" customHeight="1" x14ac:dyDescent="0.25">
      <c r="A16" s="982"/>
      <c r="B16" s="983"/>
      <c r="C16" s="984" t="s">
        <v>2</v>
      </c>
      <c r="D16" s="985">
        <f>VLOOKUP($D$9,'TVT''s afscherming'!$A$62:$I$62,2)</f>
        <v>13.5</v>
      </c>
      <c r="F16" s="37"/>
      <c r="G16" s="37"/>
      <c r="J16" s="37"/>
      <c r="K16" s="37"/>
      <c r="L16" s="37"/>
      <c r="M16" s="37"/>
      <c r="N16" s="37"/>
      <c r="O16" s="986"/>
      <c r="P16" s="37"/>
    </row>
    <row r="17" spans="1:35" s="604" customFormat="1" ht="15" customHeight="1" x14ac:dyDescent="0.25">
      <c r="A17" s="856"/>
      <c r="B17" s="40"/>
      <c r="C17" s="987" t="s">
        <v>3</v>
      </c>
      <c r="D17" s="988">
        <f>VLOOKUP($D$9,'TVT''s afscherming'!$A$62:$I$62,3)</f>
        <v>4.3</v>
      </c>
      <c r="F17" s="37"/>
      <c r="G17" s="37"/>
      <c r="H17" s="235"/>
      <c r="I17" s="194"/>
      <c r="J17" s="37"/>
      <c r="K17" s="37"/>
      <c r="L17" s="37"/>
      <c r="M17" s="37"/>
      <c r="N17" s="37"/>
      <c r="O17" s="986"/>
      <c r="P17" s="37"/>
    </row>
    <row r="18" spans="1:35" s="604" customFormat="1" ht="15" customHeight="1" thickBot="1" x14ac:dyDescent="0.3">
      <c r="A18" s="860"/>
      <c r="B18" s="773"/>
      <c r="C18" s="989" t="s">
        <v>22</v>
      </c>
      <c r="D18" s="990">
        <f>VLOOKUP($D$9,'TVT''s afscherming'!$A$62:$I$62,4)</f>
        <v>1.9</v>
      </c>
      <c r="F18" s="37"/>
      <c r="G18" s="37"/>
      <c r="H18" s="235"/>
      <c r="I18" s="235"/>
      <c r="J18" s="37"/>
      <c r="K18" s="806"/>
      <c r="L18" s="37"/>
      <c r="M18" s="37"/>
      <c r="N18" s="37"/>
      <c r="O18" s="986"/>
      <c r="P18" s="37"/>
    </row>
    <row r="19" spans="1:35" ht="19.5" customHeight="1" x14ac:dyDescent="0.25"/>
    <row r="20" spans="1:35" ht="18" x14ac:dyDescent="0.25">
      <c r="A20" s="867" t="s">
        <v>456</v>
      </c>
    </row>
    <row r="21" spans="1:35" s="604" customFormat="1" ht="15" customHeight="1" x14ac:dyDescent="0.25">
      <c r="A21" s="973" t="s">
        <v>102</v>
      </c>
      <c r="B21" s="974"/>
      <c r="C21" s="975"/>
      <c r="D21" s="1901">
        <v>0.56999999999999995</v>
      </c>
      <c r="F21" s="40"/>
      <c r="G21" s="37"/>
      <c r="H21" s="37"/>
      <c r="I21" s="37"/>
      <c r="J21" s="37"/>
      <c r="K21" s="40"/>
      <c r="L21" s="40"/>
      <c r="M21" s="991"/>
      <c r="N21" s="37"/>
    </row>
    <row r="22" spans="1:35" ht="19.5" customHeight="1" x14ac:dyDescent="0.25">
      <c r="A22" s="747"/>
      <c r="B22" s="770"/>
      <c r="C22" s="771"/>
      <c r="D22" s="749"/>
      <c r="E22" s="749"/>
      <c r="F22" s="749"/>
      <c r="G22" s="749"/>
      <c r="H22" s="749"/>
      <c r="I22" s="749"/>
      <c r="J22" s="749"/>
      <c r="K22" s="757"/>
      <c r="L22" s="757"/>
      <c r="M22" s="757"/>
      <c r="N22" s="749"/>
      <c r="O22" s="749"/>
      <c r="P22" s="749"/>
      <c r="Q22" s="749"/>
      <c r="R22" s="749"/>
      <c r="S22" s="749"/>
      <c r="T22" s="749"/>
      <c r="U22" s="37"/>
      <c r="V22" s="738"/>
      <c r="W22" s="37"/>
      <c r="X22" s="37"/>
      <c r="Y22" s="37"/>
      <c r="Z22" s="37"/>
      <c r="AD22" s="772"/>
      <c r="AE22" s="772"/>
      <c r="AF22" s="772"/>
      <c r="AG22" s="772"/>
      <c r="AH22" s="772"/>
      <c r="AI22" s="772"/>
    </row>
    <row r="23" spans="1:35" ht="19.5" customHeight="1" x14ac:dyDescent="0.25">
      <c r="A23" s="747"/>
      <c r="B23" s="770"/>
      <c r="C23" s="771"/>
      <c r="D23" s="749"/>
      <c r="E23" s="749"/>
      <c r="F23" s="749"/>
      <c r="G23" s="749"/>
      <c r="H23" s="749"/>
      <c r="I23" s="749"/>
      <c r="J23" s="749"/>
      <c r="K23" s="757"/>
      <c r="L23" s="757"/>
      <c r="M23" s="757"/>
      <c r="N23" s="749"/>
      <c r="O23" s="749"/>
      <c r="P23" s="749"/>
      <c r="Q23" s="749"/>
      <c r="R23" s="749"/>
      <c r="S23" s="749"/>
      <c r="T23" s="749"/>
      <c r="U23" s="37"/>
      <c r="V23" s="738"/>
      <c r="W23" s="37"/>
      <c r="X23" s="37"/>
      <c r="Y23" s="37"/>
      <c r="Z23" s="37"/>
      <c r="AD23" s="772"/>
      <c r="AE23" s="772"/>
      <c r="AF23" s="772"/>
      <c r="AG23" s="772"/>
      <c r="AH23" s="772"/>
      <c r="AI23" s="772"/>
    </row>
    <row r="24" spans="1:35" s="604" customFormat="1" ht="18.75" thickBot="1" x14ac:dyDescent="0.3">
      <c r="A24" s="283" t="s">
        <v>506</v>
      </c>
      <c r="B24" s="284"/>
      <c r="C24" s="284"/>
    </row>
    <row r="25" spans="1:35" s="604" customFormat="1" ht="15" customHeight="1" x14ac:dyDescent="0.25">
      <c r="A25" s="37"/>
      <c r="B25" s="37"/>
      <c r="C25" s="323" t="s">
        <v>4</v>
      </c>
      <c r="D25" s="992" t="s">
        <v>224</v>
      </c>
      <c r="E25" s="993"/>
      <c r="F25" s="994" t="s">
        <v>77</v>
      </c>
      <c r="G25" s="995"/>
      <c r="H25" s="323" t="s">
        <v>227</v>
      </c>
      <c r="I25" s="996" t="s">
        <v>228</v>
      </c>
      <c r="J25" s="2079" t="s">
        <v>16</v>
      </c>
      <c r="K25" s="2080"/>
    </row>
    <row r="26" spans="1:35" s="604" customFormat="1" x14ac:dyDescent="0.25">
      <c r="A26" s="781" t="s">
        <v>7</v>
      </c>
      <c r="B26" s="997" t="s">
        <v>74</v>
      </c>
      <c r="C26" s="998" t="s">
        <v>78</v>
      </c>
      <c r="D26" s="999" t="s">
        <v>465</v>
      </c>
      <c r="E26" s="779" t="s">
        <v>2</v>
      </c>
      <c r="F26" s="778" t="s">
        <v>3</v>
      </c>
      <c r="G26" s="1000" t="s">
        <v>22</v>
      </c>
      <c r="H26" s="539" t="s">
        <v>208</v>
      </c>
      <c r="I26" s="779" t="s">
        <v>9</v>
      </c>
      <c r="J26" s="1001" t="s">
        <v>317</v>
      </c>
      <c r="K26" s="1002" t="s">
        <v>171</v>
      </c>
    </row>
    <row r="27" spans="1:35" s="538" customFormat="1" ht="30" customHeight="1" thickBot="1" x14ac:dyDescent="0.3">
      <c r="A27" s="1003" t="str">
        <f>Samenvatting!A252</f>
        <v>H1</v>
      </c>
      <c r="B27" s="1004" t="str">
        <f>Samenvatting!B252</f>
        <v>bedieningsruimte HDR</v>
      </c>
      <c r="C27" s="1902">
        <v>1</v>
      </c>
      <c r="D27" s="1902">
        <v>10</v>
      </c>
      <c r="E27" s="1903">
        <v>70</v>
      </c>
      <c r="F27" s="1902">
        <v>0</v>
      </c>
      <c r="G27" s="1904">
        <v>0</v>
      </c>
      <c r="H27" s="1005">
        <f>E27/$D$16+F27/$D$17+G27/$D$18</f>
        <v>5.1851851851851851</v>
      </c>
      <c r="I27" s="1006">
        <f>10^(-H27)</f>
        <v>6.5285211411278365E-6</v>
      </c>
      <c r="J27" s="69">
        <f>$D$10*(D$12*D$11/LN(2)*(1-2^(-(365/D$13)/D$11))/(365/D$13))*$D27/60/$C27^2*I27*D$21</f>
        <v>2.6057791652880827E-5</v>
      </c>
      <c r="K27" s="1007">
        <f>J27*D6</f>
        <v>2.6057791652880826E-3</v>
      </c>
    </row>
    <row r="28" spans="1:35" s="604" customFormat="1" ht="19.5" customHeight="1" x14ac:dyDescent="0.25">
      <c r="A28" s="34"/>
      <c r="B28" s="853"/>
      <c r="C28" s="1008"/>
      <c r="D28" s="1008"/>
      <c r="E28" s="1009"/>
      <c r="F28" s="1008"/>
      <c r="G28" s="1008"/>
      <c r="H28" s="1008"/>
      <c r="I28" s="600"/>
      <c r="J28" s="601"/>
      <c r="K28" s="806"/>
      <c r="L28" s="806"/>
    </row>
    <row r="29" spans="1:35" ht="19.5" customHeight="1" x14ac:dyDescent="0.25">
      <c r="A29" s="1010"/>
      <c r="B29" s="771"/>
      <c r="C29" s="749"/>
      <c r="D29" s="749"/>
      <c r="H29" s="749"/>
      <c r="I29" s="880"/>
      <c r="J29" s="880"/>
      <c r="K29" s="757"/>
      <c r="L29" s="881"/>
      <c r="M29" s="749"/>
    </row>
    <row r="30" spans="1:35" s="604" customFormat="1" ht="18" x14ac:dyDescent="0.25">
      <c r="A30" s="595" t="s">
        <v>418</v>
      </c>
      <c r="B30" s="595"/>
      <c r="C30" s="596"/>
      <c r="D30" s="599"/>
      <c r="E30" s="599"/>
      <c r="F30" s="600"/>
      <c r="G30" s="600"/>
      <c r="H30" s="600"/>
      <c r="I30" s="601"/>
      <c r="J30" s="600"/>
      <c r="K30" s="602"/>
      <c r="L30" s="603"/>
      <c r="M30" s="603"/>
    </row>
    <row r="31" spans="1:35" s="604" customFormat="1" ht="19.5" customHeight="1" x14ac:dyDescent="0.25">
      <c r="A31" s="597"/>
      <c r="B31" s="598"/>
      <c r="C31" s="599"/>
      <c r="D31" s="599"/>
      <c r="E31" s="599"/>
      <c r="F31" s="600"/>
      <c r="G31" s="600"/>
      <c r="H31" s="600"/>
      <c r="I31" s="601"/>
      <c r="J31" s="600"/>
      <c r="K31" s="602"/>
      <c r="L31" s="603"/>
      <c r="M31" s="603"/>
    </row>
    <row r="32" spans="1:35" s="604" customFormat="1" ht="15.75" thickBot="1" x14ac:dyDescent="0.3">
      <c r="A32" s="751" t="s">
        <v>457</v>
      </c>
      <c r="B32" s="853"/>
      <c r="C32" s="1011"/>
      <c r="D32" s="599"/>
      <c r="F32" s="600"/>
      <c r="G32" s="600"/>
      <c r="H32" s="600"/>
      <c r="I32" s="601"/>
      <c r="J32" s="600"/>
      <c r="K32" s="602"/>
      <c r="L32" s="603"/>
      <c r="M32" s="603"/>
    </row>
    <row r="33" spans="1:29" ht="15.75" customHeight="1" x14ac:dyDescent="0.25">
      <c r="A33" s="1010"/>
      <c r="B33" s="1012"/>
      <c r="C33" s="323" t="s">
        <v>4</v>
      </c>
      <c r="D33" s="992" t="s">
        <v>224</v>
      </c>
      <c r="E33" s="2076" t="s">
        <v>338</v>
      </c>
      <c r="F33" s="1013" t="s">
        <v>9</v>
      </c>
      <c r="G33" s="2076" t="s">
        <v>216</v>
      </c>
      <c r="H33" s="994" t="s">
        <v>228</v>
      </c>
      <c r="I33" s="2081" t="s">
        <v>260</v>
      </c>
      <c r="J33" s="2082"/>
      <c r="K33" s="879"/>
      <c r="L33" s="1014"/>
      <c r="M33" s="879"/>
      <c r="N33" s="881"/>
      <c r="O33" s="1015"/>
      <c r="P33" s="881"/>
      <c r="Q33" s="881"/>
      <c r="R33" s="881"/>
      <c r="S33" s="881"/>
      <c r="T33" s="881"/>
      <c r="U33" s="881"/>
      <c r="V33" s="881"/>
      <c r="W33" s="1015"/>
      <c r="X33" s="772"/>
      <c r="Y33" s="772"/>
      <c r="Z33" s="772"/>
      <c r="AA33" s="772"/>
      <c r="AB33" s="772"/>
    </row>
    <row r="34" spans="1:29" s="604" customFormat="1" x14ac:dyDescent="0.25">
      <c r="A34" s="781" t="s">
        <v>7</v>
      </c>
      <c r="B34" s="1016" t="s">
        <v>74</v>
      </c>
      <c r="C34" s="1017" t="s">
        <v>78</v>
      </c>
      <c r="D34" s="998" t="s">
        <v>225</v>
      </c>
      <c r="E34" s="2011"/>
      <c r="F34" s="755" t="s">
        <v>231</v>
      </c>
      <c r="G34" s="2011"/>
      <c r="H34" s="779" t="s">
        <v>9</v>
      </c>
      <c r="I34" s="1018" t="s">
        <v>337</v>
      </c>
      <c r="J34" s="1019" t="s">
        <v>166</v>
      </c>
      <c r="K34" s="602"/>
      <c r="L34" s="603"/>
      <c r="M34" s="603"/>
    </row>
    <row r="35" spans="1:29" s="538" customFormat="1" ht="30" customHeight="1" x14ac:dyDescent="0.25">
      <c r="A35" s="793"/>
      <c r="B35" s="1020" t="s">
        <v>103</v>
      </c>
      <c r="C35" s="1853">
        <v>1</v>
      </c>
      <c r="D35" s="1851">
        <v>1</v>
      </c>
      <c r="E35" s="1905">
        <v>1</v>
      </c>
      <c r="F35" s="1853">
        <v>0</v>
      </c>
      <c r="G35" s="1021">
        <f>+F35/$D$18</f>
        <v>0</v>
      </c>
      <c r="H35" s="1022">
        <f>10^(-G35)</f>
        <v>1</v>
      </c>
      <c r="I35" s="1023">
        <f>$D$10*$D$12*$D$35/60/$C$35^2*H35*D21</f>
        <v>0.59422499999999989</v>
      </c>
      <c r="J35" s="1024">
        <f>I35*E35</f>
        <v>0.59422499999999989</v>
      </c>
      <c r="K35" s="545"/>
      <c r="L35" s="545"/>
      <c r="M35" s="545"/>
    </row>
    <row r="36" spans="1:29" ht="19.5" customHeight="1" x14ac:dyDescent="0.25">
      <c r="A36" s="1025"/>
      <c r="B36" s="1026"/>
      <c r="C36" s="599"/>
      <c r="D36" s="40"/>
      <c r="E36" s="603"/>
      <c r="F36" s="599"/>
      <c r="G36" s="1027"/>
      <c r="H36" s="1027"/>
      <c r="I36" s="1028"/>
      <c r="J36" s="1028"/>
      <c r="K36" s="1028"/>
      <c r="L36" s="1029"/>
      <c r="M36" s="1030"/>
      <c r="N36" s="879"/>
      <c r="O36" s="881"/>
      <c r="P36" s="1015"/>
      <c r="Q36" s="881"/>
      <c r="R36" s="881"/>
      <c r="S36" s="881"/>
      <c r="T36" s="881"/>
      <c r="U36" s="881"/>
      <c r="V36" s="881"/>
      <c r="W36" s="881"/>
      <c r="X36" s="1015"/>
      <c r="Y36" s="772"/>
      <c r="Z36" s="772"/>
      <c r="AA36" s="772"/>
      <c r="AB36" s="772"/>
      <c r="AC36" s="772"/>
    </row>
    <row r="37" spans="1:29" s="604" customFormat="1" ht="15.75" thickBot="1" x14ac:dyDescent="0.3">
      <c r="A37" s="853" t="s">
        <v>304</v>
      </c>
      <c r="C37" s="1011"/>
      <c r="E37" s="597"/>
      <c r="F37" s="600"/>
      <c r="G37" s="600"/>
      <c r="H37" s="600"/>
      <c r="I37" s="601"/>
      <c r="J37" s="600"/>
      <c r="K37" s="602"/>
      <c r="L37" s="603"/>
      <c r="M37" s="603"/>
    </row>
    <row r="38" spans="1:29" ht="15.75" customHeight="1" x14ac:dyDescent="0.25">
      <c r="A38" s="1010"/>
      <c r="B38" s="1031"/>
      <c r="C38" s="323" t="s">
        <v>4</v>
      </c>
      <c r="D38" s="992" t="s">
        <v>224</v>
      </c>
      <c r="E38" s="1998" t="s">
        <v>338</v>
      </c>
      <c r="F38" s="1013" t="s">
        <v>9</v>
      </c>
      <c r="G38" s="1998" t="s">
        <v>216</v>
      </c>
      <c r="H38" s="994" t="s">
        <v>228</v>
      </c>
      <c r="I38" s="2081" t="s">
        <v>260</v>
      </c>
      <c r="J38" s="2082"/>
      <c r="K38" s="2077" t="s">
        <v>239</v>
      </c>
      <c r="L38" s="2078"/>
      <c r="M38" s="879"/>
      <c r="N38" s="881"/>
      <c r="O38" s="1015"/>
      <c r="P38" s="881"/>
      <c r="Q38" s="881"/>
      <c r="R38" s="881"/>
      <c r="S38" s="881"/>
      <c r="T38" s="881"/>
      <c r="U38" s="881"/>
      <c r="V38" s="881"/>
      <c r="W38" s="1015"/>
      <c r="X38" s="772"/>
      <c r="Y38" s="772"/>
      <c r="Z38" s="772"/>
      <c r="AA38" s="772"/>
      <c r="AB38" s="772"/>
    </row>
    <row r="39" spans="1:29" s="604" customFormat="1" x14ac:dyDescent="0.25">
      <c r="A39" s="781" t="s">
        <v>7</v>
      </c>
      <c r="B39" s="1016" t="s">
        <v>74</v>
      </c>
      <c r="C39" s="1017" t="s">
        <v>78</v>
      </c>
      <c r="D39" s="998" t="s">
        <v>225</v>
      </c>
      <c r="E39" s="2010"/>
      <c r="F39" s="755" t="s">
        <v>231</v>
      </c>
      <c r="G39" s="2011"/>
      <c r="H39" s="779" t="s">
        <v>9</v>
      </c>
      <c r="I39" s="1018" t="s">
        <v>337</v>
      </c>
      <c r="J39" s="1019" t="s">
        <v>166</v>
      </c>
      <c r="K39" s="1032" t="s">
        <v>337</v>
      </c>
      <c r="L39" s="1033" t="s">
        <v>166</v>
      </c>
      <c r="M39" s="603"/>
    </row>
    <row r="40" spans="1:29" s="538" customFormat="1" ht="30" customHeight="1" x14ac:dyDescent="0.25">
      <c r="A40" s="2054"/>
      <c r="B40" s="2085" t="s">
        <v>103</v>
      </c>
      <c r="C40" s="1903">
        <v>1</v>
      </c>
      <c r="D40" s="1902">
        <v>1</v>
      </c>
      <c r="E40" s="2087">
        <v>1</v>
      </c>
      <c r="F40" s="1903">
        <v>0</v>
      </c>
      <c r="G40" s="1034">
        <f>+F40/$D$18</f>
        <v>0</v>
      </c>
      <c r="H40" s="1006">
        <f>10^(-G40)</f>
        <v>1</v>
      </c>
      <c r="I40" s="1035">
        <f>$D$10*$D$12*$D$40/60/$C$40^2*H40</f>
        <v>1.0425</v>
      </c>
      <c r="J40" s="1036">
        <f>I40*E40</f>
        <v>1.0425</v>
      </c>
      <c r="K40" s="1037"/>
      <c r="L40" s="412"/>
      <c r="M40" s="545"/>
    </row>
    <row r="41" spans="1:29" s="538" customFormat="1" ht="30" customHeight="1" thickBot="1" x14ac:dyDescent="0.3">
      <c r="A41" s="2055"/>
      <c r="B41" s="2086"/>
      <c r="C41" s="1903">
        <v>7.0000000000000007E-2</v>
      </c>
      <c r="D41" s="1902">
        <v>0.1</v>
      </c>
      <c r="E41" s="2088"/>
      <c r="F41" s="1903">
        <v>0</v>
      </c>
      <c r="G41" s="1034">
        <f>+F41/$D$18</f>
        <v>0</v>
      </c>
      <c r="H41" s="1006">
        <f>10^(-G41)</f>
        <v>1</v>
      </c>
      <c r="I41" s="1038"/>
      <c r="J41" s="1039"/>
      <c r="K41" s="1040">
        <f>$D$10*$D$12*$D$41/60/$C$41^2*H41</f>
        <v>21.27551020408163</v>
      </c>
      <c r="L41" s="1041">
        <f>K41*E40</f>
        <v>21.27551020408163</v>
      </c>
      <c r="M41" s="545"/>
    </row>
    <row r="42" spans="1:29" ht="15.75" x14ac:dyDescent="0.25">
      <c r="A42" s="1010"/>
      <c r="B42" s="2083"/>
      <c r="C42" s="1042"/>
      <c r="D42" s="1043"/>
      <c r="E42" s="1044"/>
      <c r="F42" s="1042"/>
      <c r="G42" s="1027"/>
      <c r="H42" s="1027"/>
      <c r="I42" s="1028"/>
      <c r="J42" s="1028"/>
      <c r="K42" s="1045"/>
      <c r="L42" s="1046"/>
      <c r="M42" s="1030"/>
      <c r="N42" s="879"/>
      <c r="O42" s="881"/>
      <c r="P42" s="1015"/>
      <c r="Q42" s="881"/>
      <c r="R42" s="881"/>
      <c r="S42" s="881"/>
      <c r="T42" s="881"/>
      <c r="U42" s="881"/>
      <c r="V42" s="881"/>
      <c r="W42" s="881"/>
      <c r="X42" s="1015"/>
      <c r="Y42" s="772"/>
      <c r="Z42" s="772"/>
      <c r="AA42" s="772"/>
      <c r="AB42" s="772"/>
      <c r="AC42" s="772"/>
    </row>
    <row r="43" spans="1:29" ht="15.75" x14ac:dyDescent="0.25">
      <c r="A43" s="1010"/>
      <c r="B43" s="2084"/>
      <c r="C43" s="599"/>
      <c r="D43" s="40"/>
      <c r="E43" s="40"/>
      <c r="F43" s="40"/>
      <c r="G43" s="879"/>
      <c r="H43" s="879"/>
      <c r="I43" s="879"/>
      <c r="J43" s="879"/>
      <c r="K43" s="400"/>
      <c r="L43" s="400"/>
      <c r="M43" s="879"/>
      <c r="N43" s="881"/>
      <c r="O43" s="1015"/>
      <c r="P43" s="881"/>
      <c r="Q43" s="881"/>
      <c r="R43" s="881"/>
      <c r="S43" s="881"/>
      <c r="T43" s="881"/>
      <c r="U43" s="881"/>
      <c r="V43" s="881"/>
      <c r="W43" s="1015"/>
      <c r="X43" s="772"/>
      <c r="Y43" s="772"/>
      <c r="Z43" s="772"/>
      <c r="AA43" s="772"/>
      <c r="AB43" s="772"/>
    </row>
    <row r="44" spans="1:29" ht="15.75" x14ac:dyDescent="0.25">
      <c r="A44" s="881"/>
      <c r="B44" s="881"/>
      <c r="C44" s="881"/>
      <c r="D44" s="1047"/>
      <c r="E44" s="1048"/>
      <c r="F44" s="880"/>
      <c r="G44" s="880"/>
      <c r="H44" s="880"/>
      <c r="I44" s="881"/>
      <c r="J44" s="881"/>
      <c r="K44" s="881"/>
      <c r="L44" s="881"/>
      <c r="M44" s="881"/>
      <c r="N44" s="881"/>
    </row>
    <row r="45" spans="1:29" ht="15.75" x14ac:dyDescent="0.25">
      <c r="A45" s="881"/>
      <c r="B45" s="881"/>
      <c r="C45" s="881"/>
      <c r="D45" s="1047"/>
      <c r="E45" s="1048"/>
      <c r="F45" s="880"/>
      <c r="G45" s="1029"/>
      <c r="H45" s="880"/>
      <c r="I45" s="881"/>
      <c r="J45" s="881"/>
      <c r="K45" s="881"/>
      <c r="L45" s="881"/>
      <c r="M45" s="881"/>
      <c r="N45" s="881"/>
    </row>
    <row r="46" spans="1:29" ht="15.75" x14ac:dyDescent="0.25">
      <c r="D46" s="1049"/>
      <c r="E46" s="1049"/>
      <c r="F46" s="1049"/>
      <c r="G46" s="1049"/>
      <c r="H46" s="1049"/>
    </row>
    <row r="47" spans="1:29" ht="15.75" x14ac:dyDescent="0.25">
      <c r="B47" s="749"/>
      <c r="C47" s="749"/>
      <c r="D47" s="1050"/>
      <c r="E47" s="1051"/>
      <c r="F47" s="1052"/>
      <c r="G47" s="1052"/>
      <c r="H47" s="1052"/>
    </row>
    <row r="48" spans="1:29" ht="15.75" x14ac:dyDescent="0.25">
      <c r="B48" s="749"/>
      <c r="C48" s="749"/>
      <c r="D48" s="1050"/>
      <c r="E48" s="1051"/>
      <c r="F48" s="1052"/>
      <c r="G48" s="1052"/>
      <c r="H48" s="1052"/>
      <c r="L48" s="749"/>
      <c r="M48" s="749"/>
    </row>
    <row r="49" spans="1:13" ht="15.75" x14ac:dyDescent="0.25">
      <c r="A49" s="749"/>
      <c r="B49" s="749"/>
      <c r="C49" s="749"/>
      <c r="L49" s="749"/>
      <c r="M49" s="749"/>
    </row>
    <row r="50" spans="1:13" ht="15.75" x14ac:dyDescent="0.25">
      <c r="A50" s="749"/>
      <c r="B50" s="749"/>
      <c r="C50" s="749"/>
      <c r="L50" s="749"/>
      <c r="M50" s="749"/>
    </row>
    <row r="51" spans="1:13" ht="15.75" x14ac:dyDescent="0.25">
      <c r="A51" s="749"/>
      <c r="B51" s="749"/>
      <c r="C51" s="749"/>
      <c r="L51" s="749"/>
      <c r="M51" s="749"/>
    </row>
    <row r="52" spans="1:13" ht="15.75" x14ac:dyDescent="0.25">
      <c r="A52" s="749"/>
      <c r="B52" s="749"/>
      <c r="C52" s="749"/>
      <c r="L52" s="749"/>
      <c r="M52" s="749"/>
    </row>
    <row r="53" spans="1:13" ht="15.75" x14ac:dyDescent="0.25">
      <c r="A53" s="749"/>
      <c r="L53" s="749"/>
      <c r="M53" s="749"/>
    </row>
    <row r="54" spans="1:13" ht="15.75" x14ac:dyDescent="0.25">
      <c r="A54" s="749"/>
    </row>
  </sheetData>
  <sheetProtection algorithmName="SHA-512" hashValue="GGCRl4/vRv5t5dWx4FPwbuM3Zye5EwSCLv0NiNCt7AFopcsRLyqVmgVj4ty0aH/QLJhqtYIICx1jf6DJtB9sAA==" saltValue="uZm+65O/d4r34aLFM/WoNA==" spinCount="100000" sheet="1" objects="1" scenarios="1"/>
  <mergeCells count="12">
    <mergeCell ref="B42:B43"/>
    <mergeCell ref="B40:B41"/>
    <mergeCell ref="A40:A41"/>
    <mergeCell ref="G38:G39"/>
    <mergeCell ref="E38:E39"/>
    <mergeCell ref="E40:E41"/>
    <mergeCell ref="E33:E34"/>
    <mergeCell ref="G33:G34"/>
    <mergeCell ref="K38:L38"/>
    <mergeCell ref="J25:K25"/>
    <mergeCell ref="I33:J33"/>
    <mergeCell ref="I38:J38"/>
  </mergeCells>
  <phoneticPr fontId="0" type="noConversion"/>
  <pageMargins left="0.70866141732283472" right="0.70866141732283472" top="0.74803149606299213" bottom="0.74803149606299213" header="0.31496062992125984" footer="0.31496062992125984"/>
  <pageSetup paperSize="9" scale="50" orientation="landscape" r:id="rId1"/>
  <headerFooter>
    <oddFooter>&amp;C&amp;F &amp;A</oddFooter>
  </headerFooter>
  <ignoredErrors>
    <ignoredError sqref="A27:B27"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0" tint="-0.249977111117893"/>
  </sheetPr>
  <dimension ref="A1:AI57"/>
  <sheetViews>
    <sheetView showGridLines="0" topLeftCell="A13" workbookViewId="0">
      <selection activeCell="F42" sqref="F42"/>
    </sheetView>
  </sheetViews>
  <sheetFormatPr defaultRowHeight="15" x14ac:dyDescent="0.25"/>
  <cols>
    <col min="1" max="1" width="6.7109375" style="39" customWidth="1"/>
    <col min="2" max="2" width="20.7109375" style="39" customWidth="1"/>
    <col min="3" max="12" width="12.7109375" style="39" customWidth="1"/>
    <col min="13" max="13" width="16.7109375" style="39" customWidth="1"/>
    <col min="14" max="16384" width="9.140625" style="39"/>
  </cols>
  <sheetData>
    <row r="1" spans="1:14" s="1053" customFormat="1" ht="27" thickBot="1" x14ac:dyDescent="0.45">
      <c r="A1" s="731" t="s">
        <v>90</v>
      </c>
      <c r="B1" s="733"/>
      <c r="C1" s="733"/>
      <c r="D1" s="733"/>
      <c r="E1" s="733"/>
      <c r="F1" s="733"/>
      <c r="G1" s="733"/>
      <c r="H1" s="733"/>
      <c r="I1" s="733"/>
      <c r="J1" s="733"/>
      <c r="K1" s="733"/>
      <c r="L1" s="734"/>
      <c r="M1" s="735"/>
    </row>
    <row r="2" spans="1:14" s="37" customFormat="1" ht="18.75" customHeight="1" thickBot="1" x14ac:dyDescent="0.25">
      <c r="A2" s="737"/>
      <c r="F2" s="738"/>
      <c r="G2" s="738"/>
      <c r="H2" s="738"/>
    </row>
    <row r="3" spans="1:14" s="743" customFormat="1" ht="26.25" customHeight="1" thickBot="1" x14ac:dyDescent="0.45">
      <c r="A3" s="739" t="s">
        <v>314</v>
      </c>
      <c r="B3" s="740"/>
      <c r="C3" s="1873" t="s">
        <v>169</v>
      </c>
      <c r="D3" s="1874"/>
      <c r="E3" s="1882"/>
      <c r="F3" s="395"/>
      <c r="G3" s="395"/>
      <c r="H3" s="395"/>
      <c r="I3" s="745"/>
    </row>
    <row r="4" spans="1:14" s="743" customFormat="1" ht="22.5" customHeight="1" x14ac:dyDescent="0.4">
      <c r="A4" s="744"/>
      <c r="B4" s="745"/>
      <c r="C4" s="746"/>
      <c r="D4" s="745"/>
      <c r="E4" s="745"/>
      <c r="F4" s="395"/>
      <c r="G4" s="395"/>
      <c r="H4" s="742"/>
    </row>
    <row r="5" spans="1:14" s="743" customFormat="1" ht="22.5" customHeight="1" thickBot="1" x14ac:dyDescent="0.45">
      <c r="A5" s="188" t="s">
        <v>532</v>
      </c>
      <c r="B5" s="745"/>
      <c r="C5" s="746"/>
      <c r="D5" s="745"/>
      <c r="E5" s="745"/>
      <c r="F5" s="395"/>
      <c r="G5" s="395"/>
      <c r="H5" s="742"/>
    </row>
    <row r="6" spans="1:14" s="743" customFormat="1" ht="15" customHeight="1" thickBot="1" x14ac:dyDescent="0.25">
      <c r="A6" s="245" t="s">
        <v>458</v>
      </c>
      <c r="B6" s="444"/>
      <c r="C6" s="1054"/>
      <c r="D6" s="1906">
        <v>170</v>
      </c>
      <c r="E6" s="883" t="s">
        <v>461</v>
      </c>
      <c r="F6" s="395"/>
      <c r="G6" s="395"/>
      <c r="H6" s="742"/>
    </row>
    <row r="7" spans="1:14" s="743" customFormat="1" ht="22.5" customHeight="1" x14ac:dyDescent="0.4">
      <c r="A7" s="744"/>
      <c r="B7" s="745"/>
      <c r="C7" s="746"/>
      <c r="D7" s="745"/>
      <c r="E7" s="745"/>
      <c r="F7" s="395"/>
      <c r="G7" s="395"/>
      <c r="H7" s="742"/>
    </row>
    <row r="8" spans="1:14" s="743" customFormat="1" ht="19.5" customHeight="1" thickBot="1" x14ac:dyDescent="0.45">
      <c r="A8" s="230" t="s">
        <v>453</v>
      </c>
      <c r="B8" s="745"/>
      <c r="C8" s="746"/>
      <c r="D8" s="745"/>
      <c r="E8" s="745"/>
      <c r="F8" s="395"/>
      <c r="G8" s="395"/>
      <c r="H8" s="742"/>
    </row>
    <row r="9" spans="1:14" s="604" customFormat="1" x14ac:dyDescent="0.25">
      <c r="A9" s="969" t="s">
        <v>18</v>
      </c>
      <c r="B9" s="970"/>
      <c r="C9" s="971"/>
      <c r="D9" s="1055" t="s">
        <v>19</v>
      </c>
      <c r="F9" s="961"/>
      <c r="G9" s="960"/>
      <c r="H9" s="193"/>
      <c r="I9" s="194" t="s">
        <v>420</v>
      </c>
      <c r="J9" s="37"/>
      <c r="K9" s="37"/>
      <c r="L9" s="37"/>
      <c r="M9" s="37"/>
    </row>
    <row r="10" spans="1:14" s="604" customFormat="1" ht="17.25" x14ac:dyDescent="0.25">
      <c r="A10" s="973" t="s">
        <v>459</v>
      </c>
      <c r="B10" s="974"/>
      <c r="C10" s="975"/>
      <c r="D10" s="976">
        <v>0.13900000000000001</v>
      </c>
      <c r="F10" s="977"/>
      <c r="G10" s="40"/>
      <c r="H10" s="195"/>
      <c r="I10" s="194"/>
      <c r="J10" s="37"/>
      <c r="K10" s="37"/>
      <c r="L10" s="34"/>
      <c r="M10" s="34"/>
    </row>
    <row r="11" spans="1:14" s="604" customFormat="1" x14ac:dyDescent="0.25">
      <c r="A11" s="973" t="s">
        <v>254</v>
      </c>
      <c r="B11" s="978"/>
      <c r="C11" s="975"/>
      <c r="D11" s="976">
        <v>73.83</v>
      </c>
      <c r="F11" s="40"/>
      <c r="G11" s="40"/>
      <c r="H11" s="210"/>
      <c r="I11" s="194" t="s">
        <v>421</v>
      </c>
      <c r="J11" s="37"/>
      <c r="K11" s="37"/>
      <c r="L11" s="37"/>
      <c r="M11" s="37"/>
      <c r="N11" s="37"/>
    </row>
    <row r="12" spans="1:14" s="604" customFormat="1" x14ac:dyDescent="0.25">
      <c r="A12" s="841" t="s">
        <v>255</v>
      </c>
      <c r="B12" s="979"/>
      <c r="C12" s="975"/>
      <c r="D12" s="1907">
        <v>74</v>
      </c>
      <c r="F12" s="980"/>
      <c r="G12" s="960"/>
      <c r="H12" s="214"/>
      <c r="I12" s="194"/>
      <c r="J12" s="37"/>
      <c r="K12" s="37"/>
      <c r="L12" s="1056"/>
      <c r="M12" s="1056"/>
    </row>
    <row r="13" spans="1:14" s="604" customFormat="1" x14ac:dyDescent="0.25">
      <c r="A13" s="973" t="s">
        <v>299</v>
      </c>
      <c r="B13" s="974"/>
      <c r="C13" s="975"/>
      <c r="D13" s="1891">
        <v>2</v>
      </c>
      <c r="F13" s="40"/>
      <c r="G13" s="40"/>
      <c r="H13" s="223"/>
      <c r="I13" s="194" t="s">
        <v>422</v>
      </c>
      <c r="J13" s="37"/>
      <c r="K13" s="806"/>
      <c r="L13" s="599"/>
      <c r="M13" s="599"/>
    </row>
    <row r="14" spans="1:14" s="400" customFormat="1" x14ac:dyDescent="0.25">
      <c r="A14" s="1057"/>
      <c r="B14" s="1057"/>
      <c r="C14" s="1058"/>
      <c r="D14" s="1059"/>
      <c r="F14" s="745"/>
      <c r="G14" s="745"/>
      <c r="H14" s="195"/>
      <c r="I14" s="195"/>
      <c r="J14" s="745"/>
      <c r="K14" s="806"/>
      <c r="L14" s="1060"/>
      <c r="M14" s="1060"/>
    </row>
    <row r="15" spans="1:14" s="604" customFormat="1" x14ac:dyDescent="0.25">
      <c r="A15" s="1061"/>
      <c r="B15" s="853"/>
      <c r="C15" s="603"/>
      <c r="D15" s="603"/>
      <c r="E15" s="1062"/>
      <c r="F15" s="40"/>
      <c r="G15" s="37"/>
      <c r="H15" s="228"/>
      <c r="I15" s="194" t="s">
        <v>650</v>
      </c>
      <c r="J15" s="37"/>
      <c r="K15" s="40"/>
      <c r="L15" s="40"/>
      <c r="M15" s="873"/>
    </row>
    <row r="16" spans="1:14" s="743" customFormat="1" ht="19.5" customHeight="1" thickBot="1" x14ac:dyDescent="0.45">
      <c r="A16" s="230" t="s">
        <v>460</v>
      </c>
      <c r="B16" s="745"/>
      <c r="C16" s="746"/>
      <c r="D16" s="745"/>
      <c r="E16" s="745"/>
      <c r="F16" s="395"/>
      <c r="G16" s="395"/>
      <c r="H16" s="195"/>
      <c r="I16" s="194"/>
    </row>
    <row r="17" spans="1:35" s="604" customFormat="1" x14ac:dyDescent="0.25">
      <c r="A17" s="847"/>
      <c r="B17" s="983"/>
      <c r="C17" s="983" t="s">
        <v>2</v>
      </c>
      <c r="D17" s="985">
        <f>VLOOKUP($D$9,'TVT''s afscherming'!$A$62:$I$62,2)</f>
        <v>13.5</v>
      </c>
      <c r="F17" s="37"/>
      <c r="G17" s="37"/>
      <c r="H17" s="232"/>
      <c r="I17" s="194" t="s">
        <v>649</v>
      </c>
      <c r="J17" s="37"/>
      <c r="K17" s="37"/>
      <c r="L17" s="37"/>
      <c r="M17" s="37"/>
      <c r="N17" s="37"/>
      <c r="O17" s="986"/>
      <c r="P17" s="37"/>
    </row>
    <row r="18" spans="1:35" s="604" customFormat="1" x14ac:dyDescent="0.25">
      <c r="A18" s="856"/>
      <c r="B18" s="40"/>
      <c r="C18" s="40" t="s">
        <v>3</v>
      </c>
      <c r="D18" s="988">
        <f>VLOOKUP($D$9,'TVT''s afscherming'!$A$62:$I$62,3)</f>
        <v>4.3</v>
      </c>
      <c r="F18" s="37"/>
      <c r="G18" s="37"/>
      <c r="H18" s="37"/>
      <c r="I18" s="37"/>
      <c r="J18" s="37"/>
      <c r="K18" s="37"/>
      <c r="L18" s="37"/>
      <c r="M18" s="37"/>
      <c r="N18" s="37"/>
      <c r="O18" s="986"/>
      <c r="P18" s="37"/>
    </row>
    <row r="19" spans="1:35" s="604" customFormat="1" ht="15.75" thickBot="1" x14ac:dyDescent="0.3">
      <c r="A19" s="860"/>
      <c r="B19" s="773"/>
      <c r="C19" s="773" t="s">
        <v>22</v>
      </c>
      <c r="D19" s="990">
        <f>VLOOKUP($D$9,'TVT''s afscherming'!$A$62:$I$62,4)</f>
        <v>1.9</v>
      </c>
      <c r="F19" s="37"/>
      <c r="G19" s="37"/>
      <c r="H19" s="37"/>
      <c r="I19" s="37"/>
      <c r="J19" s="37"/>
      <c r="K19" s="37"/>
      <c r="L19" s="37"/>
      <c r="M19" s="37"/>
      <c r="N19" s="37"/>
      <c r="O19" s="986"/>
      <c r="P19" s="37"/>
    </row>
    <row r="20" spans="1:35" ht="15.75" x14ac:dyDescent="0.25">
      <c r="A20" s="879"/>
      <c r="B20" s="879"/>
      <c r="C20" s="879"/>
      <c r="D20" s="880"/>
      <c r="E20" s="879"/>
      <c r="F20" s="879"/>
      <c r="G20" s="879"/>
      <c r="H20" s="1050"/>
      <c r="I20" s="749"/>
      <c r="J20" s="749"/>
      <c r="K20" s="749"/>
      <c r="L20" s="749"/>
      <c r="M20" s="1063"/>
      <c r="N20" s="749"/>
    </row>
    <row r="21" spans="1:35" ht="18.75" thickBot="1" x14ac:dyDescent="0.3">
      <c r="A21" s="867" t="s">
        <v>456</v>
      </c>
    </row>
    <row r="22" spans="1:35" s="604" customFormat="1" ht="15.75" thickBot="1" x14ac:dyDescent="0.3">
      <c r="A22" s="869" t="s">
        <v>102</v>
      </c>
      <c r="B22" s="870"/>
      <c r="C22" s="1064"/>
      <c r="D22" s="1895">
        <v>0.56999999999999995</v>
      </c>
      <c r="F22" s="40"/>
      <c r="G22" s="37"/>
      <c r="H22" s="37"/>
      <c r="I22" s="37"/>
      <c r="J22" s="37"/>
      <c r="K22" s="40"/>
      <c r="L22" s="40"/>
      <c r="M22" s="873"/>
    </row>
    <row r="23" spans="1:35" ht="19.5" customHeight="1" x14ac:dyDescent="0.25">
      <c r="A23" s="747"/>
      <c r="B23" s="770"/>
      <c r="C23" s="771"/>
      <c r="D23" s="749"/>
      <c r="E23" s="749"/>
      <c r="F23" s="749"/>
      <c r="G23" s="749"/>
      <c r="H23" s="749"/>
      <c r="I23" s="749"/>
      <c r="J23" s="749"/>
      <c r="K23" s="757"/>
      <c r="L23" s="757"/>
      <c r="M23" s="757"/>
      <c r="N23" s="749"/>
      <c r="O23" s="749"/>
      <c r="P23" s="749"/>
      <c r="Q23" s="749"/>
      <c r="R23" s="749"/>
      <c r="S23" s="749"/>
      <c r="T23" s="749"/>
      <c r="U23" s="37"/>
      <c r="V23" s="738"/>
      <c r="W23" s="37"/>
      <c r="X23" s="37"/>
      <c r="Y23" s="37"/>
      <c r="Z23" s="37"/>
      <c r="AD23" s="772"/>
      <c r="AE23" s="772"/>
      <c r="AF23" s="772"/>
      <c r="AG23" s="772"/>
      <c r="AH23" s="772"/>
      <c r="AI23" s="772"/>
    </row>
    <row r="24" spans="1:35" ht="19.5" customHeight="1" x14ac:dyDescent="0.25">
      <c r="A24" s="1010"/>
      <c r="B24" s="1050"/>
      <c r="C24" s="770"/>
      <c r="D24" s="771"/>
      <c r="E24" s="749"/>
      <c r="F24" s="749"/>
      <c r="G24" s="749"/>
      <c r="H24" s="749"/>
      <c r="I24" s="749"/>
      <c r="J24" s="749"/>
      <c r="K24" s="757"/>
      <c r="L24" s="757"/>
      <c r="M24" s="757"/>
      <c r="N24" s="749"/>
      <c r="O24" s="749"/>
    </row>
    <row r="25" spans="1:35" s="604" customFormat="1" ht="18.75" thickBot="1" x14ac:dyDescent="0.3">
      <c r="A25" s="283" t="s">
        <v>506</v>
      </c>
      <c r="B25" s="284"/>
      <c r="C25" s="284"/>
      <c r="D25" s="37"/>
      <c r="E25" s="37"/>
      <c r="F25" s="37"/>
      <c r="G25" s="1065"/>
      <c r="H25" s="1065"/>
      <c r="I25" s="1066"/>
      <c r="J25" s="738"/>
      <c r="K25" s="738"/>
      <c r="L25" s="37"/>
      <c r="M25" s="37"/>
    </row>
    <row r="26" spans="1:35" s="604" customFormat="1" x14ac:dyDescent="0.25">
      <c r="A26" s="37"/>
      <c r="B26" s="37"/>
      <c r="C26" s="994" t="s">
        <v>4</v>
      </c>
      <c r="D26" s="994" t="s">
        <v>224</v>
      </c>
      <c r="E26" s="1067" t="s">
        <v>77</v>
      </c>
      <c r="F26" s="800"/>
      <c r="G26" s="1068"/>
      <c r="H26" s="994" t="s">
        <v>227</v>
      </c>
      <c r="I26" s="994" t="s">
        <v>228</v>
      </c>
      <c r="J26" s="2079" t="s">
        <v>17</v>
      </c>
      <c r="K26" s="2080"/>
    </row>
    <row r="27" spans="1:35" s="604" customFormat="1" x14ac:dyDescent="0.25">
      <c r="A27" s="781" t="s">
        <v>7</v>
      </c>
      <c r="B27" s="1016" t="s">
        <v>74</v>
      </c>
      <c r="C27" s="779" t="s">
        <v>78</v>
      </c>
      <c r="D27" s="779" t="s">
        <v>462</v>
      </c>
      <c r="E27" s="779" t="s">
        <v>2</v>
      </c>
      <c r="F27" s="778" t="s">
        <v>3</v>
      </c>
      <c r="G27" s="778" t="s">
        <v>22</v>
      </c>
      <c r="H27" s="779" t="s">
        <v>208</v>
      </c>
      <c r="I27" s="779" t="s">
        <v>9</v>
      </c>
      <c r="J27" s="1069" t="s">
        <v>345</v>
      </c>
      <c r="K27" s="1070" t="s">
        <v>170</v>
      </c>
    </row>
    <row r="28" spans="1:35" s="604" customFormat="1" ht="15.75" thickBot="1" x14ac:dyDescent="0.3">
      <c r="A28" s="1071" t="str">
        <f>Samenvatting!A254</f>
        <v>P1</v>
      </c>
      <c r="B28" s="1072" t="str">
        <f>Samenvatting!B254</f>
        <v>bedieningsruimte PDR</v>
      </c>
      <c r="C28" s="1908">
        <v>1</v>
      </c>
      <c r="D28" s="1908">
        <v>10</v>
      </c>
      <c r="E28" s="1908">
        <v>70</v>
      </c>
      <c r="F28" s="1908">
        <v>0</v>
      </c>
      <c r="G28" s="1908">
        <v>0</v>
      </c>
      <c r="H28" s="761">
        <f>E28/$D$17+F28/D$18+G28/$D$19</f>
        <v>5.1851851851851851</v>
      </c>
      <c r="I28" s="1073">
        <f>10^(-H28)</f>
        <v>6.5285211411278365E-6</v>
      </c>
      <c r="J28" s="1074">
        <f>$D$10*(D$12*D$11/LN(2)*(1-2^(-(365/D$13)/D$11))/(365/D$13))*$D28/60/$C28^2*I28*D$22</f>
        <v>3.0521695642455497E-6</v>
      </c>
      <c r="K28" s="1075">
        <f>J28*D6</f>
        <v>5.1886882592174345E-4</v>
      </c>
    </row>
    <row r="29" spans="1:35" s="603" customFormat="1" ht="19.5" customHeight="1" x14ac:dyDescent="0.25">
      <c r="A29" s="800"/>
      <c r="B29" s="853"/>
      <c r="C29" s="599"/>
      <c r="D29" s="599"/>
      <c r="F29" s="600"/>
      <c r="G29" s="600"/>
      <c r="H29" s="602"/>
    </row>
    <row r="30" spans="1:35" s="604" customFormat="1" ht="19.5" customHeight="1" x14ac:dyDescent="0.25">
      <c r="A30" s="34"/>
      <c r="B30" s="853"/>
      <c r="C30" s="599"/>
      <c r="D30" s="599"/>
      <c r="E30" s="599"/>
      <c r="F30" s="599"/>
      <c r="G30" s="600"/>
      <c r="H30" s="600"/>
      <c r="I30" s="600"/>
      <c r="J30" s="600"/>
      <c r="K30" s="601"/>
      <c r="L30" s="600"/>
      <c r="M30" s="602"/>
    </row>
    <row r="31" spans="1:35" s="604" customFormat="1" ht="18" x14ac:dyDescent="0.25">
      <c r="A31" s="595" t="s">
        <v>418</v>
      </c>
      <c r="B31" s="595"/>
      <c r="C31" s="596"/>
      <c r="D31" s="599"/>
      <c r="E31" s="599"/>
      <c r="F31" s="600"/>
      <c r="G31" s="600"/>
      <c r="H31" s="600"/>
      <c r="I31" s="601"/>
      <c r="J31" s="600"/>
      <c r="K31" s="602"/>
      <c r="L31" s="603"/>
      <c r="M31" s="603"/>
    </row>
    <row r="32" spans="1:35" s="604" customFormat="1" ht="19.5" customHeight="1" x14ac:dyDescent="0.25">
      <c r="A32" s="597"/>
      <c r="B32" s="598"/>
      <c r="C32" s="599"/>
      <c r="D32" s="599"/>
      <c r="E32" s="599"/>
      <c r="F32" s="600"/>
      <c r="G32" s="600"/>
      <c r="H32" s="600"/>
      <c r="I32" s="601"/>
      <c r="J32" s="600"/>
      <c r="K32" s="602"/>
      <c r="L32" s="603"/>
      <c r="M32" s="603"/>
    </row>
    <row r="33" spans="1:29" s="604" customFormat="1" ht="15.75" thickBot="1" x14ac:dyDescent="0.3">
      <c r="A33" s="751" t="s">
        <v>457</v>
      </c>
      <c r="B33" s="853"/>
      <c r="C33" s="1011"/>
      <c r="D33" s="599"/>
      <c r="F33" s="600"/>
      <c r="G33" s="600"/>
      <c r="H33" s="600"/>
      <c r="I33" s="601"/>
      <c r="J33" s="600"/>
      <c r="K33" s="602"/>
      <c r="L33" s="603"/>
      <c r="M33" s="603"/>
    </row>
    <row r="34" spans="1:29" ht="15.75" customHeight="1" x14ac:dyDescent="0.25">
      <c r="A34" s="1010"/>
      <c r="B34" s="1031"/>
      <c r="C34" s="323" t="s">
        <v>4</v>
      </c>
      <c r="D34" s="992" t="s">
        <v>224</v>
      </c>
      <c r="E34" s="1998" t="s">
        <v>338</v>
      </c>
      <c r="F34" s="1013" t="s">
        <v>9</v>
      </c>
      <c r="G34" s="1998" t="s">
        <v>216</v>
      </c>
      <c r="H34" s="994" t="s">
        <v>228</v>
      </c>
      <c r="I34" s="2081" t="s">
        <v>260</v>
      </c>
      <c r="J34" s="2082"/>
      <c r="K34" s="879"/>
      <c r="L34" s="1014"/>
      <c r="M34" s="879"/>
      <c r="N34" s="881"/>
      <c r="O34" s="1015"/>
      <c r="P34" s="881"/>
      <c r="Q34" s="881"/>
      <c r="R34" s="881"/>
      <c r="S34" s="881"/>
      <c r="T34" s="881"/>
      <c r="U34" s="881"/>
      <c r="V34" s="881"/>
      <c r="W34" s="1015"/>
      <c r="X34" s="772"/>
      <c r="Y34" s="772"/>
      <c r="Z34" s="772"/>
      <c r="AA34" s="772"/>
      <c r="AB34" s="772"/>
    </row>
    <row r="35" spans="1:29" s="604" customFormat="1" x14ac:dyDescent="0.25">
      <c r="A35" s="781" t="s">
        <v>7</v>
      </c>
      <c r="B35" s="1016" t="s">
        <v>74</v>
      </c>
      <c r="C35" s="1017" t="s">
        <v>78</v>
      </c>
      <c r="D35" s="998" t="s">
        <v>225</v>
      </c>
      <c r="E35" s="2010"/>
      <c r="F35" s="755" t="s">
        <v>231</v>
      </c>
      <c r="G35" s="2011"/>
      <c r="H35" s="779" t="s">
        <v>9</v>
      </c>
      <c r="I35" s="1018" t="s">
        <v>337</v>
      </c>
      <c r="J35" s="1019" t="s">
        <v>166</v>
      </c>
      <c r="K35" s="602"/>
      <c r="L35" s="603"/>
      <c r="M35" s="603"/>
    </row>
    <row r="36" spans="1:29" s="604" customFormat="1" x14ac:dyDescent="0.25">
      <c r="A36" s="1076"/>
      <c r="B36" s="1077" t="s">
        <v>103</v>
      </c>
      <c r="C36" s="1909">
        <v>1</v>
      </c>
      <c r="D36" s="1890">
        <v>1</v>
      </c>
      <c r="E36" s="1905">
        <v>1</v>
      </c>
      <c r="F36" s="1909">
        <v>0</v>
      </c>
      <c r="G36" s="1078">
        <f>+F36/$D$18</f>
        <v>0</v>
      </c>
      <c r="H36" s="1079">
        <f>10^(-G36)</f>
        <v>1</v>
      </c>
      <c r="I36" s="1080">
        <f>$D$10*$D$12*$D$36/60/$C$36^2*H36*D20</f>
        <v>0</v>
      </c>
      <c r="J36" s="1081">
        <f>I36*E36</f>
        <v>0</v>
      </c>
      <c r="K36" s="603"/>
      <c r="L36" s="603"/>
      <c r="M36" s="603"/>
    </row>
    <row r="37" spans="1:29" ht="19.5" customHeight="1" x14ac:dyDescent="0.25">
      <c r="A37" s="1010"/>
      <c r="B37" s="771"/>
      <c r="C37" s="599"/>
      <c r="D37" s="40"/>
      <c r="E37" s="603"/>
      <c r="F37" s="599"/>
      <c r="G37" s="1027"/>
      <c r="H37" s="1027"/>
      <c r="I37" s="1028"/>
      <c r="J37" s="1028"/>
      <c r="K37" s="1028"/>
      <c r="L37" s="1029"/>
      <c r="M37" s="1030"/>
      <c r="N37" s="879"/>
      <c r="O37" s="881"/>
      <c r="P37" s="1015"/>
      <c r="Q37" s="881"/>
      <c r="R37" s="881"/>
      <c r="S37" s="881"/>
      <c r="T37" s="881"/>
      <c r="U37" s="881"/>
      <c r="V37" s="881"/>
      <c r="W37" s="881"/>
      <c r="X37" s="1015"/>
      <c r="Y37" s="772"/>
      <c r="Z37" s="772"/>
      <c r="AA37" s="772"/>
      <c r="AB37" s="772"/>
      <c r="AC37" s="772"/>
    </row>
    <row r="38" spans="1:29" s="604" customFormat="1" ht="15.75" thickBot="1" x14ac:dyDescent="0.3">
      <c r="A38" s="853" t="s">
        <v>304</v>
      </c>
      <c r="C38" s="1082"/>
      <c r="D38" s="599"/>
      <c r="E38" s="599"/>
      <c r="F38" s="600"/>
      <c r="G38" s="600"/>
      <c r="H38" s="600"/>
      <c r="I38" s="601"/>
      <c r="J38" s="600"/>
      <c r="K38" s="602"/>
      <c r="L38" s="603"/>
      <c r="M38" s="603"/>
    </row>
    <row r="39" spans="1:29" ht="15.75" x14ac:dyDescent="0.25">
      <c r="A39" s="1083"/>
      <c r="B39" s="1084"/>
      <c r="C39" s="323" t="s">
        <v>4</v>
      </c>
      <c r="D39" s="992" t="s">
        <v>224</v>
      </c>
      <c r="E39" s="1998" t="s">
        <v>338</v>
      </c>
      <c r="F39" s="994" t="s">
        <v>9</v>
      </c>
      <c r="G39" s="1998" t="s">
        <v>216</v>
      </c>
      <c r="H39" s="994" t="s">
        <v>228</v>
      </c>
      <c r="I39" s="2081" t="s">
        <v>85</v>
      </c>
      <c r="J39" s="2082"/>
      <c r="K39" s="2077" t="s">
        <v>239</v>
      </c>
      <c r="L39" s="2078"/>
      <c r="M39" s="880"/>
      <c r="N39" s="881"/>
      <c r="O39" s="881"/>
    </row>
    <row r="40" spans="1:29" s="604" customFormat="1" x14ac:dyDescent="0.25">
      <c r="A40" s="783" t="s">
        <v>7</v>
      </c>
      <c r="B40" s="1085" t="s">
        <v>74</v>
      </c>
      <c r="C40" s="1017" t="s">
        <v>78</v>
      </c>
      <c r="D40" s="998" t="s">
        <v>225</v>
      </c>
      <c r="E40" s="2010"/>
      <c r="F40" s="755" t="s">
        <v>231</v>
      </c>
      <c r="G40" s="2011"/>
      <c r="H40" s="779" t="s">
        <v>9</v>
      </c>
      <c r="I40" s="1018" t="s">
        <v>337</v>
      </c>
      <c r="J40" s="1019" t="s">
        <v>166</v>
      </c>
      <c r="K40" s="1032" t="s">
        <v>337</v>
      </c>
      <c r="L40" s="1033" t="s">
        <v>166</v>
      </c>
      <c r="M40" s="603"/>
    </row>
    <row r="41" spans="1:29" s="604" customFormat="1" x14ac:dyDescent="0.25">
      <c r="A41" s="2054"/>
      <c r="B41" s="2085" t="s">
        <v>103</v>
      </c>
      <c r="C41" s="1910">
        <v>1</v>
      </c>
      <c r="D41" s="1910">
        <v>1</v>
      </c>
      <c r="E41" s="2087">
        <v>1</v>
      </c>
      <c r="F41" s="1910">
        <v>0</v>
      </c>
      <c r="G41" s="761">
        <f>+F41/$D$19</f>
        <v>0</v>
      </c>
      <c r="H41" s="1073">
        <f>10^(-G41)</f>
        <v>1</v>
      </c>
      <c r="I41" s="1086">
        <f>$D$10*$D$12*$D$41/60/$C$41^2*H41</f>
        <v>0.17143333333333335</v>
      </c>
      <c r="J41" s="1081">
        <f>I41*E41</f>
        <v>0.17143333333333335</v>
      </c>
      <c r="K41" s="1087"/>
      <c r="L41" s="1088"/>
      <c r="M41" s="603"/>
    </row>
    <row r="42" spans="1:29" ht="16.5" thickBot="1" x14ac:dyDescent="0.3">
      <c r="A42" s="2055"/>
      <c r="B42" s="2086"/>
      <c r="C42" s="1910">
        <v>0.1</v>
      </c>
      <c r="D42" s="1911">
        <v>0.1</v>
      </c>
      <c r="E42" s="2088"/>
      <c r="F42" s="1912">
        <v>0</v>
      </c>
      <c r="G42" s="761">
        <f>+F42/$D$19</f>
        <v>0</v>
      </c>
      <c r="H42" s="1073">
        <f>10^(-G42)</f>
        <v>1</v>
      </c>
      <c r="I42" s="1089"/>
      <c r="J42" s="1090"/>
      <c r="K42" s="1091">
        <f>$D$10*$D$12*$D$42/60/$C$42^2*H42</f>
        <v>1.7143333333333333</v>
      </c>
      <c r="L42" s="1092">
        <f>K42*E41</f>
        <v>1.7143333333333333</v>
      </c>
      <c r="M42" s="1014"/>
      <c r="N42" s="1030"/>
    </row>
    <row r="43" spans="1:29" ht="15.75" x14ac:dyDescent="0.25">
      <c r="A43" s="1010"/>
      <c r="B43" s="880"/>
      <c r="C43" s="1010"/>
      <c r="D43" s="1027"/>
      <c r="E43" s="880"/>
      <c r="F43" s="1027"/>
      <c r="G43" s="1027"/>
      <c r="H43" s="1027"/>
      <c r="I43" s="1028"/>
      <c r="J43" s="1028"/>
      <c r="K43" s="1028"/>
    </row>
    <row r="44" spans="1:29" ht="15.75" x14ac:dyDescent="0.25">
      <c r="A44" s="1093"/>
      <c r="B44" s="880"/>
      <c r="C44" s="1010"/>
      <c r="D44" s="1027"/>
      <c r="E44" s="880"/>
      <c r="F44" s="1027"/>
      <c r="G44" s="1027"/>
      <c r="H44" s="1027"/>
      <c r="I44" s="1014"/>
      <c r="J44" s="1014"/>
      <c r="K44" s="1014"/>
      <c r="L44" s="880"/>
      <c r="M44" s="880"/>
      <c r="O44" s="881"/>
    </row>
    <row r="45" spans="1:29" ht="15.75" x14ac:dyDescent="0.25">
      <c r="A45" s="1093"/>
      <c r="B45" s="832"/>
      <c r="C45" s="599"/>
      <c r="D45" s="40"/>
      <c r="E45" s="749"/>
      <c r="F45" s="749"/>
      <c r="G45" s="749"/>
      <c r="H45" s="749"/>
      <c r="I45" s="749"/>
      <c r="J45" s="749"/>
      <c r="K45" s="881"/>
      <c r="L45" s="1014"/>
      <c r="M45" s="1030"/>
      <c r="N45" s="879"/>
      <c r="O45" s="881"/>
    </row>
    <row r="46" spans="1:29" s="603" customFormat="1" x14ac:dyDescent="0.25">
      <c r="A46" s="1094"/>
      <c r="B46" s="853"/>
      <c r="C46" s="599"/>
      <c r="D46" s="599"/>
      <c r="E46" s="599"/>
      <c r="F46" s="600"/>
      <c r="G46" s="600"/>
      <c r="H46" s="600"/>
      <c r="I46" s="601"/>
      <c r="J46" s="600"/>
      <c r="K46" s="602"/>
    </row>
    <row r="47" spans="1:29" s="603" customFormat="1" x14ac:dyDescent="0.25">
      <c r="A47" s="853"/>
      <c r="B47" s="853"/>
      <c r="C47" s="599"/>
      <c r="D47" s="599"/>
      <c r="E47" s="599"/>
      <c r="F47" s="600"/>
      <c r="G47" s="600"/>
      <c r="H47" s="600"/>
      <c r="I47" s="601"/>
      <c r="J47" s="600"/>
      <c r="K47" s="602"/>
    </row>
    <row r="48" spans="1:29" s="881" customFormat="1" ht="15.75" x14ac:dyDescent="0.25">
      <c r="A48" s="2092"/>
      <c r="B48" s="2092"/>
      <c r="C48" s="599"/>
      <c r="D48" s="40"/>
      <c r="E48" s="603"/>
      <c r="F48" s="599"/>
      <c r="G48" s="1027"/>
      <c r="H48" s="1027"/>
      <c r="K48" s="1028"/>
      <c r="L48" s="1029"/>
      <c r="M48" s="1030"/>
      <c r="N48" s="879"/>
      <c r="P48" s="1015"/>
      <c r="X48" s="1015"/>
      <c r="Y48" s="1015"/>
      <c r="Z48" s="1015"/>
      <c r="AA48" s="1015"/>
      <c r="AB48" s="1015"/>
      <c r="AC48" s="1015"/>
    </row>
    <row r="49" spans="1:28" s="881" customFormat="1" ht="15.75" x14ac:dyDescent="0.25">
      <c r="A49" s="2092"/>
      <c r="B49" s="2092"/>
      <c r="C49" s="599"/>
      <c r="D49" s="40"/>
      <c r="E49" s="40"/>
      <c r="F49" s="40"/>
      <c r="G49" s="879"/>
      <c r="H49" s="879"/>
      <c r="J49" s="34"/>
      <c r="K49" s="879"/>
      <c r="L49" s="1014"/>
      <c r="M49" s="879"/>
      <c r="O49" s="1015"/>
      <c r="W49" s="1015"/>
      <c r="X49" s="1015"/>
      <c r="Y49" s="1015"/>
      <c r="Z49" s="1015"/>
      <c r="AA49" s="1015"/>
      <c r="AB49" s="1015"/>
    </row>
    <row r="50" spans="1:28" s="881" customFormat="1" ht="15.75" x14ac:dyDescent="0.25">
      <c r="A50" s="1095"/>
      <c r="B50" s="1095"/>
      <c r="C50" s="599"/>
      <c r="D50" s="40"/>
      <c r="E50" s="40"/>
      <c r="F50" s="40"/>
      <c r="G50" s="879"/>
      <c r="H50" s="879"/>
      <c r="J50" s="34"/>
      <c r="K50" s="879"/>
      <c r="L50" s="1014"/>
      <c r="M50" s="879"/>
      <c r="O50" s="1015"/>
      <c r="W50" s="1015"/>
      <c r="X50" s="1015"/>
      <c r="Y50" s="1015"/>
      <c r="Z50" s="1015"/>
      <c r="AA50" s="1015"/>
      <c r="AB50" s="1015"/>
    </row>
    <row r="51" spans="1:28" s="881" customFormat="1" ht="15.75" x14ac:dyDescent="0.25">
      <c r="A51" s="1010"/>
      <c r="B51" s="541"/>
      <c r="C51" s="368"/>
      <c r="D51" s="2089"/>
      <c r="E51" s="2090"/>
      <c r="F51" s="2090"/>
      <c r="G51" s="2091"/>
      <c r="H51" s="34"/>
      <c r="I51" s="34"/>
      <c r="J51" s="34"/>
      <c r="K51" s="879"/>
      <c r="L51" s="1014"/>
      <c r="M51" s="879"/>
      <c r="O51" s="1015"/>
      <c r="W51" s="1015"/>
      <c r="X51" s="1015"/>
      <c r="Y51" s="1015"/>
      <c r="Z51" s="1015"/>
      <c r="AA51" s="1015"/>
      <c r="AB51" s="1015"/>
    </row>
    <row r="52" spans="1:28" s="603" customFormat="1" x14ac:dyDescent="0.25">
      <c r="A52" s="34"/>
      <c r="B52" s="853"/>
      <c r="C52" s="368"/>
      <c r="D52" s="34"/>
      <c r="E52" s="34"/>
      <c r="F52" s="34"/>
      <c r="G52" s="2091"/>
      <c r="H52" s="34"/>
      <c r="I52" s="34"/>
      <c r="J52" s="34"/>
      <c r="K52" s="602"/>
    </row>
    <row r="53" spans="1:28" s="603" customFormat="1" x14ac:dyDescent="0.25">
      <c r="A53" s="2084"/>
      <c r="B53" s="2084"/>
      <c r="C53" s="599"/>
      <c r="D53" s="599"/>
      <c r="E53" s="599"/>
      <c r="F53" s="599"/>
      <c r="G53" s="600"/>
      <c r="H53" s="601"/>
      <c r="I53" s="600"/>
      <c r="J53" s="1096"/>
    </row>
    <row r="54" spans="1:28" s="603" customFormat="1" x14ac:dyDescent="0.25">
      <c r="A54" s="2084"/>
      <c r="B54" s="2084"/>
      <c r="C54" s="599"/>
      <c r="D54" s="599"/>
      <c r="E54" s="599"/>
      <c r="F54" s="599"/>
      <c r="G54" s="600"/>
      <c r="H54" s="601"/>
      <c r="I54" s="600"/>
      <c r="J54" s="1096"/>
    </row>
    <row r="55" spans="1:28" ht="15.75" x14ac:dyDescent="0.25">
      <c r="A55" s="881"/>
      <c r="B55" s="881"/>
      <c r="C55" s="881"/>
      <c r="D55" s="881"/>
      <c r="E55" s="881"/>
      <c r="F55" s="1097"/>
      <c r="G55" s="1047"/>
      <c r="H55" s="1098"/>
      <c r="I55" s="1098"/>
      <c r="J55" s="1014"/>
      <c r="K55" s="881"/>
    </row>
    <row r="56" spans="1:28" ht="15.75" x14ac:dyDescent="0.25">
      <c r="A56" s="881"/>
      <c r="B56" s="881"/>
      <c r="C56" s="881"/>
      <c r="D56" s="881"/>
      <c r="E56" s="881"/>
      <c r="F56" s="1047"/>
      <c r="G56" s="1048"/>
      <c r="H56" s="880"/>
      <c r="I56" s="880"/>
      <c r="J56" s="880"/>
      <c r="K56" s="881"/>
    </row>
    <row r="57" spans="1:28" ht="15.75" x14ac:dyDescent="0.25">
      <c r="A57" s="881"/>
      <c r="B57" s="881"/>
      <c r="C57" s="881"/>
      <c r="D57" s="881"/>
      <c r="E57" s="881"/>
      <c r="F57" s="1047"/>
      <c r="G57" s="1048"/>
      <c r="H57" s="880"/>
      <c r="I57" s="1029"/>
      <c r="J57" s="880"/>
      <c r="K57" s="881"/>
    </row>
  </sheetData>
  <sheetProtection algorithmName="SHA-512" hashValue="RbsFf2faFTnSTSmd+a+A0eCQf1MUL2mwzbt0Vy01klFC3rI+1aQj4tfHpleXcZ2ulKUxKh500d8MrAdkd+me0g==" saltValue="9QVmpzz4YM6BDCve1hurew==" spinCount="100000" sheet="1" objects="1" scenarios="1"/>
  <mergeCells count="16">
    <mergeCell ref="J26:K26"/>
    <mergeCell ref="A53:A54"/>
    <mergeCell ref="B53:B54"/>
    <mergeCell ref="G39:G40"/>
    <mergeCell ref="D51:F51"/>
    <mergeCell ref="G51:G52"/>
    <mergeCell ref="B41:B42"/>
    <mergeCell ref="A41:A42"/>
    <mergeCell ref="A48:B49"/>
    <mergeCell ref="E39:E40"/>
    <mergeCell ref="E41:E42"/>
    <mergeCell ref="K39:L39"/>
    <mergeCell ref="I34:J34"/>
    <mergeCell ref="I39:J39"/>
    <mergeCell ref="E34:E35"/>
    <mergeCell ref="G34:G35"/>
  </mergeCells>
  <phoneticPr fontId="0" type="noConversion"/>
  <pageMargins left="0.70866141732283472" right="0.70866141732283472" top="0.74803149606299213" bottom="0.74803149606299213" header="0.31496062992125984" footer="0.31496062992125984"/>
  <pageSetup paperSize="9" scale="50" orientation="landscape" r:id="rId1"/>
  <headerFooter>
    <oddFooter>&amp;C&amp;F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I88"/>
  <sheetViews>
    <sheetView showGridLines="0" zoomScale="115" zoomScaleNormal="115" workbookViewId="0">
      <selection activeCell="J38" sqref="J38"/>
    </sheetView>
  </sheetViews>
  <sheetFormatPr defaultRowHeight="15" x14ac:dyDescent="0.25"/>
  <sheetData>
    <row r="1" spans="1:3" s="52" customFormat="1" x14ac:dyDescent="0.2">
      <c r="A1" s="66" t="s">
        <v>596</v>
      </c>
    </row>
    <row r="2" spans="1:3" s="52" customFormat="1" ht="14.25" x14ac:dyDescent="0.2"/>
    <row r="3" spans="1:3" s="52" customFormat="1" ht="14.25" x14ac:dyDescent="0.2">
      <c r="A3" s="61" t="s">
        <v>630</v>
      </c>
    </row>
    <row r="4" spans="1:3" s="52" customFormat="1" ht="14.25" x14ac:dyDescent="0.2">
      <c r="A4" s="52" t="s">
        <v>598</v>
      </c>
    </row>
    <row r="5" spans="1:3" s="52" customFormat="1" ht="14.25" x14ac:dyDescent="0.2">
      <c r="A5" s="52" t="s">
        <v>653</v>
      </c>
    </row>
    <row r="6" spans="1:3" s="52" customFormat="1" ht="14.25" x14ac:dyDescent="0.2"/>
    <row r="7" spans="1:3" s="52" customFormat="1" ht="14.25" x14ac:dyDescent="0.2">
      <c r="A7" s="52" t="s">
        <v>262</v>
      </c>
      <c r="B7" s="62"/>
      <c r="C7" s="52" t="s">
        <v>420</v>
      </c>
    </row>
    <row r="8" spans="1:3" s="52" customFormat="1" ht="14.25" x14ac:dyDescent="0.2"/>
    <row r="9" spans="1:3" s="52" customFormat="1" ht="14.25" x14ac:dyDescent="0.2">
      <c r="B9" s="63"/>
      <c r="C9" s="52" t="s">
        <v>421</v>
      </c>
    </row>
    <row r="10" spans="1:3" s="52" customFormat="1" thickBot="1" x14ac:dyDescent="0.25">
      <c r="B10" s="64"/>
    </row>
    <row r="11" spans="1:3" s="52" customFormat="1" ht="15.75" thickBot="1" x14ac:dyDescent="0.3">
      <c r="B11" s="67"/>
      <c r="C11" s="52" t="s">
        <v>651</v>
      </c>
    </row>
    <row r="12" spans="1:3" s="52" customFormat="1" ht="14.25" x14ac:dyDescent="0.2"/>
    <row r="13" spans="1:3" s="52" customFormat="1" ht="14.25" x14ac:dyDescent="0.2">
      <c r="B13" s="65"/>
      <c r="C13" s="52" t="s">
        <v>422</v>
      </c>
    </row>
    <row r="14" spans="1:3" s="52" customFormat="1" ht="14.25" x14ac:dyDescent="0.2"/>
    <row r="15" spans="1:3" s="52" customFormat="1" x14ac:dyDescent="0.25">
      <c r="B15" s="25"/>
      <c r="C15" s="52" t="s">
        <v>650</v>
      </c>
    </row>
    <row r="16" spans="1:3" s="52" customFormat="1" x14ac:dyDescent="0.25">
      <c r="B16"/>
    </row>
    <row r="17" spans="1:9" s="52" customFormat="1" x14ac:dyDescent="0.25">
      <c r="B17" s="24"/>
      <c r="C17" s="52" t="s">
        <v>649</v>
      </c>
    </row>
    <row r="18" spans="1:9" s="52" customFormat="1" ht="14.25" x14ac:dyDescent="0.2">
      <c r="B18" s="64"/>
    </row>
    <row r="19" spans="1:9" s="52" customFormat="1" ht="14.25" x14ac:dyDescent="0.2">
      <c r="B19" s="70"/>
      <c r="C19" s="52" t="s">
        <v>423</v>
      </c>
    </row>
    <row r="20" spans="1:9" s="52" customFormat="1" ht="14.25" x14ac:dyDescent="0.2"/>
    <row r="21" spans="1:9" s="52" customFormat="1" ht="14.25" x14ac:dyDescent="0.2">
      <c r="B21" s="61" t="s">
        <v>625</v>
      </c>
      <c r="F21" s="62" t="s">
        <v>632</v>
      </c>
      <c r="G21" s="60" t="s">
        <v>621</v>
      </c>
      <c r="H21" s="63" t="s">
        <v>633</v>
      </c>
      <c r="I21" s="52" t="s">
        <v>622</v>
      </c>
    </row>
    <row r="22" spans="1:9" s="52" customFormat="1" ht="14.25" x14ac:dyDescent="0.2">
      <c r="A22" s="61"/>
      <c r="B22" s="61" t="s">
        <v>623</v>
      </c>
      <c r="F22" s="62" t="s">
        <v>632</v>
      </c>
      <c r="G22" s="52" t="s">
        <v>624</v>
      </c>
    </row>
    <row r="23" spans="1:9" s="52" customFormat="1" ht="14.25" x14ac:dyDescent="0.2">
      <c r="A23" s="61"/>
    </row>
    <row r="24" spans="1:9" s="52" customFormat="1" ht="14.25" x14ac:dyDescent="0.2">
      <c r="A24" s="61"/>
      <c r="B24" s="61"/>
    </row>
    <row r="25" spans="1:9" s="52" customFormat="1" ht="14.25" x14ac:dyDescent="0.2">
      <c r="A25" s="61"/>
    </row>
    <row r="26" spans="1:9" s="52" customFormat="1" x14ac:dyDescent="0.2">
      <c r="A26" s="66" t="s">
        <v>620</v>
      </c>
    </row>
    <row r="27" spans="1:9" s="52" customFormat="1" ht="14.25" x14ac:dyDescent="0.2">
      <c r="A27" s="52" t="s">
        <v>597</v>
      </c>
      <c r="B27" s="61" t="s">
        <v>582</v>
      </c>
    </row>
    <row r="28" spans="1:9" s="52" customFormat="1" ht="14.25" x14ac:dyDescent="0.2">
      <c r="A28" s="61" t="s">
        <v>583</v>
      </c>
      <c r="B28" s="61" t="s">
        <v>635</v>
      </c>
    </row>
    <row r="29" spans="1:9" s="52" customFormat="1" ht="14.25" x14ac:dyDescent="0.2">
      <c r="A29" s="61"/>
      <c r="B29" s="61"/>
      <c r="C29" s="52" t="s">
        <v>636</v>
      </c>
    </row>
    <row r="30" spans="1:9" s="52" customFormat="1" ht="14.25" x14ac:dyDescent="0.2">
      <c r="A30" s="59" t="s">
        <v>584</v>
      </c>
      <c r="B30" s="61" t="s">
        <v>585</v>
      </c>
    </row>
    <row r="31" spans="1:9" s="52" customFormat="1" ht="14.25" x14ac:dyDescent="0.2">
      <c r="A31" s="59" t="s">
        <v>586</v>
      </c>
      <c r="B31" s="61" t="s">
        <v>599</v>
      </c>
    </row>
    <row r="32" spans="1:9" s="52" customFormat="1" ht="14.25" x14ac:dyDescent="0.2">
      <c r="A32" s="61" t="s">
        <v>588</v>
      </c>
      <c r="B32" s="61" t="s">
        <v>600</v>
      </c>
    </row>
    <row r="33" spans="1:2" s="52" customFormat="1" ht="14.25" x14ac:dyDescent="0.2">
      <c r="A33" s="61"/>
      <c r="B33" s="61" t="s">
        <v>634</v>
      </c>
    </row>
    <row r="34" spans="1:2" s="52" customFormat="1" ht="14.25" x14ac:dyDescent="0.2">
      <c r="A34" s="59" t="s">
        <v>589</v>
      </c>
      <c r="B34" s="61" t="s">
        <v>587</v>
      </c>
    </row>
    <row r="35" spans="1:2" s="52" customFormat="1" ht="14.25" x14ac:dyDescent="0.2">
      <c r="A35" s="59" t="s">
        <v>616</v>
      </c>
      <c r="B35" s="61" t="s">
        <v>602</v>
      </c>
    </row>
    <row r="36" spans="1:2" s="52" customFormat="1" ht="14.25" x14ac:dyDescent="0.2">
      <c r="A36" s="59"/>
      <c r="B36" s="61" t="s">
        <v>601</v>
      </c>
    </row>
    <row r="37" spans="1:2" s="52" customFormat="1" ht="14.25" x14ac:dyDescent="0.2">
      <c r="A37" s="52" t="s">
        <v>593</v>
      </c>
      <c r="B37" s="61" t="s">
        <v>603</v>
      </c>
    </row>
    <row r="38" spans="1:2" s="52" customFormat="1" ht="14.25" x14ac:dyDescent="0.2"/>
    <row r="39" spans="1:2" s="52" customFormat="1" ht="14.25" x14ac:dyDescent="0.2">
      <c r="A39" s="52" t="s">
        <v>617</v>
      </c>
      <c r="B39" s="52" t="s">
        <v>611</v>
      </c>
    </row>
    <row r="40" spans="1:2" s="52" customFormat="1" ht="14.25" x14ac:dyDescent="0.2">
      <c r="B40" s="61" t="s">
        <v>590</v>
      </c>
    </row>
    <row r="41" spans="1:2" s="52" customFormat="1" ht="14.25" x14ac:dyDescent="0.2">
      <c r="B41" s="61" t="s">
        <v>605</v>
      </c>
    </row>
    <row r="42" spans="1:2" s="52" customFormat="1" ht="14.25" x14ac:dyDescent="0.2">
      <c r="B42" s="61" t="s">
        <v>604</v>
      </c>
    </row>
    <row r="43" spans="1:2" s="52" customFormat="1" ht="14.25" x14ac:dyDescent="0.2">
      <c r="B43" s="61" t="s">
        <v>606</v>
      </c>
    </row>
    <row r="44" spans="1:2" s="52" customFormat="1" ht="14.25" x14ac:dyDescent="0.2">
      <c r="B44" s="61"/>
    </row>
    <row r="45" spans="1:2" s="52" customFormat="1" ht="14.25" x14ac:dyDescent="0.2">
      <c r="A45" s="59" t="s">
        <v>618</v>
      </c>
      <c r="B45" s="61" t="s">
        <v>607</v>
      </c>
    </row>
    <row r="46" spans="1:2" s="52" customFormat="1" ht="14.25" x14ac:dyDescent="0.2">
      <c r="B46" s="61" t="s">
        <v>591</v>
      </c>
    </row>
    <row r="47" spans="1:2" s="52" customFormat="1" ht="14.25" x14ac:dyDescent="0.2">
      <c r="B47" s="61" t="s">
        <v>592</v>
      </c>
    </row>
    <row r="48" spans="1:2" s="52" customFormat="1" ht="14.25" x14ac:dyDescent="0.2">
      <c r="B48" s="61" t="s">
        <v>610</v>
      </c>
    </row>
    <row r="49" spans="1:5" s="52" customFormat="1" ht="14.25" x14ac:dyDescent="0.2">
      <c r="B49" s="61"/>
    </row>
    <row r="50" spans="1:5" s="52" customFormat="1" ht="14.25" x14ac:dyDescent="0.2">
      <c r="A50" s="59" t="s">
        <v>619</v>
      </c>
      <c r="B50" s="61" t="s">
        <v>612</v>
      </c>
    </row>
    <row r="51" spans="1:5" s="52" customFormat="1" ht="14.25" x14ac:dyDescent="0.2">
      <c r="B51" s="61" t="s">
        <v>594</v>
      </c>
    </row>
    <row r="52" spans="1:5" s="52" customFormat="1" ht="14.25" x14ac:dyDescent="0.2">
      <c r="B52" s="61" t="s">
        <v>595</v>
      </c>
    </row>
    <row r="53" spans="1:5" s="52" customFormat="1" ht="14.25" x14ac:dyDescent="0.2"/>
    <row r="54" spans="1:5" s="52" customFormat="1" ht="14.25" x14ac:dyDescent="0.2">
      <c r="A54" s="52" t="s">
        <v>641</v>
      </c>
      <c r="B54" s="52" t="s">
        <v>637</v>
      </c>
    </row>
    <row r="55" spans="1:5" s="52" customFormat="1" ht="14.25" x14ac:dyDescent="0.2">
      <c r="B55" s="52" t="s">
        <v>626</v>
      </c>
    </row>
    <row r="56" spans="1:5" s="52" customFormat="1" ht="14.25" x14ac:dyDescent="0.2">
      <c r="C56" s="52" t="s">
        <v>628</v>
      </c>
    </row>
    <row r="57" spans="1:5" s="52" customFormat="1" ht="14.25" x14ac:dyDescent="0.2">
      <c r="C57" s="52" t="s">
        <v>627</v>
      </c>
      <c r="E57" s="52" t="s">
        <v>629</v>
      </c>
    </row>
    <row r="58" spans="1:5" s="52" customFormat="1" ht="14.25" x14ac:dyDescent="0.2">
      <c r="B58" s="52" t="s">
        <v>638</v>
      </c>
    </row>
    <row r="59" spans="1:5" s="52" customFormat="1" ht="14.25" x14ac:dyDescent="0.2">
      <c r="B59" s="52" t="s">
        <v>639</v>
      </c>
    </row>
    <row r="60" spans="1:5" s="52" customFormat="1" ht="14.25" x14ac:dyDescent="0.2">
      <c r="C60" s="52" t="s">
        <v>640</v>
      </c>
    </row>
    <row r="61" spans="1:5" s="52" customFormat="1" ht="14.25" x14ac:dyDescent="0.2"/>
    <row r="62" spans="1:5" s="52" customFormat="1" ht="14.25" x14ac:dyDescent="0.2"/>
    <row r="63" spans="1:5" s="52" customFormat="1" ht="14.25" x14ac:dyDescent="0.2"/>
    <row r="64" spans="1:5" s="52" customFormat="1" ht="14.25" x14ac:dyDescent="0.2">
      <c r="B64" s="52" t="s">
        <v>642</v>
      </c>
    </row>
    <row r="65" spans="1:2" s="52" customFormat="1" ht="14.25" x14ac:dyDescent="0.2"/>
    <row r="66" spans="1:2" s="52" customFormat="1" ht="14.25" x14ac:dyDescent="0.2"/>
    <row r="67" spans="1:2" s="52" customFormat="1" ht="14.25" x14ac:dyDescent="0.2"/>
    <row r="68" spans="1:2" s="52" customFormat="1" ht="14.25" x14ac:dyDescent="0.2"/>
    <row r="69" spans="1:2" s="52" customFormat="1" ht="14.25" x14ac:dyDescent="0.2">
      <c r="A69" s="61"/>
    </row>
    <row r="70" spans="1:2" s="52" customFormat="1" ht="14.25" x14ac:dyDescent="0.2"/>
    <row r="71" spans="1:2" s="52" customFormat="1" ht="14.25" x14ac:dyDescent="0.2">
      <c r="A71" s="59"/>
    </row>
    <row r="72" spans="1:2" s="52" customFormat="1" ht="14.25" x14ac:dyDescent="0.2"/>
    <row r="73" spans="1:2" s="52" customFormat="1" ht="14.25" x14ac:dyDescent="0.2">
      <c r="A73" s="61"/>
    </row>
    <row r="74" spans="1:2" s="52" customFormat="1" ht="14.25" x14ac:dyDescent="0.2">
      <c r="A74" s="61"/>
    </row>
    <row r="75" spans="1:2" s="52" customFormat="1" ht="14.25" x14ac:dyDescent="0.2"/>
    <row r="77" spans="1:2" s="52" customFormat="1" ht="14.25" x14ac:dyDescent="0.2">
      <c r="A77" s="59"/>
      <c r="B77" s="61"/>
    </row>
    <row r="78" spans="1:2" s="52" customFormat="1" ht="14.25" x14ac:dyDescent="0.2">
      <c r="A78" s="59"/>
    </row>
    <row r="79" spans="1:2" s="52" customFormat="1" ht="14.25" x14ac:dyDescent="0.2">
      <c r="A79" s="59"/>
    </row>
    <row r="80" spans="1:2" s="52" customFormat="1" ht="14.25" x14ac:dyDescent="0.2">
      <c r="A80" s="61"/>
    </row>
    <row r="82" spans="1:1" s="52" customFormat="1" ht="14.25" x14ac:dyDescent="0.2">
      <c r="A82" s="61"/>
    </row>
    <row r="83" spans="1:1" s="52" customFormat="1" ht="14.25" x14ac:dyDescent="0.2">
      <c r="A83" s="61"/>
    </row>
    <row r="84" spans="1:1" s="52" customFormat="1" ht="14.25" x14ac:dyDescent="0.2">
      <c r="A84" s="61"/>
    </row>
    <row r="85" spans="1:1" s="52" customFormat="1" ht="14.25" x14ac:dyDescent="0.2">
      <c r="A85" s="61"/>
    </row>
    <row r="86" spans="1:1" s="52" customFormat="1" ht="14.25" x14ac:dyDescent="0.2">
      <c r="A86" s="61"/>
    </row>
    <row r="87" spans="1:1" s="52" customFormat="1" ht="14.25" x14ac:dyDescent="0.2">
      <c r="A87" s="61"/>
    </row>
    <row r="88" spans="1:1" s="52" customFormat="1" ht="14.25" x14ac:dyDescent="0.2"/>
  </sheetData>
  <phoneticPr fontId="0"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0" tint="-0.249977111117893"/>
  </sheetPr>
  <dimension ref="A1:AK50"/>
  <sheetViews>
    <sheetView showGridLines="0" topLeftCell="A16" zoomScaleNormal="100" workbookViewId="0">
      <selection activeCell="C39" sqref="C39:F39"/>
    </sheetView>
  </sheetViews>
  <sheetFormatPr defaultRowHeight="15" x14ac:dyDescent="0.25"/>
  <cols>
    <col min="1" max="1" width="7.7109375" style="39" customWidth="1"/>
    <col min="2" max="2" width="20.7109375" style="39" customWidth="1"/>
    <col min="3" max="6" width="12.7109375" style="39" customWidth="1"/>
    <col min="7" max="9" width="13" style="39" customWidth="1"/>
    <col min="10" max="15" width="9.140625" style="39"/>
    <col min="16" max="16" width="12.140625" style="39" bestFit="1" customWidth="1"/>
    <col min="17" max="18" width="9.140625" style="39"/>
    <col min="19" max="19" width="13.140625" style="39" customWidth="1"/>
    <col min="20" max="16384" width="9.140625" style="39"/>
  </cols>
  <sheetData>
    <row r="1" spans="1:27" s="736" customFormat="1" ht="27" thickBot="1" x14ac:dyDescent="0.45">
      <c r="A1" s="731" t="s">
        <v>88</v>
      </c>
      <c r="B1" s="732"/>
      <c r="C1" s="733"/>
      <c r="D1" s="733"/>
      <c r="E1" s="732"/>
      <c r="F1" s="733"/>
      <c r="G1" s="733"/>
      <c r="H1" s="733"/>
      <c r="I1" s="733"/>
      <c r="J1" s="733"/>
      <c r="K1" s="733"/>
      <c r="L1" s="1099"/>
      <c r="M1" s="735"/>
      <c r="N1" s="735"/>
      <c r="O1" s="735"/>
    </row>
    <row r="2" spans="1:27" s="37" customFormat="1" ht="18.75" customHeight="1" thickBot="1" x14ac:dyDescent="0.25">
      <c r="A2" s="737"/>
      <c r="F2" s="738"/>
      <c r="G2" s="738"/>
      <c r="H2" s="738"/>
    </row>
    <row r="3" spans="1:27" s="743" customFormat="1" ht="26.25" customHeight="1" thickBot="1" x14ac:dyDescent="0.45">
      <c r="A3" s="739" t="s">
        <v>314</v>
      </c>
      <c r="B3" s="740"/>
      <c r="C3" s="1873" t="s">
        <v>84</v>
      </c>
      <c r="D3" s="1874"/>
      <c r="E3" s="1882"/>
      <c r="F3" s="395"/>
      <c r="G3" s="395"/>
      <c r="H3" s="395"/>
      <c r="I3" s="745"/>
    </row>
    <row r="4" spans="1:27" s="743" customFormat="1" ht="22.5" customHeight="1" x14ac:dyDescent="0.4">
      <c r="A4" s="744"/>
      <c r="B4" s="745"/>
      <c r="C4" s="746"/>
      <c r="D4" s="745"/>
      <c r="E4" s="745"/>
      <c r="F4" s="395"/>
      <c r="G4" s="395"/>
      <c r="H4" s="193"/>
      <c r="I4" s="194" t="s">
        <v>420</v>
      </c>
    </row>
    <row r="5" spans="1:27" s="743" customFormat="1" ht="22.5" customHeight="1" thickBot="1" x14ac:dyDescent="0.45">
      <c r="A5" s="188" t="s">
        <v>532</v>
      </c>
      <c r="B5" s="745"/>
      <c r="C5" s="746"/>
      <c r="D5" s="745"/>
      <c r="E5" s="745"/>
      <c r="F5" s="395"/>
      <c r="G5" s="395"/>
      <c r="H5" s="195"/>
      <c r="I5" s="194"/>
    </row>
    <row r="6" spans="1:27" s="604" customFormat="1" ht="15.75" thickBot="1" x14ac:dyDescent="0.3">
      <c r="A6" s="875" t="s">
        <v>104</v>
      </c>
      <c r="B6" s="1100"/>
      <c r="C6" s="1100"/>
      <c r="D6" s="1064"/>
      <c r="E6" s="1906">
        <v>200</v>
      </c>
      <c r="F6" s="1096"/>
      <c r="G6" s="40"/>
      <c r="H6" s="210"/>
      <c r="I6" s="194" t="s">
        <v>421</v>
      </c>
      <c r="J6" s="40"/>
      <c r="K6" s="37"/>
      <c r="L6" s="37"/>
      <c r="M6" s="37"/>
      <c r="N6" s="37"/>
      <c r="O6" s="37"/>
      <c r="P6" s="853"/>
      <c r="Q6" s="853"/>
      <c r="R6" s="853"/>
      <c r="S6" s="853"/>
      <c r="T6" s="599"/>
      <c r="U6" s="40"/>
      <c r="V6" s="40"/>
      <c r="W6" s="40"/>
      <c r="X6" s="40"/>
      <c r="Y6" s="37"/>
      <c r="Z6" s="37"/>
      <c r="AA6" s="37"/>
    </row>
    <row r="7" spans="1:27" s="743" customFormat="1" ht="22.5" customHeight="1" x14ac:dyDescent="0.4">
      <c r="A7" s="744"/>
      <c r="B7" s="745"/>
      <c r="C7" s="746"/>
      <c r="D7" s="745"/>
      <c r="E7" s="745"/>
      <c r="F7" s="395"/>
      <c r="G7" s="395"/>
      <c r="H7" s="214"/>
      <c r="I7" s="194"/>
    </row>
    <row r="8" spans="1:27" s="743" customFormat="1" ht="22.5" customHeight="1" thickBot="1" x14ac:dyDescent="0.45">
      <c r="A8" s="230" t="s">
        <v>453</v>
      </c>
      <c r="B8" s="745"/>
      <c r="C8" s="746"/>
      <c r="D8" s="745"/>
      <c r="E8" s="745"/>
      <c r="F8" s="395"/>
      <c r="G8" s="395"/>
      <c r="H8" s="223"/>
      <c r="I8" s="194" t="s">
        <v>422</v>
      </c>
    </row>
    <row r="9" spans="1:27" s="604" customFormat="1" x14ac:dyDescent="0.25">
      <c r="A9" s="969" t="s">
        <v>18</v>
      </c>
      <c r="B9" s="970"/>
      <c r="C9" s="970"/>
      <c r="D9" s="971"/>
      <c r="E9" s="972" t="s">
        <v>84</v>
      </c>
      <c r="F9" s="960"/>
      <c r="G9" s="883"/>
      <c r="H9" s="195"/>
      <c r="I9" s="195"/>
      <c r="J9" s="960"/>
      <c r="K9" s="37"/>
      <c r="L9" s="37"/>
      <c r="M9" s="37"/>
      <c r="N9" s="37"/>
      <c r="O9" s="37"/>
      <c r="P9" s="883"/>
      <c r="Q9" s="883"/>
      <c r="R9" s="883"/>
      <c r="S9" s="883"/>
      <c r="T9" s="808"/>
      <c r="U9" s="960"/>
      <c r="V9" s="883"/>
      <c r="W9" s="961"/>
      <c r="X9" s="960"/>
      <c r="Y9" s="37"/>
      <c r="Z9" s="37"/>
      <c r="AA9" s="37"/>
    </row>
    <row r="10" spans="1:27" s="604" customFormat="1" ht="18.75" x14ac:dyDescent="0.35">
      <c r="A10" s="973" t="s">
        <v>467</v>
      </c>
      <c r="B10" s="974"/>
      <c r="C10" s="974"/>
      <c r="D10" s="975"/>
      <c r="E10" s="976">
        <v>3.4000000000000002E-2</v>
      </c>
      <c r="F10" s="40"/>
      <c r="G10" s="853"/>
      <c r="H10" s="228"/>
      <c r="I10" s="194" t="s">
        <v>650</v>
      </c>
      <c r="J10" s="40"/>
      <c r="K10" s="37"/>
      <c r="L10" s="37"/>
      <c r="M10" s="37"/>
      <c r="N10" s="37"/>
      <c r="O10" s="37"/>
      <c r="P10" s="853"/>
      <c r="Q10" s="853"/>
      <c r="R10" s="853"/>
      <c r="S10" s="853"/>
      <c r="T10" s="855"/>
      <c r="U10" s="40"/>
      <c r="V10" s="853"/>
      <c r="W10" s="977"/>
      <c r="X10" s="40"/>
      <c r="Y10" s="37"/>
      <c r="Z10" s="37"/>
      <c r="AA10" s="37"/>
    </row>
    <row r="11" spans="1:27" s="604" customFormat="1" x14ac:dyDescent="0.25">
      <c r="A11" s="973" t="s">
        <v>256</v>
      </c>
      <c r="B11" s="974"/>
      <c r="C11" s="974"/>
      <c r="D11" s="975"/>
      <c r="E11" s="1101">
        <v>59.4</v>
      </c>
      <c r="F11" s="40"/>
      <c r="G11" s="40"/>
      <c r="H11" s="195"/>
      <c r="I11" s="194"/>
      <c r="J11" s="40"/>
      <c r="K11" s="37"/>
      <c r="L11" s="37"/>
      <c r="M11" s="37"/>
      <c r="N11" s="37"/>
      <c r="O11" s="37"/>
      <c r="P11" s="40"/>
      <c r="Q11" s="40"/>
      <c r="R11" s="40"/>
      <c r="S11" s="40"/>
      <c r="T11" s="1056"/>
      <c r="U11" s="960"/>
      <c r="V11" s="853"/>
      <c r="W11" s="980"/>
      <c r="X11" s="960"/>
      <c r="Y11" s="37"/>
      <c r="Z11" s="37"/>
      <c r="AA11" s="37"/>
    </row>
    <row r="12" spans="1:27" s="604" customFormat="1" x14ac:dyDescent="0.25">
      <c r="A12" s="841" t="s">
        <v>257</v>
      </c>
      <c r="B12" s="979"/>
      <c r="C12" s="979"/>
      <c r="D12" s="975"/>
      <c r="E12" s="1907">
        <v>17</v>
      </c>
      <c r="F12" s="960"/>
      <c r="G12" s="853"/>
      <c r="H12" s="232"/>
      <c r="I12" s="194" t="s">
        <v>649</v>
      </c>
      <c r="J12" s="960"/>
      <c r="K12" s="37"/>
      <c r="L12" s="37"/>
      <c r="M12" s="37"/>
      <c r="N12" s="37"/>
      <c r="O12" s="37"/>
      <c r="P12" s="40"/>
      <c r="Q12" s="40"/>
      <c r="R12" s="40"/>
      <c r="S12" s="40"/>
      <c r="T12" s="1056"/>
      <c r="U12" s="1096"/>
      <c r="V12" s="40"/>
      <c r="W12" s="40"/>
      <c r="X12" s="40"/>
      <c r="Y12" s="37"/>
      <c r="Z12" s="37"/>
      <c r="AA12" s="37"/>
    </row>
    <row r="13" spans="1:27" s="604" customFormat="1" x14ac:dyDescent="0.25">
      <c r="A13" s="841" t="s">
        <v>105</v>
      </c>
      <c r="B13" s="979"/>
      <c r="C13" s="979"/>
      <c r="D13" s="975"/>
      <c r="E13" s="1907">
        <v>80</v>
      </c>
      <c r="F13" s="1096"/>
      <c r="G13" s="40"/>
      <c r="I13" s="40"/>
      <c r="J13" s="40"/>
      <c r="K13" s="37"/>
      <c r="L13" s="37"/>
      <c r="M13" s="37"/>
      <c r="N13" s="37"/>
      <c r="O13" s="37"/>
      <c r="P13" s="40"/>
      <c r="Q13" s="40"/>
      <c r="R13" s="40"/>
      <c r="S13" s="40"/>
      <c r="T13" s="1056"/>
      <c r="U13" s="1096"/>
      <c r="V13" s="40"/>
      <c r="W13" s="40"/>
      <c r="X13" s="40"/>
      <c r="Y13" s="37"/>
      <c r="Z13" s="37"/>
      <c r="AA13" s="37"/>
    </row>
    <row r="14" spans="1:27" s="604" customFormat="1" ht="17.25" x14ac:dyDescent="0.25">
      <c r="A14" s="973" t="s">
        <v>298</v>
      </c>
      <c r="B14" s="974"/>
      <c r="C14" s="974"/>
      <c r="D14" s="975"/>
      <c r="E14" s="1102">
        <f>6*E12/1.5/10^3</f>
        <v>6.8000000000000005E-2</v>
      </c>
      <c r="F14" s="40" t="s">
        <v>233</v>
      </c>
      <c r="I14" s="40"/>
      <c r="J14" s="37"/>
      <c r="K14" s="37"/>
      <c r="L14" s="37"/>
      <c r="M14" s="37"/>
      <c r="N14" s="40"/>
      <c r="O14" s="37"/>
      <c r="P14" s="37"/>
      <c r="Q14" s="853"/>
      <c r="R14" s="853"/>
      <c r="S14" s="853"/>
      <c r="T14" s="873"/>
      <c r="U14" s="40"/>
      <c r="V14" s="40"/>
      <c r="W14" s="37"/>
      <c r="X14" s="40"/>
      <c r="Y14" s="37"/>
      <c r="Z14" s="37"/>
      <c r="AA14" s="37"/>
    </row>
    <row r="15" spans="1:27" s="604" customFormat="1" ht="18.75" x14ac:dyDescent="0.35">
      <c r="A15" s="841" t="s">
        <v>303</v>
      </c>
      <c r="B15" s="974"/>
      <c r="C15" s="974"/>
      <c r="D15" s="975"/>
      <c r="E15" s="1102">
        <v>0.122</v>
      </c>
      <c r="F15" s="40" t="s">
        <v>648</v>
      </c>
      <c r="I15" s="37"/>
      <c r="J15" s="40"/>
      <c r="K15" s="37"/>
      <c r="L15" s="37"/>
      <c r="M15" s="37"/>
      <c r="N15" s="37"/>
      <c r="O15" s="37"/>
      <c r="P15" s="40"/>
      <c r="Q15" s="40"/>
      <c r="R15" s="40"/>
      <c r="S15" s="40"/>
      <c r="T15" s="1056"/>
      <c r="U15" s="1096"/>
      <c r="V15" s="40"/>
      <c r="W15" s="40"/>
      <c r="X15" s="40"/>
      <c r="Y15" s="37"/>
      <c r="Z15" s="37"/>
      <c r="AA15" s="37"/>
    </row>
    <row r="16" spans="1:27" s="604" customFormat="1" ht="15.75" thickBot="1" x14ac:dyDescent="0.3">
      <c r="A16" s="837" t="s">
        <v>302</v>
      </c>
      <c r="B16" s="1103"/>
      <c r="C16" s="1103"/>
      <c r="D16" s="1104"/>
      <c r="E16" s="1105">
        <v>1</v>
      </c>
      <c r="F16" s="40"/>
      <c r="G16" s="40"/>
      <c r="I16" s="37"/>
      <c r="J16" s="40"/>
      <c r="K16" s="37"/>
      <c r="L16" s="37"/>
      <c r="M16" s="37"/>
      <c r="N16" s="37"/>
      <c r="O16" s="37"/>
      <c r="P16" s="40"/>
      <c r="Q16" s="40"/>
      <c r="R16" s="40"/>
      <c r="S16" s="40"/>
      <c r="T16" s="1056"/>
      <c r="U16" s="1096"/>
      <c r="V16" s="40"/>
      <c r="W16" s="40"/>
      <c r="X16" s="40"/>
      <c r="Y16" s="37"/>
      <c r="Z16" s="37"/>
      <c r="AA16" s="37"/>
    </row>
    <row r="17" spans="1:37" ht="15.75" x14ac:dyDescent="0.25">
      <c r="O17" s="1106"/>
      <c r="P17" s="1010"/>
      <c r="Q17" s="1010"/>
      <c r="R17" s="1010"/>
      <c r="S17" s="1010"/>
      <c r="T17" s="1107"/>
      <c r="U17" s="879"/>
      <c r="V17" s="879"/>
      <c r="W17" s="879"/>
      <c r="X17" s="749"/>
      <c r="Y17" s="749"/>
      <c r="Z17" s="749"/>
      <c r="AA17" s="749"/>
    </row>
    <row r="18" spans="1:37" ht="18" x14ac:dyDescent="0.25">
      <c r="A18" s="747"/>
      <c r="B18" s="770"/>
      <c r="C18" s="770"/>
      <c r="D18" s="771"/>
      <c r="E18" s="879"/>
      <c r="F18" s="879"/>
      <c r="G18" s="879"/>
      <c r="H18" s="879"/>
      <c r="I18" s="879"/>
      <c r="J18" s="879"/>
      <c r="K18" s="879"/>
      <c r="L18" s="880"/>
      <c r="M18" s="880"/>
      <c r="N18" s="880"/>
      <c r="O18" s="881"/>
      <c r="P18" s="881"/>
      <c r="Q18" s="881"/>
      <c r="R18" s="881"/>
      <c r="S18" s="881"/>
      <c r="T18" s="881"/>
      <c r="U18" s="881"/>
      <c r="V18" s="881"/>
      <c r="W18" s="881"/>
      <c r="X18" s="881"/>
      <c r="Y18" s="881"/>
      <c r="Z18" s="881"/>
      <c r="AA18" s="881"/>
      <c r="AB18" s="881"/>
      <c r="AC18" s="881"/>
      <c r="AD18" s="881"/>
      <c r="AE18" s="881"/>
      <c r="AF18" s="881"/>
      <c r="AG18" s="881"/>
      <c r="AH18" s="881"/>
    </row>
    <row r="19" spans="1:37" s="604" customFormat="1" ht="18.75" thickBot="1" x14ac:dyDescent="0.3">
      <c r="A19" s="283" t="s">
        <v>506</v>
      </c>
      <c r="B19" s="284"/>
      <c r="C19" s="284"/>
      <c r="D19" s="36"/>
      <c r="E19" s="40"/>
      <c r="F19" s="40"/>
      <c r="G19" s="40"/>
      <c r="H19" s="40"/>
      <c r="I19" s="40"/>
      <c r="J19" s="40"/>
      <c r="K19" s="34"/>
      <c r="L19" s="34"/>
      <c r="M19" s="34"/>
      <c r="N19" s="40"/>
      <c r="O19" s="40"/>
      <c r="P19" s="40"/>
      <c r="Q19" s="40"/>
      <c r="R19" s="40"/>
      <c r="S19" s="40"/>
      <c r="T19" s="40"/>
      <c r="U19" s="40"/>
      <c r="V19" s="40"/>
      <c r="W19" s="883"/>
      <c r="X19" s="40"/>
      <c r="Y19" s="40"/>
      <c r="Z19" s="40"/>
      <c r="AA19" s="603"/>
      <c r="AB19" s="603"/>
      <c r="AC19" s="603"/>
      <c r="AD19" s="603"/>
      <c r="AE19" s="603"/>
      <c r="AF19" s="603"/>
      <c r="AG19" s="603"/>
      <c r="AH19" s="603"/>
    </row>
    <row r="20" spans="1:37" s="604" customFormat="1" x14ac:dyDescent="0.25">
      <c r="A20" s="37"/>
      <c r="B20" s="37"/>
      <c r="C20" s="994" t="s">
        <v>4</v>
      </c>
      <c r="D20" s="994" t="s">
        <v>224</v>
      </c>
      <c r="E20" s="2079" t="s">
        <v>261</v>
      </c>
      <c r="F20" s="2080"/>
      <c r="G20" s="2079" t="s">
        <v>239</v>
      </c>
      <c r="H20" s="2080"/>
      <c r="I20" s="40"/>
      <c r="J20" s="1108"/>
      <c r="K20" s="1108"/>
      <c r="L20" s="1109"/>
      <c r="M20" s="40"/>
      <c r="N20" s="40"/>
      <c r="O20" s="40"/>
      <c r="P20" s="40"/>
      <c r="Q20" s="40"/>
      <c r="R20" s="40"/>
      <c r="S20" s="34"/>
      <c r="T20" s="34"/>
      <c r="U20" s="34"/>
      <c r="V20" s="603"/>
      <c r="W20" s="603"/>
      <c r="X20" s="603"/>
      <c r="Y20" s="603"/>
      <c r="Z20" s="603"/>
      <c r="AA20" s="603"/>
      <c r="AB20" s="603"/>
      <c r="AC20" s="603"/>
      <c r="AD20" s="603"/>
      <c r="AE20" s="603"/>
      <c r="AF20" s="603"/>
      <c r="AG20" s="603"/>
      <c r="AH20" s="603"/>
      <c r="AI20" s="603"/>
      <c r="AJ20" s="603"/>
      <c r="AK20" s="603"/>
    </row>
    <row r="21" spans="1:37" s="604" customFormat="1" ht="15" customHeight="1" x14ac:dyDescent="0.25">
      <c r="A21" s="37"/>
      <c r="B21" s="37"/>
      <c r="C21" s="779"/>
      <c r="D21" s="779"/>
      <c r="E21" s="1110" t="s">
        <v>346</v>
      </c>
      <c r="F21" s="1002"/>
      <c r="G21" s="1110" t="s">
        <v>346</v>
      </c>
      <c r="H21" s="1111"/>
      <c r="I21" s="40"/>
      <c r="J21" s="1108"/>
      <c r="K21" s="1108"/>
      <c r="L21" s="1109"/>
      <c r="M21" s="40"/>
      <c r="N21" s="40"/>
      <c r="O21" s="40"/>
      <c r="P21" s="40"/>
      <c r="Q21" s="40"/>
      <c r="R21" s="40"/>
      <c r="S21" s="34"/>
      <c r="T21" s="34"/>
      <c r="U21" s="34"/>
      <c r="V21" s="603"/>
      <c r="W21" s="603"/>
      <c r="X21" s="603"/>
      <c r="Y21" s="603"/>
      <c r="Z21" s="603"/>
      <c r="AA21" s="603"/>
      <c r="AB21" s="603"/>
      <c r="AC21" s="603"/>
      <c r="AD21" s="603"/>
      <c r="AE21" s="603"/>
      <c r="AF21" s="603"/>
      <c r="AG21" s="603"/>
      <c r="AH21" s="603"/>
      <c r="AI21" s="603"/>
      <c r="AJ21" s="603"/>
      <c r="AK21" s="603"/>
    </row>
    <row r="22" spans="1:37" s="604" customFormat="1" x14ac:dyDescent="0.25">
      <c r="A22" s="781" t="s">
        <v>7</v>
      </c>
      <c r="B22" s="997" t="s">
        <v>74</v>
      </c>
      <c r="C22" s="783" t="s">
        <v>78</v>
      </c>
      <c r="D22" s="783" t="s">
        <v>225</v>
      </c>
      <c r="E22" s="1112" t="s">
        <v>232</v>
      </c>
      <c r="F22" s="1070" t="s">
        <v>32</v>
      </c>
      <c r="G22" s="1110" t="s">
        <v>232</v>
      </c>
      <c r="H22" s="1002" t="s">
        <v>166</v>
      </c>
      <c r="I22" s="40"/>
      <c r="J22" s="603"/>
      <c r="K22" s="40"/>
      <c r="L22" s="40"/>
      <c r="M22" s="40"/>
      <c r="N22" s="40"/>
      <c r="O22" s="40"/>
      <c r="P22" s="40"/>
      <c r="Q22" s="34"/>
      <c r="R22" s="34"/>
      <c r="S22" s="34"/>
      <c r="T22" s="34"/>
      <c r="U22" s="34"/>
      <c r="V22" s="603"/>
      <c r="W22" s="603"/>
      <c r="X22" s="603"/>
      <c r="Y22" s="603"/>
      <c r="Z22" s="603"/>
      <c r="AA22" s="603"/>
      <c r="AB22" s="603"/>
      <c r="AC22" s="603"/>
      <c r="AD22" s="603"/>
      <c r="AE22" s="603"/>
      <c r="AF22" s="603"/>
      <c r="AG22" s="603"/>
      <c r="AH22" s="603"/>
      <c r="AI22" s="603"/>
      <c r="AJ22" s="603"/>
      <c r="AK22" s="603"/>
    </row>
    <row r="23" spans="1:37" s="604" customFormat="1" x14ac:dyDescent="0.25">
      <c r="A23" s="2093" t="s">
        <v>332</v>
      </c>
      <c r="B23" s="2098" t="str">
        <f>Samenvatting!B256</f>
        <v>I-125 zaadjes bereiden</v>
      </c>
      <c r="C23" s="1910">
        <v>0.4</v>
      </c>
      <c r="D23" s="2097">
        <v>0.5</v>
      </c>
      <c r="E23" s="1113">
        <f>$E$12*$E$13*$E$10/C23^2*$D$23/60*$E$15/10^3</f>
        <v>2.9381666666666661E-4</v>
      </c>
      <c r="F23" s="1114">
        <f>E$23*E$6</f>
        <v>5.876333333333332E-2</v>
      </c>
      <c r="G23" s="1115"/>
      <c r="H23" s="1116"/>
      <c r="I23" s="986"/>
      <c r="J23" s="603"/>
      <c r="K23" s="40"/>
      <c r="L23" s="40"/>
      <c r="M23" s="40"/>
      <c r="N23" s="40"/>
      <c r="O23" s="40"/>
      <c r="P23" s="40"/>
      <c r="Q23" s="34"/>
      <c r="R23" s="34"/>
      <c r="S23" s="34"/>
      <c r="T23" s="34"/>
      <c r="U23" s="34"/>
      <c r="V23" s="603"/>
      <c r="W23" s="603"/>
      <c r="X23" s="603"/>
      <c r="Y23" s="603"/>
      <c r="Z23" s="603"/>
      <c r="AA23" s="603"/>
      <c r="AB23" s="603"/>
      <c r="AC23" s="603"/>
      <c r="AD23" s="603"/>
      <c r="AE23" s="603"/>
      <c r="AF23" s="603"/>
      <c r="AG23" s="603"/>
      <c r="AH23" s="603"/>
      <c r="AI23" s="603"/>
      <c r="AJ23" s="603"/>
      <c r="AK23" s="603"/>
    </row>
    <row r="24" spans="1:37" s="604" customFormat="1" x14ac:dyDescent="0.25">
      <c r="A24" s="2094"/>
      <c r="B24" s="2099"/>
      <c r="C24" s="1910">
        <v>7.0000000000000007E-2</v>
      </c>
      <c r="D24" s="2097"/>
      <c r="E24" s="1117"/>
      <c r="F24" s="1118"/>
      <c r="G24" s="1119">
        <f>E$12*E$13*E$10/C24^2*D$23/60*E$16/10^3</f>
        <v>7.863945578231292E-2</v>
      </c>
      <c r="H24" s="1120">
        <f>G$24*E$6</f>
        <v>15.727891156462585</v>
      </c>
      <c r="I24" s="986"/>
      <c r="J24" s="603"/>
      <c r="K24" s="40"/>
      <c r="L24" s="40"/>
      <c r="M24" s="40"/>
      <c r="N24" s="40"/>
      <c r="O24" s="40"/>
      <c r="P24" s="40"/>
      <c r="Q24" s="34"/>
      <c r="R24" s="34"/>
      <c r="S24" s="34"/>
      <c r="T24" s="34"/>
      <c r="U24" s="34"/>
      <c r="V24" s="603"/>
      <c r="W24" s="603"/>
      <c r="X24" s="603"/>
      <c r="Y24" s="603"/>
      <c r="Z24" s="603"/>
      <c r="AA24" s="603"/>
      <c r="AB24" s="603"/>
      <c r="AC24" s="603"/>
      <c r="AD24" s="603"/>
      <c r="AE24" s="603"/>
      <c r="AF24" s="603"/>
      <c r="AG24" s="603"/>
      <c r="AH24" s="603"/>
      <c r="AI24" s="603"/>
      <c r="AJ24" s="603"/>
      <c r="AK24" s="603"/>
    </row>
    <row r="25" spans="1:37" s="604" customFormat="1" ht="30" customHeight="1" thickBot="1" x14ac:dyDescent="0.3">
      <c r="A25" s="1003" t="s">
        <v>333</v>
      </c>
      <c r="B25" s="1121" t="str">
        <f>Samenvatting!B257</f>
        <v>I-125 zaadjes implanteren</v>
      </c>
      <c r="C25" s="28">
        <v>0.3</v>
      </c>
      <c r="D25" s="1913">
        <v>45</v>
      </c>
      <c r="E25" s="1122">
        <f>E$13*E$14*D$25/60*E$15*0.5/10^3</f>
        <v>2.4887999999999999E-4</v>
      </c>
      <c r="F25" s="1075">
        <f>E25*E$6</f>
        <v>4.9776000000000001E-2</v>
      </c>
      <c r="G25" s="1123"/>
      <c r="H25" s="1124"/>
      <c r="I25" s="986"/>
      <c r="J25" s="853"/>
      <c r="K25" s="853"/>
      <c r="L25" s="853"/>
      <c r="M25" s="40"/>
      <c r="N25" s="40"/>
      <c r="O25" s="40"/>
      <c r="P25" s="40"/>
      <c r="Q25" s="34"/>
      <c r="R25" s="34"/>
      <c r="S25" s="34"/>
      <c r="T25" s="34"/>
      <c r="U25" s="34"/>
      <c r="V25" s="603"/>
      <c r="W25" s="603"/>
      <c r="X25" s="603"/>
      <c r="Y25" s="603"/>
      <c r="Z25" s="603"/>
      <c r="AA25" s="603"/>
      <c r="AB25" s="603"/>
      <c r="AC25" s="603"/>
      <c r="AD25" s="603"/>
      <c r="AE25" s="603"/>
      <c r="AF25" s="603"/>
      <c r="AG25" s="603"/>
      <c r="AH25" s="603"/>
      <c r="AI25" s="603"/>
      <c r="AJ25" s="603"/>
      <c r="AK25" s="603"/>
    </row>
    <row r="26" spans="1:37" s="604" customFormat="1" ht="19.5" customHeight="1" x14ac:dyDescent="0.25">
      <c r="A26" s="40"/>
      <c r="B26" s="40"/>
      <c r="C26" s="40"/>
      <c r="F26" s="40"/>
      <c r="G26" s="40"/>
      <c r="H26" s="40"/>
      <c r="I26" s="40"/>
      <c r="J26" s="40"/>
      <c r="K26" s="40"/>
      <c r="L26" s="603"/>
      <c r="M26" s="603"/>
      <c r="N26" s="603"/>
      <c r="O26" s="986"/>
      <c r="P26" s="603"/>
      <c r="Q26" s="853"/>
      <c r="R26" s="853"/>
      <c r="S26" s="853"/>
      <c r="T26" s="853"/>
      <c r="U26" s="34"/>
      <c r="V26" s="34"/>
      <c r="W26" s="599"/>
      <c r="X26" s="599"/>
      <c r="Y26" s="980"/>
      <c r="Z26" s="980"/>
      <c r="AA26" s="603"/>
      <c r="AB26" s="603"/>
      <c r="AC26" s="603"/>
      <c r="AD26" s="603"/>
      <c r="AE26" s="603"/>
      <c r="AF26" s="603"/>
      <c r="AG26" s="603"/>
      <c r="AH26" s="603"/>
    </row>
    <row r="27" spans="1:37" s="604" customFormat="1" ht="19.5" customHeight="1" x14ac:dyDescent="0.25">
      <c r="A27" s="1125"/>
      <c r="B27" s="598"/>
      <c r="C27" s="853"/>
      <c r="D27" s="853"/>
      <c r="E27" s="853"/>
      <c r="F27" s="34"/>
      <c r="G27" s="34"/>
      <c r="H27" s="599"/>
      <c r="I27" s="599"/>
      <c r="J27" s="980"/>
      <c r="K27" s="980"/>
      <c r="L27" s="603"/>
      <c r="M27" s="40"/>
      <c r="N27" s="40"/>
      <c r="O27" s="40"/>
      <c r="P27" s="603"/>
      <c r="Q27" s="853"/>
      <c r="R27" s="853"/>
      <c r="S27" s="853"/>
      <c r="T27" s="853"/>
      <c r="U27" s="34"/>
      <c r="V27" s="34"/>
      <c r="W27" s="599"/>
      <c r="X27" s="599"/>
      <c r="Y27" s="980"/>
      <c r="Z27" s="980"/>
      <c r="AA27" s="603"/>
      <c r="AB27" s="603"/>
      <c r="AC27" s="603"/>
      <c r="AD27" s="603"/>
      <c r="AE27" s="603"/>
      <c r="AF27" s="603"/>
      <c r="AG27" s="603"/>
      <c r="AH27" s="603"/>
    </row>
    <row r="28" spans="1:37" s="604" customFormat="1" ht="18" x14ac:dyDescent="0.25">
      <c r="A28" s="595" t="s">
        <v>418</v>
      </c>
      <c r="B28" s="595"/>
      <c r="C28" s="596"/>
      <c r="D28" s="1126"/>
      <c r="E28" s="1126"/>
      <c r="F28" s="1127"/>
      <c r="G28" s="1127"/>
      <c r="H28" s="600"/>
      <c r="I28" s="601"/>
      <c r="J28" s="600"/>
      <c r="K28" s="602"/>
      <c r="L28" s="603"/>
      <c r="M28" s="603"/>
    </row>
    <row r="29" spans="1:37" s="604" customFormat="1" ht="19.5" customHeight="1" x14ac:dyDescent="0.25">
      <c r="A29" s="597"/>
      <c r="B29" s="598"/>
      <c r="C29" s="599"/>
      <c r="D29" s="599"/>
      <c r="E29" s="599"/>
      <c r="F29" s="600"/>
      <c r="G29" s="600"/>
      <c r="H29" s="600"/>
      <c r="I29" s="601"/>
      <c r="J29" s="600"/>
      <c r="K29" s="602"/>
      <c r="L29" s="603"/>
      <c r="M29" s="603"/>
    </row>
    <row r="30" spans="1:37" s="604" customFormat="1" x14ac:dyDescent="0.25">
      <c r="A30" s="598" t="s">
        <v>307</v>
      </c>
      <c r="C30" s="1128"/>
      <c r="D30" s="1126"/>
      <c r="E30" s="1126"/>
      <c r="F30" s="1127"/>
      <c r="G30" s="1127"/>
      <c r="H30" s="600"/>
      <c r="I30" s="601"/>
      <c r="J30" s="600"/>
      <c r="K30" s="602"/>
      <c r="L30" s="603"/>
      <c r="M30" s="603"/>
    </row>
    <row r="31" spans="1:37" s="604" customFormat="1" ht="15.75" thickBot="1" x14ac:dyDescent="0.3">
      <c r="A31" s="598" t="s">
        <v>514</v>
      </c>
      <c r="C31" s="1128"/>
      <c r="D31" s="1126"/>
      <c r="E31" s="1126"/>
      <c r="F31" s="1127"/>
      <c r="G31" s="1127"/>
      <c r="H31" s="600"/>
      <c r="I31" s="601"/>
      <c r="J31" s="600"/>
      <c r="K31" s="602"/>
      <c r="L31" s="603"/>
      <c r="M31" s="603"/>
    </row>
    <row r="32" spans="1:37" ht="15.75" customHeight="1" x14ac:dyDescent="0.25">
      <c r="A32" s="1083"/>
      <c r="B32" s="1084"/>
      <c r="C32" s="1129" t="s">
        <v>227</v>
      </c>
      <c r="D32" s="992" t="s">
        <v>4</v>
      </c>
      <c r="E32" s="992" t="s">
        <v>234</v>
      </c>
      <c r="F32" s="2095" t="s">
        <v>338</v>
      </c>
      <c r="G32" s="1130" t="s">
        <v>260</v>
      </c>
      <c r="H32" s="1130" t="s">
        <v>260</v>
      </c>
      <c r="I32" s="879"/>
      <c r="J32" s="879"/>
      <c r="K32" s="1010"/>
      <c r="L32" s="880"/>
      <c r="M32" s="881"/>
      <c r="N32" s="881"/>
    </row>
    <row r="33" spans="1:36" s="604" customFormat="1" x14ac:dyDescent="0.25">
      <c r="A33" s="783" t="s">
        <v>7</v>
      </c>
      <c r="B33" s="1131" t="s">
        <v>74</v>
      </c>
      <c r="C33" s="755" t="s">
        <v>300</v>
      </c>
      <c r="D33" s="998" t="s">
        <v>78</v>
      </c>
      <c r="E33" s="998" t="s">
        <v>235</v>
      </c>
      <c r="F33" s="2096"/>
      <c r="G33" s="1132" t="s">
        <v>337</v>
      </c>
      <c r="H33" s="1132" t="s">
        <v>166</v>
      </c>
      <c r="I33" s="600"/>
      <c r="J33" s="602"/>
      <c r="K33" s="603"/>
      <c r="L33" s="603"/>
    </row>
    <row r="34" spans="1:36" s="604" customFormat="1" ht="15.75" customHeight="1" thickBot="1" x14ac:dyDescent="0.3">
      <c r="A34" s="1133"/>
      <c r="B34" s="1134" t="s">
        <v>103</v>
      </c>
      <c r="C34" s="1862">
        <v>1</v>
      </c>
      <c r="D34" s="1910">
        <v>1.5</v>
      </c>
      <c r="E34" s="1910">
        <v>3</v>
      </c>
      <c r="F34" s="1914">
        <v>1</v>
      </c>
      <c r="G34" s="1135">
        <f>C34*E15*E10*24*(1/LN(2)*E11)*E12/D34^2*E34/24/10^3</f>
        <v>8.0572602134634293E-3</v>
      </c>
      <c r="H34" s="1135">
        <f>G34*F34</f>
        <v>8.0572602134634293E-3</v>
      </c>
      <c r="I34" s="1096"/>
      <c r="J34" s="603"/>
      <c r="K34" s="603"/>
      <c r="L34" s="603"/>
    </row>
    <row r="35" spans="1:36" s="604" customFormat="1" x14ac:dyDescent="0.25">
      <c r="A35" s="603"/>
      <c r="B35" s="853"/>
      <c r="C35" s="853"/>
      <c r="D35" s="853"/>
      <c r="E35" s="853"/>
      <c r="F35" s="34"/>
      <c r="G35" s="34"/>
      <c r="H35" s="599"/>
      <c r="I35" s="35"/>
      <c r="J35" s="599"/>
      <c r="K35" s="980"/>
      <c r="L35" s="980"/>
      <c r="M35" s="603"/>
      <c r="N35" s="603"/>
      <c r="O35" s="603"/>
      <c r="P35" s="40"/>
      <c r="Q35" s="40"/>
      <c r="R35" s="40"/>
      <c r="S35" s="40"/>
      <c r="T35" s="40"/>
      <c r="U35" s="40"/>
      <c r="V35" s="40"/>
      <c r="W35" s="34"/>
      <c r="X35" s="40"/>
      <c r="Y35" s="40"/>
      <c r="Z35" s="40"/>
      <c r="AA35" s="40"/>
      <c r="AB35" s="603"/>
      <c r="AC35" s="603"/>
      <c r="AD35" s="603"/>
      <c r="AE35" s="603"/>
      <c r="AF35" s="603"/>
      <c r="AG35" s="603"/>
      <c r="AH35" s="603"/>
    </row>
    <row r="36" spans="1:36" s="604" customFormat="1" ht="15.75" thickBot="1" x14ac:dyDescent="0.3">
      <c r="A36" s="853" t="s">
        <v>308</v>
      </c>
      <c r="C36" s="853"/>
      <c r="D36" s="853"/>
      <c r="E36" s="600"/>
      <c r="F36" s="34"/>
      <c r="G36" s="34"/>
      <c r="H36" s="599"/>
      <c r="I36" s="599"/>
      <c r="J36" s="599"/>
      <c r="K36" s="980"/>
      <c r="L36" s="980"/>
      <c r="M36" s="603"/>
      <c r="N36" s="603"/>
      <c r="O36" s="603"/>
      <c r="P36" s="40"/>
      <c r="Q36" s="603"/>
      <c r="R36" s="603"/>
      <c r="S36" s="603"/>
      <c r="T36" s="603"/>
      <c r="U36" s="603"/>
      <c r="V36" s="603"/>
      <c r="W36" s="603"/>
      <c r="X36" s="603"/>
      <c r="Y36" s="603"/>
      <c r="Z36" s="603"/>
      <c r="AA36" s="603"/>
      <c r="AB36" s="603"/>
      <c r="AC36" s="603"/>
      <c r="AD36" s="603"/>
      <c r="AE36" s="603"/>
      <c r="AF36" s="603"/>
      <c r="AG36" s="603"/>
      <c r="AH36" s="603"/>
    </row>
    <row r="37" spans="1:36" s="604" customFormat="1" ht="15.75" customHeight="1" x14ac:dyDescent="0.25">
      <c r="A37" s="1083"/>
      <c r="B37" s="1084"/>
      <c r="C37" s="1129" t="s">
        <v>227</v>
      </c>
      <c r="D37" s="992" t="s">
        <v>4</v>
      </c>
      <c r="E37" s="992" t="s">
        <v>301</v>
      </c>
      <c r="F37" s="2095" t="s">
        <v>338</v>
      </c>
      <c r="G37" s="1130" t="s">
        <v>260</v>
      </c>
      <c r="H37" s="1130" t="s">
        <v>260</v>
      </c>
      <c r="I37" s="599"/>
      <c r="J37" s="599"/>
      <c r="K37" s="599"/>
      <c r="L37" s="980"/>
      <c r="M37" s="980"/>
      <c r="N37" s="603"/>
      <c r="O37" s="603"/>
      <c r="P37" s="603"/>
      <c r="Q37" s="603"/>
      <c r="R37" s="603"/>
      <c r="S37" s="603"/>
      <c r="T37" s="603"/>
      <c r="U37" s="603"/>
      <c r="V37" s="603"/>
      <c r="W37" s="603"/>
      <c r="X37" s="603"/>
      <c r="Y37" s="603"/>
      <c r="Z37" s="603"/>
      <c r="AA37" s="603"/>
      <c r="AB37" s="603"/>
      <c r="AC37" s="603"/>
      <c r="AD37" s="603"/>
      <c r="AE37" s="603"/>
      <c r="AF37" s="603"/>
      <c r="AG37" s="603"/>
      <c r="AH37" s="603"/>
      <c r="AI37" s="603"/>
    </row>
    <row r="38" spans="1:36" s="604" customFormat="1" x14ac:dyDescent="0.25">
      <c r="A38" s="783" t="s">
        <v>7</v>
      </c>
      <c r="B38" s="1131" t="s">
        <v>74</v>
      </c>
      <c r="C38" s="755" t="s">
        <v>300</v>
      </c>
      <c r="D38" s="998" t="s">
        <v>78</v>
      </c>
      <c r="E38" s="998" t="s">
        <v>225</v>
      </c>
      <c r="F38" s="2096"/>
      <c r="G38" s="1132" t="s">
        <v>337</v>
      </c>
      <c r="H38" s="1132" t="s">
        <v>166</v>
      </c>
      <c r="I38" s="599"/>
      <c r="J38" s="599"/>
      <c r="K38" s="599"/>
      <c r="L38" s="980"/>
      <c r="M38" s="980"/>
      <c r="N38" s="602"/>
      <c r="O38" s="603"/>
      <c r="P38" s="603"/>
      <c r="Q38" s="603"/>
      <c r="R38" s="603"/>
      <c r="S38" s="603"/>
      <c r="T38" s="603"/>
      <c r="U38" s="603"/>
      <c r="V38" s="603"/>
      <c r="W38" s="603"/>
      <c r="X38" s="603"/>
      <c r="Y38" s="603"/>
      <c r="Z38" s="603"/>
      <c r="AA38" s="603"/>
      <c r="AB38" s="603"/>
      <c r="AC38" s="603"/>
      <c r="AD38" s="603"/>
      <c r="AE38" s="603"/>
      <c r="AF38" s="603"/>
      <c r="AG38" s="603"/>
      <c r="AH38" s="603"/>
      <c r="AI38" s="603"/>
    </row>
    <row r="39" spans="1:36" s="604" customFormat="1" ht="15.75" thickBot="1" x14ac:dyDescent="0.3">
      <c r="A39" s="1133"/>
      <c r="B39" s="1134" t="s">
        <v>103</v>
      </c>
      <c r="C39" s="1862">
        <v>1</v>
      </c>
      <c r="D39" s="1910">
        <v>0.5</v>
      </c>
      <c r="E39" s="1910">
        <v>30</v>
      </c>
      <c r="F39" s="1914">
        <v>1</v>
      </c>
      <c r="G39" s="1136">
        <f>$E$12*$C$39*$E$10/D39^2*$E$39/60*$E$15/10^3</f>
        <v>1.4103200000000003E-4</v>
      </c>
      <c r="H39" s="1136">
        <f>G39*F39</f>
        <v>1.4103200000000003E-4</v>
      </c>
      <c r="I39" s="599"/>
      <c r="J39" s="599"/>
      <c r="K39" s="599"/>
      <c r="L39" s="980"/>
      <c r="M39" s="980"/>
      <c r="N39" s="603"/>
      <c r="O39" s="603"/>
      <c r="P39" s="603"/>
      <c r="Q39" s="603"/>
      <c r="R39" s="603"/>
      <c r="S39" s="603"/>
      <c r="T39" s="603"/>
      <c r="U39" s="603"/>
      <c r="V39" s="603"/>
      <c r="W39" s="603"/>
      <c r="X39" s="603"/>
      <c r="Y39" s="603"/>
      <c r="Z39" s="603"/>
      <c r="AA39" s="603"/>
      <c r="AB39" s="603"/>
      <c r="AC39" s="603"/>
      <c r="AD39" s="603"/>
      <c r="AE39" s="603"/>
      <c r="AF39" s="603"/>
      <c r="AG39" s="603"/>
      <c r="AH39" s="603"/>
      <c r="AI39" s="603"/>
    </row>
    <row r="40" spans="1:36" s="604" customFormat="1" x14ac:dyDescent="0.25">
      <c r="A40" s="603"/>
      <c r="B40" s="603"/>
      <c r="C40" s="603"/>
      <c r="D40" s="603"/>
      <c r="E40" s="603"/>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row>
    <row r="41" spans="1:36" s="604" customFormat="1" x14ac:dyDescent="0.25">
      <c r="A41" s="603"/>
      <c r="B41" s="603"/>
      <c r="C41" s="603"/>
      <c r="D41" s="603"/>
      <c r="E41" s="603"/>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c r="AH41" s="603"/>
    </row>
    <row r="42" spans="1:36" s="604" customFormat="1" x14ac:dyDescent="0.25">
      <c r="A42" s="603"/>
      <c r="B42" s="603"/>
      <c r="C42" s="603"/>
      <c r="D42" s="603"/>
      <c r="E42" s="603"/>
      <c r="F42" s="603"/>
      <c r="G42" s="603"/>
      <c r="H42" s="603"/>
      <c r="I42" s="603"/>
      <c r="J42" s="603"/>
      <c r="K42" s="603"/>
      <c r="L42" s="603"/>
      <c r="M42" s="603"/>
      <c r="N42" s="603"/>
      <c r="O42" s="40"/>
      <c r="P42" s="603"/>
      <c r="Q42" s="603"/>
      <c r="R42" s="603"/>
      <c r="S42" s="603"/>
      <c r="T42" s="603"/>
      <c r="U42" s="603"/>
      <c r="V42" s="603"/>
      <c r="W42" s="603"/>
      <c r="X42" s="603"/>
      <c r="Y42" s="603"/>
      <c r="Z42" s="603"/>
      <c r="AA42" s="603"/>
      <c r="AB42" s="603"/>
      <c r="AC42" s="603"/>
      <c r="AD42" s="603"/>
      <c r="AE42" s="885"/>
      <c r="AF42" s="885"/>
      <c r="AG42" s="885"/>
      <c r="AH42" s="885"/>
      <c r="AI42" s="775"/>
      <c r="AJ42" s="775"/>
    </row>
    <row r="43" spans="1:36" s="604" customFormat="1" x14ac:dyDescent="0.25">
      <c r="A43" s="603"/>
      <c r="B43" s="603"/>
      <c r="C43" s="603"/>
      <c r="D43" s="603"/>
      <c r="E43" s="603"/>
      <c r="F43" s="603"/>
      <c r="G43" s="603"/>
      <c r="H43" s="603"/>
      <c r="I43" s="603"/>
      <c r="J43" s="603"/>
      <c r="K43" s="603"/>
      <c r="L43" s="603"/>
      <c r="M43" s="603"/>
      <c r="N43" s="603"/>
      <c r="O43" s="40"/>
      <c r="P43" s="603"/>
      <c r="Q43" s="603"/>
      <c r="R43" s="603"/>
      <c r="S43" s="603"/>
      <c r="T43" s="603"/>
      <c r="U43" s="603"/>
      <c r="V43" s="603"/>
      <c r="W43" s="603"/>
      <c r="X43" s="603"/>
      <c r="Y43" s="603"/>
      <c r="Z43" s="603"/>
      <c r="AA43" s="603"/>
      <c r="AB43" s="603"/>
      <c r="AC43" s="603"/>
      <c r="AD43" s="603"/>
      <c r="AE43" s="603"/>
      <c r="AF43" s="603"/>
      <c r="AG43" s="603"/>
      <c r="AH43" s="603"/>
    </row>
    <row r="44" spans="1:36" s="604" customFormat="1" x14ac:dyDescent="0.25">
      <c r="A44" s="603"/>
      <c r="B44" s="603"/>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row>
    <row r="45" spans="1:36" x14ac:dyDescent="0.25">
      <c r="A45" s="881"/>
      <c r="B45" s="881"/>
      <c r="C45" s="881"/>
      <c r="D45" s="881"/>
      <c r="E45" s="881"/>
      <c r="F45" s="881"/>
      <c r="G45" s="881"/>
      <c r="H45" s="881"/>
      <c r="I45" s="881"/>
      <c r="J45" s="881"/>
      <c r="K45" s="881"/>
      <c r="L45" s="881"/>
      <c r="M45" s="881"/>
      <c r="N45" s="881"/>
      <c r="O45" s="881"/>
      <c r="P45" s="881"/>
      <c r="Q45" s="881"/>
      <c r="R45" s="881"/>
      <c r="S45" s="881"/>
      <c r="T45" s="881"/>
      <c r="U45" s="881"/>
      <c r="V45" s="881"/>
      <c r="W45" s="881"/>
      <c r="X45" s="881"/>
      <c r="Y45" s="881"/>
      <c r="Z45" s="881"/>
      <c r="AA45" s="881"/>
      <c r="AB45" s="881"/>
      <c r="AC45" s="881"/>
      <c r="AD45" s="881"/>
      <c r="AE45" s="881"/>
      <c r="AF45" s="881"/>
      <c r="AG45" s="881"/>
      <c r="AH45" s="881"/>
    </row>
    <row r="46" spans="1:36" x14ac:dyDescent="0.25">
      <c r="A46" s="881"/>
      <c r="B46" s="881"/>
      <c r="C46" s="881"/>
      <c r="D46" s="881"/>
      <c r="E46" s="881"/>
      <c r="F46" s="881"/>
      <c r="G46" s="881"/>
      <c r="H46" s="881"/>
      <c r="I46" s="881"/>
      <c r="J46" s="881"/>
      <c r="K46" s="881"/>
      <c r="L46" s="881"/>
      <c r="M46" s="881"/>
      <c r="N46" s="881"/>
      <c r="O46" s="881"/>
      <c r="P46" s="881"/>
      <c r="Q46" s="881"/>
      <c r="R46" s="881"/>
      <c r="S46" s="881"/>
      <c r="T46" s="881"/>
      <c r="U46" s="881"/>
      <c r="V46" s="881"/>
      <c r="W46" s="881"/>
      <c r="X46" s="881"/>
      <c r="Y46" s="881"/>
      <c r="Z46" s="881"/>
      <c r="AA46" s="881"/>
      <c r="AB46" s="881"/>
      <c r="AC46" s="881"/>
      <c r="AD46" s="881"/>
      <c r="AE46" s="881"/>
      <c r="AF46" s="881"/>
      <c r="AG46" s="881"/>
      <c r="AH46" s="881"/>
    </row>
    <row r="47" spans="1:36" x14ac:dyDescent="0.25">
      <c r="A47" s="881"/>
      <c r="B47" s="881"/>
      <c r="C47" s="881"/>
      <c r="D47" s="881"/>
      <c r="E47" s="881"/>
      <c r="F47" s="881"/>
      <c r="G47" s="881"/>
      <c r="H47" s="881"/>
      <c r="I47" s="881"/>
      <c r="J47" s="881"/>
      <c r="K47" s="881"/>
      <c r="L47" s="881"/>
      <c r="M47" s="881"/>
      <c r="N47" s="881"/>
      <c r="O47" s="881"/>
      <c r="P47" s="881"/>
      <c r="Q47" s="881"/>
      <c r="R47" s="881"/>
      <c r="S47" s="881"/>
      <c r="T47" s="881"/>
      <c r="U47" s="881"/>
      <c r="V47" s="881"/>
      <c r="W47" s="881"/>
      <c r="X47" s="881"/>
      <c r="Y47" s="881"/>
      <c r="Z47" s="881"/>
      <c r="AA47" s="881"/>
      <c r="AB47" s="881"/>
      <c r="AC47" s="881"/>
      <c r="AD47" s="881"/>
      <c r="AE47" s="881"/>
      <c r="AF47" s="881"/>
      <c r="AG47" s="881"/>
      <c r="AH47" s="881"/>
    </row>
    <row r="48" spans="1:36" x14ac:dyDescent="0.25">
      <c r="A48" s="881"/>
      <c r="B48" s="881"/>
      <c r="C48" s="881"/>
      <c r="D48" s="881"/>
      <c r="E48" s="881"/>
      <c r="F48" s="881"/>
      <c r="G48" s="881"/>
      <c r="H48" s="881"/>
      <c r="I48" s="881"/>
      <c r="J48" s="881"/>
      <c r="K48" s="881"/>
      <c r="L48" s="881"/>
      <c r="M48" s="881"/>
      <c r="N48" s="881"/>
      <c r="O48" s="881"/>
      <c r="P48" s="881"/>
      <c r="Q48" s="881"/>
      <c r="R48" s="881"/>
      <c r="S48" s="881"/>
      <c r="T48" s="881"/>
      <c r="U48" s="881"/>
      <c r="V48" s="881"/>
      <c r="W48" s="881"/>
      <c r="X48" s="881"/>
      <c r="Y48" s="881"/>
      <c r="Z48" s="881"/>
      <c r="AA48" s="881"/>
      <c r="AB48" s="881"/>
      <c r="AC48" s="881"/>
      <c r="AD48" s="881"/>
      <c r="AE48" s="881"/>
      <c r="AF48" s="881"/>
      <c r="AG48" s="881"/>
      <c r="AH48" s="881"/>
    </row>
    <row r="49" spans="1:34" ht="15.75" x14ac:dyDescent="0.25">
      <c r="A49" s="880"/>
      <c r="B49" s="1010"/>
      <c r="C49" s="1010"/>
      <c r="D49" s="1027"/>
      <c r="E49" s="1027"/>
      <c r="F49" s="1027"/>
      <c r="G49" s="1027"/>
      <c r="H49" s="1027"/>
      <c r="I49" s="1014"/>
      <c r="J49" s="1014"/>
      <c r="K49" s="1014"/>
      <c r="L49" s="1028"/>
      <c r="M49" s="1029"/>
      <c r="N49" s="1030"/>
      <c r="O49" s="881"/>
      <c r="P49" s="881"/>
      <c r="Q49" s="881"/>
      <c r="R49" s="881"/>
      <c r="S49" s="881"/>
      <c r="T49" s="881"/>
      <c r="U49" s="881"/>
      <c r="V49" s="881"/>
      <c r="W49" s="881"/>
      <c r="X49" s="881"/>
      <c r="Y49" s="881"/>
      <c r="Z49" s="881"/>
      <c r="AA49" s="881"/>
      <c r="AB49" s="881"/>
      <c r="AC49" s="881"/>
      <c r="AD49" s="881"/>
      <c r="AE49" s="881"/>
      <c r="AF49" s="881"/>
      <c r="AG49" s="881"/>
      <c r="AH49" s="881"/>
    </row>
    <row r="50" spans="1:34" x14ac:dyDescent="0.25">
      <c r="A50" s="881"/>
      <c r="B50" s="881"/>
      <c r="C50" s="881"/>
      <c r="D50" s="881"/>
      <c r="E50" s="881"/>
      <c r="F50" s="881"/>
      <c r="G50" s="881"/>
      <c r="H50" s="881"/>
      <c r="I50" s="881"/>
      <c r="J50" s="881"/>
      <c r="K50" s="881"/>
      <c r="L50" s="881"/>
      <c r="M50" s="881"/>
      <c r="N50" s="881"/>
      <c r="O50" s="881"/>
      <c r="P50" s="881"/>
      <c r="Q50" s="881"/>
      <c r="R50" s="881"/>
      <c r="S50" s="881"/>
      <c r="T50" s="881"/>
      <c r="U50" s="881"/>
      <c r="V50" s="881"/>
      <c r="W50" s="881"/>
      <c r="X50" s="881"/>
      <c r="Y50" s="881"/>
      <c r="Z50" s="881"/>
      <c r="AA50" s="881"/>
      <c r="AB50" s="881"/>
      <c r="AC50" s="881"/>
      <c r="AD50" s="881"/>
      <c r="AE50" s="881"/>
      <c r="AF50" s="881"/>
      <c r="AG50" s="881"/>
      <c r="AH50" s="881"/>
    </row>
  </sheetData>
  <sheetProtection algorithmName="SHA-512" hashValue="yz/fNnIANqdrY+/mjwfzrVEtTYJ9PiENWQR3EEr3CWF5WH2Su1I81VNfjG14L2Gr3gYt16hPdx3Tcfc8DmYfTg==" saltValue="mtXbrLNBIRBzPrU3XEEJKg==" spinCount="100000" sheet="1" objects="1" scenarios="1"/>
  <mergeCells count="7">
    <mergeCell ref="A23:A24"/>
    <mergeCell ref="E20:F20"/>
    <mergeCell ref="G20:H20"/>
    <mergeCell ref="F32:F33"/>
    <mergeCell ref="F37:F38"/>
    <mergeCell ref="D23:D24"/>
    <mergeCell ref="B23:B24"/>
  </mergeCells>
  <phoneticPr fontId="0" type="noConversion"/>
  <pageMargins left="0.70866141732283472" right="0.70866141732283472" top="0.74803149606299213" bottom="0.74803149606299213" header="0.31496062992125984" footer="0.31496062992125984"/>
  <pageSetup paperSize="9" scale="50" orientation="landscape" r:id="rId1"/>
  <headerFoot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theme="0" tint="-0.249977111117893"/>
  </sheetPr>
  <dimension ref="A1:AA55"/>
  <sheetViews>
    <sheetView showGridLines="0" topLeftCell="A16" zoomScale="115" zoomScaleNormal="115" workbookViewId="0">
      <selection activeCell="B32" sqref="B32"/>
    </sheetView>
  </sheetViews>
  <sheetFormatPr defaultColWidth="11.42578125" defaultRowHeight="14.25" x14ac:dyDescent="0.2"/>
  <cols>
    <col min="1" max="1" width="6.7109375" style="37" customWidth="1"/>
    <col min="2" max="2" width="20.7109375" style="37" customWidth="1"/>
    <col min="3" max="10" width="12.7109375" style="37" customWidth="1"/>
    <col min="11" max="11" width="12.28515625" style="37" customWidth="1"/>
    <col min="12" max="12" width="9.5703125" style="37" customWidth="1"/>
    <col min="13" max="13" width="14.42578125" style="37" customWidth="1"/>
    <col min="14" max="14" width="11.140625" style="37" customWidth="1"/>
    <col min="15" max="15" width="14.140625" style="37" customWidth="1"/>
    <col min="16" max="16384" width="11.42578125" style="37"/>
  </cols>
  <sheetData>
    <row r="1" spans="1:27" s="745" customFormat="1" ht="27" thickBot="1" x14ac:dyDescent="0.45">
      <c r="A1" s="731" t="s">
        <v>96</v>
      </c>
      <c r="B1" s="1137"/>
      <c r="C1" s="1137"/>
      <c r="D1" s="1137"/>
      <c r="E1" s="1138"/>
      <c r="F1" s="1138"/>
      <c r="G1" s="1138"/>
      <c r="H1" s="1138"/>
      <c r="I1" s="1138"/>
      <c r="J1" s="1138"/>
      <c r="K1" s="1138"/>
      <c r="L1" s="1139"/>
    </row>
    <row r="2" spans="1:27" ht="18.75" customHeight="1" thickBot="1" x14ac:dyDescent="0.25">
      <c r="A2" s="737"/>
      <c r="F2" s="738"/>
      <c r="G2" s="738"/>
      <c r="H2" s="738"/>
    </row>
    <row r="3" spans="1:27" s="743" customFormat="1" ht="26.25" customHeight="1" thickBot="1" x14ac:dyDescent="0.45">
      <c r="A3" s="739" t="s">
        <v>314</v>
      </c>
      <c r="B3" s="740"/>
      <c r="C3" s="1873" t="s">
        <v>96</v>
      </c>
      <c r="D3" s="1882"/>
      <c r="E3" s="1139"/>
      <c r="F3" s="395"/>
      <c r="G3" s="395"/>
      <c r="H3" s="395"/>
      <c r="I3" s="745"/>
    </row>
    <row r="4" spans="1:27" s="743" customFormat="1" ht="19.5" customHeight="1" x14ac:dyDescent="0.4">
      <c r="A4" s="744"/>
      <c r="B4" s="745"/>
      <c r="C4" s="746"/>
      <c r="D4" s="745"/>
      <c r="E4" s="745"/>
      <c r="F4" s="395"/>
      <c r="G4" s="395"/>
      <c r="H4" s="742"/>
      <c r="L4" s="193"/>
      <c r="M4" s="194" t="s">
        <v>420</v>
      </c>
    </row>
    <row r="5" spans="1:27" s="743" customFormat="1" ht="22.5" customHeight="1" thickBot="1" x14ac:dyDescent="0.45">
      <c r="A5" s="188" t="s">
        <v>532</v>
      </c>
      <c r="B5" s="745"/>
      <c r="C5" s="746"/>
      <c r="D5" s="745"/>
      <c r="E5" s="745"/>
      <c r="F5" s="1140" t="s">
        <v>647</v>
      </c>
      <c r="G5" s="1140"/>
      <c r="H5" s="1140"/>
      <c r="L5" s="195"/>
      <c r="M5" s="194"/>
    </row>
    <row r="6" spans="1:27" s="604" customFormat="1" ht="15.75" thickBot="1" x14ac:dyDescent="0.3">
      <c r="A6" s="875" t="s">
        <v>469</v>
      </c>
      <c r="B6" s="1100"/>
      <c r="C6" s="1100"/>
      <c r="D6" s="1906">
        <v>100</v>
      </c>
      <c r="E6" s="1141"/>
      <c r="F6" s="1096"/>
      <c r="G6" s="40"/>
      <c r="I6" s="40"/>
      <c r="J6" s="40"/>
      <c r="K6" s="37"/>
      <c r="L6" s="210"/>
      <c r="M6" s="194" t="s">
        <v>421</v>
      </c>
      <c r="N6" s="37"/>
      <c r="O6" s="37"/>
      <c r="P6" s="853"/>
      <c r="Q6" s="853"/>
      <c r="R6" s="853"/>
      <c r="S6" s="853"/>
      <c r="T6" s="599"/>
      <c r="U6" s="40"/>
      <c r="V6" s="40"/>
      <c r="W6" s="40"/>
      <c r="X6" s="40"/>
      <c r="Y6" s="37"/>
      <c r="Z6" s="37"/>
      <c r="AA6" s="37"/>
    </row>
    <row r="7" spans="1:27" s="604" customFormat="1" ht="19.5" customHeight="1" x14ac:dyDescent="0.25">
      <c r="A7" s="40"/>
      <c r="B7" s="40"/>
      <c r="C7" s="40"/>
      <c r="D7" s="1009"/>
      <c r="E7" s="1009"/>
      <c r="F7" s="1096"/>
      <c r="G7" s="40"/>
      <c r="I7" s="40"/>
      <c r="J7" s="40"/>
      <c r="K7" s="37"/>
      <c r="L7" s="214"/>
      <c r="M7" s="194"/>
      <c r="N7" s="37"/>
      <c r="O7" s="37"/>
      <c r="P7" s="853"/>
      <c r="Q7" s="853"/>
      <c r="R7" s="853"/>
      <c r="S7" s="853"/>
      <c r="T7" s="599"/>
      <c r="U7" s="40"/>
      <c r="V7" s="40"/>
      <c r="W7" s="40"/>
      <c r="X7" s="40"/>
      <c r="Y7" s="37"/>
      <c r="Z7" s="37"/>
      <c r="AA7" s="37"/>
    </row>
    <row r="8" spans="1:27" s="39" customFormat="1" ht="19.5" customHeight="1" thickBot="1" x14ac:dyDescent="0.3">
      <c r="A8" s="1142" t="s">
        <v>453</v>
      </c>
      <c r="B8" s="1143"/>
      <c r="C8" s="1143"/>
      <c r="D8" s="1140"/>
      <c r="E8" s="1140"/>
      <c r="I8" s="1140"/>
      <c r="J8" s="1140"/>
      <c r="K8" s="749"/>
      <c r="L8" s="223"/>
      <c r="M8" s="194" t="s">
        <v>422</v>
      </c>
      <c r="N8" s="749"/>
      <c r="O8" s="749"/>
      <c r="P8" s="749"/>
      <c r="Q8" s="749"/>
      <c r="R8" s="749"/>
      <c r="S8" s="749"/>
      <c r="T8" s="749"/>
      <c r="U8" s="749"/>
      <c r="V8" s="37"/>
      <c r="W8" s="37"/>
      <c r="X8" s="37"/>
      <c r="Y8" s="37"/>
      <c r="Z8" s="37"/>
      <c r="AA8" s="37"/>
    </row>
    <row r="9" spans="1:27" s="604" customFormat="1" ht="15" x14ac:dyDescent="0.25">
      <c r="A9" s="1144" t="s">
        <v>136</v>
      </c>
      <c r="B9" s="1145"/>
      <c r="C9" s="1145"/>
      <c r="D9" s="1146" t="s">
        <v>94</v>
      </c>
      <c r="E9" s="944"/>
      <c r="F9" s="1147"/>
      <c r="G9" s="943"/>
      <c r="H9" s="944"/>
      <c r="I9" s="743"/>
      <c r="J9" s="743"/>
      <c r="K9" s="37"/>
      <c r="L9" s="195"/>
      <c r="M9" s="195"/>
      <c r="N9" s="37"/>
      <c r="O9" s="37"/>
    </row>
    <row r="10" spans="1:27" s="604" customFormat="1" ht="15" customHeight="1" x14ac:dyDescent="0.25">
      <c r="A10" s="1148" t="s">
        <v>470</v>
      </c>
      <c r="B10" s="1149"/>
      <c r="C10" s="1149"/>
      <c r="D10" s="1088">
        <v>9.1999999999999998E-2</v>
      </c>
      <c r="E10" s="1150" t="s">
        <v>223</v>
      </c>
      <c r="F10" s="598"/>
      <c r="G10" s="938"/>
      <c r="H10" s="1150"/>
      <c r="I10" s="1151"/>
      <c r="J10" s="1151"/>
      <c r="K10" s="1152"/>
      <c r="L10" s="228"/>
      <c r="M10" s="194" t="s">
        <v>650</v>
      </c>
      <c r="N10" s="1152"/>
      <c r="O10" s="1152"/>
      <c r="P10" s="1152"/>
      <c r="Q10" s="1152"/>
    </row>
    <row r="11" spans="1:27" s="604" customFormat="1" ht="15" x14ac:dyDescent="0.25">
      <c r="A11" s="1153" t="s">
        <v>101</v>
      </c>
      <c r="B11" s="1154"/>
      <c r="C11" s="1154"/>
      <c r="D11" s="1915">
        <v>400</v>
      </c>
      <c r="E11" s="1151"/>
      <c r="F11" s="745"/>
      <c r="G11" s="938"/>
      <c r="H11" s="1151"/>
      <c r="I11" s="1151"/>
      <c r="J11" s="1151"/>
      <c r="K11" s="1152"/>
      <c r="L11" s="195"/>
      <c r="M11" s="194"/>
      <c r="N11" s="1152"/>
      <c r="O11" s="1152"/>
      <c r="P11" s="1152"/>
      <c r="Q11" s="1152"/>
    </row>
    <row r="12" spans="1:27" s="400" customFormat="1" ht="15" x14ac:dyDescent="0.25">
      <c r="A12" s="1155"/>
      <c r="B12" s="1156"/>
      <c r="C12" s="1156"/>
      <c r="D12" s="1157"/>
      <c r="E12" s="1158"/>
      <c r="F12" s="745"/>
      <c r="H12" s="1158"/>
      <c r="I12" s="1158"/>
      <c r="J12" s="1158"/>
      <c r="K12" s="1158"/>
      <c r="L12" s="232"/>
      <c r="M12" s="194" t="s">
        <v>649</v>
      </c>
      <c r="N12" s="1158"/>
      <c r="O12" s="1158"/>
      <c r="P12" s="1158"/>
      <c r="Q12" s="1158"/>
    </row>
    <row r="13" spans="1:27" s="400" customFormat="1" ht="15" x14ac:dyDescent="0.25">
      <c r="A13" s="222" t="s">
        <v>471</v>
      </c>
      <c r="B13" s="745"/>
      <c r="C13" s="745"/>
      <c r="D13" s="1159"/>
      <c r="E13" s="1158"/>
      <c r="F13" s="745"/>
      <c r="H13" s="1158"/>
      <c r="I13" s="1158"/>
      <c r="J13" s="1158"/>
      <c r="K13" s="1158"/>
      <c r="L13" s="1158"/>
      <c r="M13" s="1158"/>
      <c r="N13" s="1158"/>
      <c r="O13" s="1158"/>
      <c r="P13" s="1158"/>
      <c r="Q13" s="1158"/>
    </row>
    <row r="14" spans="1:27" s="604" customFormat="1" ht="15.75" thickBot="1" x14ac:dyDescent="0.3">
      <c r="A14" s="1160"/>
      <c r="B14" s="1161"/>
      <c r="C14" s="1161" t="s">
        <v>22</v>
      </c>
      <c r="D14" s="1916">
        <v>6</v>
      </c>
      <c r="E14" s="743" t="s">
        <v>230</v>
      </c>
      <c r="F14" s="938"/>
      <c r="G14" s="938"/>
      <c r="H14" s="743"/>
      <c r="I14" s="743"/>
      <c r="J14" s="743"/>
      <c r="K14" s="743"/>
      <c r="L14" s="743"/>
      <c r="M14" s="743"/>
      <c r="N14" s="37"/>
      <c r="O14" s="37"/>
      <c r="P14" s="986"/>
      <c r="Q14" s="37"/>
    </row>
    <row r="15" spans="1:27" s="604" customFormat="1" ht="19.5" customHeight="1" x14ac:dyDescent="0.25">
      <c r="A15" s="745"/>
      <c r="B15" s="745"/>
      <c r="C15" s="1162"/>
      <c r="D15" s="745"/>
      <c r="E15" s="938"/>
      <c r="F15" s="743"/>
      <c r="G15" s="743"/>
      <c r="H15" s="743"/>
      <c r="I15" s="743"/>
      <c r="J15" s="743"/>
      <c r="K15" s="743"/>
      <c r="L15" s="743"/>
      <c r="M15" s="743"/>
      <c r="N15" s="37"/>
      <c r="O15" s="986"/>
      <c r="P15" s="37"/>
    </row>
    <row r="16" spans="1:27" s="39" customFormat="1" ht="19.5" customHeight="1" x14ac:dyDescent="0.25">
      <c r="A16" s="1163"/>
      <c r="B16" s="1164"/>
      <c r="C16" s="1050"/>
      <c r="D16" s="1165"/>
      <c r="E16" s="749"/>
      <c r="F16" s="749"/>
      <c r="G16" s="749"/>
      <c r="H16" s="749"/>
      <c r="I16" s="749"/>
      <c r="J16" s="749"/>
      <c r="K16" s="1166"/>
      <c r="L16" s="1166"/>
      <c r="M16" s="1166"/>
      <c r="N16" s="749"/>
      <c r="O16" s="749"/>
    </row>
    <row r="17" spans="1:16" s="39" customFormat="1" ht="18" x14ac:dyDescent="0.25">
      <c r="A17" s="283" t="s">
        <v>506</v>
      </c>
      <c r="B17" s="284"/>
      <c r="C17" s="284"/>
      <c r="D17" s="1167"/>
      <c r="E17" s="1140"/>
      <c r="F17" s="1140"/>
      <c r="G17" s="1140"/>
      <c r="H17" s="749"/>
      <c r="I17" s="749"/>
      <c r="J17" s="749"/>
      <c r="K17" s="1166"/>
      <c r="L17" s="1166"/>
      <c r="M17" s="1166"/>
      <c r="N17" s="749"/>
      <c r="O17" s="749"/>
    </row>
    <row r="18" spans="1:16" s="39" customFormat="1" ht="15.75" x14ac:dyDescent="0.25">
      <c r="A18" s="743" t="s">
        <v>646</v>
      </c>
      <c r="B18" s="1164"/>
      <c r="C18" s="1164"/>
      <c r="D18" s="1167"/>
      <c r="E18" s="1140"/>
      <c r="F18" s="1140"/>
      <c r="G18" s="1140"/>
      <c r="H18" s="749"/>
      <c r="I18" s="749"/>
      <c r="J18" s="749"/>
      <c r="K18" s="1166"/>
      <c r="L18" s="1166"/>
      <c r="M18" s="1166"/>
      <c r="N18" s="749"/>
      <c r="O18" s="749"/>
    </row>
    <row r="19" spans="1:16" s="39" customFormat="1" ht="15.75" x14ac:dyDescent="0.25">
      <c r="A19" s="194" t="s">
        <v>474</v>
      </c>
      <c r="D19" s="1164"/>
      <c r="E19" s="1167"/>
      <c r="F19" s="1140"/>
      <c r="G19" s="1140"/>
      <c r="H19" s="1140"/>
      <c r="I19" s="749"/>
      <c r="J19" s="749"/>
      <c r="K19" s="749"/>
      <c r="L19" s="1166"/>
      <c r="M19" s="1166"/>
      <c r="N19" s="1166"/>
      <c r="O19" s="749"/>
      <c r="P19" s="749"/>
    </row>
    <row r="20" spans="1:16" s="39" customFormat="1" ht="15.75" x14ac:dyDescent="0.25">
      <c r="A20" s="1168" t="s">
        <v>475</v>
      </c>
      <c r="D20" s="1164"/>
      <c r="E20" s="1167"/>
      <c r="F20" s="1140"/>
      <c r="G20" s="1140"/>
      <c r="H20" s="1140"/>
      <c r="I20" s="749"/>
      <c r="J20" s="749"/>
      <c r="K20" s="749"/>
      <c r="L20" s="1166"/>
      <c r="M20" s="1166"/>
      <c r="N20" s="1166"/>
      <c r="O20" s="749"/>
      <c r="P20" s="749"/>
    </row>
    <row r="21" spans="1:16" s="39" customFormat="1" ht="16.5" thickBot="1" x14ac:dyDescent="0.3">
      <c r="A21" s="743" t="s">
        <v>476</v>
      </c>
      <c r="C21" s="1164"/>
      <c r="D21" s="1167"/>
      <c r="E21" s="1140"/>
      <c r="F21" s="1140"/>
      <c r="G21" s="1140"/>
      <c r="H21" s="749"/>
      <c r="I21" s="749"/>
      <c r="J21" s="749"/>
      <c r="K21" s="1166"/>
      <c r="L21" s="1166"/>
      <c r="M21" s="1166"/>
      <c r="N21" s="749"/>
      <c r="O21" s="749"/>
    </row>
    <row r="22" spans="1:16" s="604" customFormat="1" ht="15" x14ac:dyDescent="0.25">
      <c r="A22" s="37"/>
      <c r="B22" s="37"/>
      <c r="C22" s="754" t="s">
        <v>4</v>
      </c>
      <c r="D22" s="754" t="s">
        <v>224</v>
      </c>
      <c r="E22" s="754" t="s">
        <v>9</v>
      </c>
      <c r="F22" s="994" t="s">
        <v>227</v>
      </c>
      <c r="G22" s="994" t="s">
        <v>228</v>
      </c>
      <c r="H22" s="2079" t="s">
        <v>16</v>
      </c>
      <c r="I22" s="2080"/>
      <c r="J22" s="34"/>
      <c r="K22" s="395"/>
      <c r="L22" s="938"/>
      <c r="M22" s="938"/>
    </row>
    <row r="23" spans="1:16" s="604" customFormat="1" ht="15" x14ac:dyDescent="0.25">
      <c r="A23" s="781" t="s">
        <v>7</v>
      </c>
      <c r="B23" s="997" t="s">
        <v>74</v>
      </c>
      <c r="C23" s="755" t="s">
        <v>8</v>
      </c>
      <c r="D23" s="1169" t="s">
        <v>225</v>
      </c>
      <c r="E23" s="778" t="s">
        <v>472</v>
      </c>
      <c r="F23" s="779" t="s">
        <v>226</v>
      </c>
      <c r="G23" s="1170"/>
      <c r="H23" s="1171" t="s">
        <v>473</v>
      </c>
      <c r="I23" s="1070" t="s">
        <v>170</v>
      </c>
      <c r="J23" s="34"/>
      <c r="K23" s="395"/>
      <c r="L23" s="938"/>
      <c r="M23" s="938"/>
    </row>
    <row r="24" spans="1:16" s="604" customFormat="1" ht="15.75" thickBot="1" x14ac:dyDescent="0.3">
      <c r="A24" s="1172" t="str">
        <f>Samenvatting!A259</f>
        <v>PC1</v>
      </c>
      <c r="B24" s="1172" t="str">
        <f>Samenvatting!B259</f>
        <v>PET-CT</v>
      </c>
      <c r="C24" s="1910">
        <v>1</v>
      </c>
      <c r="D24" s="1910">
        <v>5</v>
      </c>
      <c r="E24" s="1908">
        <v>2</v>
      </c>
      <c r="F24" s="761">
        <f>E24/D14</f>
        <v>0.33333333333333331</v>
      </c>
      <c r="G24" s="1073">
        <f>10^(F24)</f>
        <v>2.1544346900318838</v>
      </c>
      <c r="H24" s="1173">
        <f>D10*D11*D24/60/C24^2/10^3</f>
        <v>3.0666666666666668E-3</v>
      </c>
      <c r="I24" s="1075">
        <f>H24*D6</f>
        <v>0.3066666666666667</v>
      </c>
      <c r="J24" s="603"/>
      <c r="K24" s="400"/>
      <c r="L24" s="938"/>
      <c r="M24" s="938"/>
    </row>
    <row r="25" spans="1:16" ht="19.5" customHeight="1" x14ac:dyDescent="0.25">
      <c r="A25" s="38"/>
      <c r="B25" s="36"/>
      <c r="C25" s="36"/>
      <c r="D25" s="738"/>
      <c r="K25" s="743"/>
      <c r="L25" s="743"/>
      <c r="M25" s="743"/>
    </row>
    <row r="26" spans="1:16" s="604" customFormat="1" ht="19.5" customHeight="1" x14ac:dyDescent="0.25">
      <c r="A26" s="1125"/>
      <c r="B26" s="598"/>
      <c r="C26" s="599"/>
      <c r="D26" s="599"/>
      <c r="E26" s="599"/>
      <c r="F26" s="600"/>
      <c r="G26" s="600"/>
      <c r="H26" s="600"/>
      <c r="I26" s="601"/>
      <c r="J26" s="600"/>
      <c r="K26" s="1174"/>
      <c r="L26" s="400"/>
      <c r="M26" s="400"/>
    </row>
    <row r="27" spans="1:16" s="604" customFormat="1" ht="18" x14ac:dyDescent="0.25">
      <c r="A27" s="595" t="s">
        <v>418</v>
      </c>
      <c r="B27" s="595"/>
      <c r="C27" s="596"/>
      <c r="D27" s="1175"/>
      <c r="E27" s="1175"/>
      <c r="F27" s="1176"/>
      <c r="G27" s="1176"/>
      <c r="H27" s="806"/>
      <c r="I27" s="504"/>
      <c r="J27" s="806"/>
      <c r="K27" s="1174"/>
      <c r="L27" s="400"/>
      <c r="M27" s="400"/>
    </row>
    <row r="28" spans="1:16" s="938" customFormat="1" ht="19.5" customHeight="1" x14ac:dyDescent="0.25">
      <c r="A28" s="1177"/>
      <c r="B28" s="1177"/>
      <c r="C28" s="287"/>
      <c r="D28" s="1175"/>
      <c r="E28" s="1175"/>
      <c r="F28" s="1176"/>
      <c r="G28" s="1176"/>
      <c r="H28" s="806"/>
      <c r="I28" s="504"/>
      <c r="J28" s="806"/>
      <c r="K28" s="1174"/>
      <c r="L28" s="400"/>
      <c r="M28" s="400"/>
    </row>
    <row r="29" spans="1:16" s="604" customFormat="1" ht="16.5" thickBot="1" x14ac:dyDescent="0.3">
      <c r="A29" s="1178" t="s">
        <v>306</v>
      </c>
      <c r="C29" s="1179"/>
      <c r="D29" s="1175"/>
      <c r="E29" s="1175"/>
      <c r="F29" s="1176"/>
      <c r="G29" s="1176"/>
      <c r="H29" s="806"/>
      <c r="I29" s="504"/>
      <c r="J29" s="806"/>
      <c r="K29" s="1174"/>
      <c r="L29" s="400"/>
      <c r="M29" s="400"/>
    </row>
    <row r="30" spans="1:16" s="40" customFormat="1" x14ac:dyDescent="0.2">
      <c r="A30" s="37"/>
      <c r="B30" s="37"/>
      <c r="C30" s="994" t="s">
        <v>4</v>
      </c>
      <c r="D30" s="994" t="s">
        <v>224</v>
      </c>
      <c r="E30" s="2102" t="s">
        <v>338</v>
      </c>
      <c r="F30" s="1180" t="s">
        <v>260</v>
      </c>
      <c r="G30" s="1130" t="s">
        <v>260</v>
      </c>
      <c r="H30" s="1181"/>
      <c r="I30" s="1182"/>
      <c r="J30" s="1183"/>
      <c r="K30" s="1181"/>
      <c r="L30" s="1181"/>
      <c r="M30" s="1181"/>
      <c r="N30" s="1184"/>
    </row>
    <row r="31" spans="1:16" s="40" customFormat="1" ht="15" x14ac:dyDescent="0.25">
      <c r="A31" s="781" t="s">
        <v>7</v>
      </c>
      <c r="B31" s="997" t="s">
        <v>74</v>
      </c>
      <c r="C31" s="783" t="s">
        <v>8</v>
      </c>
      <c r="D31" s="1185" t="s">
        <v>229</v>
      </c>
      <c r="E31" s="2103"/>
      <c r="F31" s="1018" t="s">
        <v>347</v>
      </c>
      <c r="G31" s="1132" t="s">
        <v>348</v>
      </c>
      <c r="H31" s="599"/>
      <c r="I31" s="602"/>
      <c r="J31" s="600"/>
      <c r="K31" s="602"/>
      <c r="L31" s="602"/>
      <c r="M31" s="980"/>
      <c r="N31" s="602"/>
    </row>
    <row r="32" spans="1:16" s="40" customFormat="1" ht="15" thickBot="1" x14ac:dyDescent="0.25">
      <c r="A32" s="782"/>
      <c r="B32" s="1172" t="str">
        <f>Samenvatting!A325</f>
        <v>landurig ingespoten patient begeleiden (bijv.: evacuatie, hulpbehoevende patient)</v>
      </c>
      <c r="C32" s="1910">
        <v>1</v>
      </c>
      <c r="D32" s="1910">
        <v>1</v>
      </c>
      <c r="E32" s="1891">
        <v>1</v>
      </c>
      <c r="F32" s="1091">
        <f>D10*D11*D32/C32^2/10^3</f>
        <v>3.6799999999999999E-2</v>
      </c>
      <c r="G32" s="1186">
        <f>F32*E32</f>
        <v>3.6799999999999999E-2</v>
      </c>
    </row>
    <row r="33" spans="1:12" s="40" customFormat="1" x14ac:dyDescent="0.2">
      <c r="B33" s="853"/>
      <c r="C33" s="853"/>
    </row>
    <row r="34" spans="1:12" s="40" customFormat="1" ht="18" x14ac:dyDescent="0.25">
      <c r="A34" s="1187"/>
      <c r="B34" s="34"/>
      <c r="C34" s="597"/>
      <c r="D34" s="34"/>
    </row>
    <row r="35" spans="1:12" s="40" customFormat="1" x14ac:dyDescent="0.2">
      <c r="B35" s="34"/>
      <c r="C35" s="34"/>
      <c r="D35" s="34"/>
    </row>
    <row r="36" spans="1:12" s="40" customFormat="1" x14ac:dyDescent="0.2">
      <c r="A36" s="1188"/>
      <c r="B36" s="1184"/>
      <c r="C36" s="1184"/>
      <c r="D36" s="1184"/>
      <c r="E36" s="1184"/>
      <c r="F36" s="1184"/>
      <c r="G36" s="1184"/>
      <c r="H36" s="1184"/>
      <c r="I36" s="1184"/>
      <c r="J36" s="1184"/>
      <c r="K36" s="1184"/>
      <c r="L36" s="1184"/>
    </row>
    <row r="37" spans="1:12" s="40" customFormat="1" ht="15" x14ac:dyDescent="0.25">
      <c r="A37" s="1108"/>
      <c r="B37" s="1184"/>
      <c r="C37" s="1184"/>
      <c r="D37" s="1184"/>
      <c r="E37" s="1184"/>
      <c r="F37" s="1184"/>
      <c r="G37" s="1184"/>
      <c r="H37" s="1184"/>
      <c r="I37" s="1184"/>
      <c r="J37" s="1184"/>
      <c r="K37" s="1184"/>
      <c r="L37" s="1184"/>
    </row>
    <row r="38" spans="1:12" s="40" customFormat="1" x14ac:dyDescent="0.2">
      <c r="B38" s="1189"/>
      <c r="C38" s="1189"/>
      <c r="D38" s="1189"/>
      <c r="E38" s="1189"/>
      <c r="F38" s="1189"/>
      <c r="G38" s="1189"/>
      <c r="H38" s="1189"/>
      <c r="I38" s="1189"/>
      <c r="J38" s="1189"/>
      <c r="K38" s="1189"/>
      <c r="L38" s="1189"/>
    </row>
    <row r="39" spans="1:12" s="40" customFormat="1" x14ac:dyDescent="0.2">
      <c r="B39" s="853"/>
      <c r="C39" s="853"/>
      <c r="D39" s="34"/>
    </row>
    <row r="40" spans="1:12" s="40" customFormat="1" x14ac:dyDescent="0.2">
      <c r="B40" s="853"/>
      <c r="C40" s="853"/>
      <c r="D40" s="34"/>
    </row>
    <row r="41" spans="1:12" s="40" customFormat="1" x14ac:dyDescent="0.2">
      <c r="C41" s="853"/>
      <c r="D41" s="34"/>
    </row>
    <row r="42" spans="1:12" s="40" customFormat="1" x14ac:dyDescent="0.2">
      <c r="B42" s="2100"/>
      <c r="C42" s="2101"/>
      <c r="D42" s="2101"/>
      <c r="E42" s="2101"/>
      <c r="F42" s="2101"/>
      <c r="G42" s="2101"/>
      <c r="H42" s="2101"/>
      <c r="I42" s="2101"/>
      <c r="J42" s="2101"/>
      <c r="K42" s="2101"/>
      <c r="L42" s="2101"/>
    </row>
    <row r="43" spans="1:12" s="40" customFormat="1" x14ac:dyDescent="0.2">
      <c r="B43" s="2101"/>
      <c r="C43" s="2101"/>
      <c r="D43" s="2101"/>
      <c r="E43" s="2101"/>
      <c r="F43" s="2101"/>
      <c r="G43" s="2101"/>
      <c r="H43" s="2101"/>
      <c r="I43" s="2101"/>
      <c r="J43" s="2101"/>
      <c r="K43" s="2101"/>
      <c r="L43" s="2101"/>
    </row>
    <row r="44" spans="1:12" s="40" customFormat="1" x14ac:dyDescent="0.2">
      <c r="B44" s="853"/>
      <c r="C44" s="34"/>
      <c r="D44" s="34"/>
    </row>
    <row r="45" spans="1:12" s="40" customFormat="1" x14ac:dyDescent="0.2">
      <c r="B45" s="853"/>
      <c r="C45" s="34"/>
      <c r="D45" s="34"/>
    </row>
    <row r="46" spans="1:12" s="40" customFormat="1" x14ac:dyDescent="0.2">
      <c r="B46" s="853"/>
      <c r="C46" s="34"/>
      <c r="D46" s="34"/>
    </row>
    <row r="47" spans="1:12" s="40" customFormat="1" x14ac:dyDescent="0.2">
      <c r="B47" s="853"/>
      <c r="C47" s="34"/>
      <c r="D47" s="34"/>
    </row>
    <row r="48" spans="1:12" s="40" customFormat="1" x14ac:dyDescent="0.2">
      <c r="B48" s="853"/>
      <c r="C48" s="34"/>
      <c r="D48" s="34"/>
    </row>
    <row r="49" spans="2:4" s="40" customFormat="1" x14ac:dyDescent="0.2">
      <c r="B49" s="853"/>
      <c r="C49" s="34"/>
      <c r="D49" s="34"/>
    </row>
    <row r="50" spans="2:4" s="40" customFormat="1" x14ac:dyDescent="0.2">
      <c r="B50" s="853"/>
      <c r="C50" s="34"/>
      <c r="D50" s="34"/>
    </row>
    <row r="51" spans="2:4" s="40" customFormat="1" x14ac:dyDescent="0.2">
      <c r="B51" s="883"/>
      <c r="C51" s="34"/>
      <c r="D51" s="34"/>
    </row>
    <row r="52" spans="2:4" s="40" customFormat="1" x14ac:dyDescent="0.2">
      <c r="B52" s="853"/>
      <c r="C52" s="34"/>
      <c r="D52" s="34"/>
    </row>
    <row r="53" spans="2:4" s="40" customFormat="1" x14ac:dyDescent="0.2">
      <c r="B53" s="853"/>
      <c r="C53" s="34"/>
      <c r="D53" s="34"/>
    </row>
    <row r="54" spans="2:4" s="40" customFormat="1" x14ac:dyDescent="0.2">
      <c r="B54" s="853"/>
      <c r="C54" s="34"/>
      <c r="D54" s="34"/>
    </row>
    <row r="55" spans="2:4" x14ac:dyDescent="0.2">
      <c r="B55" s="738"/>
      <c r="C55" s="738"/>
      <c r="D55" s="738"/>
    </row>
  </sheetData>
  <sheetProtection algorithmName="SHA-512" hashValue="hFobrx+/7q9Yr483bFZXt0YljbdZQxog7ezL194ivvyueHaRHjNgayOPtwpYbiTH9uG2FDQo50ARWZJ1zKv6tQ==" saltValue="Mms5isxgiBkbrzAxRRrHoQ==" spinCount="100000" sheet="1" objects="1" scenarios="1"/>
  <mergeCells count="3">
    <mergeCell ref="B42:L43"/>
    <mergeCell ref="H22:I22"/>
    <mergeCell ref="E30:E31"/>
  </mergeCells>
  <phoneticPr fontId="0" type="noConversion"/>
  <pageMargins left="0.74803149606299213" right="0.74803149606299213" top="0.98425196850393704" bottom="0.98425196850393704" header="0.51181102362204722" footer="0.51181102362204722"/>
  <pageSetup paperSize="9" scale="50"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6">
    <tabColor rgb="FFFF0000"/>
    <pageSetUpPr fitToPage="1"/>
  </sheetPr>
  <dimension ref="A1:BG157"/>
  <sheetViews>
    <sheetView showGridLines="0" topLeftCell="A13" zoomScaleNormal="100" workbookViewId="0">
      <selection activeCell="G17" sqref="G17"/>
    </sheetView>
  </sheetViews>
  <sheetFormatPr defaultRowHeight="14.25" x14ac:dyDescent="0.2"/>
  <cols>
    <col min="1" max="1" width="13.42578125" style="37" customWidth="1"/>
    <col min="2" max="4" width="9.140625" style="738"/>
    <col min="5" max="5" width="10.140625" style="738" customWidth="1"/>
    <col min="6" max="6" width="10" style="738" customWidth="1"/>
    <col min="7" max="11" width="9.140625" style="738"/>
    <col min="12" max="12" width="9.140625" style="856"/>
    <col min="13" max="13" width="9.140625" style="37"/>
    <col min="14" max="14" width="11.5703125" style="37" customWidth="1"/>
    <col min="15" max="19" width="9.140625" style="37"/>
    <col min="20" max="20" width="11" style="37" bestFit="1" customWidth="1"/>
    <col min="21" max="22" width="9.140625" style="37"/>
    <col min="23" max="28" width="9.7109375" style="37" customWidth="1"/>
    <col min="29" max="29" width="9.140625" style="37"/>
    <col min="30" max="30" width="18.7109375" style="37" customWidth="1"/>
    <col min="31" max="32" width="9.140625" style="37"/>
    <col min="33" max="33" width="10.28515625" style="37" customWidth="1"/>
    <col min="34" max="34" width="7.28515625" style="37" customWidth="1"/>
    <col min="35" max="38" width="9.140625" style="37"/>
    <col min="39" max="39" width="16" style="37" customWidth="1"/>
    <col min="40" max="16384" width="9.140625" style="37"/>
  </cols>
  <sheetData>
    <row r="1" spans="1:42" s="1192" customFormat="1" ht="27" thickBot="1" x14ac:dyDescent="0.45">
      <c r="A1" s="2110" t="s">
        <v>613</v>
      </c>
      <c r="B1" s="2111"/>
      <c r="C1" s="2111"/>
      <c r="D1" s="1190"/>
      <c r="E1" s="1190"/>
      <c r="F1" s="1190"/>
      <c r="G1" s="1190"/>
      <c r="H1" s="1190"/>
      <c r="I1" s="1190"/>
      <c r="J1" s="1190"/>
      <c r="K1" s="1190"/>
      <c r="L1" s="1191" t="s">
        <v>126</v>
      </c>
    </row>
    <row r="2" spans="1:42" ht="18.75" thickBot="1" x14ac:dyDescent="0.3">
      <c r="A2" s="1193"/>
      <c r="F2" s="37"/>
      <c r="G2" s="37"/>
      <c r="H2" s="37"/>
      <c r="I2" s="37"/>
      <c r="J2" s="37"/>
    </row>
    <row r="3" spans="1:42" ht="18.75" thickBot="1" x14ac:dyDescent="0.3">
      <c r="A3" s="40" t="s">
        <v>146</v>
      </c>
      <c r="I3" s="1194" t="s">
        <v>89</v>
      </c>
      <c r="J3" s="1194"/>
      <c r="M3" s="847" t="s">
        <v>253</v>
      </c>
      <c r="N3" s="1195"/>
      <c r="O3" s="983"/>
      <c r="P3" s="983"/>
      <c r="Q3" s="983"/>
      <c r="R3" s="983"/>
      <c r="S3" s="983"/>
      <c r="T3" s="983"/>
      <c r="U3" s="983"/>
      <c r="V3" s="983"/>
      <c r="W3" s="983"/>
      <c r="X3" s="1195" t="s">
        <v>113</v>
      </c>
      <c r="Y3" s="1195"/>
      <c r="Z3" s="1195" t="s">
        <v>115</v>
      </c>
      <c r="AA3" s="983"/>
      <c r="AB3" s="983"/>
      <c r="AC3" s="983"/>
      <c r="AD3" s="983"/>
      <c r="AE3" s="1196"/>
      <c r="AG3" s="982" t="s">
        <v>141</v>
      </c>
      <c r="AH3" s="983"/>
      <c r="AI3" s="983"/>
      <c r="AJ3" s="983"/>
      <c r="AK3" s="983"/>
      <c r="AL3" s="983"/>
      <c r="AM3" s="983"/>
      <c r="AN3" s="983"/>
      <c r="AO3" s="983"/>
      <c r="AP3" s="1196"/>
    </row>
    <row r="4" spans="1:42" ht="17.25" thickBot="1" x14ac:dyDescent="0.3">
      <c r="B4" s="34"/>
      <c r="C4" s="1197"/>
      <c r="D4" s="1197"/>
      <c r="E4" s="1197"/>
      <c r="F4" s="34" t="s">
        <v>608</v>
      </c>
      <c r="G4" s="34"/>
      <c r="H4" s="34"/>
      <c r="I4" s="34"/>
      <c r="J4" s="34"/>
      <c r="K4" s="34"/>
      <c r="M4" s="856" t="s">
        <v>198</v>
      </c>
      <c r="N4" s="40"/>
      <c r="O4" s="40"/>
      <c r="P4" s="40"/>
      <c r="Q4" s="40"/>
      <c r="R4" s="40"/>
      <c r="S4" s="40"/>
      <c r="T4" s="40"/>
      <c r="U4" s="40"/>
      <c r="V4" s="40"/>
      <c r="W4" s="40"/>
      <c r="X4" s="947" t="s">
        <v>114</v>
      </c>
      <c r="Y4" s="947"/>
      <c r="Z4" s="947" t="s">
        <v>116</v>
      </c>
      <c r="AA4" s="40"/>
      <c r="AB4" s="40"/>
      <c r="AC4" s="40"/>
      <c r="AD4" s="40"/>
      <c r="AE4" s="1198"/>
      <c r="AG4" s="982"/>
      <c r="AH4" s="983"/>
      <c r="AI4" s="983"/>
      <c r="AJ4" s="983"/>
      <c r="AK4" s="1199" t="s">
        <v>142</v>
      </c>
      <c r="AL4" s="1200"/>
      <c r="AM4" s="1200"/>
      <c r="AN4" s="1201"/>
      <c r="AO4" s="40"/>
      <c r="AP4" s="1198"/>
    </row>
    <row r="5" spans="1:42" ht="18" x14ac:dyDescent="0.25">
      <c r="A5" s="1202" t="s">
        <v>106</v>
      </c>
      <c r="B5" s="1200"/>
      <c r="C5" s="1203"/>
      <c r="D5" s="1203"/>
      <c r="E5" s="1203"/>
      <c r="F5" s="1200"/>
      <c r="G5" s="1200"/>
      <c r="H5" s="1200"/>
      <c r="I5" s="1200"/>
      <c r="J5" s="1204"/>
      <c r="K5" s="1194"/>
      <c r="M5" s="1205" t="s">
        <v>193</v>
      </c>
      <c r="N5" s="947"/>
      <c r="O5" s="40"/>
      <c r="P5" s="40"/>
      <c r="Q5" s="40"/>
      <c r="R5" s="40"/>
      <c r="S5" s="40"/>
      <c r="T5" s="40"/>
      <c r="U5" s="40"/>
      <c r="V5" s="40"/>
      <c r="W5" s="40"/>
      <c r="X5" s="40"/>
      <c r="Y5" s="947"/>
      <c r="Z5" s="40"/>
      <c r="AA5" s="40"/>
      <c r="AB5" s="40"/>
      <c r="AC5" s="40"/>
      <c r="AD5" s="40"/>
      <c r="AE5" s="1198"/>
      <c r="AG5" s="856"/>
      <c r="AH5" s="40"/>
      <c r="AI5" s="40"/>
      <c r="AJ5" s="40"/>
      <c r="AK5" s="793" t="s">
        <v>37</v>
      </c>
      <c r="AL5" s="793" t="s">
        <v>2</v>
      </c>
      <c r="AM5" s="1013" t="s">
        <v>3</v>
      </c>
      <c r="AN5" s="1201"/>
      <c r="AO5" s="40"/>
      <c r="AP5" s="1198"/>
    </row>
    <row r="6" spans="1:42" ht="15" x14ac:dyDescent="0.25">
      <c r="A6" s="1206" t="s">
        <v>290</v>
      </c>
      <c r="B6" s="37"/>
      <c r="C6" s="37"/>
      <c r="D6" s="37"/>
      <c r="E6" s="37"/>
      <c r="F6" s="37"/>
      <c r="G6" s="37"/>
      <c r="H6" s="37"/>
      <c r="I6" s="40"/>
      <c r="J6" s="1207"/>
      <c r="K6" s="34"/>
      <c r="L6" s="1201"/>
      <c r="M6" s="1205" t="s">
        <v>192</v>
      </c>
      <c r="N6" s="947"/>
      <c r="O6" s="40"/>
      <c r="P6" s="40"/>
      <c r="Q6" s="40"/>
      <c r="R6" s="40"/>
      <c r="S6" s="40"/>
      <c r="T6" s="40"/>
      <c r="U6" s="40"/>
      <c r="V6" s="40"/>
      <c r="W6" s="40"/>
      <c r="X6" s="947"/>
      <c r="Y6" s="947"/>
      <c r="Z6" s="40"/>
      <c r="AA6" s="40"/>
      <c r="AB6" s="40"/>
      <c r="AC6" s="40"/>
      <c r="AD6" s="40"/>
      <c r="AE6" s="1198"/>
      <c r="AG6" s="1208"/>
      <c r="AH6" s="1209"/>
      <c r="AI6" s="1209"/>
      <c r="AJ6" s="776"/>
      <c r="AK6" s="752" t="s">
        <v>36</v>
      </c>
      <c r="AL6" s="752" t="s">
        <v>61</v>
      </c>
      <c r="AM6" s="1210" t="s">
        <v>22</v>
      </c>
      <c r="AN6" s="1201"/>
      <c r="AO6" s="40"/>
      <c r="AP6" s="1198"/>
    </row>
    <row r="7" spans="1:42" ht="15" customHeight="1" x14ac:dyDescent="0.25">
      <c r="A7" s="856"/>
      <c r="B7" s="781"/>
      <c r="C7" s="1211"/>
      <c r="D7" s="781" t="s">
        <v>20</v>
      </c>
      <c r="E7" s="1211"/>
      <c r="F7" s="1212"/>
      <c r="G7" s="781"/>
      <c r="H7" s="781" t="s">
        <v>21</v>
      </c>
      <c r="I7" s="1211"/>
      <c r="J7" s="1213"/>
      <c r="K7" s="34"/>
      <c r="L7" s="1201"/>
      <c r="M7" s="1214" t="s">
        <v>265</v>
      </c>
      <c r="N7" s="1215"/>
      <c r="O7" s="1216"/>
      <c r="P7" s="1216"/>
      <c r="Q7" s="1216"/>
      <c r="R7" s="1216"/>
      <c r="S7" s="1216"/>
      <c r="T7" s="40"/>
      <c r="U7" s="40"/>
      <c r="V7" s="40"/>
      <c r="W7" s="40"/>
      <c r="X7" s="947"/>
      <c r="Y7" s="947"/>
      <c r="Z7" s="40"/>
      <c r="AA7" s="40"/>
      <c r="AB7" s="40"/>
      <c r="AC7" s="40"/>
      <c r="AD7" s="40"/>
      <c r="AE7" s="1198"/>
      <c r="AG7" s="1217" t="s">
        <v>149</v>
      </c>
      <c r="AH7" s="1218"/>
      <c r="AI7" s="1218"/>
      <c r="AJ7" s="1219" t="s">
        <v>34</v>
      </c>
      <c r="AK7" s="793">
        <v>15</v>
      </c>
      <c r="AL7" s="793">
        <v>25</v>
      </c>
      <c r="AM7" s="1013">
        <v>42</v>
      </c>
      <c r="AN7" s="856"/>
      <c r="AO7" s="40"/>
      <c r="AP7" s="1198"/>
    </row>
    <row r="8" spans="1:42" x14ac:dyDescent="0.2">
      <c r="A8" s="1220" t="s">
        <v>55</v>
      </c>
      <c r="B8" s="2117" t="s">
        <v>2</v>
      </c>
      <c r="C8" s="2118"/>
      <c r="D8" s="754" t="s">
        <v>61</v>
      </c>
      <c r="E8" s="754" t="s">
        <v>3</v>
      </c>
      <c r="F8" s="754" t="s">
        <v>22</v>
      </c>
      <c r="G8" s="754" t="s">
        <v>2</v>
      </c>
      <c r="H8" s="754" t="s">
        <v>61</v>
      </c>
      <c r="I8" s="754" t="s">
        <v>3</v>
      </c>
      <c r="J8" s="996" t="s">
        <v>22</v>
      </c>
      <c r="K8" s="34"/>
      <c r="L8" s="1201"/>
      <c r="M8" s="856"/>
      <c r="N8" s="40"/>
      <c r="O8" s="40"/>
      <c r="P8" s="40"/>
      <c r="Q8" s="40"/>
      <c r="R8" s="40"/>
      <c r="S8" s="40"/>
      <c r="T8" s="40"/>
      <c r="U8" s="40"/>
      <c r="V8" s="40"/>
      <c r="W8" s="40"/>
      <c r="X8" s="40"/>
      <c r="Y8" s="947"/>
      <c r="Z8" s="40"/>
      <c r="AA8" s="40"/>
      <c r="AB8" s="40"/>
      <c r="AC8" s="40"/>
      <c r="AD8" s="40"/>
      <c r="AE8" s="1198"/>
      <c r="AG8" s="1221"/>
      <c r="AH8" s="776"/>
      <c r="AI8" s="776"/>
      <c r="AJ8" s="1222" t="s">
        <v>35</v>
      </c>
      <c r="AK8" s="1223">
        <v>10</v>
      </c>
      <c r="AL8" s="1223">
        <v>16</v>
      </c>
      <c r="AM8" s="542">
        <v>42</v>
      </c>
      <c r="AN8" s="856"/>
      <c r="AO8" s="40"/>
      <c r="AP8" s="1198"/>
    </row>
    <row r="9" spans="1:42" ht="19.5" thickBot="1" x14ac:dyDescent="0.4">
      <c r="A9" s="1224"/>
      <c r="B9" s="994" t="s">
        <v>263</v>
      </c>
      <c r="C9" s="1068" t="s">
        <v>264</v>
      </c>
      <c r="D9" s="1225"/>
      <c r="E9" s="1226" t="s">
        <v>268</v>
      </c>
      <c r="F9" s="1227"/>
      <c r="G9" s="781"/>
      <c r="H9" s="1211"/>
      <c r="I9" s="1211"/>
      <c r="J9" s="1213"/>
      <c r="K9" s="34"/>
      <c r="L9" s="1201"/>
      <c r="M9" s="856"/>
      <c r="N9" s="947"/>
      <c r="O9" s="1228"/>
      <c r="P9" s="1228"/>
      <c r="Q9" s="1228"/>
      <c r="R9" s="1229"/>
      <c r="S9" s="1228"/>
      <c r="T9" s="1228"/>
      <c r="U9" s="1228"/>
      <c r="V9" s="776"/>
      <c r="W9" s="776"/>
      <c r="X9" s="776"/>
      <c r="Y9" s="1230"/>
      <c r="Z9" s="536"/>
      <c r="AA9" s="40"/>
      <c r="AB9" s="40"/>
      <c r="AC9" s="40"/>
      <c r="AD9" s="40"/>
      <c r="AE9" s="1198"/>
      <c r="AG9" s="856" t="s">
        <v>54</v>
      </c>
      <c r="AH9" s="853"/>
      <c r="AI9" s="40"/>
      <c r="AJ9" s="1231" t="s">
        <v>5</v>
      </c>
      <c r="AK9" s="793">
        <v>8</v>
      </c>
      <c r="AL9" s="793">
        <v>13</v>
      </c>
      <c r="AM9" s="1013">
        <v>37</v>
      </c>
      <c r="AN9" s="1206"/>
      <c r="AO9" s="40"/>
      <c r="AP9" s="1198"/>
    </row>
    <row r="10" spans="1:42" ht="15" x14ac:dyDescent="0.25">
      <c r="A10" s="1232">
        <v>0</v>
      </c>
      <c r="B10" s="1233">
        <f t="shared" ref="B10:J10" si="0">10^-100</f>
        <v>1E-100</v>
      </c>
      <c r="C10" s="1233">
        <f t="shared" si="0"/>
        <v>1E-100</v>
      </c>
      <c r="D10" s="1234">
        <f t="shared" si="0"/>
        <v>1E-100</v>
      </c>
      <c r="E10" s="1234">
        <f t="shared" si="0"/>
        <v>1E-100</v>
      </c>
      <c r="F10" s="1234">
        <f t="shared" si="0"/>
        <v>1E-100</v>
      </c>
      <c r="G10" s="1234">
        <f t="shared" si="0"/>
        <v>1E-100</v>
      </c>
      <c r="H10" s="1234">
        <f t="shared" si="0"/>
        <v>1E-100</v>
      </c>
      <c r="I10" s="1234">
        <f t="shared" si="0"/>
        <v>1E-100</v>
      </c>
      <c r="J10" s="1235">
        <f t="shared" si="0"/>
        <v>1E-100</v>
      </c>
      <c r="K10" s="599"/>
      <c r="L10" s="1201"/>
      <c r="M10" s="856"/>
      <c r="N10" s="947"/>
      <c r="O10" s="798"/>
      <c r="P10" s="798"/>
      <c r="Q10" s="754"/>
      <c r="R10" s="1236"/>
      <c r="S10" s="1237"/>
      <c r="T10" s="1238"/>
      <c r="U10" s="2112" t="s">
        <v>196</v>
      </c>
      <c r="V10" s="2116"/>
      <c r="W10" s="2113"/>
      <c r="X10" s="2112" t="s">
        <v>29</v>
      </c>
      <c r="Y10" s="2113"/>
      <c r="Z10" s="1239"/>
      <c r="AA10" s="2104" t="s">
        <v>31</v>
      </c>
      <c r="AB10" s="2105"/>
      <c r="AC10" s="2105"/>
      <c r="AD10" s="2105"/>
      <c r="AE10" s="1240"/>
      <c r="AG10" s="847"/>
      <c r="AH10" s="849"/>
      <c r="AI10" s="983"/>
      <c r="AJ10" s="983"/>
      <c r="AK10" s="1241"/>
      <c r="AL10" s="1241"/>
      <c r="AM10" s="1241"/>
      <c r="AN10" s="1242"/>
      <c r="AO10" s="40"/>
      <c r="AP10" s="1198"/>
    </row>
    <row r="11" spans="1:42" x14ac:dyDescent="0.2">
      <c r="A11" s="1232">
        <v>0.5</v>
      </c>
      <c r="B11" s="2121">
        <v>19</v>
      </c>
      <c r="C11" s="2122"/>
      <c r="D11" s="1917">
        <v>9.4</v>
      </c>
      <c r="E11" s="1917">
        <v>5.5</v>
      </c>
      <c r="F11" s="1918">
        <v>1.6</v>
      </c>
      <c r="G11" s="1917"/>
      <c r="H11" s="1917"/>
      <c r="I11" s="1917"/>
      <c r="J11" s="1919"/>
      <c r="K11" s="599"/>
      <c r="L11" s="1201"/>
      <c r="M11" s="856"/>
      <c r="N11" s="947"/>
      <c r="O11" s="887"/>
      <c r="P11" s="778"/>
      <c r="Q11" s="778" t="s">
        <v>10</v>
      </c>
      <c r="R11" s="778" t="s">
        <v>534</v>
      </c>
      <c r="S11" s="1243" t="s">
        <v>53</v>
      </c>
      <c r="T11" s="1243" t="s">
        <v>41</v>
      </c>
      <c r="U11" s="2051" t="s">
        <v>20</v>
      </c>
      <c r="V11" s="2053"/>
      <c r="W11" s="754" t="s">
        <v>0</v>
      </c>
      <c r="X11" s="1211" t="s">
        <v>40</v>
      </c>
      <c r="Y11" s="782" t="s">
        <v>0</v>
      </c>
      <c r="Z11" s="1243" t="s">
        <v>31</v>
      </c>
      <c r="AA11" s="1244" t="s">
        <v>20</v>
      </c>
      <c r="AB11" s="1000"/>
      <c r="AC11" s="1245" t="s">
        <v>139</v>
      </c>
      <c r="AD11" s="34"/>
      <c r="AE11" s="1246" t="s">
        <v>391</v>
      </c>
      <c r="AG11" s="856"/>
      <c r="AH11" s="40"/>
      <c r="AI11" s="40"/>
      <c r="AJ11" s="40"/>
      <c r="AK11" s="40"/>
      <c r="AL11" s="40"/>
      <c r="AM11" s="40"/>
      <c r="AN11" s="40"/>
      <c r="AO11" s="40"/>
      <c r="AP11" s="1198"/>
    </row>
    <row r="12" spans="1:42" ht="15.75" thickBot="1" x14ac:dyDescent="0.3">
      <c r="A12" s="1232">
        <v>1</v>
      </c>
      <c r="B12" s="1920">
        <v>28</v>
      </c>
      <c r="C12" s="1921">
        <v>28</v>
      </c>
      <c r="D12" s="1917"/>
      <c r="E12" s="1917">
        <v>8</v>
      </c>
      <c r="F12" s="1917">
        <v>4</v>
      </c>
      <c r="G12" s="1917"/>
      <c r="H12" s="1917"/>
      <c r="I12" s="1917"/>
      <c r="J12" s="1919"/>
      <c r="K12" s="599"/>
      <c r="L12" s="1201"/>
      <c r="M12" s="1201"/>
      <c r="N12" s="40"/>
      <c r="O12" s="887" t="s">
        <v>60</v>
      </c>
      <c r="P12" s="778" t="s">
        <v>42</v>
      </c>
      <c r="Q12" s="778" t="s">
        <v>190</v>
      </c>
      <c r="R12" s="778" t="s">
        <v>535</v>
      </c>
      <c r="S12" s="1243" t="s">
        <v>52</v>
      </c>
      <c r="T12" s="1243" t="s">
        <v>199</v>
      </c>
      <c r="U12" s="779"/>
      <c r="V12" s="1000"/>
      <c r="W12" s="778"/>
      <c r="X12" s="1000" t="s">
        <v>108</v>
      </c>
      <c r="Y12" s="779" t="s">
        <v>108</v>
      </c>
      <c r="Z12" s="1247" t="s">
        <v>279</v>
      </c>
      <c r="AA12" s="779" t="s">
        <v>137</v>
      </c>
      <c r="AB12" s="1000"/>
      <c r="AC12" s="779" t="s">
        <v>138</v>
      </c>
      <c r="AD12" s="34"/>
      <c r="AE12" s="1248" t="s">
        <v>13</v>
      </c>
      <c r="AG12" s="1061" t="s">
        <v>147</v>
      </c>
      <c r="AH12" s="861"/>
      <c r="AI12" s="773"/>
      <c r="AJ12" s="773"/>
      <c r="AK12" s="1249"/>
      <c r="AL12" s="1249"/>
      <c r="AM12" s="1249"/>
      <c r="AN12" s="1250"/>
      <c r="AO12" s="1242"/>
      <c r="AP12" s="1198"/>
    </row>
    <row r="13" spans="1:42" x14ac:dyDescent="0.2">
      <c r="A13" s="1232">
        <v>4</v>
      </c>
      <c r="B13" s="1920">
        <v>35</v>
      </c>
      <c r="C13" s="1921">
        <v>30</v>
      </c>
      <c r="D13" s="1917"/>
      <c r="E13" s="1917"/>
      <c r="F13" s="1917"/>
      <c r="G13" s="1917"/>
      <c r="H13" s="1917"/>
      <c r="I13" s="1917"/>
      <c r="J13" s="1919"/>
      <c r="K13" s="599"/>
      <c r="L13" s="1201"/>
      <c r="M13" s="1251" t="s">
        <v>55</v>
      </c>
      <c r="N13" s="799"/>
      <c r="O13" s="1252" t="s">
        <v>59</v>
      </c>
      <c r="P13" s="887"/>
      <c r="Q13" s="34"/>
      <c r="R13" s="34"/>
      <c r="S13" s="1243" t="s">
        <v>197</v>
      </c>
      <c r="T13" s="1216"/>
      <c r="U13" s="783" t="s">
        <v>34</v>
      </c>
      <c r="V13" s="803" t="s">
        <v>35</v>
      </c>
      <c r="W13" s="1252"/>
      <c r="X13" s="34"/>
      <c r="Y13" s="1252" t="s">
        <v>194</v>
      </c>
      <c r="Z13" s="1253"/>
      <c r="AA13" s="779" t="s">
        <v>34</v>
      </c>
      <c r="AB13" s="34" t="s">
        <v>35</v>
      </c>
      <c r="AC13" s="779" t="s">
        <v>34</v>
      </c>
      <c r="AD13" s="1189" t="s">
        <v>35</v>
      </c>
      <c r="AE13" s="1254" t="s">
        <v>392</v>
      </c>
      <c r="AG13" s="829" t="s">
        <v>140</v>
      </c>
      <c r="AH13" s="40"/>
      <c r="AI13" s="40"/>
      <c r="AJ13" s="40"/>
      <c r="AK13" s="779" t="s">
        <v>39</v>
      </c>
      <c r="AL13" s="779" t="s">
        <v>2</v>
      </c>
      <c r="AM13" s="778" t="s">
        <v>22</v>
      </c>
      <c r="AN13" s="1255" t="s">
        <v>3</v>
      </c>
      <c r="AO13" s="776"/>
      <c r="AP13" s="1198"/>
    </row>
    <row r="14" spans="1:42" x14ac:dyDescent="0.2">
      <c r="A14" s="1232">
        <v>6</v>
      </c>
      <c r="B14" s="1920">
        <v>37</v>
      </c>
      <c r="C14" s="1921">
        <v>33</v>
      </c>
      <c r="D14" s="1917">
        <v>24.2</v>
      </c>
      <c r="E14" s="1917">
        <v>9.9</v>
      </c>
      <c r="F14" s="1917">
        <v>5.7</v>
      </c>
      <c r="G14" s="1917">
        <v>34</v>
      </c>
      <c r="H14" s="1917">
        <v>20</v>
      </c>
      <c r="I14" s="1917">
        <v>9.9</v>
      </c>
      <c r="J14" s="1919">
        <v>5.7</v>
      </c>
      <c r="K14" s="599"/>
      <c r="L14" s="1201"/>
      <c r="M14" s="1256">
        <v>0.5</v>
      </c>
      <c r="N14" s="798" t="s">
        <v>2</v>
      </c>
      <c r="O14" s="798"/>
      <c r="P14" s="754"/>
      <c r="Q14" s="754">
        <v>11.9</v>
      </c>
      <c r="R14" s="1236">
        <v>11.7</v>
      </c>
      <c r="S14" s="754"/>
      <c r="T14" s="754">
        <v>14.4</v>
      </c>
      <c r="U14" s="994"/>
      <c r="V14" s="1068"/>
      <c r="W14" s="754"/>
      <c r="X14" s="798"/>
      <c r="Y14" s="799"/>
      <c r="Z14" s="1257">
        <f>20*2.2/2.35</f>
        <v>18.723404255319149</v>
      </c>
      <c r="AA14" s="994"/>
      <c r="AB14" s="1043"/>
      <c r="AC14" s="799"/>
      <c r="AD14" s="1258"/>
      <c r="AE14" s="1259"/>
      <c r="AG14" s="1260" t="s">
        <v>93</v>
      </c>
      <c r="AH14" s="1043"/>
      <c r="AI14" s="1043"/>
      <c r="AJ14" s="1043"/>
      <c r="AK14" s="994"/>
      <c r="AL14" s="994"/>
      <c r="AM14" s="754">
        <v>6.1</v>
      </c>
      <c r="AN14" s="996"/>
      <c r="AO14" s="1219" t="s">
        <v>143</v>
      </c>
      <c r="AP14" s="1198"/>
    </row>
    <row r="15" spans="1:42" x14ac:dyDescent="0.2">
      <c r="A15" s="1232">
        <v>10</v>
      </c>
      <c r="B15" s="1920">
        <v>41</v>
      </c>
      <c r="C15" s="1921">
        <v>37</v>
      </c>
      <c r="D15" s="1917">
        <v>27</v>
      </c>
      <c r="E15" s="1917">
        <v>10</v>
      </c>
      <c r="F15" s="1917">
        <v>5.7</v>
      </c>
      <c r="G15" s="1917">
        <v>38</v>
      </c>
      <c r="H15" s="1917">
        <v>24</v>
      </c>
      <c r="I15" s="1917">
        <v>10</v>
      </c>
      <c r="J15" s="1919">
        <v>5.7</v>
      </c>
      <c r="K15" s="599"/>
      <c r="L15" s="1201"/>
      <c r="M15" s="1232"/>
      <c r="N15" s="887" t="s">
        <v>61</v>
      </c>
      <c r="O15" s="887"/>
      <c r="P15" s="778"/>
      <c r="Q15" s="778"/>
      <c r="R15" s="778"/>
      <c r="S15" s="778"/>
      <c r="T15" s="778"/>
      <c r="U15" s="779"/>
      <c r="V15" s="1000"/>
      <c r="W15" s="778"/>
      <c r="X15" s="887"/>
      <c r="Y15" s="1261"/>
      <c r="Z15" s="1262">
        <f>10*3.2/3.4</f>
        <v>9.4117647058823533</v>
      </c>
      <c r="AA15" s="779"/>
      <c r="AB15" s="40"/>
      <c r="AC15" s="1261"/>
      <c r="AD15" s="40"/>
      <c r="AE15" s="1263"/>
      <c r="AG15" s="856"/>
      <c r="AH15" s="40"/>
      <c r="AI15" s="40"/>
      <c r="AJ15" s="40"/>
      <c r="AK15" s="779"/>
      <c r="AL15" s="779"/>
      <c r="AM15" s="778">
        <v>0.6</v>
      </c>
      <c r="AN15" s="1248"/>
      <c r="AO15" s="1264" t="s">
        <v>144</v>
      </c>
      <c r="AP15" s="1198"/>
    </row>
    <row r="16" spans="1:42" x14ac:dyDescent="0.2">
      <c r="A16" s="1232">
        <v>15</v>
      </c>
      <c r="B16" s="1920">
        <v>44</v>
      </c>
      <c r="C16" s="1921">
        <v>41</v>
      </c>
      <c r="D16" s="1917">
        <v>29.5</v>
      </c>
      <c r="E16" s="1917">
        <v>11</v>
      </c>
      <c r="F16" s="1917">
        <v>5.7</v>
      </c>
      <c r="G16" s="1917">
        <v>38.1</v>
      </c>
      <c r="H16" s="1917">
        <v>25.3</v>
      </c>
      <c r="I16" s="1917">
        <v>10.7</v>
      </c>
      <c r="J16" s="1919">
        <v>5.7</v>
      </c>
      <c r="K16" s="599"/>
      <c r="L16" s="1201"/>
      <c r="M16" s="1232"/>
      <c r="N16" s="887" t="s">
        <v>3</v>
      </c>
      <c r="O16" s="887"/>
      <c r="P16" s="778"/>
      <c r="Q16" s="778"/>
      <c r="R16" s="778"/>
      <c r="S16" s="778"/>
      <c r="T16" s="778">
        <v>3.2</v>
      </c>
      <c r="U16" s="779"/>
      <c r="V16" s="1000"/>
      <c r="W16" s="778"/>
      <c r="X16" s="887"/>
      <c r="Y16" s="1261"/>
      <c r="Z16" s="1262">
        <v>5.5</v>
      </c>
      <c r="AA16" s="779"/>
      <c r="AB16" s="40"/>
      <c r="AC16" s="1261"/>
      <c r="AD16" s="40"/>
      <c r="AE16" s="1263"/>
      <c r="AF16" s="738"/>
      <c r="AG16" s="1260" t="s">
        <v>150</v>
      </c>
      <c r="AH16" s="1043"/>
      <c r="AI16" s="1043"/>
      <c r="AJ16" s="1043"/>
      <c r="AK16" s="994"/>
      <c r="AL16" s="994">
        <v>21</v>
      </c>
      <c r="AM16" s="754"/>
      <c r="AN16" s="996"/>
      <c r="AO16" s="1260"/>
      <c r="AP16" s="1198"/>
    </row>
    <row r="17" spans="1:42" ht="15" thickBot="1" x14ac:dyDescent="0.25">
      <c r="A17" s="1232">
        <v>16</v>
      </c>
      <c r="B17" s="1920">
        <v>43</v>
      </c>
      <c r="C17" s="1921">
        <v>43</v>
      </c>
      <c r="D17" s="1917"/>
      <c r="E17" s="1917"/>
      <c r="F17" s="1917"/>
      <c r="G17" s="1917">
        <v>43</v>
      </c>
      <c r="H17" s="1917"/>
      <c r="I17" s="1917"/>
      <c r="J17" s="1919"/>
      <c r="K17" s="599"/>
      <c r="L17" s="1201"/>
      <c r="M17" s="1265"/>
      <c r="N17" s="1252" t="s">
        <v>22</v>
      </c>
      <c r="O17" s="1252"/>
      <c r="P17" s="755"/>
      <c r="Q17" s="755">
        <v>1.03</v>
      </c>
      <c r="R17" s="1266">
        <v>1.19</v>
      </c>
      <c r="S17" s="1252"/>
      <c r="T17" s="755"/>
      <c r="U17" s="783"/>
      <c r="V17" s="803"/>
      <c r="W17" s="755"/>
      <c r="X17" s="1252"/>
      <c r="Y17" s="1267"/>
      <c r="Z17" s="783">
        <v>1.6</v>
      </c>
      <c r="AA17" s="783"/>
      <c r="AB17" s="776"/>
      <c r="AC17" s="1267"/>
      <c r="AD17" s="776"/>
      <c r="AE17" s="1263"/>
      <c r="AF17" s="738"/>
      <c r="AG17" s="837" t="s">
        <v>54</v>
      </c>
      <c r="AH17" s="1268"/>
      <c r="AI17" s="1268"/>
      <c r="AJ17" s="1268"/>
      <c r="AK17" s="1269">
        <v>4.5</v>
      </c>
      <c r="AL17" s="1269">
        <v>16.100000000000001</v>
      </c>
      <c r="AM17" s="1270"/>
      <c r="AN17" s="1271"/>
      <c r="AO17" s="40"/>
      <c r="AP17" s="1198"/>
    </row>
    <row r="18" spans="1:42" x14ac:dyDescent="0.2">
      <c r="A18" s="1272">
        <v>18</v>
      </c>
      <c r="B18" s="1920">
        <v>45</v>
      </c>
      <c r="C18" s="1921">
        <v>43</v>
      </c>
      <c r="D18" s="1917">
        <v>27</v>
      </c>
      <c r="E18" s="1917">
        <v>11</v>
      </c>
      <c r="F18" s="1917">
        <v>5.6</v>
      </c>
      <c r="G18" s="1917">
        <v>44</v>
      </c>
      <c r="H18" s="1917">
        <v>26.8</v>
      </c>
      <c r="I18" s="1917">
        <v>11</v>
      </c>
      <c r="J18" s="1919">
        <v>5.6</v>
      </c>
      <c r="K18" s="599"/>
      <c r="L18" s="1201"/>
      <c r="M18" s="1256">
        <v>1</v>
      </c>
      <c r="N18" s="798" t="s">
        <v>2</v>
      </c>
      <c r="O18" s="798"/>
      <c r="P18" s="754"/>
      <c r="Q18" s="754">
        <v>15</v>
      </c>
      <c r="R18" s="1236"/>
      <c r="S18" s="754"/>
      <c r="T18" s="754">
        <v>15.5</v>
      </c>
      <c r="U18" s="994"/>
      <c r="V18" s="1068"/>
      <c r="W18" s="754"/>
      <c r="X18" s="798"/>
      <c r="Y18" s="799"/>
      <c r="Z18" s="1257">
        <f>28*2.2/2.35</f>
        <v>26.212765957446813</v>
      </c>
      <c r="AA18" s="994"/>
      <c r="AB18" s="800"/>
      <c r="AC18" s="799"/>
      <c r="AD18" s="1258"/>
      <c r="AE18" s="1263"/>
      <c r="AF18" s="738"/>
      <c r="AG18" s="829" t="s">
        <v>148</v>
      </c>
      <c r="AH18" s="40"/>
      <c r="AI18" s="40"/>
      <c r="AJ18" s="40"/>
      <c r="AK18" s="779"/>
      <c r="AL18" s="779"/>
      <c r="AM18" s="778"/>
      <c r="AN18" s="779"/>
      <c r="AO18" s="856"/>
      <c r="AP18" s="1198"/>
    </row>
    <row r="19" spans="1:42" x14ac:dyDescent="0.2">
      <c r="A19" s="1232">
        <v>20</v>
      </c>
      <c r="B19" s="1920">
        <v>46</v>
      </c>
      <c r="C19" s="1921">
        <v>44</v>
      </c>
      <c r="D19" s="1917"/>
      <c r="E19" s="1917"/>
      <c r="F19" s="1917"/>
      <c r="G19" s="1917"/>
      <c r="H19" s="1917"/>
      <c r="I19" s="1917"/>
      <c r="J19" s="1919"/>
      <c r="K19" s="599"/>
      <c r="L19" s="1201"/>
      <c r="M19" s="1232"/>
      <c r="N19" s="887" t="s">
        <v>3</v>
      </c>
      <c r="O19" s="887"/>
      <c r="P19" s="887"/>
      <c r="Q19" s="887"/>
      <c r="R19" s="887"/>
      <c r="S19" s="778">
        <v>5.0999999999999996</v>
      </c>
      <c r="T19" s="778">
        <v>5.0999999999999996</v>
      </c>
      <c r="U19" s="779"/>
      <c r="V19" s="1000"/>
      <c r="W19" s="778"/>
      <c r="X19" s="887"/>
      <c r="Y19" s="1261"/>
      <c r="Z19" s="779">
        <v>8</v>
      </c>
      <c r="AA19" s="779"/>
      <c r="AB19" s="34"/>
      <c r="AC19" s="1261"/>
      <c r="AD19" s="40"/>
      <c r="AE19" s="1263"/>
      <c r="AF19" s="854"/>
      <c r="AG19" s="1260" t="s">
        <v>151</v>
      </c>
      <c r="AH19" s="1043"/>
      <c r="AI19" s="1043"/>
      <c r="AJ19" s="1043"/>
      <c r="AK19" s="994"/>
      <c r="AL19" s="994">
        <v>45</v>
      </c>
      <c r="AM19" s="754">
        <v>6.1</v>
      </c>
      <c r="AN19" s="781">
        <v>13.5</v>
      </c>
      <c r="AO19" s="856"/>
      <c r="AP19" s="1198"/>
    </row>
    <row r="20" spans="1:42" ht="15.75" thickBot="1" x14ac:dyDescent="0.3">
      <c r="A20" s="1232">
        <v>25</v>
      </c>
      <c r="B20" s="1920">
        <v>49</v>
      </c>
      <c r="C20" s="1921">
        <v>46</v>
      </c>
      <c r="D20" s="1917"/>
      <c r="E20" s="1917"/>
      <c r="F20" s="1917"/>
      <c r="G20" s="1917"/>
      <c r="H20" s="1917"/>
      <c r="I20" s="1917"/>
      <c r="J20" s="1919"/>
      <c r="K20" s="599"/>
      <c r="L20" s="1201"/>
      <c r="M20" s="1273"/>
      <c r="N20" s="1252" t="s">
        <v>22</v>
      </c>
      <c r="O20" s="1252"/>
      <c r="P20" s="755"/>
      <c r="Q20" s="755">
        <v>2.52</v>
      </c>
      <c r="R20" s="1266"/>
      <c r="S20" s="755"/>
      <c r="T20" s="755" t="s">
        <v>56</v>
      </c>
      <c r="U20" s="783"/>
      <c r="V20" s="803"/>
      <c r="W20" s="755"/>
      <c r="X20" s="1252"/>
      <c r="Y20" s="1267"/>
      <c r="Z20" s="783">
        <v>4</v>
      </c>
      <c r="AA20" s="783"/>
      <c r="AB20" s="804"/>
      <c r="AC20" s="1267"/>
      <c r="AD20" s="776"/>
      <c r="AE20" s="1263"/>
      <c r="AF20" s="854"/>
      <c r="AG20" s="837" t="s">
        <v>149</v>
      </c>
      <c r="AH20" s="1268"/>
      <c r="AI20" s="1268"/>
      <c r="AJ20" s="1268"/>
      <c r="AK20" s="1269"/>
      <c r="AL20" s="1269">
        <v>21</v>
      </c>
      <c r="AM20" s="1270"/>
      <c r="AN20" s="1274"/>
      <c r="AO20" s="856"/>
      <c r="AP20" s="1198"/>
    </row>
    <row r="21" spans="1:42" ht="15" thickBot="1" x14ac:dyDescent="0.25">
      <c r="A21" s="1232" t="s">
        <v>189</v>
      </c>
      <c r="B21" s="1920">
        <v>36</v>
      </c>
      <c r="C21" s="1921">
        <v>36</v>
      </c>
      <c r="D21" s="1917">
        <v>23.6</v>
      </c>
      <c r="E21" s="1917">
        <v>10.199999999999999</v>
      </c>
      <c r="F21" s="1917">
        <v>5.7</v>
      </c>
      <c r="G21" s="1917">
        <v>35.6</v>
      </c>
      <c r="H21" s="1917">
        <v>23.7</v>
      </c>
      <c r="I21" s="1917">
        <v>10.7</v>
      </c>
      <c r="J21" s="1919">
        <v>5.7</v>
      </c>
      <c r="K21" s="34"/>
      <c r="L21" s="1201"/>
      <c r="M21" s="1256">
        <v>4</v>
      </c>
      <c r="N21" s="798" t="s">
        <v>2</v>
      </c>
      <c r="O21" s="754"/>
      <c r="P21" s="798"/>
      <c r="Q21" s="754">
        <v>27.4</v>
      </c>
      <c r="R21" s="1236"/>
      <c r="S21" s="754"/>
      <c r="T21" s="754"/>
      <c r="U21" s="994"/>
      <c r="V21" s="1068"/>
      <c r="W21" s="754"/>
      <c r="X21" s="793">
        <v>29</v>
      </c>
      <c r="Y21" s="1013">
        <v>25.4</v>
      </c>
      <c r="Z21" s="1257">
        <f>36*2.2/2.35</f>
        <v>33.702127659574465</v>
      </c>
      <c r="AA21" s="994">
        <v>35</v>
      </c>
      <c r="AB21" s="800">
        <v>30</v>
      </c>
      <c r="AC21" s="994">
        <v>33</v>
      </c>
      <c r="AD21" s="1275">
        <v>28</v>
      </c>
      <c r="AE21" s="1248"/>
      <c r="AF21" s="854"/>
      <c r="AG21" s="837" t="s">
        <v>54</v>
      </c>
      <c r="AH21" s="1268"/>
      <c r="AI21" s="1268"/>
      <c r="AJ21" s="1268"/>
      <c r="AK21" s="1269">
        <v>4.5</v>
      </c>
      <c r="AL21" s="1269"/>
      <c r="AM21" s="1270"/>
      <c r="AN21" s="1276"/>
      <c r="AO21" s="40"/>
      <c r="AP21" s="1198"/>
    </row>
    <row r="22" spans="1:42" ht="15" thickBot="1" x14ac:dyDescent="0.25">
      <c r="A22" s="1232" t="s">
        <v>278</v>
      </c>
      <c r="B22" s="1920">
        <v>39</v>
      </c>
      <c r="C22" s="1921">
        <v>40</v>
      </c>
      <c r="D22" s="1917"/>
      <c r="E22" s="1917"/>
      <c r="F22" s="1917"/>
      <c r="G22" s="1917"/>
      <c r="H22" s="1917"/>
      <c r="I22" s="1917"/>
      <c r="J22" s="1919"/>
      <c r="K22" s="34"/>
      <c r="L22" s="1201"/>
      <c r="M22" s="1232"/>
      <c r="N22" s="887" t="s">
        <v>61</v>
      </c>
      <c r="O22" s="778"/>
      <c r="P22" s="887"/>
      <c r="Q22" s="778"/>
      <c r="R22" s="778"/>
      <c r="S22" s="778">
        <v>15.1</v>
      </c>
      <c r="T22" s="778"/>
      <c r="U22" s="779"/>
      <c r="V22" s="1000"/>
      <c r="W22" s="778"/>
      <c r="X22" s="1223"/>
      <c r="Y22" s="542"/>
      <c r="Z22" s="779">
        <v>20.7</v>
      </c>
      <c r="AA22" s="779"/>
      <c r="AB22" s="34"/>
      <c r="AC22" s="779"/>
      <c r="AD22" s="34"/>
      <c r="AE22" s="1248"/>
      <c r="AF22" s="854"/>
      <c r="AG22" s="856"/>
      <c r="AH22" s="40"/>
      <c r="AI22" s="40"/>
      <c r="AJ22" s="40"/>
      <c r="AK22" s="40"/>
      <c r="AL22" s="40"/>
      <c r="AM22" s="40"/>
      <c r="AN22" s="40"/>
      <c r="AO22" s="40"/>
      <c r="AP22" s="1198"/>
    </row>
    <row r="23" spans="1:42" x14ac:dyDescent="0.2">
      <c r="A23" s="1265" t="s">
        <v>188</v>
      </c>
      <c r="B23" s="1922">
        <v>30</v>
      </c>
      <c r="C23" s="1923">
        <v>27</v>
      </c>
      <c r="D23" s="1924">
        <v>19.7</v>
      </c>
      <c r="E23" s="1924">
        <v>10.199999999999999</v>
      </c>
      <c r="F23" s="1924">
        <v>5.7</v>
      </c>
      <c r="G23" s="1924">
        <v>30.5</v>
      </c>
      <c r="H23" s="1924">
        <v>20.3</v>
      </c>
      <c r="I23" s="1924">
        <v>10.199999999999999</v>
      </c>
      <c r="J23" s="1925">
        <v>5</v>
      </c>
      <c r="K23" s="34"/>
      <c r="L23" s="1201"/>
      <c r="M23" s="1232"/>
      <c r="N23" s="887" t="s">
        <v>3</v>
      </c>
      <c r="O23" s="778"/>
      <c r="P23" s="887"/>
      <c r="Q23" s="887"/>
      <c r="R23" s="887"/>
      <c r="S23" s="778"/>
      <c r="T23" s="778"/>
      <c r="U23" s="779"/>
      <c r="V23" s="1000"/>
      <c r="W23" s="778"/>
      <c r="X23" s="1223">
        <v>9.1</v>
      </c>
      <c r="Y23" s="542"/>
      <c r="Z23" s="779"/>
      <c r="AA23" s="779">
        <v>9.9</v>
      </c>
      <c r="AB23" s="34">
        <v>9.9</v>
      </c>
      <c r="AC23" s="1261"/>
      <c r="AD23" s="40"/>
      <c r="AE23" s="1263"/>
      <c r="AF23" s="854"/>
      <c r="AG23" s="847" t="s">
        <v>152</v>
      </c>
      <c r="AH23" s="983"/>
      <c r="AI23" s="983"/>
      <c r="AJ23" s="983"/>
      <c r="AK23" s="1196"/>
      <c r="AL23" s="40"/>
      <c r="AM23" s="40"/>
      <c r="AN23" s="40"/>
      <c r="AO23" s="40"/>
      <c r="AP23" s="1198"/>
    </row>
    <row r="24" spans="1:42" x14ac:dyDescent="0.2">
      <c r="A24" s="856"/>
      <c r="B24" s="599"/>
      <c r="C24" s="599"/>
      <c r="D24" s="599"/>
      <c r="E24" s="599"/>
      <c r="F24" s="599"/>
      <c r="G24" s="599"/>
      <c r="H24" s="599"/>
      <c r="I24" s="599"/>
      <c r="J24" s="1277"/>
      <c r="K24" s="34"/>
      <c r="L24" s="1201"/>
      <c r="M24" s="1232"/>
      <c r="N24" s="1252" t="s">
        <v>22</v>
      </c>
      <c r="O24" s="778"/>
      <c r="P24" s="887"/>
      <c r="Q24" s="778">
        <v>4.9000000000000004</v>
      </c>
      <c r="R24" s="778"/>
      <c r="S24" s="778"/>
      <c r="T24" s="778"/>
      <c r="U24" s="779"/>
      <c r="V24" s="1000"/>
      <c r="W24" s="778"/>
      <c r="X24" s="1223">
        <v>5.3</v>
      </c>
      <c r="Y24" s="542"/>
      <c r="Z24" s="779"/>
      <c r="AA24" s="779">
        <v>5.7</v>
      </c>
      <c r="AB24" s="34">
        <v>5.7</v>
      </c>
      <c r="AC24" s="1261"/>
      <c r="AD24" s="40"/>
      <c r="AE24" s="1263"/>
      <c r="AF24" s="854"/>
      <c r="AG24" s="856" t="s">
        <v>153</v>
      </c>
      <c r="AH24" s="40"/>
      <c r="AI24" s="40"/>
      <c r="AJ24" s="40"/>
      <c r="AK24" s="1198"/>
      <c r="AL24" s="40"/>
      <c r="AM24" s="40"/>
      <c r="AN24" s="40"/>
      <c r="AO24" s="40"/>
      <c r="AP24" s="1198"/>
    </row>
    <row r="25" spans="1:42" ht="15.75" customHeight="1" x14ac:dyDescent="0.25">
      <c r="A25" s="1206" t="s">
        <v>389</v>
      </c>
      <c r="B25" s="37"/>
      <c r="C25" s="37"/>
      <c r="D25" s="37"/>
      <c r="E25" s="37"/>
      <c r="F25" s="37"/>
      <c r="G25" s="37"/>
      <c r="H25" s="37"/>
      <c r="I25" s="40"/>
      <c r="J25" s="1198"/>
      <c r="K25" s="34"/>
      <c r="L25" s="1201"/>
      <c r="M25" s="1256" t="s">
        <v>188</v>
      </c>
      <c r="N25" s="798" t="s">
        <v>2</v>
      </c>
      <c r="O25" s="754"/>
      <c r="P25" s="798"/>
      <c r="Q25" s="798"/>
      <c r="R25" s="1278"/>
      <c r="S25" s="754"/>
      <c r="T25" s="754"/>
      <c r="U25" s="994">
        <v>30</v>
      </c>
      <c r="V25" s="1068">
        <v>27</v>
      </c>
      <c r="W25" s="754">
        <v>30.5</v>
      </c>
      <c r="X25" s="793"/>
      <c r="Y25" s="1013"/>
      <c r="Z25" s="994"/>
      <c r="AA25" s="799"/>
      <c r="AB25" s="1219"/>
      <c r="AC25" s="799"/>
      <c r="AD25" s="1258"/>
      <c r="AE25" s="1263"/>
      <c r="AF25" s="854"/>
      <c r="AG25" s="856" t="s">
        <v>154</v>
      </c>
      <c r="AH25" s="40"/>
      <c r="AI25" s="40"/>
      <c r="AJ25" s="40"/>
      <c r="AK25" s="1198"/>
      <c r="AL25" s="40"/>
      <c r="AM25" s="40"/>
      <c r="AN25" s="40"/>
      <c r="AO25" s="40"/>
      <c r="AP25" s="1198"/>
    </row>
    <row r="26" spans="1:42" ht="15.75" thickBot="1" x14ac:dyDescent="0.3">
      <c r="A26" s="1206"/>
      <c r="B26" s="1225" t="s">
        <v>2</v>
      </c>
      <c r="C26" s="1226"/>
      <c r="D26" s="1226"/>
      <c r="E26" s="1225" t="s">
        <v>3</v>
      </c>
      <c r="F26" s="1226"/>
      <c r="G26" s="1226"/>
      <c r="H26" s="1225" t="s">
        <v>394</v>
      </c>
      <c r="I26" s="1279"/>
      <c r="J26" s="1213"/>
      <c r="K26" s="34"/>
      <c r="L26" s="1201"/>
      <c r="M26" s="1232"/>
      <c r="N26" s="887" t="s">
        <v>61</v>
      </c>
      <c r="O26" s="778"/>
      <c r="P26" s="887"/>
      <c r="Q26" s="887"/>
      <c r="R26" s="887"/>
      <c r="S26" s="778"/>
      <c r="T26" s="778"/>
      <c r="U26" s="2106">
        <v>19.7</v>
      </c>
      <c r="V26" s="2107"/>
      <c r="W26" s="778">
        <v>20.3</v>
      </c>
      <c r="X26" s="1223"/>
      <c r="Y26" s="542"/>
      <c r="Z26" s="779"/>
      <c r="AA26" s="779"/>
      <c r="AB26" s="34"/>
      <c r="AC26" s="1261"/>
      <c r="AD26" s="40"/>
      <c r="AE26" s="1263"/>
      <c r="AF26" s="854"/>
      <c r="AG26" s="856" t="s">
        <v>155</v>
      </c>
      <c r="AH26" s="40"/>
      <c r="AI26" s="40"/>
      <c r="AJ26" s="40"/>
      <c r="AK26" s="1198"/>
      <c r="AL26" s="40"/>
      <c r="AM26" s="40"/>
      <c r="AN26" s="40"/>
      <c r="AO26" s="40"/>
      <c r="AP26" s="1198"/>
    </row>
    <row r="27" spans="1:42" x14ac:dyDescent="0.2">
      <c r="A27" s="1280" t="s">
        <v>390</v>
      </c>
      <c r="B27" s="1076">
        <v>45</v>
      </c>
      <c r="C27" s="1076">
        <v>90</v>
      </c>
      <c r="D27" s="1076">
        <v>135</v>
      </c>
      <c r="E27" s="1076">
        <v>45</v>
      </c>
      <c r="F27" s="1076">
        <v>90</v>
      </c>
      <c r="G27" s="1281">
        <v>135</v>
      </c>
      <c r="H27" s="1282">
        <v>45</v>
      </c>
      <c r="I27" s="1076">
        <v>90</v>
      </c>
      <c r="J27" s="1283">
        <v>135</v>
      </c>
      <c r="K27" s="34"/>
      <c r="L27" s="1201"/>
      <c r="M27" s="1232"/>
      <c r="N27" s="887" t="s">
        <v>3</v>
      </c>
      <c r="O27" s="778"/>
      <c r="P27" s="887"/>
      <c r="Q27" s="887"/>
      <c r="R27" s="887"/>
      <c r="S27" s="778"/>
      <c r="T27" s="778"/>
      <c r="U27" s="2106">
        <v>10.199999999999999</v>
      </c>
      <c r="V27" s="2107"/>
      <c r="W27" s="778">
        <v>10.199999999999999</v>
      </c>
      <c r="X27" s="1223"/>
      <c r="Y27" s="542"/>
      <c r="Z27" s="779"/>
      <c r="AA27" s="779"/>
      <c r="AB27" s="34"/>
      <c r="AC27" s="1261"/>
      <c r="AD27" s="40"/>
      <c r="AE27" s="1263"/>
      <c r="AF27" s="854"/>
      <c r="AG27" s="983"/>
      <c r="AH27" s="983"/>
      <c r="AI27" s="983"/>
      <c r="AJ27" s="983"/>
      <c r="AK27" s="983"/>
      <c r="AL27" s="983"/>
      <c r="AM27" s="983"/>
      <c r="AN27" s="983"/>
      <c r="AO27" s="983"/>
      <c r="AP27" s="983"/>
    </row>
    <row r="28" spans="1:42" ht="18.75" customHeight="1" x14ac:dyDescent="0.2">
      <c r="A28" s="1284" t="s">
        <v>55</v>
      </c>
      <c r="B28" s="1225"/>
      <c r="C28" s="1226"/>
      <c r="D28" s="1227"/>
      <c r="E28" s="1225"/>
      <c r="F28" s="1226"/>
      <c r="G28" s="1227"/>
      <c r="H28" s="1225"/>
      <c r="I28" s="1226"/>
      <c r="J28" s="1213"/>
      <c r="K28" s="34"/>
      <c r="L28" s="1201"/>
      <c r="M28" s="1265"/>
      <c r="N28" s="1252" t="s">
        <v>22</v>
      </c>
      <c r="O28" s="755"/>
      <c r="P28" s="1252"/>
      <c r="Q28" s="1252"/>
      <c r="R28" s="1285"/>
      <c r="S28" s="755"/>
      <c r="T28" s="755"/>
      <c r="U28" s="783"/>
      <c r="V28" s="803"/>
      <c r="W28" s="755"/>
      <c r="X28" s="752"/>
      <c r="Y28" s="1210"/>
      <c r="Z28" s="783"/>
      <c r="AA28" s="783"/>
      <c r="AB28" s="804"/>
      <c r="AC28" s="1267"/>
      <c r="AD28" s="776"/>
      <c r="AE28" s="1263"/>
      <c r="AF28" s="854"/>
      <c r="AG28" s="40"/>
      <c r="AH28" s="40"/>
      <c r="AI28" s="40"/>
      <c r="AJ28" s="40"/>
      <c r="AK28" s="40"/>
      <c r="AL28" s="40"/>
      <c r="AM28" s="40"/>
      <c r="AN28" s="40"/>
      <c r="AO28" s="40"/>
      <c r="AP28" s="40"/>
    </row>
    <row r="29" spans="1:42" x14ac:dyDescent="0.2">
      <c r="A29" s="1232">
        <v>0</v>
      </c>
      <c r="B29" s="1286">
        <f t="shared" ref="B29:J29" si="1">10^-100</f>
        <v>1E-100</v>
      </c>
      <c r="C29" s="1286">
        <f t="shared" si="1"/>
        <v>1E-100</v>
      </c>
      <c r="D29" s="1286">
        <f t="shared" si="1"/>
        <v>1E-100</v>
      </c>
      <c r="E29" s="1286">
        <f t="shared" si="1"/>
        <v>1E-100</v>
      </c>
      <c r="F29" s="1286">
        <f t="shared" si="1"/>
        <v>1E-100</v>
      </c>
      <c r="G29" s="1286">
        <f t="shared" si="1"/>
        <v>1E-100</v>
      </c>
      <c r="H29" s="1286">
        <f t="shared" si="1"/>
        <v>1E-100</v>
      </c>
      <c r="I29" s="1286">
        <f t="shared" si="1"/>
        <v>1E-100</v>
      </c>
      <c r="J29" s="1287">
        <f t="shared" si="1"/>
        <v>1E-100</v>
      </c>
      <c r="K29" s="34"/>
      <c r="L29" s="1201"/>
      <c r="M29" s="1232">
        <v>6</v>
      </c>
      <c r="N29" s="887" t="s">
        <v>2</v>
      </c>
      <c r="O29" s="778">
        <v>32.200000000000003</v>
      </c>
      <c r="P29" s="778"/>
      <c r="Q29" s="778">
        <v>34</v>
      </c>
      <c r="R29" s="778"/>
      <c r="S29" s="778"/>
      <c r="T29" s="778"/>
      <c r="U29" s="2106" t="s">
        <v>31</v>
      </c>
      <c r="V29" s="2107"/>
      <c r="W29" s="778">
        <v>30.5</v>
      </c>
      <c r="X29" s="1223">
        <v>34.299999999999997</v>
      </c>
      <c r="Y29" s="542">
        <v>27.9</v>
      </c>
      <c r="Z29" s="779"/>
      <c r="AA29" s="779">
        <v>37</v>
      </c>
      <c r="AB29" s="34">
        <v>33</v>
      </c>
      <c r="AC29" s="779">
        <v>34</v>
      </c>
      <c r="AD29" s="34">
        <v>29</v>
      </c>
      <c r="AE29" s="1248"/>
      <c r="AF29" s="854"/>
    </row>
    <row r="30" spans="1:42" x14ac:dyDescent="0.2">
      <c r="A30" s="1232">
        <v>4</v>
      </c>
      <c r="B30" s="1926">
        <v>22</v>
      </c>
      <c r="C30" s="1926">
        <v>17</v>
      </c>
      <c r="D30" s="1926">
        <v>14</v>
      </c>
      <c r="E30" s="1930">
        <v>6.8</v>
      </c>
      <c r="F30" s="1926">
        <v>5</v>
      </c>
      <c r="G30" s="1931">
        <v>3</v>
      </c>
      <c r="H30" s="1926">
        <v>3.1</v>
      </c>
      <c r="I30" s="1932">
        <v>1.3</v>
      </c>
      <c r="J30" s="1927">
        <v>0.8</v>
      </c>
      <c r="K30" s="34"/>
      <c r="L30" s="1201"/>
      <c r="M30" s="1232"/>
      <c r="N30" s="887" t="s">
        <v>61</v>
      </c>
      <c r="O30" s="778">
        <v>19.7</v>
      </c>
      <c r="P30" s="778"/>
      <c r="Q30" s="778"/>
      <c r="R30" s="778"/>
      <c r="S30" s="778">
        <v>18.5</v>
      </c>
      <c r="T30" s="778"/>
      <c r="U30" s="2106">
        <v>24.2</v>
      </c>
      <c r="V30" s="2107"/>
      <c r="W30" s="778">
        <v>20.3</v>
      </c>
      <c r="X30" s="1223"/>
      <c r="Y30" s="542"/>
      <c r="Z30" s="779">
        <v>21.2</v>
      </c>
      <c r="AA30" s="779"/>
      <c r="AB30" s="34"/>
      <c r="AC30" s="779"/>
      <c r="AD30" s="34"/>
      <c r="AE30" s="1248"/>
    </row>
    <row r="31" spans="1:42" x14ac:dyDescent="0.2">
      <c r="A31" s="1232">
        <v>6</v>
      </c>
      <c r="B31" s="1926">
        <v>23</v>
      </c>
      <c r="C31" s="1926">
        <v>17</v>
      </c>
      <c r="D31" s="1926">
        <v>15</v>
      </c>
      <c r="E31" s="1930">
        <v>7</v>
      </c>
      <c r="F31" s="1926">
        <v>5.3</v>
      </c>
      <c r="G31" s="1931">
        <v>2.8</v>
      </c>
      <c r="H31" s="1926">
        <v>3.4</v>
      </c>
      <c r="I31" s="1932">
        <v>1.5</v>
      </c>
      <c r="J31" s="1927">
        <v>0.8</v>
      </c>
      <c r="K31" s="34"/>
      <c r="L31" s="1201"/>
      <c r="M31" s="1232"/>
      <c r="N31" s="887" t="s">
        <v>3</v>
      </c>
      <c r="O31" s="778">
        <v>8.1</v>
      </c>
      <c r="P31" s="887"/>
      <c r="Q31" s="887"/>
      <c r="R31" s="887"/>
      <c r="S31" s="778"/>
      <c r="T31" s="778"/>
      <c r="U31" s="2106">
        <v>10.199999999999999</v>
      </c>
      <c r="V31" s="2107"/>
      <c r="W31" s="778">
        <v>10.199999999999999</v>
      </c>
      <c r="X31" s="1223">
        <v>9.8000000000000007</v>
      </c>
      <c r="Y31" s="542"/>
      <c r="Z31" s="779"/>
      <c r="AA31" s="779">
        <v>10</v>
      </c>
      <c r="AB31" s="34">
        <v>10</v>
      </c>
      <c r="AC31" s="1261"/>
      <c r="AD31" s="40"/>
      <c r="AE31" s="1263"/>
    </row>
    <row r="32" spans="1:42" x14ac:dyDescent="0.2">
      <c r="A32" s="1232">
        <v>10</v>
      </c>
      <c r="B32" s="1926">
        <v>25</v>
      </c>
      <c r="C32" s="1926">
        <v>18</v>
      </c>
      <c r="D32" s="1926">
        <v>15</v>
      </c>
      <c r="E32" s="1930">
        <v>7.1</v>
      </c>
      <c r="F32" s="1926">
        <v>5.4</v>
      </c>
      <c r="G32" s="1931">
        <v>4.7</v>
      </c>
      <c r="H32" s="1926">
        <v>3.8</v>
      </c>
      <c r="I32" s="1932">
        <v>1.6</v>
      </c>
      <c r="J32" s="1927">
        <v>1.4</v>
      </c>
      <c r="K32" s="599"/>
      <c r="L32" s="1201"/>
      <c r="M32" s="1232"/>
      <c r="N32" s="887" t="s">
        <v>22</v>
      </c>
      <c r="O32" s="778">
        <v>4.9000000000000004</v>
      </c>
      <c r="P32" s="887"/>
      <c r="Q32" s="778">
        <v>5.0999999999999996</v>
      </c>
      <c r="R32" s="778"/>
      <c r="S32" s="778"/>
      <c r="T32" s="778"/>
      <c r="U32" s="779"/>
      <c r="V32" s="1000"/>
      <c r="W32" s="778"/>
      <c r="X32" s="1223">
        <v>5.5</v>
      </c>
      <c r="Y32" s="542"/>
      <c r="Z32" s="779"/>
      <c r="AA32" s="779">
        <v>5.7</v>
      </c>
      <c r="AB32" s="34">
        <v>5.7</v>
      </c>
      <c r="AC32" s="1261"/>
      <c r="AD32" s="40"/>
      <c r="AE32" s="1263"/>
      <c r="AH32" s="738"/>
      <c r="AI32" s="1288"/>
    </row>
    <row r="33" spans="1:35" x14ac:dyDescent="0.2">
      <c r="A33" s="1232">
        <v>15</v>
      </c>
      <c r="B33" s="1926">
        <v>26</v>
      </c>
      <c r="C33" s="1926">
        <v>18</v>
      </c>
      <c r="D33" s="1926">
        <v>15</v>
      </c>
      <c r="E33" s="1930">
        <v>7.4</v>
      </c>
      <c r="F33" s="1926">
        <v>5.9</v>
      </c>
      <c r="G33" s="1931">
        <v>5.0999999999999996</v>
      </c>
      <c r="H33" s="1926">
        <v>4.0999999999999996</v>
      </c>
      <c r="I33" s="1932">
        <v>2.1</v>
      </c>
      <c r="J33" s="1927">
        <v>1.8</v>
      </c>
      <c r="K33" s="599"/>
      <c r="L33" s="1201"/>
      <c r="M33" s="1256" t="s">
        <v>189</v>
      </c>
      <c r="N33" s="798" t="s">
        <v>2</v>
      </c>
      <c r="O33" s="754"/>
      <c r="P33" s="798"/>
      <c r="Q33" s="798"/>
      <c r="R33" s="1278"/>
      <c r="S33" s="754"/>
      <c r="T33" s="754"/>
      <c r="U33" s="994">
        <v>36</v>
      </c>
      <c r="V33" s="1068">
        <v>36</v>
      </c>
      <c r="W33" s="754">
        <v>35.6</v>
      </c>
      <c r="X33" s="793"/>
      <c r="Y33" s="1013"/>
      <c r="Z33" s="994"/>
      <c r="AA33" s="799"/>
      <c r="AB33" s="1219"/>
      <c r="AC33" s="799"/>
      <c r="AD33" s="1258"/>
      <c r="AE33" s="1263"/>
      <c r="AH33" s="738"/>
      <c r="AI33" s="1288"/>
    </row>
    <row r="34" spans="1:35" x14ac:dyDescent="0.2">
      <c r="A34" s="1232">
        <v>16</v>
      </c>
      <c r="B34" s="1926"/>
      <c r="C34" s="1926"/>
      <c r="D34" s="1926"/>
      <c r="E34" s="1930"/>
      <c r="F34" s="1926"/>
      <c r="G34" s="1931"/>
      <c r="H34" s="1926"/>
      <c r="I34" s="1932"/>
      <c r="J34" s="1927"/>
      <c r="K34" s="599"/>
      <c r="L34" s="1201"/>
      <c r="M34" s="1232"/>
      <c r="N34" s="887" t="s">
        <v>61</v>
      </c>
      <c r="O34" s="778"/>
      <c r="P34" s="887"/>
      <c r="Q34" s="887"/>
      <c r="R34" s="887"/>
      <c r="S34" s="778"/>
      <c r="T34" s="778"/>
      <c r="U34" s="2106">
        <v>23.6</v>
      </c>
      <c r="V34" s="2107"/>
      <c r="W34" s="778">
        <v>23.7</v>
      </c>
      <c r="X34" s="1223"/>
      <c r="Y34" s="542"/>
      <c r="Z34" s="779"/>
      <c r="AA34" s="779"/>
      <c r="AB34" s="34"/>
      <c r="AC34" s="1261"/>
      <c r="AD34" s="40"/>
      <c r="AE34" s="1263"/>
      <c r="AH34" s="738"/>
      <c r="AI34" s="1288"/>
    </row>
    <row r="35" spans="1:35" x14ac:dyDescent="0.2">
      <c r="A35" s="1272">
        <v>18</v>
      </c>
      <c r="B35" s="1926">
        <v>27</v>
      </c>
      <c r="C35" s="1926">
        <v>19</v>
      </c>
      <c r="D35" s="1926">
        <v>15</v>
      </c>
      <c r="E35" s="1930">
        <v>7.6</v>
      </c>
      <c r="F35" s="1926">
        <v>6.1</v>
      </c>
      <c r="G35" s="1931">
        <v>5.3</v>
      </c>
      <c r="H35" s="1926">
        <v>4.3</v>
      </c>
      <c r="I35" s="1932">
        <v>2.2000000000000002</v>
      </c>
      <c r="J35" s="1927">
        <v>1.9</v>
      </c>
      <c r="K35" s="599"/>
      <c r="L35" s="1201"/>
      <c r="M35" s="1232"/>
      <c r="N35" s="887" t="s">
        <v>3</v>
      </c>
      <c r="O35" s="778"/>
      <c r="P35" s="887"/>
      <c r="Q35" s="887"/>
      <c r="R35" s="887"/>
      <c r="S35" s="778"/>
      <c r="T35" s="778"/>
      <c r="U35" s="2106">
        <v>10.199999999999999</v>
      </c>
      <c r="V35" s="2107"/>
      <c r="W35" s="778">
        <v>10.7</v>
      </c>
      <c r="X35" s="1223"/>
      <c r="Y35" s="542"/>
      <c r="Z35" s="779"/>
      <c r="AA35" s="779"/>
      <c r="AB35" s="34"/>
      <c r="AC35" s="1261"/>
      <c r="AD35" s="40"/>
      <c r="AE35" s="1263"/>
      <c r="AH35" s="738"/>
      <c r="AI35" s="1288"/>
    </row>
    <row r="36" spans="1:35" x14ac:dyDescent="0.2">
      <c r="A36" s="1232">
        <v>20</v>
      </c>
      <c r="B36" s="1926">
        <v>27</v>
      </c>
      <c r="C36" s="1926">
        <v>19</v>
      </c>
      <c r="D36" s="1926">
        <v>15</v>
      </c>
      <c r="E36" s="1930">
        <v>7.8</v>
      </c>
      <c r="F36" s="1926">
        <v>6.1</v>
      </c>
      <c r="G36" s="1931">
        <v>5.3</v>
      </c>
      <c r="H36" s="1926">
        <v>4.5</v>
      </c>
      <c r="I36" s="1932">
        <v>2.2000000000000002</v>
      </c>
      <c r="J36" s="1927">
        <v>1.9</v>
      </c>
      <c r="K36" s="599"/>
      <c r="L36" s="1201"/>
      <c r="M36" s="1265"/>
      <c r="N36" s="1252" t="s">
        <v>22</v>
      </c>
      <c r="O36" s="755"/>
      <c r="P36" s="1252"/>
      <c r="Q36" s="1252"/>
      <c r="R36" s="1285"/>
      <c r="S36" s="755"/>
      <c r="T36" s="755"/>
      <c r="U36" s="783"/>
      <c r="V36" s="803"/>
      <c r="W36" s="755"/>
      <c r="X36" s="752"/>
      <c r="Y36" s="1210"/>
      <c r="Z36" s="783"/>
      <c r="AA36" s="783"/>
      <c r="AB36" s="804"/>
      <c r="AC36" s="1267"/>
      <c r="AD36" s="776"/>
      <c r="AE36" s="1263"/>
      <c r="AH36" s="738"/>
      <c r="AI36" s="1288"/>
    </row>
    <row r="37" spans="1:35" x14ac:dyDescent="0.2">
      <c r="A37" s="1232">
        <v>25</v>
      </c>
      <c r="B37" s="1926"/>
      <c r="C37" s="1926"/>
      <c r="D37" s="1926"/>
      <c r="E37" s="1930"/>
      <c r="F37" s="1926"/>
      <c r="G37" s="1931"/>
      <c r="H37" s="1926">
        <v>4.8</v>
      </c>
      <c r="I37" s="1932">
        <v>2.2000000000000002</v>
      </c>
      <c r="J37" s="1927">
        <v>1.9</v>
      </c>
      <c r="K37" s="34"/>
      <c r="L37" s="1201"/>
      <c r="M37" s="1256">
        <v>10</v>
      </c>
      <c r="N37" s="798" t="s">
        <v>2</v>
      </c>
      <c r="O37" s="798"/>
      <c r="P37" s="754">
        <v>38</v>
      </c>
      <c r="Q37" s="754">
        <v>38</v>
      </c>
      <c r="R37" s="1236"/>
      <c r="S37" s="754">
        <v>36</v>
      </c>
      <c r="T37" s="754">
        <v>38.6</v>
      </c>
      <c r="U37" s="2051" t="s">
        <v>31</v>
      </c>
      <c r="V37" s="2053"/>
      <c r="W37" s="754">
        <v>35.6</v>
      </c>
      <c r="X37" s="793">
        <v>38.9</v>
      </c>
      <c r="Y37" s="1013">
        <v>30.5</v>
      </c>
      <c r="Z37" s="994"/>
      <c r="AA37" s="994">
        <v>41</v>
      </c>
      <c r="AB37" s="800">
        <v>37</v>
      </c>
      <c r="AC37" s="1013">
        <v>35</v>
      </c>
      <c r="AD37" s="1289">
        <v>31</v>
      </c>
      <c r="AE37" s="1290"/>
      <c r="AG37" s="738"/>
      <c r="AH37" s="1288"/>
    </row>
    <row r="38" spans="1:35" ht="15" customHeight="1" x14ac:dyDescent="0.2">
      <c r="A38" s="1232" t="s">
        <v>189</v>
      </c>
      <c r="B38" s="1926">
        <v>22</v>
      </c>
      <c r="C38" s="1926">
        <v>17</v>
      </c>
      <c r="D38" s="1926">
        <v>16</v>
      </c>
      <c r="E38" s="1930">
        <v>7</v>
      </c>
      <c r="F38" s="1926">
        <v>5.3</v>
      </c>
      <c r="G38" s="1931">
        <v>2.8</v>
      </c>
      <c r="H38" s="1926">
        <v>3.4</v>
      </c>
      <c r="I38" s="1932">
        <v>1.5</v>
      </c>
      <c r="J38" s="1927">
        <v>0.8</v>
      </c>
      <c r="K38" s="34"/>
      <c r="L38" s="1201"/>
      <c r="M38" s="1232"/>
      <c r="N38" s="887" t="s">
        <v>61</v>
      </c>
      <c r="O38" s="887"/>
      <c r="P38" s="778"/>
      <c r="Q38" s="778"/>
      <c r="R38" s="778"/>
      <c r="S38" s="778">
        <v>24</v>
      </c>
      <c r="T38" s="778"/>
      <c r="U38" s="2106">
        <v>26.9</v>
      </c>
      <c r="V38" s="2107"/>
      <c r="W38" s="778">
        <v>23.7</v>
      </c>
      <c r="X38" s="1223"/>
      <c r="Y38" s="542"/>
      <c r="Z38" s="779">
        <v>23.5</v>
      </c>
      <c r="AA38" s="779"/>
      <c r="AB38" s="34"/>
      <c r="AC38" s="542"/>
      <c r="AD38" s="541"/>
      <c r="AE38" s="1290"/>
    </row>
    <row r="39" spans="1:35" x14ac:dyDescent="0.2">
      <c r="A39" s="1232" t="s">
        <v>278</v>
      </c>
      <c r="B39" s="1926">
        <v>24</v>
      </c>
      <c r="C39" s="1926">
        <v>17</v>
      </c>
      <c r="D39" s="1926">
        <v>16</v>
      </c>
      <c r="E39" s="1930">
        <v>7.4</v>
      </c>
      <c r="F39" s="1926">
        <v>5.9</v>
      </c>
      <c r="G39" s="1931">
        <v>5.0999999999999996</v>
      </c>
      <c r="H39" s="1926">
        <v>4.0999999999999996</v>
      </c>
      <c r="I39" s="1932">
        <v>2.1</v>
      </c>
      <c r="J39" s="1927">
        <v>1.8</v>
      </c>
      <c r="K39" s="34"/>
      <c r="L39" s="1201"/>
      <c r="M39" s="1232"/>
      <c r="N39" s="887" t="s">
        <v>3</v>
      </c>
      <c r="O39" s="887"/>
      <c r="P39" s="778">
        <v>10</v>
      </c>
      <c r="Q39" s="887"/>
      <c r="R39" s="887"/>
      <c r="S39" s="887"/>
      <c r="T39" s="778">
        <v>11.3</v>
      </c>
      <c r="U39" s="2106">
        <v>10.199999999999999</v>
      </c>
      <c r="V39" s="2107"/>
      <c r="W39" s="778">
        <v>10.7</v>
      </c>
      <c r="X39" s="1223">
        <v>10.5</v>
      </c>
      <c r="Y39" s="542"/>
      <c r="Z39" s="779"/>
      <c r="AA39" s="779">
        <v>11</v>
      </c>
      <c r="AB39" s="34">
        <v>11</v>
      </c>
      <c r="AC39" s="542"/>
      <c r="AD39" s="541"/>
      <c r="AE39" s="1290"/>
    </row>
    <row r="40" spans="1:35" x14ac:dyDescent="0.2">
      <c r="A40" s="1265" t="s">
        <v>188</v>
      </c>
      <c r="B40" s="1928">
        <v>20</v>
      </c>
      <c r="C40" s="1928">
        <v>16</v>
      </c>
      <c r="D40" s="1928">
        <v>16</v>
      </c>
      <c r="E40" s="1933">
        <v>6.8</v>
      </c>
      <c r="F40" s="1928">
        <v>5</v>
      </c>
      <c r="G40" s="1934">
        <v>3</v>
      </c>
      <c r="H40" s="1928">
        <v>3.1</v>
      </c>
      <c r="I40" s="1935">
        <v>1.3</v>
      </c>
      <c r="J40" s="1929">
        <v>0.8</v>
      </c>
      <c r="K40" s="34"/>
      <c r="L40" s="1201"/>
      <c r="M40" s="1265"/>
      <c r="N40" s="1252" t="s">
        <v>22</v>
      </c>
      <c r="O40" s="1252"/>
      <c r="P40" s="1252"/>
      <c r="Q40" s="1252"/>
      <c r="R40" s="1285"/>
      <c r="S40" s="1252"/>
      <c r="T40" s="755">
        <v>5.5</v>
      </c>
      <c r="U40" s="783"/>
      <c r="V40" s="803"/>
      <c r="W40" s="755"/>
      <c r="X40" s="752">
        <v>5.6</v>
      </c>
      <c r="Y40" s="1210"/>
      <c r="Z40" s="783"/>
      <c r="AA40" s="783">
        <v>5.7</v>
      </c>
      <c r="AB40" s="804">
        <v>5.7</v>
      </c>
      <c r="AC40" s="1267"/>
      <c r="AD40" s="776"/>
      <c r="AE40" s="1263"/>
    </row>
    <row r="41" spans="1:35" x14ac:dyDescent="0.2">
      <c r="A41" s="856"/>
      <c r="B41" s="599"/>
      <c r="C41" s="599"/>
      <c r="D41" s="599"/>
      <c r="E41" s="599"/>
      <c r="F41" s="599"/>
      <c r="G41" s="599"/>
      <c r="H41" s="599"/>
      <c r="I41" s="599"/>
      <c r="J41" s="1291"/>
      <c r="K41" s="34"/>
      <c r="L41" s="1201"/>
      <c r="M41" s="1232">
        <v>15</v>
      </c>
      <c r="N41" s="798" t="s">
        <v>2</v>
      </c>
      <c r="O41" s="887"/>
      <c r="P41" s="887"/>
      <c r="Q41" s="887"/>
      <c r="R41" s="887"/>
      <c r="S41" s="887"/>
      <c r="T41" s="887"/>
      <c r="U41" s="2051" t="s">
        <v>31</v>
      </c>
      <c r="V41" s="2053"/>
      <c r="W41" s="778">
        <v>38.1</v>
      </c>
      <c r="X41" s="1223">
        <v>43.2</v>
      </c>
      <c r="Y41" s="542">
        <v>33</v>
      </c>
      <c r="Z41" s="1261"/>
      <c r="AA41" s="779">
        <v>44</v>
      </c>
      <c r="AB41" s="34">
        <v>41</v>
      </c>
      <c r="AC41" s="542">
        <v>36</v>
      </c>
      <c r="AD41" s="541">
        <v>33</v>
      </c>
      <c r="AE41" s="1290"/>
    </row>
    <row r="42" spans="1:35" ht="15" x14ac:dyDescent="0.25">
      <c r="A42" s="1206" t="s">
        <v>145</v>
      </c>
      <c r="B42" s="599"/>
      <c r="C42" s="599"/>
      <c r="D42" s="599"/>
      <c r="E42" s="599"/>
      <c r="F42" s="599"/>
      <c r="G42" s="599"/>
      <c r="H42" s="599"/>
      <c r="I42" s="599"/>
      <c r="J42" s="1291"/>
      <c r="K42" s="34"/>
      <c r="M42" s="1232"/>
      <c r="N42" s="887" t="s">
        <v>61</v>
      </c>
      <c r="O42" s="887"/>
      <c r="P42" s="887"/>
      <c r="Q42" s="887"/>
      <c r="R42" s="887"/>
      <c r="S42" s="778">
        <v>26.3</v>
      </c>
      <c r="T42" s="887"/>
      <c r="U42" s="2106">
        <v>29.5</v>
      </c>
      <c r="V42" s="2107"/>
      <c r="W42" s="778">
        <v>25.3</v>
      </c>
      <c r="X42" s="1223"/>
      <c r="Y42" s="542"/>
      <c r="Z42" s="779">
        <v>24.5</v>
      </c>
      <c r="AA42" s="779"/>
      <c r="AB42" s="34"/>
      <c r="AC42" s="542"/>
      <c r="AD42" s="541"/>
      <c r="AE42" s="1290"/>
    </row>
    <row r="43" spans="1:35" x14ac:dyDescent="0.2">
      <c r="A43" s="799"/>
      <c r="B43" s="1067" t="s">
        <v>33</v>
      </c>
      <c r="C43" s="800"/>
      <c r="D43" s="800"/>
      <c r="E43" s="1068"/>
      <c r="F43" s="34"/>
      <c r="G43" s="34"/>
      <c r="H43" s="34"/>
      <c r="I43" s="34"/>
      <c r="J43" s="1292"/>
      <c r="K43" s="34"/>
      <c r="M43" s="1232"/>
      <c r="N43" s="887" t="s">
        <v>3</v>
      </c>
      <c r="O43" s="887"/>
      <c r="P43" s="887"/>
      <c r="Q43" s="887"/>
      <c r="R43" s="887"/>
      <c r="S43" s="887"/>
      <c r="T43" s="887"/>
      <c r="U43" s="2106">
        <v>10.7</v>
      </c>
      <c r="V43" s="2107"/>
      <c r="W43" s="778">
        <v>10.7</v>
      </c>
      <c r="X43" s="1223">
        <v>10.8</v>
      </c>
      <c r="Y43" s="542"/>
      <c r="Z43" s="1261"/>
      <c r="AA43" s="779">
        <v>11</v>
      </c>
      <c r="AB43" s="34">
        <v>11</v>
      </c>
      <c r="AC43" s="542"/>
      <c r="AD43" s="541"/>
      <c r="AE43" s="1290"/>
    </row>
    <row r="44" spans="1:35" x14ac:dyDescent="0.2">
      <c r="A44" s="1261" t="s">
        <v>55</v>
      </c>
      <c r="B44" s="754" t="s">
        <v>2</v>
      </c>
      <c r="C44" s="754" t="s">
        <v>3</v>
      </c>
      <c r="D44" s="754" t="s">
        <v>22</v>
      </c>
      <c r="E44" s="754" t="s">
        <v>39</v>
      </c>
      <c r="F44" s="34"/>
      <c r="G44" s="34"/>
      <c r="H44" s="34"/>
      <c r="I44" s="34"/>
      <c r="J44" s="1292"/>
      <c r="K44" s="34"/>
      <c r="M44" s="1232"/>
      <c r="N44" s="887" t="s">
        <v>22</v>
      </c>
      <c r="O44" s="887"/>
      <c r="P44" s="887"/>
      <c r="Q44" s="887"/>
      <c r="R44" s="887"/>
      <c r="S44" s="887"/>
      <c r="T44" s="887"/>
      <c r="U44" s="1261"/>
      <c r="V44" s="1222"/>
      <c r="W44" s="887"/>
      <c r="X44" s="1223">
        <v>5.7</v>
      </c>
      <c r="Y44" s="542"/>
      <c r="Z44" s="1261"/>
      <c r="AA44" s="779">
        <v>5.7</v>
      </c>
      <c r="AB44" s="34">
        <v>5.7</v>
      </c>
      <c r="AC44" s="542"/>
      <c r="AD44" s="541"/>
      <c r="AE44" s="1290"/>
    </row>
    <row r="45" spans="1:35" ht="15" x14ac:dyDescent="0.25">
      <c r="A45" s="781">
        <v>0.1</v>
      </c>
      <c r="B45" s="1936">
        <v>16.100000000000001</v>
      </c>
      <c r="C45" s="1936">
        <v>37</v>
      </c>
      <c r="D45" s="1936">
        <v>37</v>
      </c>
      <c r="E45" s="1936">
        <v>4.5</v>
      </c>
      <c r="F45" s="34"/>
      <c r="G45" s="34"/>
      <c r="H45" s="34"/>
      <c r="I45" s="34"/>
      <c r="J45" s="1292"/>
      <c r="M45" s="1256">
        <v>16</v>
      </c>
      <c r="N45" s="798" t="s">
        <v>2</v>
      </c>
      <c r="O45" s="798"/>
      <c r="P45" s="754">
        <v>43</v>
      </c>
      <c r="Q45" s="754">
        <v>44</v>
      </c>
      <c r="R45" s="1236"/>
      <c r="S45" s="754">
        <v>42</v>
      </c>
      <c r="T45" s="1293"/>
      <c r="U45" s="1294"/>
      <c r="V45" s="1295"/>
      <c r="W45" s="1293"/>
      <c r="X45" s="793"/>
      <c r="Y45" s="1013"/>
      <c r="Z45" s="1294"/>
      <c r="AA45" s="1294"/>
      <c r="AB45" s="1296"/>
      <c r="AC45" s="1013"/>
      <c r="AD45" s="1289"/>
      <c r="AE45" s="1290"/>
    </row>
    <row r="46" spans="1:35" ht="15" x14ac:dyDescent="0.25">
      <c r="A46" s="781"/>
      <c r="B46" s="1297" t="s">
        <v>93</v>
      </c>
      <c r="C46" s="759"/>
      <c r="D46" s="759"/>
      <c r="E46" s="759"/>
      <c r="F46" s="34"/>
      <c r="G46" s="34"/>
      <c r="H46" s="34"/>
      <c r="I46" s="34"/>
      <c r="J46" s="1292"/>
      <c r="L46" s="1201"/>
      <c r="M46" s="1232"/>
      <c r="N46" s="887" t="s">
        <v>61</v>
      </c>
      <c r="O46" s="887"/>
      <c r="P46" s="778"/>
      <c r="Q46" s="778"/>
      <c r="R46" s="778"/>
      <c r="S46" s="778">
        <v>26.6</v>
      </c>
      <c r="T46" s="1298"/>
      <c r="U46" s="1299"/>
      <c r="V46" s="1300"/>
      <c r="W46" s="1298"/>
      <c r="X46" s="1223"/>
      <c r="Y46" s="542"/>
      <c r="Z46" s="1299"/>
      <c r="AA46" s="1299"/>
      <c r="AB46" s="1197"/>
      <c r="AC46" s="542"/>
      <c r="AD46" s="541"/>
      <c r="AE46" s="1290"/>
    </row>
    <row r="47" spans="1:35" ht="15" x14ac:dyDescent="0.25">
      <c r="A47" s="2114">
        <v>3.6</v>
      </c>
      <c r="B47" s="2119">
        <v>35</v>
      </c>
      <c r="C47" s="2119">
        <v>13.5</v>
      </c>
      <c r="D47" s="1937">
        <v>6.1</v>
      </c>
      <c r="E47" s="1301"/>
      <c r="F47" s="40" t="s">
        <v>575</v>
      </c>
      <c r="G47" s="34"/>
      <c r="H47" s="34"/>
      <c r="I47" s="34"/>
      <c r="J47" s="1292"/>
      <c r="L47" s="1302"/>
      <c r="M47" s="1232"/>
      <c r="N47" s="887" t="s">
        <v>3</v>
      </c>
      <c r="O47" s="887"/>
      <c r="P47" s="778"/>
      <c r="Q47" s="778"/>
      <c r="R47" s="778"/>
      <c r="S47" s="778"/>
      <c r="T47" s="1298"/>
      <c r="U47" s="1299"/>
      <c r="V47" s="1300"/>
      <c r="W47" s="1298"/>
      <c r="X47" s="1223"/>
      <c r="Y47" s="542"/>
      <c r="Z47" s="1299"/>
      <c r="AA47" s="1299"/>
      <c r="AB47" s="1197"/>
      <c r="AC47" s="542"/>
      <c r="AD47" s="541"/>
      <c r="AE47" s="1290"/>
    </row>
    <row r="48" spans="1:35" ht="15.75" thickBot="1" x14ac:dyDescent="0.3">
      <c r="A48" s="2115"/>
      <c r="B48" s="2120"/>
      <c r="C48" s="2120"/>
      <c r="D48" s="1938">
        <v>0.6</v>
      </c>
      <c r="E48" s="1303"/>
      <c r="F48" s="40" t="s">
        <v>576</v>
      </c>
      <c r="G48" s="34"/>
      <c r="H48" s="34"/>
      <c r="I48" s="34"/>
      <c r="J48" s="1304"/>
      <c r="L48" s="1302"/>
      <c r="M48" s="1265"/>
      <c r="N48" s="1252" t="s">
        <v>22</v>
      </c>
      <c r="O48" s="1252"/>
      <c r="P48" s="755"/>
      <c r="Q48" s="755"/>
      <c r="R48" s="1266"/>
      <c r="S48" s="755"/>
      <c r="T48" s="1305"/>
      <c r="U48" s="1306"/>
      <c r="V48" s="1307"/>
      <c r="W48" s="1305"/>
      <c r="X48" s="752"/>
      <c r="Y48" s="1210"/>
      <c r="Z48" s="1306"/>
      <c r="AA48" s="1306"/>
      <c r="AB48" s="1308"/>
      <c r="AC48" s="1210"/>
      <c r="AD48" s="536"/>
      <c r="AE48" s="1290"/>
    </row>
    <row r="49" spans="1:59" ht="15" thickBot="1" x14ac:dyDescent="0.25">
      <c r="A49" s="1100"/>
      <c r="B49" s="1309"/>
      <c r="C49" s="1309"/>
      <c r="D49" s="1309"/>
      <c r="E49" s="1309"/>
      <c r="F49" s="1309"/>
      <c r="G49" s="1309"/>
      <c r="H49" s="1309"/>
      <c r="I49" s="1309"/>
      <c r="J49" s="34"/>
      <c r="L49" s="1302"/>
      <c r="M49" s="1256" t="s">
        <v>278</v>
      </c>
      <c r="N49" s="887" t="s">
        <v>2</v>
      </c>
      <c r="O49" s="887"/>
      <c r="P49" s="778"/>
      <c r="Q49" s="778"/>
      <c r="R49" s="778"/>
      <c r="S49" s="778"/>
      <c r="T49" s="778"/>
      <c r="U49" s="779">
        <v>39</v>
      </c>
      <c r="V49" s="1000">
        <v>40</v>
      </c>
      <c r="W49" s="778"/>
      <c r="X49" s="1223"/>
      <c r="Y49" s="542"/>
      <c r="Z49" s="779"/>
      <c r="AA49" s="779"/>
      <c r="AB49" s="34"/>
      <c r="AC49" s="542"/>
      <c r="AD49" s="541"/>
      <c r="AE49" s="1290"/>
    </row>
    <row r="50" spans="1:59" ht="18" x14ac:dyDescent="0.25">
      <c r="A50" s="1310" t="s">
        <v>91</v>
      </c>
      <c r="B50" s="599"/>
      <c r="C50" s="599"/>
      <c r="D50" s="599"/>
      <c r="E50" s="599"/>
      <c r="F50" s="599"/>
      <c r="G50" s="599"/>
      <c r="H50" s="599"/>
      <c r="I50" s="599"/>
      <c r="J50" s="1311"/>
      <c r="M50" s="1272"/>
      <c r="N50" s="887" t="s">
        <v>61</v>
      </c>
      <c r="O50" s="887"/>
      <c r="P50" s="778"/>
      <c r="Q50" s="778"/>
      <c r="R50" s="778"/>
      <c r="S50" s="778"/>
      <c r="T50" s="778"/>
      <c r="U50" s="779"/>
      <c r="V50" s="1000"/>
      <c r="W50" s="778"/>
      <c r="X50" s="1223"/>
      <c r="Y50" s="542"/>
      <c r="Z50" s="779"/>
      <c r="AA50" s="779"/>
      <c r="AB50" s="34"/>
      <c r="AC50" s="542"/>
      <c r="AD50" s="541"/>
      <c r="AE50" s="1290"/>
    </row>
    <row r="51" spans="1:59" x14ac:dyDescent="0.2">
      <c r="A51" s="1312" t="s">
        <v>213</v>
      </c>
      <c r="B51" s="994" t="s">
        <v>2</v>
      </c>
      <c r="C51" s="800" t="s">
        <v>3</v>
      </c>
      <c r="D51" s="1068" t="s">
        <v>22</v>
      </c>
      <c r="E51" s="599"/>
      <c r="F51" s="599"/>
      <c r="G51" s="599"/>
      <c r="H51" s="599"/>
      <c r="I51" s="34"/>
      <c r="J51" s="1292"/>
      <c r="M51" s="1232"/>
      <c r="N51" s="887" t="s">
        <v>3</v>
      </c>
      <c r="O51" s="887"/>
      <c r="P51" s="778"/>
      <c r="Q51" s="778"/>
      <c r="R51" s="778"/>
      <c r="S51" s="778"/>
      <c r="T51" s="778"/>
      <c r="U51" s="779"/>
      <c r="V51" s="1000"/>
      <c r="W51" s="778"/>
      <c r="X51" s="1223"/>
      <c r="Y51" s="542"/>
      <c r="Z51" s="779"/>
      <c r="AA51" s="779"/>
      <c r="AB51" s="34"/>
      <c r="AC51" s="542"/>
      <c r="AD51" s="541"/>
      <c r="AE51" s="1290"/>
      <c r="AQ51" s="1313"/>
      <c r="AR51" s="40"/>
      <c r="AS51" s="40"/>
      <c r="AT51" s="34"/>
      <c r="AU51" s="34"/>
      <c r="AV51" s="34"/>
      <c r="AW51" s="34"/>
      <c r="AX51" s="34"/>
      <c r="AY51" s="34"/>
      <c r="AZ51" s="34"/>
      <c r="BA51" s="34"/>
      <c r="BB51" s="541"/>
      <c r="BC51" s="541"/>
      <c r="BD51" s="34"/>
      <c r="BE51" s="34"/>
      <c r="BF51" s="541"/>
      <c r="BG51" s="541"/>
    </row>
    <row r="52" spans="1:59" x14ac:dyDescent="0.2">
      <c r="A52" s="1314">
        <v>0</v>
      </c>
      <c r="B52" s="1315">
        <f>10^-100</f>
        <v>1E-100</v>
      </c>
      <c r="C52" s="1315">
        <f>10^-100</f>
        <v>1E-100</v>
      </c>
      <c r="D52" s="1315">
        <f>10^-100</f>
        <v>1E-100</v>
      </c>
      <c r="E52" s="34"/>
      <c r="F52" s="599"/>
      <c r="G52" s="599"/>
      <c r="H52" s="599"/>
      <c r="I52" s="34"/>
      <c r="J52" s="1292"/>
      <c r="M52" s="1232"/>
      <c r="N52" s="887" t="s">
        <v>22</v>
      </c>
      <c r="O52" s="887"/>
      <c r="P52" s="778"/>
      <c r="Q52" s="778"/>
      <c r="R52" s="778"/>
      <c r="S52" s="778"/>
      <c r="T52" s="778"/>
      <c r="U52" s="779"/>
      <c r="V52" s="1000"/>
      <c r="W52" s="778"/>
      <c r="X52" s="1223"/>
      <c r="Y52" s="542"/>
      <c r="Z52" s="779"/>
      <c r="AA52" s="779"/>
      <c r="AB52" s="34"/>
      <c r="AC52" s="542"/>
      <c r="AD52" s="541"/>
      <c r="AE52" s="1290"/>
      <c r="AQ52" s="1313"/>
      <c r="AR52" s="40"/>
      <c r="AS52" s="40"/>
      <c r="AT52" s="34"/>
      <c r="AU52" s="34"/>
      <c r="AV52" s="34"/>
      <c r="AW52" s="34"/>
      <c r="AX52" s="34"/>
      <c r="AY52" s="34"/>
      <c r="AZ52" s="34"/>
      <c r="BA52" s="34"/>
      <c r="BB52" s="541"/>
      <c r="BC52" s="541"/>
      <c r="BD52" s="34"/>
      <c r="BE52" s="34"/>
      <c r="BF52" s="541"/>
      <c r="BG52" s="541"/>
    </row>
    <row r="53" spans="1:59" x14ac:dyDescent="0.2">
      <c r="A53" s="1232">
        <v>50</v>
      </c>
      <c r="B53" s="1939">
        <v>1.7</v>
      </c>
      <c r="C53" s="1931">
        <v>0.16</v>
      </c>
      <c r="D53" s="1940">
        <v>0.02</v>
      </c>
      <c r="E53" s="34"/>
      <c r="F53" s="599"/>
      <c r="G53" s="599"/>
      <c r="H53" s="599"/>
      <c r="I53" s="34"/>
      <c r="J53" s="1292"/>
      <c r="M53" s="1316">
        <v>18</v>
      </c>
      <c r="N53" s="798" t="s">
        <v>2</v>
      </c>
      <c r="O53" s="798"/>
      <c r="P53" s="754"/>
      <c r="Q53" s="754">
        <v>44</v>
      </c>
      <c r="R53" s="1236"/>
      <c r="S53" s="754">
        <v>43</v>
      </c>
      <c r="T53" s="754"/>
      <c r="U53" s="994"/>
      <c r="V53" s="1068"/>
      <c r="W53" s="754"/>
      <c r="X53" s="793">
        <v>44.5</v>
      </c>
      <c r="Y53" s="1013">
        <v>33</v>
      </c>
      <c r="Z53" s="994"/>
      <c r="AA53" s="994">
        <v>45</v>
      </c>
      <c r="AB53" s="800">
        <v>43</v>
      </c>
      <c r="AC53" s="1013">
        <v>36</v>
      </c>
      <c r="AD53" s="1289">
        <v>34</v>
      </c>
      <c r="AE53" s="1290"/>
      <c r="AQ53" s="34"/>
      <c r="AR53" s="40"/>
      <c r="AS53" s="40"/>
      <c r="AT53" s="34"/>
      <c r="AU53" s="34"/>
      <c r="AV53" s="34"/>
      <c r="AW53" s="34"/>
      <c r="AX53" s="34"/>
      <c r="AY53" s="34"/>
      <c r="AZ53" s="34"/>
      <c r="BA53" s="34"/>
      <c r="BB53" s="541"/>
      <c r="BC53" s="541"/>
      <c r="BD53" s="34"/>
      <c r="BE53" s="34"/>
      <c r="BF53" s="541"/>
      <c r="BG53" s="541"/>
    </row>
    <row r="54" spans="1:59" x14ac:dyDescent="0.2">
      <c r="A54" s="1232">
        <v>100</v>
      </c>
      <c r="B54" s="1939">
        <v>6.1</v>
      </c>
      <c r="C54" s="1931">
        <v>0.81</v>
      </c>
      <c r="D54" s="1926">
        <v>0.09</v>
      </c>
      <c r="E54" s="34"/>
      <c r="F54" s="34"/>
      <c r="G54" s="34"/>
      <c r="H54" s="34"/>
      <c r="I54" s="34"/>
      <c r="J54" s="1292"/>
      <c r="M54" s="1272"/>
      <c r="N54" s="887" t="s">
        <v>61</v>
      </c>
      <c r="O54" s="887"/>
      <c r="P54" s="778"/>
      <c r="Q54" s="778"/>
      <c r="R54" s="778"/>
      <c r="S54" s="778">
        <v>27</v>
      </c>
      <c r="T54" s="778"/>
      <c r="U54" s="779"/>
      <c r="V54" s="1000"/>
      <c r="W54" s="778"/>
      <c r="X54" s="1223"/>
      <c r="Y54" s="542"/>
      <c r="Z54" s="779"/>
      <c r="AA54" s="779"/>
      <c r="AB54" s="34"/>
      <c r="AC54" s="542"/>
      <c r="AD54" s="541"/>
      <c r="AE54" s="1290"/>
      <c r="AQ54" s="34"/>
      <c r="AR54" s="40"/>
      <c r="AS54" s="40"/>
      <c r="AT54" s="34"/>
      <c r="AU54" s="34"/>
      <c r="AV54" s="34"/>
      <c r="AW54" s="34"/>
      <c r="AX54" s="34"/>
      <c r="AY54" s="34"/>
      <c r="AZ54" s="34"/>
      <c r="BA54" s="34"/>
      <c r="BB54" s="541"/>
      <c r="BC54" s="541"/>
      <c r="BD54" s="34"/>
      <c r="BE54" s="34"/>
      <c r="BF54" s="541"/>
      <c r="BG54" s="541"/>
    </row>
    <row r="55" spans="1:59" x14ac:dyDescent="0.2">
      <c r="A55" s="778">
        <v>150</v>
      </c>
      <c r="B55" s="1941">
        <v>7.4</v>
      </c>
      <c r="C55" s="1941">
        <v>1.1499999999999999</v>
      </c>
      <c r="D55" s="1941">
        <v>9.9000000000000005E-2</v>
      </c>
      <c r="I55" s="34"/>
      <c r="J55" s="1292"/>
      <c r="M55" s="1232"/>
      <c r="N55" s="887" t="s">
        <v>3</v>
      </c>
      <c r="O55" s="887"/>
      <c r="P55" s="778"/>
      <c r="Q55" s="778"/>
      <c r="R55" s="778"/>
      <c r="S55" s="778">
        <v>11</v>
      </c>
      <c r="T55" s="778"/>
      <c r="U55" s="779"/>
      <c r="V55" s="1000"/>
      <c r="W55" s="778"/>
      <c r="X55" s="1223">
        <v>11.1</v>
      </c>
      <c r="Y55" s="542"/>
      <c r="Z55" s="779"/>
      <c r="AA55" s="779">
        <v>11</v>
      </c>
      <c r="AB55" s="34">
        <v>11</v>
      </c>
      <c r="AC55" s="542"/>
      <c r="AD55" s="541"/>
      <c r="AE55" s="1290"/>
      <c r="AQ55" s="40"/>
      <c r="AR55" s="40"/>
      <c r="AS55" s="40"/>
      <c r="AT55" s="40"/>
      <c r="AU55" s="40"/>
      <c r="AV55" s="40"/>
      <c r="AW55" s="40"/>
      <c r="AX55" s="40"/>
      <c r="AY55" s="40"/>
      <c r="AZ55" s="40"/>
      <c r="BA55" s="40"/>
      <c r="BB55" s="40"/>
      <c r="BC55" s="40"/>
      <c r="BD55" s="40"/>
      <c r="BE55" s="40"/>
      <c r="BF55" s="40"/>
      <c r="BG55" s="40"/>
    </row>
    <row r="56" spans="1:59" x14ac:dyDescent="0.2">
      <c r="A56" s="1232">
        <v>200</v>
      </c>
      <c r="B56" s="1939">
        <v>9.3000000000000007</v>
      </c>
      <c r="C56" s="1931">
        <v>1.78</v>
      </c>
      <c r="D56" s="1926">
        <v>0.17</v>
      </c>
      <c r="E56" s="34"/>
      <c r="F56" s="34"/>
      <c r="G56" s="34"/>
      <c r="H56" s="34"/>
      <c r="I56" s="34"/>
      <c r="J56" s="1292"/>
      <c r="M56" s="1232"/>
      <c r="N56" s="887" t="s">
        <v>22</v>
      </c>
      <c r="O56" s="887"/>
      <c r="P56" s="778"/>
      <c r="Q56" s="778">
        <v>5.6</v>
      </c>
      <c r="R56" s="778"/>
      <c r="S56" s="778">
        <v>6.3</v>
      </c>
      <c r="T56" s="778"/>
      <c r="U56" s="779"/>
      <c r="V56" s="1000"/>
      <c r="W56" s="778"/>
      <c r="X56" s="1223">
        <v>5.6</v>
      </c>
      <c r="Y56" s="542"/>
      <c r="Z56" s="779"/>
      <c r="AA56" s="779">
        <v>5.7</v>
      </c>
      <c r="AB56" s="34">
        <v>5.7</v>
      </c>
      <c r="AC56" s="542"/>
      <c r="AD56" s="541"/>
      <c r="AE56" s="1290"/>
    </row>
    <row r="57" spans="1:59" x14ac:dyDescent="0.2">
      <c r="A57" s="1232">
        <v>250</v>
      </c>
      <c r="B57" s="1939">
        <v>9.8000000000000007</v>
      </c>
      <c r="C57" s="1931">
        <v>2.0099999999999998</v>
      </c>
      <c r="D57" s="1926">
        <v>0.28000000000000003</v>
      </c>
      <c r="E57" s="34"/>
      <c r="F57" s="34"/>
      <c r="G57" s="34"/>
      <c r="H57" s="34"/>
      <c r="I57" s="34"/>
      <c r="J57" s="1292"/>
      <c r="M57" s="1256">
        <v>20</v>
      </c>
      <c r="N57" s="798" t="s">
        <v>2</v>
      </c>
      <c r="O57" s="798"/>
      <c r="P57" s="798"/>
      <c r="Q57" s="798"/>
      <c r="R57" s="1278"/>
      <c r="S57" s="798"/>
      <c r="T57" s="754">
        <v>45.8</v>
      </c>
      <c r="U57" s="994"/>
      <c r="V57" s="1068"/>
      <c r="W57" s="754"/>
      <c r="X57" s="754">
        <v>45.7</v>
      </c>
      <c r="Y57" s="994">
        <v>34.299999999999997</v>
      </c>
      <c r="Z57" s="994"/>
      <c r="AA57" s="994">
        <v>46</v>
      </c>
      <c r="AB57" s="800">
        <v>44</v>
      </c>
      <c r="AC57" s="994">
        <v>36</v>
      </c>
      <c r="AD57" s="1275">
        <v>34</v>
      </c>
      <c r="AE57" s="1248"/>
    </row>
    <row r="58" spans="1:59" x14ac:dyDescent="0.2">
      <c r="A58" s="1265">
        <v>300</v>
      </c>
      <c r="B58" s="1942">
        <v>10.6</v>
      </c>
      <c r="C58" s="1934">
        <v>2.2200000000000002</v>
      </c>
      <c r="D58" s="1928">
        <v>0.46</v>
      </c>
      <c r="E58" s="34"/>
      <c r="F58" s="34"/>
      <c r="G58" s="34"/>
      <c r="H58" s="34"/>
      <c r="I58" s="34"/>
      <c r="J58" s="1292"/>
      <c r="M58" s="1232"/>
      <c r="N58" s="887" t="s">
        <v>61</v>
      </c>
      <c r="O58" s="887"/>
      <c r="P58" s="887"/>
      <c r="Q58" s="887"/>
      <c r="R58" s="887"/>
      <c r="S58" s="778">
        <v>27</v>
      </c>
      <c r="T58" s="778"/>
      <c r="U58" s="779"/>
      <c r="V58" s="1000"/>
      <c r="W58" s="778"/>
      <c r="X58" s="778"/>
      <c r="Y58" s="779"/>
      <c r="Z58" s="779"/>
      <c r="AA58" s="779"/>
      <c r="AB58" s="34"/>
      <c r="AC58" s="779"/>
      <c r="AD58" s="34"/>
      <c r="AE58" s="1248"/>
    </row>
    <row r="59" spans="1:59" ht="15" thickBot="1" x14ac:dyDescent="0.25">
      <c r="A59" s="860"/>
      <c r="B59" s="1317"/>
      <c r="C59" s="1317"/>
      <c r="D59" s="1317"/>
      <c r="E59" s="774"/>
      <c r="F59" s="774"/>
      <c r="G59" s="774"/>
      <c r="H59" s="774"/>
      <c r="I59" s="774"/>
      <c r="J59" s="1292"/>
      <c r="M59" s="1232"/>
      <c r="N59" s="887" t="s">
        <v>3</v>
      </c>
      <c r="O59" s="887"/>
      <c r="P59" s="887"/>
      <c r="Q59" s="887"/>
      <c r="R59" s="887"/>
      <c r="S59" s="887"/>
      <c r="T59" s="778">
        <v>11.3</v>
      </c>
      <c r="U59" s="779"/>
      <c r="V59" s="1000"/>
      <c r="W59" s="778"/>
      <c r="X59" s="778">
        <v>11.1</v>
      </c>
      <c r="Y59" s="779"/>
      <c r="Z59" s="779"/>
      <c r="AA59" s="779">
        <v>11</v>
      </c>
      <c r="AB59" s="34">
        <v>11</v>
      </c>
      <c r="AC59" s="779"/>
      <c r="AD59" s="34"/>
      <c r="AE59" s="1248"/>
    </row>
    <row r="60" spans="1:59" ht="18" x14ac:dyDescent="0.25">
      <c r="A60" s="1202" t="s">
        <v>107</v>
      </c>
      <c r="B60" s="1318"/>
      <c r="C60" s="1318"/>
      <c r="D60" s="1200"/>
      <c r="E60" s="1200"/>
      <c r="F60" s="1200"/>
      <c r="G60" s="1200"/>
      <c r="H60" s="1200"/>
      <c r="I60" s="1200"/>
      <c r="J60" s="1204"/>
      <c r="M60" s="1273"/>
      <c r="N60" s="1252" t="s">
        <v>22</v>
      </c>
      <c r="O60" s="1252"/>
      <c r="P60" s="1319"/>
      <c r="Q60" s="1319"/>
      <c r="R60" s="1320"/>
      <c r="S60" s="1319"/>
      <c r="T60" s="755">
        <v>5.5</v>
      </c>
      <c r="U60" s="783"/>
      <c r="V60" s="803"/>
      <c r="W60" s="755"/>
      <c r="X60" s="755">
        <v>5.5</v>
      </c>
      <c r="Y60" s="783"/>
      <c r="Z60" s="783"/>
      <c r="AA60" s="783">
        <v>5.7</v>
      </c>
      <c r="AB60" s="804">
        <v>5.7</v>
      </c>
      <c r="AC60" s="783"/>
      <c r="AD60" s="804"/>
      <c r="AE60" s="1248"/>
    </row>
    <row r="61" spans="1:59" x14ac:dyDescent="0.2">
      <c r="A61" s="1321" t="s">
        <v>55</v>
      </c>
      <c r="B61" s="994" t="s">
        <v>2</v>
      </c>
      <c r="C61" s="800" t="s">
        <v>3</v>
      </c>
      <c r="D61" s="1068" t="s">
        <v>22</v>
      </c>
      <c r="E61" s="34"/>
      <c r="F61" s="34"/>
      <c r="G61" s="34"/>
      <c r="H61" s="34"/>
      <c r="I61" s="34"/>
      <c r="J61" s="1292"/>
      <c r="M61" s="1256">
        <v>25</v>
      </c>
      <c r="N61" s="798" t="s">
        <v>2</v>
      </c>
      <c r="O61" s="798"/>
      <c r="P61" s="754">
        <v>46</v>
      </c>
      <c r="Q61" s="754">
        <v>47</v>
      </c>
      <c r="R61" s="1236"/>
      <c r="S61" s="754">
        <v>45</v>
      </c>
      <c r="T61" s="754"/>
      <c r="U61" s="994"/>
      <c r="V61" s="1068"/>
      <c r="W61" s="754"/>
      <c r="X61" s="798"/>
      <c r="Y61" s="799"/>
      <c r="Z61" s="994"/>
      <c r="AA61" s="994">
        <v>49</v>
      </c>
      <c r="AB61" s="800">
        <v>46</v>
      </c>
      <c r="AC61" s="994">
        <v>37</v>
      </c>
      <c r="AD61" s="1275">
        <v>35</v>
      </c>
      <c r="AE61" s="1248"/>
    </row>
    <row r="62" spans="1:59" x14ac:dyDescent="0.2">
      <c r="A62" s="1322" t="s">
        <v>19</v>
      </c>
      <c r="B62" s="1936">
        <v>13.5</v>
      </c>
      <c r="C62" s="1936">
        <v>4.3</v>
      </c>
      <c r="D62" s="1936">
        <v>1.9</v>
      </c>
      <c r="E62" s="34"/>
      <c r="F62" s="34"/>
      <c r="G62" s="34"/>
      <c r="H62" s="34"/>
      <c r="I62" s="599"/>
      <c r="J62" s="1291"/>
      <c r="M62" s="1232"/>
      <c r="N62" s="887" t="s">
        <v>61</v>
      </c>
      <c r="O62" s="887"/>
      <c r="P62" s="778"/>
      <c r="Q62" s="778"/>
      <c r="R62" s="778"/>
      <c r="S62" s="778"/>
      <c r="T62" s="778"/>
      <c r="U62" s="779"/>
      <c r="V62" s="1000"/>
      <c r="W62" s="778"/>
      <c r="X62" s="887"/>
      <c r="Y62" s="1261"/>
      <c r="Z62" s="779"/>
      <c r="AA62" s="779"/>
      <c r="AB62" s="34"/>
      <c r="AC62" s="779"/>
      <c r="AD62" s="34"/>
      <c r="AE62" s="1248"/>
    </row>
    <row r="63" spans="1:59" ht="15" thickBot="1" x14ac:dyDescent="0.25">
      <c r="A63" s="1323"/>
      <c r="B63" s="1324"/>
      <c r="C63" s="1324"/>
      <c r="D63" s="774"/>
      <c r="E63" s="774"/>
      <c r="F63" s="774"/>
      <c r="G63" s="774"/>
      <c r="H63" s="774"/>
      <c r="I63" s="1324"/>
      <c r="J63" s="1325"/>
      <c r="M63" s="1232"/>
      <c r="N63" s="887" t="s">
        <v>3</v>
      </c>
      <c r="O63" s="887"/>
      <c r="P63" s="887"/>
      <c r="Q63" s="887"/>
      <c r="R63" s="887"/>
      <c r="S63" s="887"/>
      <c r="T63" s="887"/>
      <c r="U63" s="1261"/>
      <c r="V63" s="1222"/>
      <c r="W63" s="887"/>
      <c r="X63" s="887"/>
      <c r="Y63" s="1261"/>
      <c r="Z63" s="1261"/>
      <c r="AA63" s="779">
        <v>11</v>
      </c>
      <c r="AB63" s="34">
        <v>11</v>
      </c>
      <c r="AC63" s="1261"/>
      <c r="AD63" s="40"/>
      <c r="AE63" s="1263"/>
    </row>
    <row r="64" spans="1:59" x14ac:dyDescent="0.2">
      <c r="A64" s="40"/>
      <c r="B64" s="599"/>
      <c r="C64" s="599"/>
      <c r="D64" s="599"/>
      <c r="E64" s="599"/>
      <c r="F64" s="599"/>
      <c r="G64" s="599"/>
      <c r="H64" s="599"/>
      <c r="I64" s="599"/>
      <c r="J64" s="599"/>
      <c r="M64" s="1265"/>
      <c r="N64" s="1252" t="s">
        <v>22</v>
      </c>
      <c r="O64" s="1252"/>
      <c r="P64" s="1252"/>
      <c r="Q64" s="1252"/>
      <c r="R64" s="1285"/>
      <c r="S64" s="1252"/>
      <c r="T64" s="1252"/>
      <c r="U64" s="1267"/>
      <c r="V64" s="1264"/>
      <c r="W64" s="1252"/>
      <c r="X64" s="1252"/>
      <c r="Y64" s="1267"/>
      <c r="Z64" s="1267"/>
      <c r="AA64" s="783">
        <v>5.7</v>
      </c>
      <c r="AB64" s="804">
        <v>5.7</v>
      </c>
      <c r="AC64" s="1267"/>
      <c r="AD64" s="776"/>
      <c r="AE64" s="1263"/>
    </row>
    <row r="65" spans="1:31" x14ac:dyDescent="0.2">
      <c r="A65" s="40"/>
      <c r="B65" s="34"/>
      <c r="C65" s="34"/>
      <c r="D65" s="34"/>
      <c r="E65" s="34"/>
      <c r="F65" s="34"/>
      <c r="G65" s="34"/>
      <c r="H65" s="34"/>
      <c r="I65" s="34"/>
      <c r="J65" s="34"/>
      <c r="M65" s="1201"/>
      <c r="N65" s="40"/>
      <c r="O65" s="34"/>
      <c r="P65" s="34"/>
      <c r="Q65" s="40"/>
      <c r="R65" s="40"/>
      <c r="S65" s="40" t="s">
        <v>191</v>
      </c>
      <c r="T65" s="40"/>
      <c r="U65" s="40"/>
      <c r="V65" s="40"/>
      <c r="W65" s="40"/>
      <c r="X65" s="40"/>
      <c r="Y65" s="40" t="s">
        <v>195</v>
      </c>
      <c r="Z65" s="40"/>
      <c r="AA65" s="40"/>
      <c r="AB65" s="40"/>
      <c r="AC65" s="40"/>
      <c r="AD65" s="40"/>
      <c r="AE65" s="1198"/>
    </row>
    <row r="66" spans="1:31" x14ac:dyDescent="0.2">
      <c r="M66" s="1201"/>
      <c r="N66" s="40"/>
      <c r="O66" s="34"/>
      <c r="P66" s="34"/>
      <c r="Q66" s="40"/>
      <c r="R66" s="40"/>
      <c r="S66" s="40" t="s">
        <v>95</v>
      </c>
      <c r="T66" s="40"/>
      <c r="U66" s="40"/>
      <c r="V66" s="40"/>
      <c r="W66" s="40"/>
      <c r="X66" s="40"/>
      <c r="Y66" s="40"/>
      <c r="Z66" s="40"/>
      <c r="AA66" s="40"/>
      <c r="AB66" s="40"/>
      <c r="AC66" s="40"/>
      <c r="AD66" s="40"/>
      <c r="AE66" s="1198"/>
    </row>
    <row r="67" spans="1:31" ht="19.5" thickBot="1" x14ac:dyDescent="0.4">
      <c r="M67" s="1326"/>
      <c r="N67" s="773"/>
      <c r="O67" s="773"/>
      <c r="P67" s="773"/>
      <c r="Q67" s="773"/>
      <c r="R67" s="773"/>
      <c r="S67" s="773" t="s">
        <v>112</v>
      </c>
      <c r="T67" s="773"/>
      <c r="U67" s="773"/>
      <c r="V67" s="773"/>
      <c r="W67" s="773"/>
      <c r="X67" s="773"/>
      <c r="Y67" s="773"/>
      <c r="Z67" s="773"/>
      <c r="AA67" s="773"/>
      <c r="AB67" s="773"/>
      <c r="AC67" s="773"/>
      <c r="AD67" s="773"/>
      <c r="AE67" s="1327"/>
    </row>
    <row r="68" spans="1:31" x14ac:dyDescent="0.2">
      <c r="M68" s="853"/>
      <c r="N68" s="40"/>
      <c r="O68" s="40"/>
      <c r="P68" s="40"/>
      <c r="Q68" s="40"/>
      <c r="R68" s="40"/>
      <c r="S68" s="40"/>
      <c r="T68" s="40"/>
      <c r="U68" s="40"/>
      <c r="V68" s="40"/>
      <c r="W68" s="40"/>
      <c r="X68" s="40"/>
      <c r="Y68" s="40"/>
      <c r="Z68" s="40"/>
      <c r="AA68" s="40"/>
      <c r="AB68" s="40"/>
      <c r="AC68" s="40"/>
      <c r="AD68" s="40"/>
    </row>
    <row r="69" spans="1:31" ht="15" thickBot="1" x14ac:dyDescent="0.25">
      <c r="M69" s="853"/>
      <c r="N69" s="40"/>
      <c r="O69" s="40"/>
      <c r="P69" s="40"/>
      <c r="Q69" s="40"/>
      <c r="R69" s="40"/>
      <c r="S69" s="40"/>
      <c r="T69" s="40"/>
    </row>
    <row r="70" spans="1:31" x14ac:dyDescent="0.2">
      <c r="M70" s="847" t="s">
        <v>393</v>
      </c>
      <c r="N70" s="983"/>
      <c r="O70" s="983"/>
      <c r="P70" s="983"/>
      <c r="Q70" s="983"/>
      <c r="R70" s="983"/>
      <c r="S70" s="1196"/>
    </row>
    <row r="71" spans="1:31" x14ac:dyDescent="0.2">
      <c r="M71" s="1328"/>
      <c r="N71" s="1225" t="s">
        <v>2</v>
      </c>
      <c r="O71" s="1226"/>
      <c r="P71" s="1226"/>
      <c r="Q71" s="1226"/>
      <c r="R71" s="1226"/>
      <c r="S71" s="1213"/>
      <c r="T71" s="34"/>
    </row>
    <row r="72" spans="1:31" x14ac:dyDescent="0.2">
      <c r="M72" s="1284" t="s">
        <v>55</v>
      </c>
      <c r="N72" s="2108" t="s">
        <v>390</v>
      </c>
      <c r="O72" s="2109"/>
      <c r="P72" s="1226"/>
      <c r="Q72" s="1226"/>
      <c r="R72" s="1226"/>
      <c r="S72" s="1213"/>
      <c r="T72" s="34"/>
    </row>
    <row r="73" spans="1:31" x14ac:dyDescent="0.2">
      <c r="M73" s="1329"/>
      <c r="N73" s="1282">
        <v>15</v>
      </c>
      <c r="O73" s="1076">
        <v>30</v>
      </c>
      <c r="P73" s="1076">
        <v>45</v>
      </c>
      <c r="Q73" s="1076">
        <v>60</v>
      </c>
      <c r="R73" s="1076">
        <v>90</v>
      </c>
      <c r="S73" s="1330">
        <v>135</v>
      </c>
      <c r="T73" s="34"/>
    </row>
    <row r="74" spans="1:31" x14ac:dyDescent="0.2">
      <c r="M74" s="1232">
        <v>4</v>
      </c>
      <c r="N74" s="899">
        <v>30</v>
      </c>
      <c r="O74" s="501">
        <v>25</v>
      </c>
      <c r="P74" s="1331">
        <v>22</v>
      </c>
      <c r="Q74" s="1331">
        <v>21</v>
      </c>
      <c r="R74" s="1331">
        <v>17</v>
      </c>
      <c r="S74" s="953">
        <v>14</v>
      </c>
      <c r="T74" s="1332"/>
    </row>
    <row r="75" spans="1:31" x14ac:dyDescent="0.2">
      <c r="M75" s="1232">
        <v>6</v>
      </c>
      <c r="N75" s="899">
        <v>34</v>
      </c>
      <c r="O75" s="501">
        <v>26</v>
      </c>
      <c r="P75" s="1331">
        <v>23</v>
      </c>
      <c r="Q75" s="1331">
        <v>21</v>
      </c>
      <c r="R75" s="1331">
        <v>17</v>
      </c>
      <c r="S75" s="953">
        <v>15</v>
      </c>
      <c r="T75" s="1008"/>
    </row>
    <row r="76" spans="1:31" x14ac:dyDescent="0.2">
      <c r="M76" s="1232">
        <v>10</v>
      </c>
      <c r="N76" s="899">
        <v>39</v>
      </c>
      <c r="O76" s="501">
        <v>28</v>
      </c>
      <c r="P76" s="1331">
        <v>25</v>
      </c>
      <c r="Q76" s="1331">
        <v>22</v>
      </c>
      <c r="R76" s="1331">
        <v>18</v>
      </c>
      <c r="S76" s="953">
        <v>15</v>
      </c>
      <c r="T76" s="1008"/>
    </row>
    <row r="77" spans="1:31" x14ac:dyDescent="0.2">
      <c r="M77" s="1232">
        <v>15</v>
      </c>
      <c r="N77" s="899">
        <v>42</v>
      </c>
      <c r="O77" s="501">
        <v>31</v>
      </c>
      <c r="P77" s="1331">
        <v>26</v>
      </c>
      <c r="Q77" s="1331">
        <v>23</v>
      </c>
      <c r="R77" s="1331">
        <v>18</v>
      </c>
      <c r="S77" s="953">
        <v>15</v>
      </c>
      <c r="T77" s="1008"/>
    </row>
    <row r="78" spans="1:31" x14ac:dyDescent="0.2">
      <c r="M78" s="1272">
        <v>18</v>
      </c>
      <c r="N78" s="899">
        <v>44</v>
      </c>
      <c r="O78" s="501">
        <v>32</v>
      </c>
      <c r="P78" s="1331">
        <v>27</v>
      </c>
      <c r="Q78" s="1331">
        <v>23</v>
      </c>
      <c r="R78" s="1331">
        <v>19</v>
      </c>
      <c r="S78" s="953">
        <v>15</v>
      </c>
      <c r="T78" s="1008"/>
    </row>
    <row r="79" spans="1:31" ht="15" customHeight="1" x14ac:dyDescent="0.2">
      <c r="M79" s="1232">
        <v>20</v>
      </c>
      <c r="N79" s="899">
        <v>46</v>
      </c>
      <c r="O79" s="501">
        <v>33</v>
      </c>
      <c r="P79" s="1331">
        <v>27</v>
      </c>
      <c r="Q79" s="1331">
        <v>24</v>
      </c>
      <c r="R79" s="1331">
        <v>19</v>
      </c>
      <c r="S79" s="953">
        <v>15</v>
      </c>
      <c r="T79" s="1008"/>
    </row>
    <row r="80" spans="1:31" x14ac:dyDescent="0.2">
      <c r="M80" s="1232">
        <v>24</v>
      </c>
      <c r="N80" s="899">
        <v>49</v>
      </c>
      <c r="O80" s="501">
        <v>36</v>
      </c>
      <c r="P80" s="1331">
        <v>29</v>
      </c>
      <c r="Q80" s="1331">
        <v>24</v>
      </c>
      <c r="R80" s="1331">
        <v>19</v>
      </c>
      <c r="S80" s="953">
        <v>16</v>
      </c>
      <c r="T80" s="1008"/>
    </row>
    <row r="81" spans="13:29" x14ac:dyDescent="0.2">
      <c r="M81" s="1232" t="s">
        <v>189</v>
      </c>
      <c r="N81" s="899">
        <v>32</v>
      </c>
      <c r="O81" s="501">
        <v>27</v>
      </c>
      <c r="P81" s="1331">
        <v>22</v>
      </c>
      <c r="Q81" s="1331">
        <v>20</v>
      </c>
      <c r="R81" s="1331">
        <v>17</v>
      </c>
      <c r="S81" s="953">
        <v>16</v>
      </c>
      <c r="T81" s="1008"/>
    </row>
    <row r="82" spans="13:29" x14ac:dyDescent="0.2">
      <c r="M82" s="1232" t="s">
        <v>278</v>
      </c>
      <c r="N82" s="899">
        <v>41</v>
      </c>
      <c r="O82" s="501">
        <v>28</v>
      </c>
      <c r="P82" s="1331">
        <v>24</v>
      </c>
      <c r="Q82" s="1331">
        <v>21</v>
      </c>
      <c r="R82" s="1331">
        <v>17</v>
      </c>
      <c r="S82" s="953">
        <v>16</v>
      </c>
      <c r="T82" s="1008"/>
    </row>
    <row r="83" spans="13:29" ht="15" thickBot="1" x14ac:dyDescent="0.25">
      <c r="M83" s="1333" t="s">
        <v>188</v>
      </c>
      <c r="N83" s="1334">
        <v>29</v>
      </c>
      <c r="O83" s="1335">
        <v>24</v>
      </c>
      <c r="P83" s="1336">
        <v>20</v>
      </c>
      <c r="Q83" s="1336">
        <v>18</v>
      </c>
      <c r="R83" s="1336">
        <v>16</v>
      </c>
      <c r="S83" s="950">
        <v>16</v>
      </c>
      <c r="T83" s="1008"/>
    </row>
    <row r="84" spans="13:29" x14ac:dyDescent="0.2">
      <c r="M84" s="34"/>
      <c r="N84" s="1008"/>
      <c r="O84" s="395"/>
      <c r="P84" s="1008"/>
      <c r="Q84" s="1008"/>
      <c r="R84" s="1008"/>
      <c r="S84" s="1008"/>
      <c r="T84" s="1008"/>
    </row>
    <row r="85" spans="13:29" ht="15" thickBot="1" x14ac:dyDescent="0.25">
      <c r="M85" s="40"/>
      <c r="N85" s="40"/>
      <c r="O85" s="40"/>
      <c r="P85" s="40"/>
      <c r="Q85" s="40"/>
      <c r="R85" s="40"/>
      <c r="S85" s="40"/>
      <c r="T85" s="40"/>
      <c r="U85" s="40"/>
      <c r="V85" s="40"/>
    </row>
    <row r="86" spans="13:29" x14ac:dyDescent="0.2">
      <c r="M86" s="847" t="s">
        <v>395</v>
      </c>
      <c r="N86" s="983"/>
      <c r="O86" s="983"/>
      <c r="P86" s="983"/>
      <c r="Q86" s="983"/>
      <c r="R86" s="983"/>
      <c r="S86" s="983"/>
      <c r="T86" s="1337"/>
      <c r="U86" s="40"/>
      <c r="V86" s="40"/>
    </row>
    <row r="87" spans="13:29" x14ac:dyDescent="0.2">
      <c r="M87" s="1328"/>
      <c r="N87" s="1280" t="s">
        <v>396</v>
      </c>
      <c r="O87" s="1226"/>
      <c r="P87" s="1226"/>
      <c r="Q87" s="1226"/>
      <c r="R87" s="1226"/>
      <c r="S87" s="1226"/>
      <c r="T87" s="1338"/>
      <c r="U87" s="40"/>
      <c r="V87" s="40"/>
    </row>
    <row r="88" spans="13:29" x14ac:dyDescent="0.2">
      <c r="M88" s="1284" t="s">
        <v>55</v>
      </c>
      <c r="N88" s="2108" t="s">
        <v>390</v>
      </c>
      <c r="O88" s="2109"/>
      <c r="P88" s="1226"/>
      <c r="Q88" s="1226"/>
      <c r="R88" s="1226"/>
      <c r="S88" s="1226"/>
      <c r="T88" s="1338"/>
      <c r="U88" s="40"/>
      <c r="V88" s="40"/>
    </row>
    <row r="89" spans="13:29" x14ac:dyDescent="0.2">
      <c r="M89" s="1339"/>
      <c r="N89" s="1282">
        <v>30</v>
      </c>
      <c r="O89" s="1076">
        <v>45</v>
      </c>
      <c r="P89" s="1076">
        <v>60</v>
      </c>
      <c r="Q89" s="1076">
        <v>75</v>
      </c>
      <c r="R89" s="1076">
        <v>90</v>
      </c>
      <c r="S89" s="1076">
        <v>105</v>
      </c>
      <c r="T89" s="1240">
        <v>120</v>
      </c>
      <c r="U89" s="40"/>
      <c r="V89" s="40"/>
    </row>
    <row r="90" spans="13:29" x14ac:dyDescent="0.2">
      <c r="M90" s="1232">
        <v>4</v>
      </c>
      <c r="N90" s="899" t="s">
        <v>397</v>
      </c>
      <c r="O90" s="501" t="s">
        <v>400</v>
      </c>
      <c r="P90" s="1331" t="s">
        <v>403</v>
      </c>
      <c r="Q90" s="1331" t="s">
        <v>406</v>
      </c>
      <c r="R90" s="1331" t="s">
        <v>409</v>
      </c>
      <c r="S90" s="1331" t="s">
        <v>412</v>
      </c>
      <c r="T90" s="1198" t="s">
        <v>414</v>
      </c>
      <c r="U90" s="40"/>
      <c r="V90" s="40"/>
      <c r="AC90" s="40"/>
    </row>
    <row r="91" spans="13:29" x14ac:dyDescent="0.2">
      <c r="M91" s="1232">
        <v>6</v>
      </c>
      <c r="N91" s="899" t="s">
        <v>398</v>
      </c>
      <c r="O91" s="501" t="s">
        <v>401</v>
      </c>
      <c r="P91" s="1331" t="s">
        <v>404</v>
      </c>
      <c r="Q91" s="1331" t="s">
        <v>407</v>
      </c>
      <c r="R91" s="1331" t="s">
        <v>410</v>
      </c>
      <c r="S91" s="1331" t="s">
        <v>412</v>
      </c>
      <c r="T91" s="1198" t="s">
        <v>414</v>
      </c>
      <c r="U91" s="40"/>
      <c r="V91" s="40"/>
      <c r="AC91" s="40"/>
    </row>
    <row r="92" spans="13:29" ht="15" thickBot="1" x14ac:dyDescent="0.25">
      <c r="M92" s="1333">
        <v>10</v>
      </c>
      <c r="N92" s="1334" t="s">
        <v>399</v>
      </c>
      <c r="O92" s="1335" t="s">
        <v>402</v>
      </c>
      <c r="P92" s="1336" t="s">
        <v>405</v>
      </c>
      <c r="Q92" s="1336" t="s">
        <v>408</v>
      </c>
      <c r="R92" s="1336" t="s">
        <v>411</v>
      </c>
      <c r="S92" s="1336" t="s">
        <v>413</v>
      </c>
      <c r="T92" s="1327" t="s">
        <v>415</v>
      </c>
      <c r="U92" s="40"/>
      <c r="V92" s="40"/>
      <c r="AC92" s="40"/>
    </row>
    <row r="93" spans="13:29" x14ac:dyDescent="0.2">
      <c r="M93" s="40"/>
      <c r="N93" s="40"/>
      <c r="O93" s="40"/>
      <c r="P93" s="40"/>
      <c r="Q93" s="40"/>
      <c r="R93" s="40"/>
      <c r="S93" s="40"/>
      <c r="T93" s="40"/>
      <c r="U93" s="40"/>
      <c r="V93" s="40"/>
      <c r="AC93" s="40"/>
    </row>
    <row r="94" spans="13:29" x14ac:dyDescent="0.2">
      <c r="M94" s="40"/>
      <c r="N94" s="40"/>
      <c r="O94" s="40"/>
      <c r="P94" s="40"/>
      <c r="Q94" s="40"/>
      <c r="R94" s="40"/>
      <c r="S94" s="40"/>
      <c r="T94" s="40"/>
      <c r="U94" s="40"/>
      <c r="V94" s="40"/>
      <c r="AC94" s="40"/>
    </row>
    <row r="95" spans="13:29" x14ac:dyDescent="0.2">
      <c r="M95" s="40"/>
      <c r="N95" s="40"/>
      <c r="O95" s="40"/>
      <c r="P95" s="40"/>
      <c r="Q95" s="40"/>
      <c r="R95" s="40"/>
      <c r="S95" s="40"/>
      <c r="T95" s="40"/>
      <c r="U95" s="40"/>
      <c r="V95" s="40"/>
      <c r="AC95" s="40"/>
    </row>
    <row r="96" spans="13:29" x14ac:dyDescent="0.2">
      <c r="U96" s="40"/>
      <c r="V96" s="40"/>
      <c r="AC96" s="40"/>
    </row>
    <row r="97" spans="13:29" x14ac:dyDescent="0.2">
      <c r="U97" s="40"/>
      <c r="V97" s="40"/>
      <c r="AC97" s="40"/>
    </row>
    <row r="98" spans="13:29" x14ac:dyDescent="0.2">
      <c r="M98" s="1340"/>
      <c r="U98" s="40"/>
      <c r="V98" s="40"/>
      <c r="AC98" s="40"/>
    </row>
    <row r="99" spans="13:29" x14ac:dyDescent="0.2">
      <c r="M99" s="1340"/>
      <c r="U99" s="40"/>
      <c r="V99" s="40"/>
      <c r="AC99" s="40"/>
    </row>
    <row r="100" spans="13:29" x14ac:dyDescent="0.2">
      <c r="M100" s="1340"/>
      <c r="U100" s="40"/>
      <c r="V100" s="40"/>
      <c r="AC100" s="40"/>
    </row>
    <row r="101" spans="13:29" x14ac:dyDescent="0.2">
      <c r="M101" s="1340"/>
      <c r="U101" s="40"/>
      <c r="V101" s="40"/>
      <c r="AC101" s="40"/>
    </row>
    <row r="102" spans="13:29" x14ac:dyDescent="0.2">
      <c r="M102" s="1340"/>
      <c r="U102" s="40"/>
      <c r="V102" s="40"/>
      <c r="AC102" s="40"/>
    </row>
    <row r="103" spans="13:29" x14ac:dyDescent="0.2">
      <c r="M103" s="1340"/>
      <c r="U103" s="40"/>
      <c r="V103" s="40"/>
      <c r="AC103" s="40"/>
    </row>
    <row r="104" spans="13:29" x14ac:dyDescent="0.2">
      <c r="M104" s="1340"/>
      <c r="U104" s="40"/>
      <c r="V104" s="40"/>
      <c r="AC104" s="40"/>
    </row>
    <row r="105" spans="13:29" x14ac:dyDescent="0.2">
      <c r="M105" s="1340"/>
      <c r="U105" s="40"/>
      <c r="V105" s="40"/>
      <c r="AC105" s="40"/>
    </row>
    <row r="106" spans="13:29" ht="15" thickBot="1" x14ac:dyDescent="0.25">
      <c r="M106" s="1340"/>
      <c r="U106" s="40"/>
      <c r="V106" s="40"/>
      <c r="AC106" s="40"/>
    </row>
    <row r="107" spans="13:29" x14ac:dyDescent="0.2">
      <c r="M107" s="847" t="s">
        <v>416</v>
      </c>
      <c r="N107" s="983"/>
      <c r="O107" s="983"/>
      <c r="P107" s="983"/>
      <c r="Q107" s="983"/>
      <c r="R107" s="983"/>
      <c r="S107" s="983"/>
      <c r="T107" s="983"/>
      <c r="U107" s="983"/>
      <c r="V107" s="1196"/>
      <c r="AC107" s="40"/>
    </row>
    <row r="108" spans="13:29" x14ac:dyDescent="0.2">
      <c r="M108" s="1341" t="s">
        <v>3</v>
      </c>
      <c r="N108" s="40"/>
      <c r="O108" s="40"/>
      <c r="P108" s="40"/>
      <c r="Q108" s="40"/>
      <c r="R108" s="40"/>
      <c r="S108" s="40"/>
      <c r="T108" s="40"/>
      <c r="U108" s="40"/>
      <c r="V108" s="1198"/>
      <c r="AC108" s="40"/>
    </row>
    <row r="109" spans="13:29" x14ac:dyDescent="0.2">
      <c r="M109" s="1341"/>
      <c r="N109" s="40"/>
      <c r="O109" s="40"/>
      <c r="P109" s="40"/>
      <c r="Q109" s="40"/>
      <c r="R109" s="40"/>
      <c r="S109" s="40"/>
      <c r="T109" s="40"/>
      <c r="U109" s="40"/>
      <c r="V109" s="1198"/>
      <c r="AC109" s="40"/>
    </row>
    <row r="110" spans="13:29" x14ac:dyDescent="0.2">
      <c r="M110" s="1341"/>
      <c r="N110" s="40"/>
      <c r="O110" s="40"/>
      <c r="P110" s="40"/>
      <c r="Q110" s="40"/>
      <c r="R110" s="40"/>
      <c r="S110" s="40"/>
      <c r="T110" s="40"/>
      <c r="U110" s="40"/>
      <c r="V110" s="1198"/>
      <c r="AC110" s="40"/>
    </row>
    <row r="111" spans="13:29" x14ac:dyDescent="0.2">
      <c r="M111" s="1341"/>
      <c r="N111" s="40"/>
      <c r="O111" s="40"/>
      <c r="P111" s="40"/>
      <c r="Q111" s="40"/>
      <c r="R111" s="40"/>
      <c r="S111" s="40"/>
      <c r="T111" s="40"/>
      <c r="U111" s="40"/>
      <c r="V111" s="1198"/>
      <c r="AC111" s="40"/>
    </row>
    <row r="112" spans="13:29" x14ac:dyDescent="0.2">
      <c r="M112" s="1341"/>
      <c r="N112" s="40"/>
      <c r="O112" s="40"/>
      <c r="P112" s="40"/>
      <c r="Q112" s="40"/>
      <c r="R112" s="40"/>
      <c r="S112" s="40"/>
      <c r="T112" s="40"/>
      <c r="U112" s="40"/>
      <c r="V112" s="1198"/>
      <c r="AC112" s="40"/>
    </row>
    <row r="113" spans="13:29" x14ac:dyDescent="0.2">
      <c r="M113" s="1341"/>
      <c r="N113" s="40"/>
      <c r="O113" s="40"/>
      <c r="P113" s="40"/>
      <c r="Q113" s="40"/>
      <c r="R113" s="40"/>
      <c r="S113" s="40"/>
      <c r="T113" s="40"/>
      <c r="U113" s="40"/>
      <c r="V113" s="1198"/>
      <c r="AC113" s="40"/>
    </row>
    <row r="114" spans="13:29" x14ac:dyDescent="0.2">
      <c r="M114" s="1341"/>
      <c r="N114" s="40"/>
      <c r="O114" s="40"/>
      <c r="P114" s="40"/>
      <c r="Q114" s="40"/>
      <c r="R114" s="40"/>
      <c r="S114" s="40"/>
      <c r="T114" s="40"/>
      <c r="U114" s="40"/>
      <c r="V114" s="1198"/>
      <c r="AC114" s="40"/>
    </row>
    <row r="115" spans="13:29" x14ac:dyDescent="0.2">
      <c r="M115" s="1341"/>
      <c r="N115" s="40"/>
      <c r="O115" s="40"/>
      <c r="P115" s="40"/>
      <c r="Q115" s="40"/>
      <c r="R115" s="40"/>
      <c r="S115" s="40"/>
      <c r="T115" s="40"/>
      <c r="U115" s="40"/>
      <c r="V115" s="1198"/>
      <c r="AC115" s="40"/>
    </row>
    <row r="116" spans="13:29" x14ac:dyDescent="0.2">
      <c r="M116" s="1341"/>
      <c r="N116" s="40"/>
      <c r="O116" s="40"/>
      <c r="P116" s="40"/>
      <c r="Q116" s="40"/>
      <c r="R116" s="40"/>
      <c r="S116" s="40"/>
      <c r="T116" s="40"/>
      <c r="U116" s="40"/>
      <c r="V116" s="1198"/>
      <c r="AC116" s="40"/>
    </row>
    <row r="117" spans="13:29" x14ac:dyDescent="0.2">
      <c r="M117" s="1341"/>
      <c r="N117" s="40"/>
      <c r="O117" s="40"/>
      <c r="P117" s="40"/>
      <c r="Q117" s="40"/>
      <c r="R117" s="40"/>
      <c r="S117" s="40"/>
      <c r="T117" s="40"/>
      <c r="U117" s="40"/>
      <c r="V117" s="1198"/>
      <c r="AC117" s="40"/>
    </row>
    <row r="118" spans="13:29" ht="15" thickBot="1" x14ac:dyDescent="0.25">
      <c r="M118" s="1342"/>
      <c r="N118" s="773"/>
      <c r="O118" s="773"/>
      <c r="P118" s="773"/>
      <c r="Q118" s="773"/>
      <c r="R118" s="773"/>
      <c r="S118" s="773"/>
      <c r="T118" s="773"/>
      <c r="U118" s="773"/>
      <c r="V118" s="1327"/>
      <c r="AC118" s="40"/>
    </row>
    <row r="119" spans="13:29" x14ac:dyDescent="0.2">
      <c r="M119" s="947"/>
      <c r="N119" s="40"/>
      <c r="O119" s="40"/>
      <c r="P119" s="40"/>
      <c r="Q119" s="40"/>
      <c r="R119" s="40"/>
      <c r="S119" s="40"/>
      <c r="T119" s="40"/>
      <c r="U119" s="40"/>
      <c r="V119" s="40"/>
      <c r="AC119" s="40"/>
    </row>
    <row r="120" spans="13:29" ht="15" thickBot="1" x14ac:dyDescent="0.25">
      <c r="M120" s="947"/>
      <c r="N120" s="40"/>
      <c r="O120" s="40"/>
      <c r="P120" s="40"/>
      <c r="Q120" s="40"/>
      <c r="R120" s="40"/>
      <c r="S120" s="40"/>
      <c r="T120" s="40"/>
      <c r="U120" s="40"/>
      <c r="V120" s="40"/>
      <c r="AC120" s="40"/>
    </row>
    <row r="121" spans="13:29" x14ac:dyDescent="0.2">
      <c r="M121" s="982" t="s">
        <v>109</v>
      </c>
      <c r="N121" s="983"/>
      <c r="O121" s="983"/>
      <c r="P121" s="1200"/>
      <c r="Q121" s="1196"/>
      <c r="T121" s="1008"/>
    </row>
    <row r="122" spans="13:29" x14ac:dyDescent="0.2">
      <c r="M122" s="856"/>
      <c r="N122" s="40"/>
      <c r="O122" s="1257" t="s">
        <v>29</v>
      </c>
      <c r="P122" s="800" t="s">
        <v>10</v>
      </c>
      <c r="Q122" s="1343" t="s">
        <v>30</v>
      </c>
      <c r="R122" s="738"/>
      <c r="T122" s="40"/>
    </row>
    <row r="123" spans="13:29" x14ac:dyDescent="0.2">
      <c r="M123" s="856"/>
      <c r="N123" s="40"/>
      <c r="O123" s="1344"/>
      <c r="P123" s="804" t="s">
        <v>108</v>
      </c>
      <c r="Q123" s="1207" t="s">
        <v>83</v>
      </c>
      <c r="S123" s="1340"/>
      <c r="T123" s="40"/>
    </row>
    <row r="124" spans="13:29" x14ac:dyDescent="0.2">
      <c r="M124" s="1345" t="s">
        <v>2</v>
      </c>
      <c r="N124" s="799" t="s">
        <v>5</v>
      </c>
      <c r="O124" s="994">
        <v>15.2</v>
      </c>
      <c r="P124" s="800">
        <v>13.5</v>
      </c>
      <c r="Q124" s="1346">
        <v>14.7</v>
      </c>
      <c r="S124" s="1340"/>
      <c r="T124" s="40"/>
    </row>
    <row r="125" spans="13:29" ht="15" x14ac:dyDescent="0.25">
      <c r="M125" s="1347"/>
      <c r="N125" s="1261" t="s">
        <v>79</v>
      </c>
      <c r="O125" s="783">
        <v>4.3</v>
      </c>
      <c r="P125" s="804">
        <v>4.0999999999999996</v>
      </c>
      <c r="Q125" s="777">
        <v>4.3</v>
      </c>
      <c r="S125" s="1340"/>
    </row>
    <row r="126" spans="13:29" x14ac:dyDescent="0.2">
      <c r="M126" s="1345" t="s">
        <v>3</v>
      </c>
      <c r="N126" s="799" t="s">
        <v>5</v>
      </c>
      <c r="O126" s="994">
        <v>4.3</v>
      </c>
      <c r="P126" s="800">
        <v>4.3</v>
      </c>
      <c r="Q126" s="1346">
        <v>4.3</v>
      </c>
      <c r="S126" s="1340"/>
    </row>
    <row r="127" spans="13:29" ht="15" x14ac:dyDescent="0.25">
      <c r="M127" s="1348"/>
      <c r="N127" s="1252" t="s">
        <v>79</v>
      </c>
      <c r="O127" s="783">
        <v>1.3</v>
      </c>
      <c r="P127" s="804">
        <v>1.3</v>
      </c>
      <c r="Q127" s="777">
        <v>1.3</v>
      </c>
      <c r="T127" s="1340"/>
    </row>
    <row r="128" spans="13:29" x14ac:dyDescent="0.2">
      <c r="M128" s="1345" t="s">
        <v>22</v>
      </c>
      <c r="N128" s="799" t="s">
        <v>5</v>
      </c>
      <c r="O128" s="994">
        <v>1.6</v>
      </c>
      <c r="P128" s="800">
        <v>1.9</v>
      </c>
      <c r="Q128" s="1346">
        <v>2</v>
      </c>
      <c r="T128" s="1340"/>
    </row>
    <row r="129" spans="13:20" ht="15.75" thickBot="1" x14ac:dyDescent="0.3">
      <c r="M129" s="1349"/>
      <c r="N129" s="1350" t="s">
        <v>79</v>
      </c>
      <c r="O129" s="1274">
        <v>0.6</v>
      </c>
      <c r="P129" s="774">
        <v>0.6</v>
      </c>
      <c r="Q129" s="1304">
        <v>0.6</v>
      </c>
      <c r="T129" s="1340"/>
    </row>
    <row r="130" spans="13:20" x14ac:dyDescent="0.2">
      <c r="T130" s="1340"/>
    </row>
    <row r="131" spans="13:20" ht="15" thickBot="1" x14ac:dyDescent="0.25"/>
    <row r="132" spans="13:20" x14ac:dyDescent="0.2">
      <c r="M132" s="829" t="s">
        <v>252</v>
      </c>
      <c r="N132" s="1351"/>
      <c r="O132" s="1351"/>
      <c r="P132" s="830"/>
      <c r="R132" s="40"/>
    </row>
    <row r="133" spans="13:20" x14ac:dyDescent="0.2">
      <c r="M133" s="841" t="s">
        <v>92</v>
      </c>
      <c r="N133" s="979"/>
      <c r="O133" s="979"/>
      <c r="P133" s="1338"/>
      <c r="R133" s="34"/>
    </row>
    <row r="134" spans="13:20" x14ac:dyDescent="0.2">
      <c r="M134" s="1352" t="s">
        <v>44</v>
      </c>
      <c r="N134" s="994" t="s">
        <v>2</v>
      </c>
      <c r="O134" s="800" t="s">
        <v>3</v>
      </c>
      <c r="P134" s="1346" t="s">
        <v>22</v>
      </c>
      <c r="Q134" s="40"/>
      <c r="R134" s="34"/>
    </row>
    <row r="135" spans="13:20" x14ac:dyDescent="0.2">
      <c r="M135" s="1251">
        <v>50</v>
      </c>
      <c r="N135" s="1068">
        <v>1.7</v>
      </c>
      <c r="O135" s="800">
        <v>0.16</v>
      </c>
      <c r="P135" s="996">
        <v>0.02</v>
      </c>
      <c r="Q135" s="34"/>
      <c r="R135" s="34"/>
    </row>
    <row r="136" spans="13:20" x14ac:dyDescent="0.2">
      <c r="M136" s="1353">
        <v>100</v>
      </c>
      <c r="N136" s="1000">
        <v>6.1</v>
      </c>
      <c r="O136" s="34">
        <v>0.81</v>
      </c>
      <c r="P136" s="1248">
        <v>0.09</v>
      </c>
      <c r="Q136" s="34"/>
      <c r="R136" s="34"/>
    </row>
    <row r="137" spans="13:20" x14ac:dyDescent="0.2">
      <c r="M137" s="1353">
        <v>200</v>
      </c>
      <c r="N137" s="1000">
        <v>9.3000000000000007</v>
      </c>
      <c r="O137" s="34">
        <v>1.78</v>
      </c>
      <c r="P137" s="1248">
        <v>0.17</v>
      </c>
      <c r="Q137" s="34"/>
    </row>
    <row r="138" spans="13:20" x14ac:dyDescent="0.2">
      <c r="M138" s="1353">
        <v>250</v>
      </c>
      <c r="N138" s="1000">
        <v>9.8000000000000007</v>
      </c>
      <c r="O138" s="34">
        <v>2.0099999999999998</v>
      </c>
      <c r="P138" s="1248">
        <v>0.28000000000000003</v>
      </c>
      <c r="Q138" s="34"/>
    </row>
    <row r="139" spans="13:20" x14ac:dyDescent="0.2">
      <c r="M139" s="1354">
        <v>300</v>
      </c>
      <c r="N139" s="803">
        <v>10.6</v>
      </c>
      <c r="O139" s="804">
        <v>2.2200000000000002</v>
      </c>
      <c r="P139" s="1355">
        <v>0.46</v>
      </c>
    </row>
    <row r="140" spans="13:20" x14ac:dyDescent="0.2">
      <c r="M140" s="856"/>
      <c r="N140" s="40"/>
      <c r="O140" s="40"/>
      <c r="P140" s="1198"/>
    </row>
    <row r="141" spans="13:20" x14ac:dyDescent="0.2">
      <c r="M141" s="841" t="s">
        <v>110</v>
      </c>
      <c r="N141" s="979"/>
      <c r="O141" s="979"/>
      <c r="P141" s="1338"/>
    </row>
    <row r="142" spans="13:20" x14ac:dyDescent="0.2">
      <c r="M142" s="1356" t="s">
        <v>44</v>
      </c>
      <c r="N142" s="994" t="s">
        <v>2</v>
      </c>
      <c r="O142" s="800" t="s">
        <v>3</v>
      </c>
      <c r="P142" s="1346" t="s">
        <v>22</v>
      </c>
    </row>
    <row r="143" spans="13:20" x14ac:dyDescent="0.2">
      <c r="M143" s="1251">
        <v>50</v>
      </c>
      <c r="N143" s="1068">
        <v>1.3</v>
      </c>
      <c r="O143" s="800"/>
      <c r="P143" s="996">
        <v>1.7999999999999999E-2</v>
      </c>
    </row>
    <row r="144" spans="13:20" x14ac:dyDescent="0.2">
      <c r="M144" s="1353">
        <v>100</v>
      </c>
      <c r="N144" s="1000">
        <v>5.5</v>
      </c>
      <c r="O144" s="34"/>
      <c r="P144" s="1248">
        <v>8.4000000000000005E-2</v>
      </c>
    </row>
    <row r="145" spans="13:16" x14ac:dyDescent="0.2">
      <c r="M145" s="1353">
        <v>150</v>
      </c>
      <c r="N145" s="778">
        <v>7</v>
      </c>
      <c r="O145" s="778"/>
      <c r="P145" s="1248">
        <v>9.6000000000000002E-2</v>
      </c>
    </row>
    <row r="146" spans="13:16" x14ac:dyDescent="0.2">
      <c r="M146" s="1353">
        <v>200</v>
      </c>
      <c r="N146" s="1000">
        <v>8.6</v>
      </c>
      <c r="O146" s="34"/>
      <c r="P146" s="1248">
        <v>0.14000000000000001</v>
      </c>
    </row>
    <row r="147" spans="13:16" x14ac:dyDescent="0.2">
      <c r="M147" s="1353">
        <v>250</v>
      </c>
      <c r="N147" s="1000">
        <v>9</v>
      </c>
      <c r="O147" s="34"/>
      <c r="P147" s="1248">
        <v>0.28999999999999998</v>
      </c>
    </row>
    <row r="148" spans="13:16" x14ac:dyDescent="0.2">
      <c r="M148" s="1354">
        <v>300</v>
      </c>
      <c r="N148" s="803">
        <v>10</v>
      </c>
      <c r="O148" s="804"/>
      <c r="P148" s="1355">
        <v>0.56999999999999995</v>
      </c>
    </row>
    <row r="149" spans="13:16" x14ac:dyDescent="0.2">
      <c r="M149" s="1061"/>
      <c r="N149" s="40"/>
      <c r="O149" s="40"/>
      <c r="P149" s="1198"/>
    </row>
    <row r="150" spans="13:16" x14ac:dyDescent="0.2">
      <c r="M150" s="841" t="s">
        <v>111</v>
      </c>
      <c r="N150" s="979"/>
      <c r="O150" s="979"/>
      <c r="P150" s="1338"/>
    </row>
    <row r="151" spans="13:16" x14ac:dyDescent="0.2">
      <c r="M151" s="1356" t="s">
        <v>44</v>
      </c>
      <c r="N151" s="994" t="s">
        <v>2</v>
      </c>
      <c r="O151" s="800" t="s">
        <v>3</v>
      </c>
      <c r="P151" s="1346" t="s">
        <v>22</v>
      </c>
    </row>
    <row r="152" spans="13:16" x14ac:dyDescent="0.2">
      <c r="M152" s="1251">
        <v>50</v>
      </c>
      <c r="N152" s="1068">
        <v>1.5</v>
      </c>
      <c r="O152" s="800"/>
      <c r="P152" s="996">
        <v>1.7000000000000001E-2</v>
      </c>
    </row>
    <row r="153" spans="13:16" x14ac:dyDescent="0.2">
      <c r="M153" s="1353">
        <v>100</v>
      </c>
      <c r="N153" s="1000">
        <v>5.3</v>
      </c>
      <c r="O153" s="34"/>
      <c r="P153" s="1248">
        <v>8.7999999999999995E-2</v>
      </c>
    </row>
    <row r="154" spans="13:16" x14ac:dyDescent="0.2">
      <c r="M154" s="1353">
        <v>150</v>
      </c>
      <c r="N154" s="778">
        <v>7.4</v>
      </c>
      <c r="O154" s="887"/>
      <c r="P154" s="1248">
        <v>9.9000000000000005E-2</v>
      </c>
    </row>
    <row r="155" spans="13:16" x14ac:dyDescent="0.2">
      <c r="M155" s="1353">
        <v>200</v>
      </c>
      <c r="N155" s="1000">
        <v>8.4</v>
      </c>
      <c r="O155" s="34"/>
      <c r="P155" s="1248">
        <v>0.17</v>
      </c>
    </row>
    <row r="156" spans="13:16" x14ac:dyDescent="0.2">
      <c r="M156" s="1353">
        <v>250</v>
      </c>
      <c r="N156" s="1000">
        <v>9.4</v>
      </c>
      <c r="O156" s="34"/>
      <c r="P156" s="1248">
        <v>0.28999999999999998</v>
      </c>
    </row>
    <row r="157" spans="13:16" ht="15" thickBot="1" x14ac:dyDescent="0.25">
      <c r="M157" s="1357">
        <v>300</v>
      </c>
      <c r="N157" s="1358">
        <v>10.4</v>
      </c>
      <c r="O157" s="774"/>
      <c r="P157" s="1359">
        <v>0.48</v>
      </c>
    </row>
  </sheetData>
  <mergeCells count="25">
    <mergeCell ref="N88:O88"/>
    <mergeCell ref="A1:C1"/>
    <mergeCell ref="X10:Y10"/>
    <mergeCell ref="U41:V41"/>
    <mergeCell ref="U42:V42"/>
    <mergeCell ref="U37:V37"/>
    <mergeCell ref="A47:A48"/>
    <mergeCell ref="U27:V27"/>
    <mergeCell ref="U11:V11"/>
    <mergeCell ref="U10:W10"/>
    <mergeCell ref="U43:V43"/>
    <mergeCell ref="B8:C8"/>
    <mergeCell ref="B47:B48"/>
    <mergeCell ref="C47:C48"/>
    <mergeCell ref="U29:V29"/>
    <mergeCell ref="B11:C11"/>
    <mergeCell ref="AA10:AD10"/>
    <mergeCell ref="U39:V39"/>
    <mergeCell ref="U30:V30"/>
    <mergeCell ref="U31:V31"/>
    <mergeCell ref="N72:O72"/>
    <mergeCell ref="U34:V34"/>
    <mergeCell ref="U35:V35"/>
    <mergeCell ref="U38:V38"/>
    <mergeCell ref="U26:V26"/>
  </mergeCells>
  <phoneticPr fontId="0" type="noConversion"/>
  <pageMargins left="0.70866141732283472" right="0.70866141732283472" top="0.74803149606299213" bottom="0.74803149606299213" header="0.31496062992125984" footer="0.31496062992125984"/>
  <pageSetup paperSize="9" scale="24" orientation="landscape"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rgb="FFFF0000"/>
    <pageSetUpPr fitToPage="1"/>
  </sheetPr>
  <dimension ref="A1:AC99"/>
  <sheetViews>
    <sheetView zoomScaleNormal="100" workbookViewId="0">
      <selection activeCell="F29" sqref="F29"/>
    </sheetView>
  </sheetViews>
  <sheetFormatPr defaultRowHeight="14.25" x14ac:dyDescent="0.2"/>
  <cols>
    <col min="1" max="1" width="17.85546875" style="37" customWidth="1"/>
    <col min="2" max="6" width="10.7109375" style="37" customWidth="1"/>
    <col min="7" max="7" width="10" style="37" bestFit="1" customWidth="1"/>
    <col min="8" max="12" width="9.140625" style="37"/>
    <col min="13" max="13" width="4.85546875" style="37" customWidth="1"/>
    <col min="14" max="15" width="9.140625" style="37"/>
    <col min="16" max="16" width="9.140625" style="856"/>
    <col min="17" max="17" width="12.7109375" style="37" customWidth="1"/>
    <col min="18" max="18" width="14.7109375" style="37" customWidth="1"/>
    <col min="19" max="23" width="9.140625" style="37"/>
    <col min="24" max="24" width="11.5703125" style="37" customWidth="1"/>
    <col min="25" max="16384" width="9.140625" style="37"/>
  </cols>
  <sheetData>
    <row r="1" spans="1:29" s="1192" customFormat="1" ht="27" thickBot="1" x14ac:dyDescent="0.45">
      <c r="A1" s="1191" t="s">
        <v>67</v>
      </c>
      <c r="B1" s="1190"/>
      <c r="C1" s="1360"/>
      <c r="I1" s="1360"/>
      <c r="J1" s="1360"/>
      <c r="K1" s="1360"/>
      <c r="P1" s="1191" t="s">
        <v>127</v>
      </c>
    </row>
    <row r="2" spans="1:29" ht="18.75" thickBot="1" x14ac:dyDescent="0.3">
      <c r="A2" s="1193"/>
    </row>
    <row r="3" spans="1:29" ht="18" x14ac:dyDescent="0.25">
      <c r="A3" s="1361" t="s">
        <v>165</v>
      </c>
      <c r="B3" s="983"/>
      <c r="C3" s="983"/>
      <c r="D3" s="1200"/>
      <c r="E3" s="849" t="s">
        <v>336</v>
      </c>
      <c r="F3" s="983"/>
      <c r="G3" s="1204"/>
      <c r="H3" s="1201"/>
      <c r="I3" s="34"/>
      <c r="J3" s="34"/>
      <c r="K3" s="34"/>
      <c r="L3" s="40"/>
      <c r="M3" s="40"/>
      <c r="Q3" s="37" t="s">
        <v>62</v>
      </c>
    </row>
    <row r="4" spans="1:29" ht="18" x14ac:dyDescent="0.25">
      <c r="A4" s="1362"/>
      <c r="B4" s="40"/>
      <c r="C4" s="40"/>
      <c r="D4" s="34"/>
      <c r="E4" s="853" t="s">
        <v>609</v>
      </c>
      <c r="G4" s="1292"/>
      <c r="H4" s="1201"/>
      <c r="I4" s="34"/>
      <c r="J4" s="34"/>
      <c r="K4" s="34"/>
      <c r="L4" s="40"/>
      <c r="M4" s="40"/>
      <c r="N4" s="1194"/>
      <c r="O4" s="1194"/>
      <c r="Q4" s="37" t="s">
        <v>117</v>
      </c>
    </row>
    <row r="5" spans="1:29" ht="18" x14ac:dyDescent="0.25">
      <c r="A5" s="1362"/>
      <c r="B5" s="40"/>
      <c r="C5" s="40"/>
      <c r="D5" s="34"/>
      <c r="E5" s="745" t="s">
        <v>615</v>
      </c>
      <c r="G5" s="1292"/>
      <c r="H5" s="1201"/>
      <c r="I5" s="34"/>
      <c r="J5" s="34"/>
      <c r="K5" s="34"/>
      <c r="L5" s="40"/>
      <c r="M5" s="40"/>
      <c r="N5" s="1194"/>
      <c r="O5" s="1194"/>
      <c r="Q5" s="738"/>
    </row>
    <row r="6" spans="1:29" ht="18" x14ac:dyDescent="0.25">
      <c r="A6" s="1363" t="s">
        <v>248</v>
      </c>
      <c r="B6" s="1188"/>
      <c r="C6" s="1188"/>
      <c r="D6" s="883"/>
      <c r="E6" s="883" t="s">
        <v>522</v>
      </c>
      <c r="F6" s="883"/>
      <c r="G6" s="1291"/>
      <c r="H6" s="1201"/>
      <c r="I6" s="34"/>
      <c r="J6" s="34"/>
      <c r="K6" s="34"/>
      <c r="L6" s="40"/>
      <c r="M6" s="40"/>
      <c r="N6" s="40"/>
      <c r="Q6" s="799" t="s">
        <v>162</v>
      </c>
      <c r="R6" s="1043"/>
      <c r="S6" s="1043"/>
      <c r="T6" s="800"/>
      <c r="U6" s="1043"/>
      <c r="V6" s="800"/>
      <c r="W6" s="1043"/>
      <c r="X6" s="1043"/>
      <c r="Y6" s="1043"/>
      <c r="Z6" s="1219"/>
      <c r="AA6" s="34"/>
      <c r="AB6" s="40"/>
      <c r="AC6" s="34"/>
    </row>
    <row r="7" spans="1:29" ht="15.75" x14ac:dyDescent="0.3">
      <c r="A7" s="1364"/>
      <c r="B7" s="1365" t="s">
        <v>201</v>
      </c>
      <c r="C7" s="1365" t="s">
        <v>202</v>
      </c>
      <c r="D7" s="1365" t="s">
        <v>203</v>
      </c>
      <c r="E7" s="1365" t="s">
        <v>204</v>
      </c>
      <c r="F7" s="1365" t="s">
        <v>205</v>
      </c>
      <c r="G7" s="1366"/>
      <c r="H7" s="1201"/>
      <c r="I7" s="34"/>
      <c r="J7" s="34"/>
      <c r="K7" s="34"/>
      <c r="L7" s="40"/>
      <c r="M7" s="40"/>
      <c r="N7" s="40"/>
      <c r="Q7" s="1261" t="s">
        <v>82</v>
      </c>
      <c r="R7" s="40"/>
      <c r="S7" s="34"/>
      <c r="T7" s="34"/>
      <c r="U7" s="34"/>
      <c r="V7" s="34"/>
      <c r="W7" s="40"/>
      <c r="X7" s="40"/>
      <c r="Y7" s="40"/>
      <c r="Z7" s="1000"/>
      <c r="AA7" s="34"/>
      <c r="AB7" s="34"/>
      <c r="AC7" s="34"/>
    </row>
    <row r="8" spans="1:29" ht="15" customHeight="1" x14ac:dyDescent="0.2">
      <c r="A8" s="1367" t="s">
        <v>68</v>
      </c>
      <c r="B8" s="1365">
        <v>0</v>
      </c>
      <c r="C8" s="1365">
        <v>0</v>
      </c>
      <c r="D8" s="1365">
        <v>0</v>
      </c>
      <c r="E8" s="1365">
        <v>45</v>
      </c>
      <c r="F8" s="1365">
        <v>0</v>
      </c>
      <c r="G8" s="1263"/>
      <c r="H8" s="1201"/>
      <c r="I8" s="34"/>
      <c r="J8" s="34"/>
      <c r="K8" s="34"/>
      <c r="L8" s="40"/>
      <c r="M8" s="40"/>
      <c r="N8" s="40"/>
      <c r="Q8" s="779"/>
      <c r="R8" s="2117" t="s">
        <v>63</v>
      </c>
      <c r="S8" s="2123"/>
      <c r="T8" s="2123"/>
      <c r="U8" s="2123"/>
      <c r="V8" s="2118"/>
      <c r="W8" s="40"/>
      <c r="X8" s="34"/>
      <c r="Y8" s="40"/>
      <c r="Z8" s="1368"/>
      <c r="AA8" s="34"/>
      <c r="AB8" s="34"/>
      <c r="AC8" s="34"/>
    </row>
    <row r="9" spans="1:29" x14ac:dyDescent="0.2">
      <c r="A9" s="1367" t="s">
        <v>69</v>
      </c>
      <c r="B9" s="1365">
        <v>75</v>
      </c>
      <c r="C9" s="1365">
        <v>75</v>
      </c>
      <c r="D9" s="1365">
        <v>75</v>
      </c>
      <c r="E9" s="1365">
        <v>0</v>
      </c>
      <c r="F9" s="1365">
        <v>75</v>
      </c>
      <c r="G9" s="1263"/>
      <c r="H9" s="1201"/>
      <c r="I9" s="34"/>
      <c r="J9" s="34"/>
      <c r="K9" s="34"/>
      <c r="L9" s="40"/>
      <c r="M9" s="40"/>
      <c r="N9" s="40"/>
      <c r="Q9" s="1067" t="s">
        <v>55</v>
      </c>
      <c r="R9" s="782">
        <v>0</v>
      </c>
      <c r="S9" s="782">
        <v>30</v>
      </c>
      <c r="T9" s="782">
        <v>45</v>
      </c>
      <c r="U9" s="782">
        <v>60</v>
      </c>
      <c r="V9" s="782">
        <v>75</v>
      </c>
      <c r="W9" s="40"/>
      <c r="X9" s="853"/>
      <c r="Y9" s="34"/>
      <c r="Z9" s="1000"/>
      <c r="AA9" s="34"/>
      <c r="AB9" s="34"/>
      <c r="AC9" s="34"/>
    </row>
    <row r="10" spans="1:29" x14ac:dyDescent="0.2">
      <c r="A10" s="1367" t="s">
        <v>55</v>
      </c>
      <c r="B10" s="1369"/>
      <c r="C10" s="1369"/>
      <c r="D10" s="1369"/>
      <c r="E10" s="1369"/>
      <c r="F10" s="1369"/>
      <c r="G10" s="1366"/>
      <c r="H10" s="1302"/>
      <c r="I10" s="599"/>
      <c r="J10" s="599"/>
      <c r="K10" s="599"/>
      <c r="L10" s="872"/>
      <c r="M10" s="40"/>
      <c r="N10" s="40"/>
      <c r="Q10" s="754">
        <v>30</v>
      </c>
      <c r="R10" s="754">
        <v>3.0000000000000001E-3</v>
      </c>
      <c r="S10" s="754">
        <v>2.7000000000000001E-3</v>
      </c>
      <c r="T10" s="754">
        <v>2.5999999999999999E-3</v>
      </c>
      <c r="U10" s="754">
        <v>2.2000000000000001E-3</v>
      </c>
      <c r="V10" s="754">
        <v>1.5E-3</v>
      </c>
      <c r="W10" s="40"/>
      <c r="X10" s="34"/>
      <c r="Y10" s="34"/>
      <c r="Z10" s="1000"/>
      <c r="AA10" s="34"/>
      <c r="AB10" s="34"/>
      <c r="AC10" s="34"/>
    </row>
    <row r="11" spans="1:29" x14ac:dyDescent="0.2">
      <c r="A11" s="27">
        <v>0</v>
      </c>
      <c r="B11" s="1370">
        <v>0</v>
      </c>
      <c r="C11" s="1370">
        <v>0</v>
      </c>
      <c r="D11" s="1370">
        <v>0</v>
      </c>
      <c r="E11" s="1370">
        <v>0</v>
      </c>
      <c r="F11" s="1370">
        <v>0</v>
      </c>
      <c r="G11" s="1366"/>
      <c r="H11" s="1302"/>
      <c r="I11" s="599"/>
      <c r="J11" s="599"/>
      <c r="K11" s="599"/>
      <c r="L11" s="599"/>
      <c r="M11" s="40"/>
      <c r="N11" s="40"/>
      <c r="Q11" s="782">
        <v>24</v>
      </c>
      <c r="R11" s="782">
        <v>3.2000000000000002E-3</v>
      </c>
      <c r="S11" s="782">
        <v>3.2000000000000002E-3</v>
      </c>
      <c r="T11" s="782">
        <v>2.8E-3</v>
      </c>
      <c r="U11" s="782">
        <v>2.3E-3</v>
      </c>
      <c r="V11" s="782">
        <v>1.5E-3</v>
      </c>
      <c r="W11" s="40"/>
      <c r="X11" s="34"/>
      <c r="Y11" s="34"/>
      <c r="Z11" s="1000"/>
      <c r="AA11" s="34"/>
      <c r="AB11" s="34"/>
      <c r="AC11" s="34"/>
    </row>
    <row r="12" spans="1:29" x14ac:dyDescent="0.2">
      <c r="A12" s="27">
        <v>0.5</v>
      </c>
      <c r="B12" s="1371"/>
      <c r="C12" s="1371"/>
      <c r="D12" s="1943">
        <v>8.0000000000000002E-3</v>
      </c>
      <c r="E12" s="1943">
        <v>2.1999999999999999E-2</v>
      </c>
      <c r="F12" s="1943">
        <v>8.0000000000000002E-3</v>
      </c>
      <c r="G12" s="1366"/>
      <c r="H12" s="856"/>
      <c r="I12" s="40"/>
      <c r="J12" s="40"/>
      <c r="K12" s="40"/>
      <c r="L12" s="40"/>
      <c r="M12" s="40"/>
      <c r="N12" s="40"/>
      <c r="Q12" s="1372">
        <v>18</v>
      </c>
      <c r="R12" s="782">
        <v>3.3999999999999998E-3</v>
      </c>
      <c r="S12" s="782">
        <v>3.3999999999999998E-3</v>
      </c>
      <c r="T12" s="782">
        <v>3.0000000000000001E-3</v>
      </c>
      <c r="U12" s="782">
        <v>2.5000000000000001E-3</v>
      </c>
      <c r="V12" s="782">
        <v>1.6000000000000001E-3</v>
      </c>
      <c r="W12" s="40"/>
      <c r="X12" s="1313"/>
      <c r="Y12" s="34"/>
      <c r="Z12" s="1000"/>
      <c r="AA12" s="34"/>
      <c r="AB12" s="34"/>
      <c r="AC12" s="34"/>
    </row>
    <row r="13" spans="1:29" x14ac:dyDescent="0.2">
      <c r="A13" s="759">
        <v>4</v>
      </c>
      <c r="B13" s="1943">
        <v>3.0999999999999999E-3</v>
      </c>
      <c r="C13" s="1943">
        <v>3.0999999999999999E-3</v>
      </c>
      <c r="D13" s="1371"/>
      <c r="E13" s="1943">
        <v>7.6E-3</v>
      </c>
      <c r="F13" s="1371"/>
      <c r="G13" s="1366"/>
      <c r="H13" s="856"/>
      <c r="I13" s="40"/>
      <c r="J13" s="40"/>
      <c r="K13" s="40"/>
      <c r="L13" s="40"/>
      <c r="M13" s="40"/>
      <c r="N13" s="40"/>
      <c r="Q13" s="782">
        <v>10</v>
      </c>
      <c r="R13" s="782">
        <v>4.3E-3</v>
      </c>
      <c r="S13" s="782">
        <v>4.1000000000000003E-3</v>
      </c>
      <c r="T13" s="782">
        <v>3.8E-3</v>
      </c>
      <c r="U13" s="782">
        <v>3.0999999999999999E-3</v>
      </c>
      <c r="V13" s="782">
        <v>2.0999999999999999E-3</v>
      </c>
      <c r="W13" s="40"/>
      <c r="X13" s="34"/>
      <c r="Y13" s="34"/>
      <c r="Z13" s="1000"/>
      <c r="AA13" s="34"/>
      <c r="AB13" s="34"/>
      <c r="AC13" s="34"/>
    </row>
    <row r="14" spans="1:29" x14ac:dyDescent="0.2">
      <c r="A14" s="759">
        <v>6</v>
      </c>
      <c r="B14" s="1943">
        <v>2.7000000000000001E-3</v>
      </c>
      <c r="C14" s="1943">
        <v>2.7000000000000001E-3</v>
      </c>
      <c r="D14" s="1371"/>
      <c r="E14" s="1943">
        <v>6.4000000000000003E-3</v>
      </c>
      <c r="F14" s="1371"/>
      <c r="G14" s="1373"/>
      <c r="H14" s="1302"/>
      <c r="I14" s="599"/>
      <c r="J14" s="599"/>
      <c r="K14" s="599"/>
      <c r="L14" s="599"/>
      <c r="M14" s="40"/>
      <c r="N14" s="40"/>
      <c r="Q14" s="778">
        <v>6</v>
      </c>
      <c r="R14" s="778">
        <v>5.3E-3</v>
      </c>
      <c r="S14" s="778">
        <v>5.1999999999999998E-3</v>
      </c>
      <c r="T14" s="778">
        <v>4.7000000000000002E-3</v>
      </c>
      <c r="U14" s="778">
        <v>4.0000000000000001E-3</v>
      </c>
      <c r="V14" s="778">
        <v>2.7000000000000001E-3</v>
      </c>
      <c r="W14" s="40"/>
      <c r="X14" s="34"/>
      <c r="Y14" s="34"/>
      <c r="Z14" s="1000"/>
      <c r="AA14" s="34"/>
      <c r="AB14" s="34"/>
      <c r="AC14" s="34"/>
    </row>
    <row r="15" spans="1:29" x14ac:dyDescent="0.2">
      <c r="A15" s="759">
        <v>10</v>
      </c>
      <c r="B15" s="1943">
        <v>2.0999999999999999E-3</v>
      </c>
      <c r="C15" s="1943">
        <v>2.0999999999999999E-3</v>
      </c>
      <c r="D15" s="1371"/>
      <c r="E15" s="1943">
        <v>5.1000000000000004E-3</v>
      </c>
      <c r="F15" s="1371"/>
      <c r="G15" s="1198"/>
      <c r="H15" s="1302"/>
      <c r="I15" s="599"/>
      <c r="J15" s="599"/>
      <c r="K15" s="599"/>
      <c r="L15" s="599"/>
      <c r="M15" s="40"/>
      <c r="N15" s="40"/>
      <c r="Q15" s="754">
        <v>4</v>
      </c>
      <c r="R15" s="754">
        <v>6.7000000000000002E-3</v>
      </c>
      <c r="S15" s="754">
        <v>6.4000000000000003E-3</v>
      </c>
      <c r="T15" s="754">
        <v>5.7999999999999996E-3</v>
      </c>
      <c r="U15" s="754">
        <v>4.8999999999999998E-3</v>
      </c>
      <c r="V15" s="754">
        <v>3.0999999999999999E-3</v>
      </c>
      <c r="W15" s="40"/>
      <c r="X15" s="34"/>
      <c r="Y15" s="34"/>
      <c r="Z15" s="1000"/>
      <c r="AA15" s="34"/>
      <c r="AB15" s="34"/>
      <c r="AC15" s="34"/>
    </row>
    <row r="16" spans="1:29" x14ac:dyDescent="0.2">
      <c r="A16" s="759">
        <v>15</v>
      </c>
      <c r="B16" s="1943">
        <f>(B15-B17)*3/8+B17</f>
        <v>1.7875E-3</v>
      </c>
      <c r="C16" s="1943">
        <f>(C15-C17)*3/8+C17</f>
        <v>1.7875E-3</v>
      </c>
      <c r="D16" s="1371"/>
      <c r="E16" s="1943">
        <f>(E15-E17)*3/8+E17</f>
        <v>4.725E-3</v>
      </c>
      <c r="F16" s="1371"/>
      <c r="G16" s="1198"/>
      <c r="H16" s="1302"/>
      <c r="I16" s="599"/>
      <c r="J16" s="599"/>
      <c r="K16" s="599"/>
      <c r="L16" s="599"/>
      <c r="M16" s="40"/>
      <c r="N16" s="40"/>
      <c r="Q16" s="782">
        <v>0.5</v>
      </c>
      <c r="R16" s="782">
        <v>1.9E-2</v>
      </c>
      <c r="S16" s="782">
        <v>1.7000000000000001E-2</v>
      </c>
      <c r="T16" s="782">
        <v>1.4999999999999999E-2</v>
      </c>
      <c r="U16" s="782">
        <v>1.2999999999999999E-2</v>
      </c>
      <c r="V16" s="782">
        <v>8.0000000000000002E-3</v>
      </c>
      <c r="W16" s="40"/>
      <c r="X16" s="34"/>
      <c r="Y16" s="34"/>
      <c r="Z16" s="1000"/>
      <c r="AA16" s="34"/>
      <c r="AB16" s="34"/>
      <c r="AC16" s="34"/>
    </row>
    <row r="17" spans="1:26" x14ac:dyDescent="0.2">
      <c r="A17" s="759">
        <v>18</v>
      </c>
      <c r="B17" s="1943">
        <v>1.6000000000000001E-3</v>
      </c>
      <c r="C17" s="1943">
        <v>1.6000000000000001E-3</v>
      </c>
      <c r="D17" s="1371"/>
      <c r="E17" s="1943">
        <v>4.4999999999999997E-3</v>
      </c>
      <c r="F17" s="1371"/>
      <c r="G17" s="1198"/>
      <c r="H17" s="1205"/>
      <c r="I17" s="872"/>
      <c r="J17" s="872"/>
      <c r="K17" s="872"/>
      <c r="L17" s="872"/>
      <c r="M17" s="40"/>
      <c r="N17" s="40"/>
      <c r="Q17" s="1261"/>
      <c r="R17" s="40"/>
      <c r="S17" s="40"/>
      <c r="T17" s="40"/>
      <c r="U17" s="40"/>
      <c r="V17" s="40"/>
      <c r="W17" s="40"/>
      <c r="X17" s="40"/>
      <c r="Y17" s="40"/>
      <c r="Z17" s="1222"/>
    </row>
    <row r="18" spans="1:26" x14ac:dyDescent="0.2">
      <c r="A18" s="759" t="s">
        <v>189</v>
      </c>
      <c r="B18" s="1943">
        <v>3.3E-3</v>
      </c>
      <c r="C18" s="1943">
        <v>3.3E-3</v>
      </c>
      <c r="D18" s="1371"/>
      <c r="E18" s="1943">
        <v>7.3000000000000001E-3</v>
      </c>
      <c r="F18" s="1371"/>
      <c r="G18" s="1198"/>
      <c r="H18" s="856"/>
      <c r="I18" s="40"/>
      <c r="J18" s="40"/>
      <c r="K18" s="40"/>
      <c r="L18" s="40"/>
      <c r="M18" s="40"/>
      <c r="N18" s="40"/>
      <c r="Q18" s="1261" t="s">
        <v>521</v>
      </c>
      <c r="R18" s="40"/>
      <c r="S18" s="34"/>
      <c r="T18" s="34"/>
      <c r="U18" s="34"/>
      <c r="V18" s="34"/>
      <c r="W18" s="40"/>
      <c r="X18" s="40"/>
      <c r="Y18" s="40"/>
      <c r="Z18" s="1222"/>
    </row>
    <row r="19" spans="1:26" ht="15" customHeight="1" x14ac:dyDescent="0.2">
      <c r="A19" s="759" t="s">
        <v>278</v>
      </c>
      <c r="B19" s="1943">
        <v>2.3E-3</v>
      </c>
      <c r="C19" s="1943">
        <v>2.3E-3</v>
      </c>
      <c r="D19" s="1371"/>
      <c r="E19" s="1943">
        <v>6.1000000000000004E-3</v>
      </c>
      <c r="F19" s="1371"/>
      <c r="G19" s="1263"/>
      <c r="H19" s="856"/>
      <c r="I19" s="40"/>
      <c r="J19" s="40"/>
      <c r="K19" s="40"/>
      <c r="L19" s="40"/>
      <c r="M19" s="40"/>
      <c r="N19" s="40"/>
      <c r="Q19" s="779"/>
      <c r="R19" s="2117" t="s">
        <v>63</v>
      </c>
      <c r="S19" s="2123"/>
      <c r="T19" s="2123"/>
      <c r="U19" s="2123"/>
      <c r="V19" s="2118"/>
      <c r="W19" s="40"/>
      <c r="X19" s="40"/>
      <c r="Y19" s="40"/>
      <c r="Z19" s="1222"/>
    </row>
    <row r="20" spans="1:26" x14ac:dyDescent="0.2">
      <c r="A20" s="759" t="s">
        <v>188</v>
      </c>
      <c r="B20" s="1943">
        <v>3.5000000000000001E-3</v>
      </c>
      <c r="C20" s="1943">
        <v>3.5000000000000001E-3</v>
      </c>
      <c r="D20" s="1371"/>
      <c r="E20" s="1943">
        <v>8.3000000000000001E-3</v>
      </c>
      <c r="F20" s="1371"/>
      <c r="G20" s="1374"/>
      <c r="H20" s="856"/>
      <c r="I20" s="40"/>
      <c r="J20" s="40"/>
      <c r="K20" s="40"/>
      <c r="L20" s="40"/>
      <c r="M20" s="40"/>
      <c r="N20" s="40"/>
      <c r="Q20" s="1067" t="s">
        <v>55</v>
      </c>
      <c r="R20" s="782">
        <v>0</v>
      </c>
      <c r="S20" s="782">
        <v>30</v>
      </c>
      <c r="T20" s="782">
        <v>45</v>
      </c>
      <c r="U20" s="782">
        <v>60</v>
      </c>
      <c r="V20" s="782">
        <v>75</v>
      </c>
      <c r="W20" s="40"/>
      <c r="X20" s="40"/>
      <c r="Y20" s="40"/>
      <c r="Z20" s="1222"/>
    </row>
    <row r="21" spans="1:26" x14ac:dyDescent="0.2">
      <c r="A21" s="40"/>
      <c r="B21" s="1375"/>
      <c r="C21" s="1375"/>
      <c r="D21" s="1375"/>
      <c r="E21" s="1375"/>
      <c r="F21" s="1375"/>
      <c r="G21" s="1373"/>
      <c r="H21" s="856"/>
      <c r="I21" s="40"/>
      <c r="J21" s="40"/>
      <c r="K21" s="40"/>
      <c r="L21" s="40"/>
      <c r="M21" s="40"/>
      <c r="N21" s="40"/>
      <c r="Q21" s="754">
        <v>30</v>
      </c>
      <c r="R21" s="754">
        <v>4.7999999999999996E-3</v>
      </c>
      <c r="S21" s="754">
        <v>5.0000000000000001E-3</v>
      </c>
      <c r="T21" s="754">
        <v>4.8999999999999998E-3</v>
      </c>
      <c r="U21" s="754">
        <v>4.0000000000000001E-3</v>
      </c>
      <c r="V21" s="754">
        <v>3.0000000000000001E-3</v>
      </c>
      <c r="W21" s="40"/>
      <c r="X21" s="40"/>
      <c r="Y21" s="40"/>
      <c r="Z21" s="1222"/>
    </row>
    <row r="22" spans="1:26" x14ac:dyDescent="0.2">
      <c r="A22" s="40"/>
      <c r="B22" s="1188"/>
      <c r="C22" s="1188"/>
      <c r="D22" s="1188"/>
      <c r="E22" s="1188"/>
      <c r="F22" s="1188"/>
      <c r="G22" s="1373"/>
      <c r="H22" s="856"/>
      <c r="I22" s="40"/>
      <c r="J22" s="40"/>
      <c r="K22" s="40"/>
      <c r="L22" s="40"/>
      <c r="M22" s="40"/>
      <c r="N22" s="40"/>
      <c r="Q22" s="754">
        <v>24</v>
      </c>
      <c r="R22" s="754">
        <v>3.7000000000000002E-3</v>
      </c>
      <c r="S22" s="754">
        <v>3.8999999999999998E-3</v>
      </c>
      <c r="T22" s="754">
        <v>3.8999999999999998E-3</v>
      </c>
      <c r="U22" s="754">
        <v>3.7000000000000002E-3</v>
      </c>
      <c r="V22" s="754">
        <v>3.3999999999999998E-3</v>
      </c>
      <c r="W22" s="40"/>
      <c r="X22" s="40"/>
      <c r="Y22" s="40"/>
      <c r="Z22" s="1222"/>
    </row>
    <row r="23" spans="1:26" ht="18" x14ac:dyDescent="0.25">
      <c r="A23" s="1363" t="s">
        <v>249</v>
      </c>
      <c r="B23" s="1188"/>
      <c r="C23" s="1188"/>
      <c r="D23" s="1188"/>
      <c r="E23" s="1188"/>
      <c r="F23" s="1188"/>
      <c r="G23" s="1373"/>
      <c r="H23" s="856"/>
      <c r="I23" s="40"/>
      <c r="J23" s="40"/>
      <c r="K23" s="40"/>
      <c r="L23" s="40"/>
      <c r="M23" s="40"/>
      <c r="N23" s="40"/>
      <c r="Q23" s="1372">
        <v>18</v>
      </c>
      <c r="R23" s="782">
        <v>4.4999999999999997E-3</v>
      </c>
      <c r="S23" s="782">
        <v>4.5999999999999999E-3</v>
      </c>
      <c r="T23" s="782">
        <v>4.5999999999999999E-3</v>
      </c>
      <c r="U23" s="782">
        <v>4.3E-3</v>
      </c>
      <c r="V23" s="782">
        <v>4.0000000000000001E-3</v>
      </c>
      <c r="W23" s="40"/>
      <c r="X23" s="40"/>
      <c r="Y23" s="40"/>
      <c r="Z23" s="1222"/>
    </row>
    <row r="24" spans="1:26" ht="15.75" x14ac:dyDescent="0.3">
      <c r="A24" s="1376"/>
      <c r="B24" s="1365" t="s">
        <v>201</v>
      </c>
      <c r="C24" s="1365" t="s">
        <v>202</v>
      </c>
      <c r="D24" s="1365" t="s">
        <v>203</v>
      </c>
      <c r="E24" s="1365" t="s">
        <v>204</v>
      </c>
      <c r="F24" s="1365" t="s">
        <v>205</v>
      </c>
      <c r="G24" s="1373"/>
      <c r="H24" s="856"/>
      <c r="I24" s="40"/>
      <c r="J24" s="40"/>
      <c r="K24" s="40"/>
      <c r="L24" s="40"/>
      <c r="M24" s="40"/>
      <c r="Q24" s="782">
        <v>10</v>
      </c>
      <c r="R24" s="782">
        <v>5.1000000000000004E-3</v>
      </c>
      <c r="S24" s="782">
        <v>5.7000000000000002E-3</v>
      </c>
      <c r="T24" s="782">
        <v>5.7999999999999996E-3</v>
      </c>
      <c r="U24" s="782">
        <v>6.0000000000000001E-3</v>
      </c>
      <c r="V24" s="782">
        <v>6.0000000000000001E-3</v>
      </c>
      <c r="W24" s="40"/>
      <c r="X24" s="40"/>
      <c r="Y24" s="40"/>
      <c r="Z24" s="1222"/>
    </row>
    <row r="25" spans="1:26" x14ac:dyDescent="0.2">
      <c r="A25" s="1297" t="s">
        <v>68</v>
      </c>
      <c r="B25" s="1365">
        <v>0</v>
      </c>
      <c r="C25" s="1365">
        <v>0</v>
      </c>
      <c r="D25" s="1365">
        <v>45</v>
      </c>
      <c r="E25" s="1365">
        <v>45</v>
      </c>
      <c r="F25" s="1365">
        <v>0</v>
      </c>
      <c r="G25" s="1373"/>
      <c r="H25" s="856"/>
      <c r="I25" s="40"/>
      <c r="J25" s="40"/>
      <c r="K25" s="40"/>
      <c r="L25" s="40"/>
      <c r="M25" s="40"/>
      <c r="Q25" s="778">
        <v>6</v>
      </c>
      <c r="R25" s="778">
        <v>6.4000000000000003E-3</v>
      </c>
      <c r="S25" s="778">
        <v>7.1000000000000004E-3</v>
      </c>
      <c r="T25" s="778">
        <v>7.3000000000000001E-3</v>
      </c>
      <c r="U25" s="778">
        <v>7.7000000000000002E-3</v>
      </c>
      <c r="V25" s="778">
        <v>8.0000000000000002E-3</v>
      </c>
      <c r="W25" s="40"/>
      <c r="X25" s="40"/>
      <c r="Y25" s="40"/>
      <c r="Z25" s="1222"/>
    </row>
    <row r="26" spans="1:26" x14ac:dyDescent="0.2">
      <c r="A26" s="1297" t="s">
        <v>69</v>
      </c>
      <c r="B26" s="1365">
        <v>30</v>
      </c>
      <c r="C26" s="1365">
        <v>75</v>
      </c>
      <c r="D26" s="1365">
        <v>0</v>
      </c>
      <c r="E26" s="1365">
        <v>0</v>
      </c>
      <c r="F26" s="1365">
        <v>75</v>
      </c>
      <c r="G26" s="1373"/>
      <c r="M26" s="40"/>
      <c r="Q26" s="754">
        <v>4</v>
      </c>
      <c r="R26" s="754">
        <v>7.6E-3</v>
      </c>
      <c r="S26" s="754">
        <v>8.5000000000000006E-3</v>
      </c>
      <c r="T26" s="754">
        <v>8.9999999999999993E-3</v>
      </c>
      <c r="U26" s="754">
        <v>9.1999999999999998E-3</v>
      </c>
      <c r="V26" s="754">
        <v>9.4999999999999998E-3</v>
      </c>
      <c r="W26" s="40"/>
      <c r="X26" s="40"/>
      <c r="Y26" s="40"/>
      <c r="Z26" s="1222"/>
    </row>
    <row r="27" spans="1:26" x14ac:dyDescent="0.2">
      <c r="A27" s="1377" t="s">
        <v>55</v>
      </c>
      <c r="B27" s="1365"/>
      <c r="C27" s="1365"/>
      <c r="D27" s="1365"/>
      <c r="E27" s="1365"/>
      <c r="F27" s="1365"/>
      <c r="G27" s="1373"/>
      <c r="M27" s="40"/>
      <c r="Q27" s="782">
        <v>0.5</v>
      </c>
      <c r="R27" s="782">
        <v>2.1999999999999999E-2</v>
      </c>
      <c r="S27" s="782">
        <v>2.2499999999999999E-2</v>
      </c>
      <c r="T27" s="782">
        <v>2.1999999999999999E-2</v>
      </c>
      <c r="U27" s="782">
        <v>0.02</v>
      </c>
      <c r="V27" s="782">
        <v>1.7999999999999999E-2</v>
      </c>
      <c r="W27" s="40"/>
      <c r="X27" s="40"/>
      <c r="Y27" s="40" t="s">
        <v>388</v>
      </c>
      <c r="Z27" s="1222"/>
    </row>
    <row r="28" spans="1:26" x14ac:dyDescent="0.2">
      <c r="A28" s="759">
        <v>0</v>
      </c>
      <c r="B28" s="1370">
        <v>0</v>
      </c>
      <c r="C28" s="1370">
        <v>0</v>
      </c>
      <c r="D28" s="1370">
        <v>0</v>
      </c>
      <c r="E28" s="1370">
        <v>0</v>
      </c>
      <c r="F28" s="1370">
        <v>0</v>
      </c>
      <c r="G28" s="1373"/>
      <c r="M28" s="40"/>
      <c r="Q28" s="779"/>
      <c r="R28" s="34"/>
      <c r="S28" s="34"/>
      <c r="T28" s="34"/>
      <c r="U28" s="34"/>
      <c r="V28" s="34"/>
      <c r="W28" s="40"/>
      <c r="X28" s="40"/>
      <c r="Y28" s="40"/>
      <c r="Z28" s="1222"/>
    </row>
    <row r="29" spans="1:26" x14ac:dyDescent="0.2">
      <c r="A29" s="759">
        <v>0.5</v>
      </c>
      <c r="B29" s="1371"/>
      <c r="C29" s="1371"/>
      <c r="D29" s="1943">
        <v>2.1999999999999999E-2</v>
      </c>
      <c r="E29" s="1943">
        <v>2.1999999999999999E-2</v>
      </c>
      <c r="F29" s="1943">
        <v>8.0000000000000002E-3</v>
      </c>
      <c r="G29" s="1373"/>
      <c r="Q29" s="1261" t="s">
        <v>159</v>
      </c>
      <c r="R29" s="40"/>
      <c r="S29" s="40"/>
      <c r="T29" s="40"/>
      <c r="U29" s="40"/>
      <c r="V29" s="40"/>
      <c r="W29" s="40"/>
      <c r="X29" s="40"/>
      <c r="Y29" s="40"/>
      <c r="Z29" s="1222"/>
    </row>
    <row r="30" spans="1:26" x14ac:dyDescent="0.2">
      <c r="A30" s="759">
        <v>4</v>
      </c>
      <c r="B30" s="1943">
        <v>6.7000000000000002E-3</v>
      </c>
      <c r="C30" s="1943">
        <v>3.0999999999999999E-3</v>
      </c>
      <c r="D30" s="1371"/>
      <c r="E30" s="1943">
        <v>7.6E-3</v>
      </c>
      <c r="F30" s="1371"/>
      <c r="G30" s="1373"/>
      <c r="Q30" s="1267" t="s">
        <v>160</v>
      </c>
      <c r="R30" s="776"/>
      <c r="S30" s="776"/>
      <c r="T30" s="776"/>
      <c r="U30" s="776"/>
      <c r="V30" s="776"/>
      <c r="W30" s="776"/>
      <c r="X30" s="776"/>
      <c r="Y30" s="776"/>
      <c r="Z30" s="1264"/>
    </row>
    <row r="31" spans="1:26" x14ac:dyDescent="0.2">
      <c r="A31" s="759">
        <v>6</v>
      </c>
      <c r="B31" s="1943">
        <v>5.1999999999999998E-3</v>
      </c>
      <c r="C31" s="1943">
        <v>2.7000000000000001E-3</v>
      </c>
      <c r="D31" s="1371"/>
      <c r="E31" s="1943">
        <v>6.4000000000000003E-3</v>
      </c>
      <c r="F31" s="1371"/>
      <c r="G31" s="1373"/>
      <c r="Q31" s="1378"/>
      <c r="R31" s="1378"/>
      <c r="S31" s="1378"/>
      <c r="T31" s="1378"/>
      <c r="U31" s="1378"/>
      <c r="V31" s="1378"/>
      <c r="W31" s="1378"/>
      <c r="X31" s="1378"/>
      <c r="Y31" s="1378"/>
      <c r="Z31" s="1378"/>
    </row>
    <row r="32" spans="1:26" x14ac:dyDescent="0.2">
      <c r="A32" s="759">
        <v>10</v>
      </c>
      <c r="B32" s="1943">
        <v>4.1000000000000003E-3</v>
      </c>
      <c r="C32" s="1943">
        <v>2.0999999999999999E-3</v>
      </c>
      <c r="D32" s="1371"/>
      <c r="E32" s="1943">
        <v>5.1000000000000004E-3</v>
      </c>
      <c r="F32" s="1371"/>
      <c r="G32" s="1373"/>
      <c r="Q32" s="799"/>
      <c r="R32" s="1043"/>
      <c r="S32" s="1043"/>
      <c r="T32" s="1043"/>
      <c r="U32" s="1043"/>
      <c r="V32" s="1043"/>
      <c r="W32" s="1043"/>
      <c r="X32" s="1043"/>
      <c r="Y32" s="1043"/>
      <c r="Z32" s="1219"/>
    </row>
    <row r="33" spans="1:26" x14ac:dyDescent="0.2">
      <c r="A33" s="759">
        <v>15</v>
      </c>
      <c r="B33" s="1943">
        <f>(B32-B34)*3/8+B34</f>
        <v>3.6625E-3</v>
      </c>
      <c r="C33" s="1943">
        <f>(C32-C34)*3/8+C34</f>
        <v>1.7875E-3</v>
      </c>
      <c r="D33" s="1371"/>
      <c r="E33" s="1943">
        <f>(E32-E34)*3/8+E34</f>
        <v>4.725E-3</v>
      </c>
      <c r="F33" s="1371"/>
      <c r="G33" s="1373"/>
      <c r="Q33" s="1261" t="s">
        <v>10</v>
      </c>
      <c r="R33" s="40"/>
      <c r="S33" s="40"/>
      <c r="T33" s="40"/>
      <c r="U33" s="40"/>
      <c r="V33" s="40"/>
      <c r="W33" s="40"/>
      <c r="X33" s="40"/>
      <c r="Y33" s="40"/>
      <c r="Z33" s="1222"/>
    </row>
    <row r="34" spans="1:26" x14ac:dyDescent="0.2">
      <c r="A34" s="759">
        <v>18</v>
      </c>
      <c r="B34" s="1943">
        <v>3.3999999999999998E-3</v>
      </c>
      <c r="C34" s="1943">
        <v>1.6000000000000001E-3</v>
      </c>
      <c r="D34" s="1371"/>
      <c r="E34" s="1943">
        <v>4.4999999999999997E-3</v>
      </c>
      <c r="F34" s="1371"/>
      <c r="G34" s="1198"/>
      <c r="Q34" s="1261" t="s">
        <v>64</v>
      </c>
      <c r="R34" s="40"/>
      <c r="S34" s="40"/>
      <c r="T34" s="40"/>
      <c r="U34" s="40"/>
      <c r="V34" s="40"/>
      <c r="W34" s="40"/>
      <c r="X34" s="40"/>
      <c r="Y34" s="40"/>
      <c r="Z34" s="1222"/>
    </row>
    <row r="35" spans="1:26" ht="16.5" x14ac:dyDescent="0.2">
      <c r="A35" s="759" t="s">
        <v>189</v>
      </c>
      <c r="B35" s="1943">
        <v>6.4999999999999997E-3</v>
      </c>
      <c r="C35" s="1943">
        <v>3.3E-3</v>
      </c>
      <c r="D35" s="1371"/>
      <c r="E35" s="1943">
        <v>7.3000000000000001E-3</v>
      </c>
      <c r="F35" s="1371"/>
      <c r="G35" s="1198"/>
      <c r="Q35" s="1013" t="s">
        <v>2</v>
      </c>
      <c r="R35" s="754" t="s">
        <v>118</v>
      </c>
      <c r="S35" s="754" t="s">
        <v>119</v>
      </c>
      <c r="T35" s="40"/>
      <c r="U35" s="40"/>
      <c r="V35" s="40"/>
      <c r="W35" s="40"/>
      <c r="X35" s="40"/>
      <c r="Y35" s="40"/>
      <c r="Z35" s="1222"/>
    </row>
    <row r="36" spans="1:26" x14ac:dyDescent="0.2">
      <c r="A36" s="759" t="s">
        <v>278</v>
      </c>
      <c r="B36" s="1943">
        <v>4.7999999999999996E-3</v>
      </c>
      <c r="C36" s="1943">
        <v>2.3E-3</v>
      </c>
      <c r="D36" s="1371"/>
      <c r="E36" s="1943">
        <v>6.1000000000000004E-3</v>
      </c>
      <c r="F36" s="1371"/>
      <c r="G36" s="1198"/>
      <c r="Q36" s="1067" t="s">
        <v>55</v>
      </c>
      <c r="R36" s="755" t="s">
        <v>65</v>
      </c>
      <c r="S36" s="755" t="s">
        <v>66</v>
      </c>
      <c r="T36" s="40"/>
      <c r="U36" s="40"/>
      <c r="V36" s="40"/>
      <c r="W36" s="40"/>
      <c r="X36" s="40"/>
      <c r="Y36" s="40"/>
      <c r="Z36" s="1222"/>
    </row>
    <row r="37" spans="1:26" x14ac:dyDescent="0.2">
      <c r="A37" s="759" t="s">
        <v>188</v>
      </c>
      <c r="B37" s="1943">
        <v>6.4999999999999997E-3</v>
      </c>
      <c r="C37" s="1943">
        <v>3.5000000000000001E-3</v>
      </c>
      <c r="D37" s="1371"/>
      <c r="E37" s="1943">
        <v>8.3000000000000001E-3</v>
      </c>
      <c r="F37" s="1371"/>
      <c r="G37" s="1198"/>
      <c r="Q37" s="782">
        <v>25</v>
      </c>
      <c r="R37" s="782">
        <v>0.16</v>
      </c>
      <c r="S37" s="782">
        <f t="shared" ref="S37:S43" si="0">R37*0.01*100/4</f>
        <v>0.04</v>
      </c>
      <c r="T37" s="40"/>
      <c r="U37" s="40"/>
      <c r="V37" s="40"/>
      <c r="W37" s="40"/>
      <c r="X37" s="40"/>
      <c r="Y37" s="40"/>
      <c r="Z37" s="1222"/>
    </row>
    <row r="38" spans="1:26" x14ac:dyDescent="0.2">
      <c r="A38" s="40"/>
      <c r="B38" s="40"/>
      <c r="C38" s="40"/>
      <c r="D38" s="40"/>
      <c r="E38" s="40"/>
      <c r="F38" s="40"/>
      <c r="G38" s="1198"/>
      <c r="Q38" s="1372">
        <v>18</v>
      </c>
      <c r="R38" s="782">
        <v>0.15</v>
      </c>
      <c r="S38" s="782">
        <f t="shared" si="0"/>
        <v>3.7499999999999999E-2</v>
      </c>
      <c r="T38" s="40"/>
      <c r="U38" s="40"/>
      <c r="V38" s="40"/>
      <c r="W38" s="40"/>
      <c r="X38" s="40"/>
      <c r="Y38" s="40"/>
      <c r="Z38" s="1222"/>
    </row>
    <row r="39" spans="1:26" ht="15" thickBot="1" x14ac:dyDescent="0.25">
      <c r="A39" s="773"/>
      <c r="B39" s="773"/>
      <c r="C39" s="773"/>
      <c r="D39" s="773"/>
      <c r="E39" s="773"/>
      <c r="F39" s="773"/>
      <c r="G39" s="1327"/>
      <c r="Q39" s="1372">
        <v>15</v>
      </c>
      <c r="R39" s="782">
        <v>0.13</v>
      </c>
      <c r="S39" s="782">
        <f t="shared" si="0"/>
        <v>3.2500000000000001E-2</v>
      </c>
      <c r="T39" s="40"/>
      <c r="U39" s="40"/>
      <c r="V39" s="40"/>
      <c r="W39" s="40"/>
      <c r="X39" s="40"/>
      <c r="Y39" s="40"/>
      <c r="Z39" s="1222"/>
    </row>
    <row r="40" spans="1:26" x14ac:dyDescent="0.2">
      <c r="Q40" s="782">
        <v>10</v>
      </c>
      <c r="R40" s="782">
        <v>0.09</v>
      </c>
      <c r="S40" s="782">
        <f t="shared" si="0"/>
        <v>2.2499999999999999E-2</v>
      </c>
      <c r="T40" s="40"/>
      <c r="U40" s="40"/>
      <c r="V40" s="40"/>
      <c r="W40" s="40"/>
      <c r="X40" s="40"/>
      <c r="Y40" s="40"/>
      <c r="Z40" s="1222"/>
    </row>
    <row r="41" spans="1:26" x14ac:dyDescent="0.2">
      <c r="Q41" s="782">
        <v>6</v>
      </c>
      <c r="R41" s="782">
        <v>7.0000000000000007E-2</v>
      </c>
      <c r="S41" s="782">
        <f t="shared" si="0"/>
        <v>1.7500000000000002E-2</v>
      </c>
      <c r="T41" s="40"/>
      <c r="U41" s="40"/>
      <c r="V41" s="40"/>
      <c r="W41" s="40"/>
      <c r="X41" s="40"/>
      <c r="Y41" s="40"/>
      <c r="Z41" s="1222"/>
    </row>
    <row r="42" spans="1:26" x14ac:dyDescent="0.2">
      <c r="Q42" s="782">
        <v>4</v>
      </c>
      <c r="R42" s="782">
        <v>0.06</v>
      </c>
      <c r="S42" s="782">
        <f>R42*0.01*100/4</f>
        <v>1.4999999999999999E-2</v>
      </c>
      <c r="T42" s="40"/>
      <c r="U42" s="40"/>
      <c r="V42" s="40"/>
      <c r="W42" s="40"/>
      <c r="X42" s="40"/>
      <c r="Y42" s="40"/>
      <c r="Z42" s="1222"/>
    </row>
    <row r="43" spans="1:26" x14ac:dyDescent="0.2">
      <c r="Q43" s="782">
        <v>0.5</v>
      </c>
      <c r="R43" s="782">
        <v>9.5000000000000001E-2</v>
      </c>
      <c r="S43" s="782">
        <f t="shared" si="0"/>
        <v>2.375E-2</v>
      </c>
      <c r="T43" s="40"/>
      <c r="U43" s="40"/>
      <c r="V43" s="40"/>
      <c r="W43" s="40"/>
      <c r="X43" s="40"/>
      <c r="Y43" s="40"/>
      <c r="Z43" s="1222"/>
    </row>
    <row r="44" spans="1:26" x14ac:dyDescent="0.2">
      <c r="Q44" s="1261" t="s">
        <v>161</v>
      </c>
      <c r="R44" s="40"/>
      <c r="S44" s="40"/>
      <c r="T44" s="40"/>
      <c r="U44" s="40"/>
      <c r="V44" s="40"/>
      <c r="W44" s="40"/>
      <c r="X44" s="40"/>
      <c r="Y44" s="40"/>
      <c r="Z44" s="1222"/>
    </row>
    <row r="45" spans="1:26" x14ac:dyDescent="0.2">
      <c r="Q45" s="1261"/>
      <c r="R45" s="40"/>
      <c r="S45" s="40"/>
      <c r="T45" s="40"/>
      <c r="U45" s="40"/>
      <c r="V45" s="40"/>
      <c r="W45" s="40"/>
      <c r="X45" s="40"/>
      <c r="Y45" s="40"/>
      <c r="Z45" s="1222"/>
    </row>
    <row r="46" spans="1:26" x14ac:dyDescent="0.2">
      <c r="Q46" s="1261"/>
      <c r="R46" s="40"/>
      <c r="S46" s="40"/>
      <c r="T46" s="40"/>
      <c r="U46" s="40"/>
      <c r="V46" s="40"/>
      <c r="W46" s="40"/>
      <c r="X46" s="40"/>
      <c r="Y46" s="40"/>
      <c r="Z46" s="1222"/>
    </row>
    <row r="47" spans="1:26" x14ac:dyDescent="0.2">
      <c r="Q47" s="1261" t="s">
        <v>10</v>
      </c>
      <c r="R47" s="40"/>
      <c r="S47" s="40"/>
      <c r="T47" s="40"/>
      <c r="U47" s="40"/>
      <c r="V47" s="40"/>
      <c r="W47" s="40"/>
      <c r="X47" s="40"/>
      <c r="Y47" s="40"/>
      <c r="Z47" s="1222"/>
    </row>
    <row r="48" spans="1:26" x14ac:dyDescent="0.2">
      <c r="Q48" s="1261" t="s">
        <v>80</v>
      </c>
      <c r="R48" s="40"/>
      <c r="S48" s="40"/>
      <c r="T48" s="40"/>
      <c r="U48" s="40"/>
      <c r="V48" s="40"/>
      <c r="W48" s="40"/>
      <c r="X48" s="40"/>
      <c r="Y48" s="40"/>
      <c r="Z48" s="1222"/>
    </row>
    <row r="49" spans="1:26" x14ac:dyDescent="0.2">
      <c r="Q49" s="1067" t="s">
        <v>55</v>
      </c>
      <c r="R49" s="782"/>
      <c r="S49" s="40"/>
      <c r="T49" s="40"/>
      <c r="U49" s="40"/>
      <c r="V49" s="40"/>
      <c r="W49" s="40"/>
      <c r="X49" s="40"/>
      <c r="Y49" s="40"/>
      <c r="Z49" s="1222"/>
    </row>
    <row r="50" spans="1:26" ht="16.5" x14ac:dyDescent="0.2">
      <c r="Q50" s="1067"/>
      <c r="R50" s="754" t="s">
        <v>164</v>
      </c>
      <c r="S50" s="754"/>
      <c r="T50" s="40"/>
      <c r="U50" s="40"/>
      <c r="V50" s="40"/>
      <c r="W50" s="40"/>
      <c r="X50" s="40"/>
      <c r="Y50" s="40"/>
      <c r="Z50" s="1222"/>
    </row>
    <row r="51" spans="1:26" x14ac:dyDescent="0.2">
      <c r="A51" s="40"/>
      <c r="Q51" s="782"/>
      <c r="R51" s="781" t="s">
        <v>81</v>
      </c>
      <c r="S51" s="1211"/>
      <c r="T51" s="979"/>
      <c r="U51" s="1379"/>
      <c r="V51" s="40"/>
      <c r="W51" s="40"/>
      <c r="X51" s="40"/>
      <c r="Y51" s="40"/>
      <c r="Z51" s="1222"/>
    </row>
    <row r="52" spans="1:26" x14ac:dyDescent="0.2">
      <c r="A52" s="1188"/>
      <c r="Q52" s="1380"/>
      <c r="R52" s="782">
        <v>0</v>
      </c>
      <c r="S52" s="782">
        <v>30</v>
      </c>
      <c r="T52" s="782">
        <v>45</v>
      </c>
      <c r="U52" s="782">
        <v>60</v>
      </c>
      <c r="V52" s="40"/>
      <c r="W52" s="40"/>
      <c r="X52" s="40"/>
      <c r="Y52" s="40"/>
      <c r="Z52" s="1222"/>
    </row>
    <row r="53" spans="1:26" x14ac:dyDescent="0.2">
      <c r="Q53" s="782">
        <v>6</v>
      </c>
      <c r="R53" s="782">
        <v>1E-3</v>
      </c>
      <c r="S53" s="782">
        <v>5.0000000000000001E-3</v>
      </c>
      <c r="T53" s="782">
        <v>6.0000000000000001E-3</v>
      </c>
      <c r="U53" s="782">
        <v>6.4999999999999997E-3</v>
      </c>
      <c r="V53" s="40"/>
      <c r="W53" s="40"/>
      <c r="X53" s="40"/>
      <c r="Y53" s="40"/>
      <c r="Z53" s="1222"/>
    </row>
    <row r="54" spans="1:26" x14ac:dyDescent="0.2">
      <c r="A54" s="883"/>
      <c r="Q54" s="781"/>
      <c r="R54" s="1211"/>
      <c r="S54" s="1211"/>
      <c r="T54" s="776"/>
      <c r="U54" s="776"/>
      <c r="V54" s="776"/>
      <c r="W54" s="776"/>
      <c r="X54" s="776"/>
      <c r="Y54" s="776"/>
      <c r="Z54" s="1264"/>
    </row>
    <row r="55" spans="1:26" x14ac:dyDescent="0.2">
      <c r="A55" s="883"/>
    </row>
    <row r="56" spans="1:26" x14ac:dyDescent="0.2">
      <c r="A56" s="599"/>
      <c r="Q56" s="1381" t="s">
        <v>517</v>
      </c>
      <c r="R56" s="1382" t="s">
        <v>518</v>
      </c>
      <c r="S56" s="1382"/>
      <c r="T56" s="1383"/>
      <c r="U56" s="1382"/>
      <c r="V56" s="1383"/>
      <c r="W56" s="1382"/>
      <c r="X56" s="1382"/>
      <c r="Y56" s="1382"/>
      <c r="Z56" s="1384"/>
    </row>
    <row r="57" spans="1:26" x14ac:dyDescent="0.2">
      <c r="A57" s="599"/>
      <c r="Q57" s="1261" t="s">
        <v>519</v>
      </c>
      <c r="R57" s="40"/>
      <c r="S57" s="34"/>
      <c r="T57" s="34"/>
      <c r="U57" s="34"/>
      <c r="V57" s="34"/>
      <c r="W57" s="40"/>
      <c r="X57" s="40"/>
      <c r="Y57" s="40"/>
      <c r="Z57" s="1000"/>
    </row>
    <row r="58" spans="1:26" x14ac:dyDescent="0.2">
      <c r="A58" s="599"/>
      <c r="Q58" s="779"/>
      <c r="R58" s="2124" t="s">
        <v>63</v>
      </c>
      <c r="S58" s="2125"/>
      <c r="T58" s="2125"/>
      <c r="U58" s="2125"/>
      <c r="V58" s="2126"/>
      <c r="W58" s="40"/>
      <c r="X58" s="34"/>
      <c r="Y58" s="40"/>
      <c r="Z58" s="1368"/>
    </row>
    <row r="59" spans="1:26" x14ac:dyDescent="0.2">
      <c r="A59" s="599"/>
      <c r="Q59" s="1385" t="s">
        <v>55</v>
      </c>
      <c r="R59" s="1386">
        <v>0</v>
      </c>
      <c r="S59" s="1386">
        <v>30</v>
      </c>
      <c r="T59" s="1386">
        <v>45</v>
      </c>
      <c r="U59" s="1386">
        <v>60</v>
      </c>
      <c r="V59" s="1386">
        <v>75</v>
      </c>
      <c r="W59" s="40"/>
      <c r="X59" s="853"/>
      <c r="Y59" s="34"/>
      <c r="Z59" s="1000"/>
    </row>
    <row r="60" spans="1:26" x14ac:dyDescent="0.2">
      <c r="A60" s="872"/>
      <c r="Q60" s="1386" t="s">
        <v>188</v>
      </c>
      <c r="R60" s="1386">
        <v>6.6E-3</v>
      </c>
      <c r="S60" s="1386">
        <v>6.4999999999999997E-3</v>
      </c>
      <c r="T60" s="1386">
        <v>5.7999999999999996E-3</v>
      </c>
      <c r="U60" s="1386">
        <v>5.0000000000000001E-3</v>
      </c>
      <c r="V60" s="1386">
        <v>3.5000000000000001E-3</v>
      </c>
      <c r="W60" s="40"/>
      <c r="X60" s="34"/>
      <c r="Y60" s="34"/>
      <c r="Z60" s="1000"/>
    </row>
    <row r="61" spans="1:26" x14ac:dyDescent="0.2">
      <c r="A61" s="599"/>
      <c r="Q61" s="1386" t="s">
        <v>189</v>
      </c>
      <c r="R61" s="1386">
        <v>6.7999999999999996E-3</v>
      </c>
      <c r="S61" s="1386">
        <v>6.4999999999999997E-3</v>
      </c>
      <c r="T61" s="1386">
        <v>6.0000000000000001E-3</v>
      </c>
      <c r="U61" s="1386">
        <v>4.8999999999999998E-3</v>
      </c>
      <c r="V61" s="1386">
        <v>3.3E-3</v>
      </c>
      <c r="W61" s="40"/>
      <c r="X61" s="34"/>
      <c r="Y61" s="34"/>
      <c r="Z61" s="1000"/>
    </row>
    <row r="62" spans="1:26" x14ac:dyDescent="0.2">
      <c r="Q62" s="1386" t="s">
        <v>278</v>
      </c>
      <c r="R62" s="1386">
        <v>4.7999999999999996E-3</v>
      </c>
      <c r="S62" s="1386">
        <v>4.7999999999999996E-3</v>
      </c>
      <c r="T62" s="1386">
        <v>4.1999999999999997E-3</v>
      </c>
      <c r="U62" s="1386">
        <v>3.5000000000000001E-3</v>
      </c>
      <c r="V62" s="1386">
        <v>2.3E-3</v>
      </c>
      <c r="W62" s="40"/>
      <c r="X62" s="1313"/>
      <c r="Y62" s="34"/>
      <c r="Z62" s="1000"/>
    </row>
    <row r="63" spans="1:26" x14ac:dyDescent="0.2">
      <c r="Q63" s="1261"/>
      <c r="R63" s="40"/>
      <c r="S63" s="40"/>
      <c r="T63" s="40"/>
      <c r="U63" s="40"/>
      <c r="V63" s="40"/>
      <c r="W63" s="40"/>
      <c r="X63" s="34"/>
      <c r="Y63" s="34"/>
      <c r="Z63" s="1000"/>
    </row>
    <row r="64" spans="1:26" x14ac:dyDescent="0.2">
      <c r="Q64" s="1261"/>
      <c r="R64" s="40"/>
      <c r="S64" s="40"/>
      <c r="T64" s="40"/>
      <c r="U64" s="40"/>
      <c r="V64" s="40"/>
      <c r="W64" s="40"/>
      <c r="X64" s="34"/>
      <c r="Y64" s="34"/>
      <c r="Z64" s="1000"/>
    </row>
    <row r="65" spans="17:26" x14ac:dyDescent="0.2">
      <c r="Q65" s="1261"/>
      <c r="R65" s="40"/>
      <c r="S65" s="40"/>
      <c r="T65" s="40"/>
      <c r="U65" s="40"/>
      <c r="V65" s="40"/>
      <c r="W65" s="40"/>
      <c r="X65" s="34"/>
      <c r="Y65" s="34"/>
      <c r="Z65" s="1000"/>
    </row>
    <row r="66" spans="17:26" ht="16.5" x14ac:dyDescent="0.2">
      <c r="Q66" s="1261" t="s">
        <v>520</v>
      </c>
      <c r="R66" s="40"/>
      <c r="S66" s="34"/>
      <c r="T66" s="34"/>
      <c r="U66" s="34"/>
      <c r="V66" s="34"/>
      <c r="W66" s="40"/>
      <c r="X66" s="34"/>
      <c r="Y66" s="34"/>
      <c r="Z66" s="1000"/>
    </row>
    <row r="67" spans="17:26" x14ac:dyDescent="0.2">
      <c r="Q67" s="779"/>
      <c r="R67" s="2124" t="s">
        <v>63</v>
      </c>
      <c r="S67" s="2125"/>
      <c r="T67" s="2125"/>
      <c r="U67" s="2125"/>
      <c r="V67" s="2126"/>
      <c r="W67" s="40"/>
      <c r="X67" s="40"/>
      <c r="Y67" s="40"/>
      <c r="Z67" s="1222"/>
    </row>
    <row r="68" spans="17:26" x14ac:dyDescent="0.2">
      <c r="Q68" s="1385" t="s">
        <v>55</v>
      </c>
      <c r="R68" s="1386">
        <v>0</v>
      </c>
      <c r="S68" s="1386">
        <v>30</v>
      </c>
      <c r="T68" s="1386">
        <v>45</v>
      </c>
      <c r="U68" s="1386">
        <v>60</v>
      </c>
      <c r="V68" s="1386">
        <v>75</v>
      </c>
      <c r="W68" s="40"/>
      <c r="X68" s="40"/>
      <c r="Y68" s="40"/>
      <c r="Z68" s="1222"/>
    </row>
    <row r="69" spans="17:26" x14ac:dyDescent="0.2">
      <c r="Q69" s="1386" t="s">
        <v>188</v>
      </c>
      <c r="R69" s="1386">
        <v>8.3000000000000001E-3</v>
      </c>
      <c r="S69" s="1386">
        <v>8.8000000000000005E-3</v>
      </c>
      <c r="T69" s="1386">
        <v>9.1000000000000004E-3</v>
      </c>
      <c r="U69" s="1386">
        <v>9.5999999999999992E-3</v>
      </c>
      <c r="V69" s="1386">
        <v>9.7999999999999997E-3</v>
      </c>
      <c r="W69" s="40"/>
      <c r="X69" s="40"/>
      <c r="Y69" s="40"/>
      <c r="Z69" s="1222"/>
    </row>
    <row r="70" spans="17:26" x14ac:dyDescent="0.2">
      <c r="Q70" s="1386" t="s">
        <v>189</v>
      </c>
      <c r="R70" s="1386">
        <v>7.3000000000000001E-3</v>
      </c>
      <c r="S70" s="1386">
        <v>8.0000000000000002E-3</v>
      </c>
      <c r="T70" s="1386">
        <v>8.0999999999999996E-3</v>
      </c>
      <c r="U70" s="1386">
        <v>8.2000000000000007E-3</v>
      </c>
      <c r="V70" s="1386">
        <v>8.2000000000000007E-3</v>
      </c>
      <c r="W70" s="40"/>
      <c r="X70" s="40"/>
      <c r="Y70" s="40"/>
      <c r="Z70" s="1222"/>
    </row>
    <row r="71" spans="17:26" x14ac:dyDescent="0.2">
      <c r="Q71" s="1387" t="s">
        <v>278</v>
      </c>
      <c r="R71" s="1387">
        <v>6.1000000000000004E-3</v>
      </c>
      <c r="S71" s="1387">
        <v>6.1000000000000004E-3</v>
      </c>
      <c r="T71" s="1387">
        <v>6.1000000000000004E-3</v>
      </c>
      <c r="U71" s="1387">
        <v>5.7000000000000002E-3</v>
      </c>
      <c r="V71" s="1387">
        <v>5.3E-3</v>
      </c>
      <c r="W71" s="40"/>
      <c r="X71" s="40"/>
      <c r="Y71" s="40"/>
      <c r="Z71" s="1222"/>
    </row>
    <row r="72" spans="17:26" x14ac:dyDescent="0.2">
      <c r="Q72" s="1388"/>
      <c r="R72" s="1383"/>
      <c r="S72" s="1383"/>
      <c r="T72" s="1383"/>
      <c r="U72" s="1383"/>
      <c r="V72" s="1383"/>
      <c r="W72" s="40"/>
      <c r="X72" s="40"/>
      <c r="Y72" s="40"/>
      <c r="Z72" s="1222"/>
    </row>
    <row r="73" spans="17:26" x14ac:dyDescent="0.2">
      <c r="Q73" s="779"/>
      <c r="R73" s="34"/>
      <c r="S73" s="34"/>
      <c r="T73" s="34"/>
      <c r="U73" s="34"/>
      <c r="V73" s="34"/>
      <c r="W73" s="40"/>
      <c r="X73" s="40"/>
      <c r="Y73" s="40"/>
      <c r="Z73" s="1222"/>
    </row>
    <row r="74" spans="17:26" x14ac:dyDescent="0.2">
      <c r="Q74" s="779"/>
      <c r="R74" s="34"/>
      <c r="S74" s="34"/>
      <c r="T74" s="34"/>
      <c r="U74" s="34"/>
      <c r="V74" s="34"/>
      <c r="W74" s="40"/>
      <c r="X74" s="40"/>
      <c r="Y74" s="40"/>
      <c r="Z74" s="1222"/>
    </row>
    <row r="75" spans="17:26" x14ac:dyDescent="0.2">
      <c r="Q75" s="779"/>
      <c r="R75" s="34"/>
      <c r="S75" s="34"/>
      <c r="T75" s="34"/>
      <c r="U75" s="34"/>
      <c r="V75" s="34"/>
      <c r="W75" s="40"/>
      <c r="X75" s="40"/>
      <c r="Y75" s="40"/>
      <c r="Z75" s="1222"/>
    </row>
    <row r="76" spans="17:26" x14ac:dyDescent="0.2">
      <c r="Q76" s="935"/>
      <c r="R76" s="745"/>
      <c r="S76" s="745"/>
      <c r="T76" s="745"/>
      <c r="U76" s="745"/>
      <c r="V76" s="745"/>
      <c r="W76" s="40"/>
      <c r="X76" s="40"/>
      <c r="Y76" s="40"/>
      <c r="Z76" s="1222"/>
    </row>
    <row r="77" spans="17:26" x14ac:dyDescent="0.2">
      <c r="Q77" s="935"/>
      <c r="R77" s="745"/>
      <c r="S77" s="745"/>
      <c r="T77" s="745"/>
      <c r="U77" s="745"/>
      <c r="V77" s="745"/>
      <c r="W77" s="40"/>
      <c r="X77" s="40"/>
      <c r="Y77" s="40" t="s">
        <v>388</v>
      </c>
      <c r="Z77" s="1222"/>
    </row>
    <row r="78" spans="17:26" x14ac:dyDescent="0.2">
      <c r="Q78" s="1389"/>
      <c r="R78" s="776"/>
      <c r="S78" s="776"/>
      <c r="T78" s="776"/>
      <c r="U78" s="776"/>
      <c r="V78" s="776"/>
      <c r="W78" s="776"/>
      <c r="X78" s="776"/>
      <c r="Y78" s="776"/>
      <c r="Z78" s="1264"/>
    </row>
    <row r="87" spans="18:23" x14ac:dyDescent="0.2">
      <c r="R87" s="40"/>
      <c r="S87" s="40"/>
      <c r="T87" s="40"/>
      <c r="U87" s="40"/>
      <c r="V87" s="40"/>
      <c r="W87" s="40"/>
    </row>
    <row r="88" spans="18:23" x14ac:dyDescent="0.2">
      <c r="R88" s="40"/>
      <c r="S88" s="40"/>
      <c r="T88" s="34"/>
      <c r="U88" s="34"/>
      <c r="V88" s="34"/>
      <c r="W88" s="34"/>
    </row>
    <row r="89" spans="18:23" x14ac:dyDescent="0.2">
      <c r="R89" s="34"/>
      <c r="S89" s="2089"/>
      <c r="T89" s="2089"/>
      <c r="U89" s="2089"/>
      <c r="V89" s="2089"/>
      <c r="W89" s="2089"/>
    </row>
    <row r="90" spans="18:23" x14ac:dyDescent="0.2">
      <c r="R90" s="853"/>
      <c r="S90" s="34"/>
      <c r="T90" s="34"/>
      <c r="U90" s="34"/>
      <c r="V90" s="34"/>
      <c r="W90" s="34"/>
    </row>
    <row r="91" spans="18:23" x14ac:dyDescent="0.2">
      <c r="R91" s="34"/>
      <c r="S91" s="34"/>
      <c r="T91" s="34"/>
      <c r="U91" s="34"/>
      <c r="V91" s="34"/>
      <c r="W91" s="34"/>
    </row>
    <row r="92" spans="18:23" x14ac:dyDescent="0.2">
      <c r="R92" s="40"/>
      <c r="S92" s="40"/>
      <c r="T92" s="40"/>
      <c r="U92" s="40"/>
      <c r="V92" s="40"/>
      <c r="W92" s="40"/>
    </row>
    <row r="93" spans="18:23" x14ac:dyDescent="0.2">
      <c r="R93" s="40"/>
      <c r="S93" s="40"/>
      <c r="T93" s="40"/>
      <c r="U93" s="40"/>
      <c r="V93" s="40"/>
      <c r="W93" s="40"/>
    </row>
    <row r="94" spans="18:23" x14ac:dyDescent="0.2">
      <c r="R94" s="40"/>
      <c r="S94" s="40"/>
      <c r="T94" s="34"/>
      <c r="U94" s="34"/>
      <c r="V94" s="34"/>
      <c r="W94" s="34"/>
    </row>
    <row r="95" spans="18:23" x14ac:dyDescent="0.2">
      <c r="R95" s="34"/>
      <c r="S95" s="2089"/>
      <c r="T95" s="2089"/>
      <c r="U95" s="2089"/>
      <c r="V95" s="2089"/>
      <c r="W95" s="2089"/>
    </row>
    <row r="96" spans="18:23" x14ac:dyDescent="0.2">
      <c r="R96" s="853"/>
      <c r="S96" s="34"/>
      <c r="T96" s="34"/>
      <c r="U96" s="34"/>
      <c r="V96" s="34"/>
      <c r="W96" s="34"/>
    </row>
    <row r="97" spans="18:23" x14ac:dyDescent="0.2">
      <c r="R97" s="34"/>
      <c r="S97" s="34"/>
      <c r="T97" s="34"/>
      <c r="U97" s="34"/>
      <c r="V97" s="34"/>
      <c r="W97" s="34"/>
    </row>
    <row r="98" spans="18:23" x14ac:dyDescent="0.2">
      <c r="R98" s="40"/>
      <c r="S98" s="40"/>
      <c r="T98" s="40"/>
      <c r="U98" s="40"/>
      <c r="V98" s="40"/>
      <c r="W98" s="40"/>
    </row>
    <row r="99" spans="18:23" x14ac:dyDescent="0.2">
      <c r="R99" s="40"/>
      <c r="S99" s="40"/>
      <c r="T99" s="40"/>
      <c r="U99" s="40"/>
      <c r="V99" s="40"/>
      <c r="W99" s="40"/>
    </row>
  </sheetData>
  <mergeCells count="6">
    <mergeCell ref="S95:W95"/>
    <mergeCell ref="R8:V8"/>
    <mergeCell ref="R19:V19"/>
    <mergeCell ref="R58:V58"/>
    <mergeCell ref="R67:V67"/>
    <mergeCell ref="S89:W89"/>
  </mergeCells>
  <phoneticPr fontId="0" type="noConversion"/>
  <pageMargins left="0.70866141732283472" right="0.70866141732283472" top="0.74803149606299213" bottom="0.74803149606299213" header="0.31496062992125984" footer="0.31496062992125984"/>
  <pageSetup paperSize="8" scale="4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FF0000"/>
    <pageSetUpPr fitToPage="1"/>
  </sheetPr>
  <dimension ref="A1:Y66"/>
  <sheetViews>
    <sheetView zoomScaleNormal="100" workbookViewId="0">
      <selection activeCell="B40" sqref="B40"/>
    </sheetView>
  </sheetViews>
  <sheetFormatPr defaultRowHeight="14.25" x14ac:dyDescent="0.2"/>
  <cols>
    <col min="1" max="1" width="17.85546875" style="37" customWidth="1"/>
    <col min="2" max="6" width="10.7109375" style="37" customWidth="1"/>
    <col min="7" max="7" width="10" style="37" bestFit="1" customWidth="1"/>
    <col min="8" max="9" width="10" style="37" customWidth="1"/>
    <col min="10" max="11" width="9.140625" style="37"/>
    <col min="12" max="12" width="9.140625" style="856"/>
    <col min="13" max="13" width="12.7109375" style="37" customWidth="1"/>
    <col min="14" max="19" width="10.7109375" style="738" customWidth="1"/>
    <col min="20" max="20" width="11.5703125" style="37" customWidth="1"/>
    <col min="21" max="16384" width="9.140625" style="37"/>
  </cols>
  <sheetData>
    <row r="1" spans="1:25" s="1192" customFormat="1" ht="27" thickBot="1" x14ac:dyDescent="0.45">
      <c r="A1" s="1191" t="s">
        <v>292</v>
      </c>
      <c r="B1" s="1190"/>
      <c r="C1" s="1360"/>
      <c r="K1" s="1360"/>
      <c r="L1" s="1191" t="s">
        <v>614</v>
      </c>
      <c r="N1" s="1190"/>
      <c r="O1" s="1190"/>
      <c r="P1" s="1190"/>
      <c r="Q1" s="1190"/>
      <c r="R1" s="1190"/>
      <c r="S1" s="1190"/>
    </row>
    <row r="2" spans="1:25" ht="18.75" thickBot="1" x14ac:dyDescent="0.3">
      <c r="A2" s="1193"/>
    </row>
    <row r="3" spans="1:25" ht="18" x14ac:dyDescent="0.25">
      <c r="A3" s="1361" t="s">
        <v>165</v>
      </c>
      <c r="B3" s="983"/>
      <c r="C3" s="983"/>
      <c r="D3" s="1200"/>
      <c r="E3" s="1200"/>
      <c r="F3" s="1200"/>
      <c r="G3" s="1200"/>
      <c r="H3" s="1200"/>
      <c r="I3" s="1204"/>
      <c r="J3" s="34"/>
      <c r="K3" s="34"/>
    </row>
    <row r="4" spans="1:25" ht="18" x14ac:dyDescent="0.25">
      <c r="A4" s="1362"/>
      <c r="B4" s="40"/>
      <c r="C4" s="40"/>
      <c r="D4" s="34"/>
      <c r="E4" s="34"/>
      <c r="F4" s="34"/>
      <c r="G4" s="34"/>
      <c r="H4" s="34"/>
      <c r="I4" s="1292"/>
      <c r="J4" s="34"/>
      <c r="K4" s="34"/>
    </row>
    <row r="5" spans="1:25" ht="18" x14ac:dyDescent="0.25">
      <c r="A5" s="1363"/>
      <c r="B5" s="1188"/>
      <c r="C5" s="1188"/>
      <c r="D5" s="883"/>
      <c r="F5" s="883"/>
      <c r="G5" s="599"/>
      <c r="H5" s="599"/>
      <c r="I5" s="1291"/>
      <c r="J5" s="34"/>
      <c r="K5" s="34"/>
      <c r="M5" s="40" t="s">
        <v>29</v>
      </c>
    </row>
    <row r="6" spans="1:25" ht="16.5" x14ac:dyDescent="0.2">
      <c r="A6" s="1221"/>
      <c r="B6" s="2117" t="s">
        <v>250</v>
      </c>
      <c r="C6" s="2123"/>
      <c r="D6" s="2123"/>
      <c r="E6" s="2123"/>
      <c r="F6" s="2123"/>
      <c r="G6" s="2123"/>
      <c r="H6" s="779"/>
      <c r="I6" s="1292"/>
      <c r="J6" s="34"/>
      <c r="K6" s="34"/>
      <c r="M6" s="40" t="s">
        <v>251</v>
      </c>
      <c r="N6" s="853" t="s">
        <v>271</v>
      </c>
      <c r="O6" s="34"/>
      <c r="P6" s="34"/>
      <c r="Q6" s="34"/>
      <c r="R6" s="34"/>
      <c r="S6" s="34"/>
      <c r="T6" s="40"/>
      <c r="U6" s="40"/>
      <c r="V6" s="40"/>
      <c r="W6" s="34"/>
      <c r="X6" s="40"/>
      <c r="Y6" s="34"/>
    </row>
    <row r="7" spans="1:25" ht="14.25" customHeight="1" x14ac:dyDescent="0.2">
      <c r="A7" s="1390" t="s">
        <v>213</v>
      </c>
      <c r="B7" s="782">
        <v>30</v>
      </c>
      <c r="C7" s="782">
        <v>45</v>
      </c>
      <c r="D7" s="782">
        <v>60</v>
      </c>
      <c r="E7" s="782">
        <v>90</v>
      </c>
      <c r="F7" s="782">
        <v>120</v>
      </c>
      <c r="G7" s="781">
        <v>135</v>
      </c>
      <c r="H7" s="779"/>
      <c r="I7" s="1292"/>
      <c r="J7" s="34"/>
      <c r="K7" s="34"/>
      <c r="M7" s="40"/>
      <c r="N7" s="853" t="s">
        <v>270</v>
      </c>
      <c r="O7" s="34"/>
      <c r="P7" s="34"/>
      <c r="Q7" s="34"/>
      <c r="R7" s="34"/>
      <c r="S7" s="34"/>
      <c r="T7" s="40"/>
      <c r="U7" s="40"/>
      <c r="V7" s="34"/>
      <c r="W7" s="34"/>
      <c r="X7" s="34"/>
      <c r="Y7" s="34"/>
    </row>
    <row r="8" spans="1:25" ht="15" customHeight="1" x14ac:dyDescent="0.2">
      <c r="A8" s="1391">
        <v>0</v>
      </c>
      <c r="B8" s="1392">
        <v>0</v>
      </c>
      <c r="C8" s="1392">
        <v>0</v>
      </c>
      <c r="D8" s="1392">
        <v>0</v>
      </c>
      <c r="E8" s="1392">
        <v>0</v>
      </c>
      <c r="F8" s="1392">
        <v>0</v>
      </c>
      <c r="G8" s="900">
        <v>0</v>
      </c>
      <c r="H8" s="779"/>
      <c r="I8" s="1292"/>
      <c r="J8" s="34"/>
      <c r="K8" s="34"/>
      <c r="M8" s="804"/>
      <c r="N8" s="2117" t="s">
        <v>250</v>
      </c>
      <c r="O8" s="2123"/>
      <c r="P8" s="2123"/>
      <c r="Q8" s="2123"/>
      <c r="R8" s="2123"/>
      <c r="S8" s="2118"/>
      <c r="T8" s="34"/>
      <c r="U8" s="40"/>
      <c r="V8" s="853"/>
      <c r="W8" s="34"/>
      <c r="X8" s="34"/>
      <c r="Y8" s="34"/>
    </row>
    <row r="9" spans="1:25" x14ac:dyDescent="0.2">
      <c r="A9" s="1256">
        <v>50</v>
      </c>
      <c r="B9" s="1944">
        <v>5.0000000000000001E-4</v>
      </c>
      <c r="C9" s="1944">
        <v>2.0000000000000001E-4</v>
      </c>
      <c r="D9" s="1945">
        <v>2.5000000000000001E-4</v>
      </c>
      <c r="E9" s="1945">
        <v>3.5E-4</v>
      </c>
      <c r="F9" s="1944">
        <v>8.0000000000000004E-4</v>
      </c>
      <c r="G9" s="1946">
        <v>1E-3</v>
      </c>
      <c r="H9" s="1393"/>
      <c r="I9" s="1394"/>
      <c r="J9" s="34"/>
      <c r="K9" s="34"/>
      <c r="M9" s="1067" t="s">
        <v>213</v>
      </c>
      <c r="N9" s="782">
        <v>30</v>
      </c>
      <c r="O9" s="782">
        <v>45</v>
      </c>
      <c r="P9" s="782">
        <v>60</v>
      </c>
      <c r="Q9" s="782">
        <v>90</v>
      </c>
      <c r="R9" s="782">
        <v>120</v>
      </c>
      <c r="S9" s="782">
        <v>135</v>
      </c>
      <c r="T9" s="853"/>
      <c r="U9" s="34"/>
      <c r="V9" s="34"/>
      <c r="W9" s="34"/>
      <c r="X9" s="34"/>
      <c r="Y9" s="34"/>
    </row>
    <row r="10" spans="1:25" x14ac:dyDescent="0.2">
      <c r="A10" s="1322">
        <v>100</v>
      </c>
      <c r="B10" s="1947">
        <v>1.5E-3</v>
      </c>
      <c r="C10" s="1947">
        <v>1.1999999999999999E-3</v>
      </c>
      <c r="D10" s="1947">
        <v>1.1999999999999999E-3</v>
      </c>
      <c r="E10" s="1947">
        <v>1.2999999999999999E-3</v>
      </c>
      <c r="F10" s="1947">
        <v>2E-3</v>
      </c>
      <c r="G10" s="1946">
        <v>2.2000000000000001E-3</v>
      </c>
      <c r="H10" s="1393"/>
      <c r="I10" s="1394"/>
      <c r="J10" s="599"/>
      <c r="K10" s="599"/>
      <c r="M10" s="754">
        <v>50</v>
      </c>
      <c r="N10" s="1395">
        <v>5.0000000000000001E-4</v>
      </c>
      <c r="O10" s="1395">
        <v>2.0000000000000001E-4</v>
      </c>
      <c r="P10" s="1396">
        <v>2.5000000000000001E-4</v>
      </c>
      <c r="Q10" s="1396">
        <v>3.5E-4</v>
      </c>
      <c r="R10" s="1395">
        <v>8.0000000000000004E-4</v>
      </c>
      <c r="S10" s="1397">
        <v>1E-3</v>
      </c>
      <c r="T10" s="34"/>
      <c r="U10" s="34"/>
      <c r="V10" s="34"/>
      <c r="W10" s="34"/>
      <c r="X10" s="34"/>
      <c r="Y10" s="34"/>
    </row>
    <row r="11" spans="1:25" x14ac:dyDescent="0.2">
      <c r="A11" s="1398">
        <v>150</v>
      </c>
      <c r="B11" s="1947">
        <v>2E-3</v>
      </c>
      <c r="C11" s="1947">
        <v>1.6000000000000001E-3</v>
      </c>
      <c r="D11" s="1947">
        <v>1.6000000000000001E-3</v>
      </c>
      <c r="E11" s="1947">
        <v>1.6000000000000001E-3</v>
      </c>
      <c r="F11" s="1947">
        <v>2.3999999999999998E-3</v>
      </c>
      <c r="G11" s="1946">
        <v>2.5999999999999999E-3</v>
      </c>
      <c r="H11" s="1393"/>
      <c r="I11" s="1394"/>
      <c r="J11" s="599"/>
      <c r="K11" s="599"/>
      <c r="M11" s="782">
        <v>100</v>
      </c>
      <c r="N11" s="1397">
        <v>1.5E-3</v>
      </c>
      <c r="O11" s="1397">
        <v>1.1999999999999999E-3</v>
      </c>
      <c r="P11" s="1397">
        <v>1.1999999999999999E-3</v>
      </c>
      <c r="Q11" s="1397">
        <v>1.2999999999999999E-3</v>
      </c>
      <c r="R11" s="1397">
        <v>2E-3</v>
      </c>
      <c r="S11" s="1397">
        <v>2.2000000000000001E-3</v>
      </c>
      <c r="T11" s="34"/>
      <c r="U11" s="34"/>
      <c r="V11" s="34"/>
      <c r="W11" s="34"/>
      <c r="X11" s="34"/>
      <c r="Y11" s="34"/>
    </row>
    <row r="12" spans="1:25" x14ac:dyDescent="0.2">
      <c r="A12" s="1322">
        <v>200</v>
      </c>
      <c r="B12" s="1947">
        <v>2.3999999999999998E-3</v>
      </c>
      <c r="C12" s="1947">
        <v>2E-3</v>
      </c>
      <c r="D12" s="1947">
        <v>1.9E-3</v>
      </c>
      <c r="E12" s="1947">
        <v>1.9E-3</v>
      </c>
      <c r="F12" s="1947">
        <v>2.7000000000000001E-3</v>
      </c>
      <c r="G12" s="1946">
        <v>2.8E-3</v>
      </c>
      <c r="H12" s="1393"/>
      <c r="I12" s="1394"/>
      <c r="J12" s="40"/>
      <c r="K12" s="40"/>
      <c r="M12" s="1380">
        <v>150</v>
      </c>
      <c r="N12" s="1397">
        <v>2E-3</v>
      </c>
      <c r="O12" s="1397">
        <v>1.6000000000000001E-3</v>
      </c>
      <c r="P12" s="1397">
        <v>1.6000000000000001E-3</v>
      </c>
      <c r="Q12" s="1397">
        <v>1.6000000000000001E-3</v>
      </c>
      <c r="R12" s="1397">
        <v>2.3999999999999998E-3</v>
      </c>
      <c r="S12" s="1397">
        <v>2.5999999999999999E-3</v>
      </c>
      <c r="T12" s="1313"/>
      <c r="U12" s="34"/>
      <c r="V12" s="34"/>
      <c r="W12" s="34"/>
      <c r="X12" s="34"/>
      <c r="Y12" s="34"/>
    </row>
    <row r="13" spans="1:25" x14ac:dyDescent="0.2">
      <c r="A13" s="1232">
        <v>250</v>
      </c>
      <c r="B13" s="1948">
        <v>5.4999999999999997E-3</v>
      </c>
      <c r="C13" s="1948">
        <v>2.0999999999999999E-3</v>
      </c>
      <c r="D13" s="1948">
        <v>1.9E-3</v>
      </c>
      <c r="E13" s="1948">
        <v>1.9E-3</v>
      </c>
      <c r="F13" s="1948">
        <v>2.7000000000000001E-3</v>
      </c>
      <c r="G13" s="1946">
        <v>2.8E-3</v>
      </c>
      <c r="H13" s="1393"/>
      <c r="I13" s="1394"/>
      <c r="J13" s="40"/>
      <c r="K13" s="40"/>
      <c r="M13" s="782">
        <v>200</v>
      </c>
      <c r="N13" s="1397">
        <v>2.3999999999999998E-3</v>
      </c>
      <c r="O13" s="1397">
        <v>2E-3</v>
      </c>
      <c r="P13" s="1397">
        <v>1.9E-3</v>
      </c>
      <c r="Q13" s="1397">
        <v>1.9E-3</v>
      </c>
      <c r="R13" s="1397">
        <v>2.7000000000000001E-3</v>
      </c>
      <c r="S13" s="1397">
        <v>2.8E-3</v>
      </c>
      <c r="T13" s="34"/>
      <c r="U13" s="34"/>
      <c r="V13" s="34"/>
      <c r="W13" s="34"/>
      <c r="X13" s="34"/>
      <c r="Y13" s="34"/>
    </row>
    <row r="14" spans="1:25" x14ac:dyDescent="0.2">
      <c r="A14" s="1256">
        <v>300</v>
      </c>
      <c r="B14" s="1944">
        <v>2.5999999999999999E-3</v>
      </c>
      <c r="C14" s="1944">
        <v>2.2000000000000001E-3</v>
      </c>
      <c r="D14" s="1944">
        <v>2E-3</v>
      </c>
      <c r="E14" s="1944">
        <v>1.9E-3</v>
      </c>
      <c r="F14" s="1944">
        <v>2.5999999999999999E-3</v>
      </c>
      <c r="G14" s="1946">
        <v>2.8E-3</v>
      </c>
      <c r="H14" s="1393"/>
      <c r="I14" s="1394"/>
      <c r="J14" s="599"/>
      <c r="K14" s="599"/>
      <c r="M14" s="778">
        <v>250</v>
      </c>
      <c r="N14" s="1399">
        <v>5.4999999999999997E-3</v>
      </c>
      <c r="O14" s="1399">
        <v>2.0999999999999999E-3</v>
      </c>
      <c r="P14" s="1399">
        <v>1.9E-3</v>
      </c>
      <c r="Q14" s="1399">
        <v>1.9E-3</v>
      </c>
      <c r="R14" s="1399">
        <v>2.7000000000000001E-3</v>
      </c>
      <c r="S14" s="1397">
        <v>2.8E-3</v>
      </c>
      <c r="T14" s="34"/>
      <c r="U14" s="34"/>
      <c r="V14" s="34"/>
      <c r="W14" s="34"/>
      <c r="X14" s="34"/>
      <c r="Y14" s="34"/>
    </row>
    <row r="15" spans="1:25" ht="15" thickBot="1" x14ac:dyDescent="0.25">
      <c r="A15" s="1400"/>
      <c r="B15" s="1401"/>
      <c r="C15" s="1401"/>
      <c r="D15" s="1401"/>
      <c r="E15" s="1401"/>
      <c r="F15" s="1401"/>
      <c r="G15" s="1268"/>
      <c r="H15" s="1267"/>
      <c r="I15" s="1198"/>
      <c r="J15" s="599"/>
      <c r="K15" s="599"/>
      <c r="M15" s="754">
        <v>300</v>
      </c>
      <c r="N15" s="1395">
        <v>2.5999999999999999E-3</v>
      </c>
      <c r="O15" s="1395">
        <v>2.2000000000000001E-3</v>
      </c>
      <c r="P15" s="1395">
        <v>2E-3</v>
      </c>
      <c r="Q15" s="1395">
        <v>1.9E-3</v>
      </c>
      <c r="R15" s="1395">
        <v>2.5999999999999999E-3</v>
      </c>
      <c r="S15" s="1397">
        <v>2.8E-3</v>
      </c>
      <c r="T15" s="34"/>
      <c r="U15" s="34"/>
      <c r="V15" s="34"/>
      <c r="W15" s="34"/>
      <c r="X15" s="34"/>
      <c r="Y15" s="34"/>
    </row>
    <row r="16" spans="1:25" x14ac:dyDescent="0.2">
      <c r="A16" s="1221" t="s">
        <v>274</v>
      </c>
      <c r="B16" s="2117" t="s">
        <v>250</v>
      </c>
      <c r="C16" s="2123"/>
      <c r="D16" s="2123"/>
      <c r="E16" s="2123"/>
      <c r="F16" s="2123"/>
      <c r="G16" s="2123"/>
      <c r="H16" s="2123"/>
      <c r="I16" s="2127"/>
      <c r="J16" s="599"/>
      <c r="K16" s="599"/>
      <c r="M16" s="800"/>
      <c r="N16" s="800"/>
      <c r="O16" s="800"/>
      <c r="P16" s="800"/>
      <c r="Q16" s="800"/>
      <c r="R16" s="800"/>
      <c r="S16" s="800"/>
      <c r="T16" s="34"/>
      <c r="U16" s="34"/>
      <c r="V16" s="34"/>
      <c r="W16" s="34"/>
      <c r="X16" s="34"/>
      <c r="Y16" s="34"/>
    </row>
    <row r="17" spans="1:22" x14ac:dyDescent="0.2">
      <c r="A17" s="1201"/>
      <c r="B17" s="782">
        <v>10</v>
      </c>
      <c r="C17" s="782">
        <v>20</v>
      </c>
      <c r="D17" s="782">
        <v>30</v>
      </c>
      <c r="E17" s="782">
        <v>45</v>
      </c>
      <c r="F17" s="782">
        <v>60</v>
      </c>
      <c r="G17" s="782">
        <v>90</v>
      </c>
      <c r="H17" s="782">
        <v>135</v>
      </c>
      <c r="I17" s="976">
        <v>150</v>
      </c>
      <c r="J17" s="872"/>
      <c r="K17" s="872"/>
      <c r="V17" s="40"/>
    </row>
    <row r="18" spans="1:22" x14ac:dyDescent="0.2">
      <c r="A18" s="1402">
        <v>0</v>
      </c>
      <c r="B18" s="1403">
        <v>0</v>
      </c>
      <c r="C18" s="1403">
        <v>0</v>
      </c>
      <c r="D18" s="1403">
        <v>0</v>
      </c>
      <c r="E18" s="1403">
        <v>0</v>
      </c>
      <c r="F18" s="1403">
        <v>0</v>
      </c>
      <c r="G18" s="1403">
        <v>0</v>
      </c>
      <c r="H18" s="1403">
        <v>0</v>
      </c>
      <c r="I18" s="1404">
        <v>0</v>
      </c>
      <c r="J18" s="40"/>
      <c r="K18" s="40"/>
      <c r="M18" s="853" t="s">
        <v>275</v>
      </c>
      <c r="N18" s="34"/>
      <c r="O18" s="34"/>
      <c r="P18" s="34"/>
      <c r="Q18" s="34"/>
      <c r="R18" s="34"/>
      <c r="S18" s="34"/>
      <c r="T18" s="34"/>
      <c r="U18" s="34"/>
      <c r="V18" s="40"/>
    </row>
    <row r="19" spans="1:22" x14ac:dyDescent="0.2">
      <c r="A19" s="1402" t="s">
        <v>272</v>
      </c>
      <c r="B19" s="1949">
        <v>1.0999999999999999E-2</v>
      </c>
      <c r="C19" s="1949">
        <v>0.08</v>
      </c>
      <c r="D19" s="1949">
        <v>6.0000000000000001E-3</v>
      </c>
      <c r="E19" s="1949">
        <v>3.7000000000000002E-3</v>
      </c>
      <c r="F19" s="1949">
        <v>2.2000000000000001E-3</v>
      </c>
      <c r="G19" s="1949">
        <v>9.1E-4</v>
      </c>
      <c r="H19" s="1949">
        <v>5.4000000000000001E-4</v>
      </c>
      <c r="I19" s="1950">
        <v>1.4999999999999999E-4</v>
      </c>
      <c r="J19" s="40"/>
      <c r="K19" s="40"/>
      <c r="M19" s="37" t="s">
        <v>273</v>
      </c>
      <c r="N19" s="34"/>
      <c r="O19" s="34"/>
      <c r="P19" s="34"/>
      <c r="Q19" s="34"/>
      <c r="R19" s="34"/>
      <c r="S19" s="34"/>
      <c r="T19" s="34"/>
      <c r="U19" s="34"/>
      <c r="V19" s="40"/>
    </row>
    <row r="20" spans="1:22" ht="16.5" x14ac:dyDescent="0.2">
      <c r="A20" s="1405">
        <v>4</v>
      </c>
      <c r="B20" s="1951">
        <v>1.04E-2</v>
      </c>
      <c r="C20" s="1951">
        <v>6.7299999999999999E-3</v>
      </c>
      <c r="D20" s="1951">
        <v>2.7699999999999999E-3</v>
      </c>
      <c r="E20" s="1951">
        <v>2.0899999999999998E-3</v>
      </c>
      <c r="F20" s="1951">
        <v>1.24E-3</v>
      </c>
      <c r="G20" s="1951">
        <v>6.3900000000000003E-4</v>
      </c>
      <c r="H20" s="1951">
        <v>4.4999999999999999E-4</v>
      </c>
      <c r="I20" s="1952">
        <v>4.3100000000000001E-4</v>
      </c>
      <c r="K20" s="40"/>
      <c r="M20" s="40"/>
      <c r="N20" s="40" t="s">
        <v>269</v>
      </c>
      <c r="O20" s="34"/>
      <c r="P20" s="34"/>
      <c r="Q20" s="34"/>
      <c r="R20" s="34"/>
      <c r="S20" s="34"/>
      <c r="T20" s="40"/>
      <c r="U20" s="40"/>
      <c r="V20" s="40"/>
    </row>
    <row r="21" spans="1:22" x14ac:dyDescent="0.2">
      <c r="A21" s="1405">
        <v>6</v>
      </c>
      <c r="B21" s="1951">
        <v>1.04E-2</v>
      </c>
      <c r="C21" s="1951">
        <v>6.7299999999999999E-3</v>
      </c>
      <c r="D21" s="1951">
        <v>2.7699999999999999E-3</v>
      </c>
      <c r="E21" s="1951">
        <v>1.39E-3</v>
      </c>
      <c r="F21" s="1951">
        <v>8.2399999999999997E-4</v>
      </c>
      <c r="G21" s="1951">
        <v>4.26E-4</v>
      </c>
      <c r="H21" s="1951">
        <v>2.9999999999999997E-4</v>
      </c>
      <c r="I21" s="1952">
        <v>2.8699999999999998E-4</v>
      </c>
      <c r="J21" s="40"/>
      <c r="K21" s="40"/>
      <c r="N21" s="853" t="s">
        <v>270</v>
      </c>
      <c r="V21" s="40"/>
    </row>
    <row r="22" spans="1:22" x14ac:dyDescent="0.2">
      <c r="A22" s="1406">
        <v>10</v>
      </c>
      <c r="B22" s="1951">
        <v>1.66E-2</v>
      </c>
      <c r="C22" s="1951">
        <v>5.79E-3</v>
      </c>
      <c r="D22" s="1951">
        <v>3.1800000000000001E-3</v>
      </c>
      <c r="E22" s="1951">
        <v>1.3500000000000001E-3</v>
      </c>
      <c r="F22" s="1951">
        <v>7.4600000000000003E-4</v>
      </c>
      <c r="G22" s="1951">
        <v>3.8099999999999999E-4</v>
      </c>
      <c r="H22" s="1951">
        <v>3.0200000000000002E-4</v>
      </c>
      <c r="I22" s="1952">
        <v>2.7399999999999999E-4</v>
      </c>
      <c r="J22" s="40"/>
      <c r="K22" s="40"/>
      <c r="M22" s="34"/>
      <c r="N22" s="2117" t="s">
        <v>250</v>
      </c>
      <c r="O22" s="2123"/>
      <c r="P22" s="2123"/>
      <c r="Q22" s="2123"/>
      <c r="R22" s="2123"/>
      <c r="S22" s="2123"/>
      <c r="T22" s="2123"/>
      <c r="U22" s="2118"/>
      <c r="V22" s="40"/>
    </row>
    <row r="23" spans="1:22" x14ac:dyDescent="0.2">
      <c r="A23" s="1406">
        <v>15</v>
      </c>
      <c r="B23" s="1951">
        <v>1.5100000000000001E-2</v>
      </c>
      <c r="C23" s="1951">
        <v>5.5399999999999998E-3</v>
      </c>
      <c r="D23" s="1951">
        <v>2.7699999999999999E-3</v>
      </c>
      <c r="E23" s="1951">
        <v>1.0499999999999999E-3</v>
      </c>
      <c r="F23" s="1951">
        <v>5.4500000000000002E-4</v>
      </c>
      <c r="G23" s="1951">
        <v>2.61E-4</v>
      </c>
      <c r="H23" s="1951">
        <v>1.9100000000000001E-4</v>
      </c>
      <c r="I23" s="1952">
        <v>1.7799999999999999E-4</v>
      </c>
      <c r="J23" s="40"/>
      <c r="K23" s="40"/>
      <c r="M23" s="1264"/>
      <c r="N23" s="782">
        <v>10</v>
      </c>
      <c r="O23" s="782">
        <v>20</v>
      </c>
      <c r="P23" s="782">
        <v>30</v>
      </c>
      <c r="Q23" s="782">
        <v>45</v>
      </c>
      <c r="R23" s="782">
        <v>60</v>
      </c>
      <c r="S23" s="782">
        <v>90</v>
      </c>
      <c r="T23" s="782">
        <v>135</v>
      </c>
      <c r="U23" s="782">
        <v>150</v>
      </c>
      <c r="V23" s="40"/>
    </row>
    <row r="24" spans="1:22" x14ac:dyDescent="0.2">
      <c r="A24" s="1405">
        <v>18</v>
      </c>
      <c r="B24" s="1951">
        <v>1.4200000000000001E-2</v>
      </c>
      <c r="C24" s="1951">
        <v>5.3899999999999998E-3</v>
      </c>
      <c r="D24" s="1951">
        <v>2.5300000000000001E-3</v>
      </c>
      <c r="E24" s="1951">
        <v>8.6399999999999997E-4</v>
      </c>
      <c r="F24" s="1951">
        <v>4.2400000000000001E-4</v>
      </c>
      <c r="G24" s="1951">
        <v>1.8900000000000001E-4</v>
      </c>
      <c r="H24" s="1953">
        <v>1.2400000000000001E-4</v>
      </c>
      <c r="I24" s="1952">
        <v>1.2E-4</v>
      </c>
      <c r="J24" s="40"/>
      <c r="K24" s="40"/>
      <c r="M24" s="754" t="s">
        <v>272</v>
      </c>
      <c r="N24" s="1395">
        <v>1.0999999999999999E-2</v>
      </c>
      <c r="O24" s="1395">
        <v>0.08</v>
      </c>
      <c r="P24" s="1395">
        <v>6.0000000000000001E-3</v>
      </c>
      <c r="Q24" s="1395">
        <v>3.7000000000000002E-3</v>
      </c>
      <c r="R24" s="1395">
        <v>2.2000000000000001E-3</v>
      </c>
      <c r="S24" s="1397">
        <v>9.1E-4</v>
      </c>
      <c r="T24" s="1397">
        <v>5.4000000000000001E-4</v>
      </c>
      <c r="U24" s="1397">
        <v>1.4999999999999999E-4</v>
      </c>
      <c r="V24" s="40"/>
    </row>
    <row r="25" spans="1:22" x14ac:dyDescent="0.2">
      <c r="A25" s="1405">
        <v>20</v>
      </c>
      <c r="B25" s="1951">
        <v>1.52E-2</v>
      </c>
      <c r="C25" s="1951">
        <v>5.6600000000000001E-3</v>
      </c>
      <c r="D25" s="1951">
        <v>2.5899999999999999E-3</v>
      </c>
      <c r="E25" s="1951">
        <v>8.5400000000000005E-4</v>
      </c>
      <c r="F25" s="1951">
        <v>4.1300000000000001E-4</v>
      </c>
      <c r="G25" s="1951">
        <v>1.85E-4</v>
      </c>
      <c r="H25" s="1953">
        <v>1.2300000000000001E-4</v>
      </c>
      <c r="I25" s="1952">
        <v>1.18E-4</v>
      </c>
      <c r="J25" s="40"/>
      <c r="K25" s="40"/>
      <c r="M25" s="782">
        <v>6</v>
      </c>
      <c r="N25" s="1397">
        <v>1.04E-2</v>
      </c>
      <c r="O25" s="1397">
        <v>6.7299999999999999E-3</v>
      </c>
      <c r="P25" s="1397">
        <v>2.7699999999999999E-3</v>
      </c>
      <c r="Q25" s="1397">
        <v>1.39E-3</v>
      </c>
      <c r="R25" s="1397">
        <v>8.2399999999999997E-4</v>
      </c>
      <c r="S25" s="1397">
        <v>4.26E-4</v>
      </c>
      <c r="T25" s="1397">
        <v>2.9999999999999997E-4</v>
      </c>
      <c r="U25" s="1397">
        <v>2.8699999999999998E-4</v>
      </c>
      <c r="V25" s="40"/>
    </row>
    <row r="26" spans="1:22" x14ac:dyDescent="0.2">
      <c r="A26" s="1402">
        <v>24</v>
      </c>
      <c r="B26" s="1949">
        <v>1.78E-2</v>
      </c>
      <c r="C26" s="1949">
        <v>6.3200000000000001E-3</v>
      </c>
      <c r="D26" s="1949">
        <v>2.7399999999999998E-3</v>
      </c>
      <c r="E26" s="1949">
        <v>8.3000000000000001E-4</v>
      </c>
      <c r="F26" s="1949">
        <v>3.86E-4</v>
      </c>
      <c r="G26" s="1949">
        <v>1.74E-4</v>
      </c>
      <c r="H26" s="1954">
        <v>1.2E-4</v>
      </c>
      <c r="I26" s="1950">
        <v>1.13E-4</v>
      </c>
      <c r="J26" s="40"/>
      <c r="M26" s="1380">
        <v>10</v>
      </c>
      <c r="N26" s="1397">
        <v>1.66E-2</v>
      </c>
      <c r="O26" s="1397">
        <v>5.79E-3</v>
      </c>
      <c r="P26" s="1397">
        <v>3.1800000000000001E-3</v>
      </c>
      <c r="Q26" s="1397">
        <v>1.3500000000000001E-3</v>
      </c>
      <c r="R26" s="1397">
        <v>7.4600000000000003E-4</v>
      </c>
      <c r="S26" s="1397">
        <v>3.8099999999999999E-4</v>
      </c>
      <c r="T26" s="1397">
        <v>3.0200000000000002E-4</v>
      </c>
      <c r="U26" s="1397">
        <v>2.7399999999999999E-4</v>
      </c>
      <c r="V26" s="40"/>
    </row>
    <row r="27" spans="1:22" x14ac:dyDescent="0.2">
      <c r="A27" s="1322" t="s">
        <v>189</v>
      </c>
      <c r="B27" s="1955">
        <v>1.1599999999999999E-2</v>
      </c>
      <c r="C27" s="1955">
        <v>4.4299999999999999E-3</v>
      </c>
      <c r="D27" s="1955">
        <v>2.63E-3</v>
      </c>
      <c r="E27" s="1955">
        <v>1.1999999999999999E-3</v>
      </c>
      <c r="F27" s="1955">
        <v>6.8599999999999998E-4</v>
      </c>
      <c r="G27" s="1955">
        <v>4.0299999999999998E-4</v>
      </c>
      <c r="H27" s="1953">
        <v>3.8200000000000002E-4</v>
      </c>
      <c r="I27" s="1956">
        <v>3.4699999999999998E-4</v>
      </c>
      <c r="J27" s="40"/>
      <c r="M27" s="782">
        <v>18</v>
      </c>
      <c r="N27" s="1397">
        <v>1.4200000000000001E-2</v>
      </c>
      <c r="O27" s="1397">
        <v>5.3899999999999998E-3</v>
      </c>
      <c r="P27" s="1397">
        <v>2.5300000000000001E-3</v>
      </c>
      <c r="Q27" s="1397">
        <v>8.6399999999999997E-4</v>
      </c>
      <c r="R27" s="1397">
        <v>4.2400000000000001E-4</v>
      </c>
      <c r="S27" s="1397">
        <v>1.8900000000000001E-4</v>
      </c>
      <c r="T27" s="1407">
        <v>1.2400000000000001E-4</v>
      </c>
      <c r="U27" s="1397">
        <v>1.2E-4</v>
      </c>
      <c r="V27" s="40"/>
    </row>
    <row r="28" spans="1:22" x14ac:dyDescent="0.2">
      <c r="A28" s="1322" t="s">
        <v>278</v>
      </c>
      <c r="B28" s="1955">
        <v>9.6299999999999997E-3</v>
      </c>
      <c r="C28" s="1955">
        <v>4.0299999999999997E-3</v>
      </c>
      <c r="D28" s="1955">
        <v>1.65E-3</v>
      </c>
      <c r="E28" s="1955">
        <v>7.36E-4</v>
      </c>
      <c r="F28" s="1955">
        <v>4.0000000000000002E-4</v>
      </c>
      <c r="G28" s="1955">
        <v>1.93E-4</v>
      </c>
      <c r="H28" s="1953">
        <v>1.4100000000000001E-4</v>
      </c>
      <c r="I28" s="1956">
        <v>1.25E-4</v>
      </c>
      <c r="M28" s="782">
        <v>24</v>
      </c>
      <c r="N28" s="1397">
        <v>1.78E-2</v>
      </c>
      <c r="O28" s="1397">
        <v>6.3200000000000001E-3</v>
      </c>
      <c r="P28" s="1397">
        <v>2.7399999999999998E-3</v>
      </c>
      <c r="Q28" s="1397">
        <v>8.3000000000000001E-4</v>
      </c>
      <c r="R28" s="1397">
        <v>3.86E-4</v>
      </c>
      <c r="S28" s="1397">
        <v>1.74E-4</v>
      </c>
      <c r="T28" s="1407">
        <v>1.2E-4</v>
      </c>
      <c r="U28" s="1397">
        <v>1.13E-4</v>
      </c>
      <c r="V28" s="40"/>
    </row>
    <row r="29" spans="1:22" ht="15" thickBot="1" x14ac:dyDescent="0.25">
      <c r="A29" s="1408" t="s">
        <v>188</v>
      </c>
      <c r="B29" s="1957">
        <v>8.0700000000000008E-3</v>
      </c>
      <c r="C29" s="1957">
        <v>5.5900000000000004E-3</v>
      </c>
      <c r="D29" s="1957">
        <v>2.4399999999999999E-3</v>
      </c>
      <c r="E29" s="1957">
        <v>1.2999999999999999E-3</v>
      </c>
      <c r="F29" s="1957">
        <v>8.12E-4</v>
      </c>
      <c r="G29" s="1957">
        <v>4.46E-4</v>
      </c>
      <c r="H29" s="1958">
        <v>3.4200000000000002E-4</v>
      </c>
      <c r="I29" s="1959">
        <v>3.3199999999999999E-4</v>
      </c>
      <c r="M29" s="40"/>
      <c r="N29" s="853"/>
      <c r="O29" s="34"/>
      <c r="P29" s="34"/>
      <c r="Q29" s="34"/>
      <c r="R29" s="34"/>
      <c r="S29" s="34"/>
      <c r="T29" s="40"/>
      <c r="U29" s="40"/>
      <c r="V29" s="40"/>
    </row>
    <row r="30" spans="1:22" x14ac:dyDescent="0.2">
      <c r="A30" s="34"/>
      <c r="B30" s="961"/>
      <c r="C30" s="961"/>
      <c r="D30" s="961"/>
      <c r="E30" s="961"/>
      <c r="F30" s="961"/>
      <c r="G30" s="961"/>
      <c r="H30" s="961"/>
      <c r="I30" s="961"/>
      <c r="M30" s="40"/>
      <c r="N30" s="853"/>
      <c r="O30" s="34"/>
      <c r="P30" s="34"/>
      <c r="Q30" s="34"/>
      <c r="R30" s="34"/>
      <c r="S30" s="34"/>
      <c r="T30" s="40"/>
      <c r="U30" s="40"/>
      <c r="V30" s="40"/>
    </row>
    <row r="31" spans="1:22" x14ac:dyDescent="0.2">
      <c r="A31" s="1409" t="s">
        <v>276</v>
      </c>
      <c r="C31" s="961"/>
      <c r="D31" s="961"/>
      <c r="E31" s="961"/>
      <c r="F31" s="961"/>
      <c r="G31" s="961"/>
      <c r="H31" s="961"/>
      <c r="I31" s="961"/>
      <c r="M31" s="34"/>
      <c r="N31" s="34"/>
      <c r="O31" s="34"/>
      <c r="P31" s="34"/>
      <c r="Q31" s="34"/>
      <c r="R31" s="34"/>
      <c r="S31" s="34"/>
      <c r="T31" s="40"/>
      <c r="U31" s="40"/>
      <c r="V31" s="40"/>
    </row>
    <row r="32" spans="1:22" x14ac:dyDescent="0.2">
      <c r="B32" s="1188" t="s">
        <v>277</v>
      </c>
      <c r="C32" s="1410"/>
      <c r="D32" s="1410"/>
      <c r="E32" s="1410"/>
      <c r="F32" s="1410"/>
      <c r="G32" s="872"/>
      <c r="H32" s="872"/>
      <c r="I32" s="872"/>
      <c r="M32" s="40"/>
      <c r="N32" s="34"/>
      <c r="O32" s="34"/>
      <c r="P32" s="34"/>
      <c r="Q32" s="34"/>
      <c r="R32" s="34"/>
      <c r="S32" s="34"/>
      <c r="T32" s="40"/>
      <c r="U32" s="40"/>
      <c r="V32" s="40"/>
    </row>
    <row r="33" spans="1:22" x14ac:dyDescent="0.2">
      <c r="A33" s="1409" t="s">
        <v>283</v>
      </c>
      <c r="B33" s="1411"/>
      <c r="C33" s="1411"/>
      <c r="D33" s="1411"/>
      <c r="E33" s="1411"/>
      <c r="F33" s="1410"/>
      <c r="G33" s="872"/>
      <c r="H33" s="872"/>
      <c r="I33" s="872"/>
      <c r="M33" s="40"/>
      <c r="N33" s="34"/>
      <c r="O33" s="34"/>
      <c r="P33" s="34"/>
      <c r="Q33" s="34"/>
      <c r="R33" s="34"/>
      <c r="S33" s="34"/>
      <c r="T33" s="40"/>
      <c r="U33" s="40"/>
      <c r="V33" s="40"/>
    </row>
    <row r="34" spans="1:22" x14ac:dyDescent="0.2">
      <c r="A34" s="855"/>
      <c r="B34" s="599"/>
      <c r="C34" s="599"/>
      <c r="D34" s="599"/>
      <c r="E34" s="599"/>
      <c r="F34" s="599"/>
      <c r="G34" s="872"/>
      <c r="H34" s="872"/>
      <c r="I34" s="872"/>
      <c r="M34" s="40"/>
      <c r="N34" s="34"/>
      <c r="O34" s="34"/>
      <c r="P34" s="34"/>
      <c r="Q34" s="34"/>
      <c r="R34" s="34"/>
      <c r="S34" s="34"/>
      <c r="T34" s="40"/>
      <c r="U34" s="40"/>
      <c r="V34" s="40"/>
    </row>
    <row r="35" spans="1:22" ht="18" x14ac:dyDescent="0.25">
      <c r="A35" s="1412" t="s">
        <v>631</v>
      </c>
      <c r="B35" s="1413"/>
      <c r="C35" s="1413"/>
      <c r="D35" s="599"/>
      <c r="E35" s="599"/>
      <c r="F35" s="599"/>
      <c r="G35" s="872"/>
      <c r="H35" s="872"/>
      <c r="I35" s="872"/>
      <c r="M35" s="40"/>
      <c r="N35" s="34"/>
      <c r="O35" s="34"/>
      <c r="P35" s="34"/>
      <c r="Q35" s="34"/>
      <c r="R35" s="34"/>
      <c r="S35" s="34"/>
      <c r="T35" s="40"/>
      <c r="U35" s="40"/>
      <c r="V35" s="40"/>
    </row>
    <row r="36" spans="1:22" x14ac:dyDescent="0.2">
      <c r="A36" s="855"/>
      <c r="B36" s="599"/>
      <c r="C36" s="599"/>
      <c r="D36" s="599"/>
      <c r="E36" s="599"/>
      <c r="F36" s="599"/>
      <c r="G36" s="872"/>
      <c r="H36" s="872"/>
      <c r="I36" s="872"/>
      <c r="M36" s="40"/>
      <c r="N36" s="34"/>
      <c r="O36" s="34"/>
      <c r="P36" s="34"/>
      <c r="Q36" s="34"/>
      <c r="R36" s="34"/>
      <c r="S36" s="34"/>
      <c r="T36" s="40"/>
      <c r="U36" s="40"/>
      <c r="V36" s="40"/>
    </row>
    <row r="37" spans="1:22" x14ac:dyDescent="0.2">
      <c r="A37" s="855"/>
      <c r="B37" s="599"/>
      <c r="C37" s="599"/>
      <c r="D37" s="599"/>
      <c r="E37" s="599"/>
      <c r="F37" s="599"/>
      <c r="G37" s="872"/>
      <c r="H37" s="872"/>
      <c r="I37" s="872"/>
      <c r="M37" s="853"/>
      <c r="N37" s="34"/>
      <c r="O37" s="34"/>
      <c r="P37" s="34"/>
      <c r="Q37" s="34"/>
      <c r="R37" s="34"/>
      <c r="S37" s="34"/>
      <c r="T37" s="40"/>
      <c r="U37" s="40"/>
      <c r="V37" s="40"/>
    </row>
    <row r="38" spans="1:22" x14ac:dyDescent="0.2">
      <c r="A38" s="855"/>
      <c r="B38" s="599"/>
      <c r="C38" s="599"/>
      <c r="D38" s="599"/>
      <c r="E38" s="599"/>
      <c r="F38" s="599"/>
      <c r="G38" s="872"/>
      <c r="H38" s="872"/>
      <c r="I38" s="872"/>
      <c r="M38" s="853"/>
      <c r="N38" s="34"/>
      <c r="O38" s="34"/>
      <c r="P38" s="34"/>
      <c r="Q38" s="34"/>
      <c r="R38" s="34"/>
      <c r="S38" s="34"/>
      <c r="T38" s="40"/>
      <c r="U38" s="40"/>
      <c r="V38" s="40"/>
    </row>
    <row r="39" spans="1:22" x14ac:dyDescent="0.2">
      <c r="A39" s="855"/>
      <c r="B39" s="599"/>
      <c r="C39" s="599"/>
      <c r="D39" s="599"/>
      <c r="E39" s="599"/>
      <c r="F39" s="599"/>
      <c r="G39" s="40"/>
      <c r="H39" s="40"/>
      <c r="I39" s="40"/>
      <c r="M39" s="34"/>
      <c r="N39" s="34"/>
      <c r="O39" s="34"/>
      <c r="P39" s="34"/>
      <c r="Q39" s="34"/>
      <c r="R39" s="34"/>
      <c r="S39" s="34"/>
      <c r="T39" s="40"/>
      <c r="U39" s="40"/>
      <c r="V39" s="40"/>
    </row>
    <row r="40" spans="1:22" x14ac:dyDescent="0.2">
      <c r="A40" s="855"/>
      <c r="B40" s="599"/>
      <c r="C40" s="599"/>
      <c r="D40" s="599"/>
      <c r="E40" s="599"/>
      <c r="F40" s="599"/>
      <c r="G40" s="40"/>
      <c r="H40" s="40"/>
      <c r="I40" s="40"/>
      <c r="M40" s="1313"/>
      <c r="N40" s="34"/>
      <c r="O40" s="34"/>
      <c r="P40" s="34"/>
      <c r="Q40" s="34"/>
      <c r="R40" s="34"/>
      <c r="S40" s="34"/>
      <c r="T40" s="40"/>
      <c r="U40" s="40"/>
      <c r="V40" s="40"/>
    </row>
    <row r="41" spans="1:22" x14ac:dyDescent="0.2">
      <c r="A41" s="855"/>
      <c r="B41" s="599"/>
      <c r="C41" s="599"/>
      <c r="D41" s="599"/>
      <c r="E41" s="599"/>
      <c r="F41" s="599"/>
      <c r="G41" s="40"/>
      <c r="H41" s="40"/>
      <c r="I41" s="40"/>
      <c r="M41" s="1313"/>
      <c r="N41" s="34"/>
      <c r="O41" s="34"/>
      <c r="P41" s="34"/>
      <c r="Q41" s="34"/>
      <c r="R41" s="34"/>
      <c r="S41" s="34"/>
      <c r="T41" s="40"/>
      <c r="U41" s="40"/>
      <c r="V41" s="40"/>
    </row>
    <row r="42" spans="1:22" x14ac:dyDescent="0.2">
      <c r="A42" s="855"/>
      <c r="B42" s="599"/>
      <c r="C42" s="599"/>
      <c r="D42" s="599"/>
      <c r="E42" s="599"/>
      <c r="F42" s="599"/>
      <c r="G42" s="40"/>
      <c r="H42" s="40"/>
      <c r="I42" s="40"/>
      <c r="M42" s="34"/>
      <c r="N42" s="34"/>
      <c r="O42" s="34"/>
      <c r="P42" s="34"/>
      <c r="Q42" s="34"/>
      <c r="R42" s="34"/>
      <c r="S42" s="34"/>
      <c r="T42" s="40"/>
      <c r="U42" s="40"/>
      <c r="V42" s="40"/>
    </row>
    <row r="43" spans="1:22" x14ac:dyDescent="0.2">
      <c r="A43" s="40"/>
      <c r="B43" s="40"/>
      <c r="C43" s="40"/>
      <c r="D43" s="40"/>
      <c r="E43" s="40"/>
      <c r="F43" s="40"/>
      <c r="G43" s="40"/>
      <c r="H43" s="40"/>
      <c r="I43" s="40"/>
      <c r="M43" s="34"/>
      <c r="N43" s="34"/>
      <c r="O43" s="34"/>
      <c r="P43" s="34"/>
      <c r="Q43" s="34"/>
      <c r="R43" s="34"/>
      <c r="S43" s="34"/>
      <c r="T43" s="40"/>
      <c r="U43" s="40"/>
      <c r="V43" s="40"/>
    </row>
    <row r="44" spans="1:22" x14ac:dyDescent="0.2">
      <c r="A44" s="40"/>
      <c r="B44" s="40"/>
      <c r="C44" s="40"/>
      <c r="D44" s="40"/>
      <c r="E44" s="40"/>
      <c r="F44" s="40"/>
      <c r="G44" s="40"/>
      <c r="H44" s="40"/>
      <c r="I44" s="40"/>
      <c r="M44" s="34"/>
      <c r="N44" s="34"/>
      <c r="O44" s="34"/>
      <c r="P44" s="34"/>
      <c r="Q44" s="34"/>
      <c r="R44" s="34"/>
      <c r="S44" s="34"/>
      <c r="T44" s="40"/>
      <c r="U44" s="40"/>
      <c r="V44" s="40"/>
    </row>
    <row r="45" spans="1:22" x14ac:dyDescent="0.2">
      <c r="M45" s="34"/>
      <c r="N45" s="34"/>
      <c r="O45" s="34"/>
      <c r="P45" s="34"/>
      <c r="Q45" s="34"/>
      <c r="R45" s="34"/>
      <c r="S45" s="34"/>
      <c r="T45" s="40"/>
      <c r="U45" s="40"/>
      <c r="V45" s="40"/>
    </row>
    <row r="46" spans="1:22" x14ac:dyDescent="0.2">
      <c r="M46" s="40"/>
      <c r="N46" s="34"/>
      <c r="O46" s="34"/>
      <c r="P46" s="34"/>
      <c r="Q46" s="34"/>
      <c r="R46" s="34"/>
      <c r="S46" s="34"/>
      <c r="T46" s="40"/>
      <c r="U46" s="40"/>
      <c r="V46" s="40"/>
    </row>
    <row r="47" spans="1:22" x14ac:dyDescent="0.2">
      <c r="M47" s="40"/>
      <c r="N47" s="34"/>
      <c r="O47" s="34"/>
      <c r="P47" s="34"/>
      <c r="Q47" s="34"/>
      <c r="R47" s="34"/>
      <c r="S47" s="34"/>
      <c r="T47" s="40"/>
      <c r="U47" s="40"/>
      <c r="V47" s="40"/>
    </row>
    <row r="48" spans="1:22" x14ac:dyDescent="0.2">
      <c r="M48" s="40"/>
      <c r="N48" s="34"/>
      <c r="O48" s="34"/>
      <c r="P48" s="34"/>
      <c r="Q48" s="34"/>
      <c r="R48" s="34"/>
      <c r="S48" s="34"/>
      <c r="T48" s="40"/>
      <c r="U48" s="40"/>
      <c r="V48" s="40"/>
    </row>
    <row r="49" spans="1:22" x14ac:dyDescent="0.2">
      <c r="M49" s="40"/>
      <c r="N49" s="34"/>
      <c r="O49" s="34"/>
      <c r="P49" s="34"/>
      <c r="Q49" s="34"/>
      <c r="R49" s="34"/>
      <c r="S49" s="34"/>
      <c r="T49" s="40"/>
      <c r="U49" s="40"/>
      <c r="V49" s="40"/>
    </row>
    <row r="50" spans="1:22" x14ac:dyDescent="0.2">
      <c r="M50" s="40"/>
      <c r="N50" s="34"/>
      <c r="O50" s="34"/>
      <c r="P50" s="34"/>
      <c r="Q50" s="34"/>
      <c r="R50" s="34"/>
      <c r="S50" s="34"/>
      <c r="T50" s="40"/>
      <c r="U50" s="40"/>
      <c r="V50" s="40"/>
    </row>
    <row r="51" spans="1:22" x14ac:dyDescent="0.2">
      <c r="M51" s="853"/>
      <c r="N51" s="34"/>
      <c r="O51" s="34"/>
      <c r="P51" s="34"/>
      <c r="Q51" s="34"/>
      <c r="R51" s="34"/>
      <c r="S51" s="34"/>
      <c r="T51" s="40"/>
      <c r="U51" s="40"/>
      <c r="V51" s="40"/>
    </row>
    <row r="52" spans="1:22" x14ac:dyDescent="0.2">
      <c r="M52" s="853"/>
      <c r="N52" s="34"/>
      <c r="O52" s="34"/>
      <c r="P52" s="34"/>
      <c r="Q52" s="34"/>
      <c r="R52" s="34"/>
      <c r="S52" s="34"/>
      <c r="T52" s="40"/>
      <c r="U52" s="40"/>
      <c r="V52" s="40"/>
    </row>
    <row r="53" spans="1:22" x14ac:dyDescent="0.2">
      <c r="M53" s="34"/>
      <c r="N53" s="34"/>
      <c r="O53" s="34"/>
      <c r="P53" s="34"/>
      <c r="Q53" s="34"/>
      <c r="R53" s="34"/>
      <c r="S53" s="34"/>
      <c r="T53" s="40"/>
      <c r="U53" s="40"/>
      <c r="V53" s="40"/>
    </row>
    <row r="54" spans="1:22" x14ac:dyDescent="0.2">
      <c r="M54" s="1313"/>
      <c r="N54" s="34"/>
      <c r="O54" s="34"/>
      <c r="P54" s="34"/>
      <c r="Q54" s="34"/>
      <c r="R54" s="34"/>
      <c r="S54" s="34"/>
      <c r="T54" s="40"/>
      <c r="U54" s="40"/>
      <c r="V54" s="40"/>
    </row>
    <row r="55" spans="1:22" x14ac:dyDescent="0.2">
      <c r="M55" s="34"/>
      <c r="N55" s="34"/>
      <c r="O55" s="34"/>
      <c r="P55" s="34"/>
      <c r="Q55" s="34"/>
      <c r="R55" s="34"/>
      <c r="S55" s="34"/>
      <c r="T55" s="40"/>
      <c r="U55" s="40"/>
      <c r="V55" s="40"/>
    </row>
    <row r="56" spans="1:22" x14ac:dyDescent="0.2">
      <c r="A56" s="40"/>
      <c r="M56" s="34"/>
      <c r="N56" s="34"/>
      <c r="O56" s="34"/>
      <c r="P56" s="34"/>
      <c r="Q56" s="34"/>
      <c r="R56" s="34"/>
      <c r="S56" s="34"/>
      <c r="T56" s="40"/>
      <c r="U56" s="40"/>
      <c r="V56" s="40"/>
    </row>
    <row r="57" spans="1:22" x14ac:dyDescent="0.2">
      <c r="A57" s="1188"/>
      <c r="M57" s="34"/>
      <c r="N57" s="34"/>
      <c r="O57" s="34"/>
      <c r="P57" s="34"/>
      <c r="Q57" s="34"/>
      <c r="R57" s="34"/>
      <c r="S57" s="34"/>
      <c r="T57" s="40"/>
      <c r="U57" s="40"/>
      <c r="V57" s="40"/>
    </row>
    <row r="58" spans="1:22" x14ac:dyDescent="0.2">
      <c r="M58" s="34"/>
      <c r="N58" s="34"/>
      <c r="O58" s="34"/>
      <c r="P58" s="34"/>
      <c r="Q58" s="34"/>
      <c r="R58" s="34"/>
      <c r="S58" s="34"/>
      <c r="T58" s="40"/>
      <c r="U58" s="40"/>
      <c r="V58" s="40"/>
    </row>
    <row r="59" spans="1:22" x14ac:dyDescent="0.2">
      <c r="A59" s="883"/>
      <c r="M59" s="40"/>
      <c r="N59" s="34"/>
      <c r="O59" s="34"/>
      <c r="P59" s="34"/>
      <c r="Q59" s="34"/>
      <c r="R59" s="34"/>
      <c r="S59" s="34"/>
      <c r="T59" s="40"/>
      <c r="U59" s="40"/>
      <c r="V59" s="40"/>
    </row>
    <row r="60" spans="1:22" x14ac:dyDescent="0.2">
      <c r="A60" s="883"/>
      <c r="M60" s="40"/>
      <c r="N60" s="34"/>
      <c r="O60" s="34"/>
      <c r="P60" s="34"/>
      <c r="Q60" s="34"/>
      <c r="R60" s="34"/>
      <c r="S60" s="34"/>
      <c r="T60" s="40"/>
      <c r="U60" s="40"/>
      <c r="V60" s="40"/>
    </row>
    <row r="61" spans="1:22" x14ac:dyDescent="0.2">
      <c r="A61" s="599"/>
      <c r="M61" s="40"/>
      <c r="N61" s="34"/>
      <c r="O61" s="34"/>
      <c r="P61" s="34"/>
      <c r="Q61" s="34"/>
      <c r="R61" s="34"/>
      <c r="S61" s="34"/>
      <c r="T61" s="40"/>
      <c r="U61" s="40"/>
      <c r="V61" s="40"/>
    </row>
    <row r="62" spans="1:22" x14ac:dyDescent="0.2">
      <c r="A62" s="599"/>
      <c r="M62" s="40"/>
      <c r="N62" s="34"/>
      <c r="O62" s="34"/>
      <c r="P62" s="34"/>
      <c r="Q62" s="34"/>
      <c r="R62" s="34"/>
      <c r="S62" s="34"/>
      <c r="T62" s="40"/>
      <c r="U62" s="40"/>
    </row>
    <row r="63" spans="1:22" x14ac:dyDescent="0.2">
      <c r="A63" s="599"/>
      <c r="M63" s="40"/>
      <c r="N63" s="34"/>
      <c r="O63" s="34"/>
      <c r="P63" s="34"/>
      <c r="Q63" s="34"/>
      <c r="R63" s="34"/>
      <c r="S63" s="34"/>
      <c r="T63" s="40"/>
      <c r="U63" s="40"/>
    </row>
    <row r="64" spans="1:22" x14ac:dyDescent="0.2">
      <c r="A64" s="599"/>
      <c r="M64" s="40"/>
      <c r="N64" s="34"/>
      <c r="O64" s="34"/>
      <c r="P64" s="34"/>
      <c r="Q64" s="34"/>
      <c r="R64" s="34"/>
      <c r="S64" s="34"/>
      <c r="T64" s="40"/>
    </row>
    <row r="65" spans="1:1" x14ac:dyDescent="0.2">
      <c r="A65" s="872"/>
    </row>
    <row r="66" spans="1:1" x14ac:dyDescent="0.2">
      <c r="A66" s="599"/>
    </row>
  </sheetData>
  <mergeCells count="4">
    <mergeCell ref="N22:U22"/>
    <mergeCell ref="B16:I16"/>
    <mergeCell ref="N8:S8"/>
    <mergeCell ref="B6:G6"/>
  </mergeCells>
  <phoneticPr fontId="0" type="noConversion"/>
  <pageMargins left="0.70866141732283472" right="0.70866141732283472" top="0.74803149606299213" bottom="0.74803149606299213" header="0.31496062992125984" footer="0.31496062992125984"/>
  <pageSetup paperSize="8" scale="7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F16"/>
  <sheetViews>
    <sheetView workbookViewId="0">
      <selection activeCell="B7" sqref="B7"/>
    </sheetView>
  </sheetViews>
  <sheetFormatPr defaultRowHeight="14.25" x14ac:dyDescent="0.2"/>
  <cols>
    <col min="1" max="1" width="5.85546875" style="1" customWidth="1"/>
    <col min="2" max="2" width="12.85546875" style="1" customWidth="1"/>
    <col min="3" max="3" width="9.140625" style="1"/>
    <col min="4" max="4" width="10.5703125" style="1" customWidth="1"/>
    <col min="5" max="5" width="19.7109375" style="14" customWidth="1"/>
    <col min="6" max="6" width="112.140625" style="14" customWidth="1"/>
    <col min="7" max="16384" width="9.140625" style="1"/>
  </cols>
  <sheetData>
    <row r="1" spans="1:6" s="15" customFormat="1" ht="27" thickBot="1" x14ac:dyDescent="0.45">
      <c r="A1" s="17" t="s">
        <v>128</v>
      </c>
      <c r="E1" s="16"/>
      <c r="F1" s="16"/>
    </row>
    <row r="2" spans="1:6" ht="15" x14ac:dyDescent="0.25">
      <c r="A2" s="2"/>
    </row>
    <row r="3" spans="1:6" x14ac:dyDescent="0.2">
      <c r="B3" s="20" t="s">
        <v>130</v>
      </c>
      <c r="C3" s="20" t="s">
        <v>131</v>
      </c>
      <c r="D3" s="20" t="s">
        <v>134</v>
      </c>
      <c r="E3" s="21" t="s">
        <v>133</v>
      </c>
      <c r="F3" s="21" t="s">
        <v>132</v>
      </c>
    </row>
    <row r="4" spans="1:6" x14ac:dyDescent="0.2">
      <c r="B4" s="22">
        <v>41338</v>
      </c>
      <c r="C4" s="3" t="s">
        <v>129</v>
      </c>
      <c r="D4" s="3" t="s">
        <v>135</v>
      </c>
      <c r="E4" s="18"/>
      <c r="F4" s="18"/>
    </row>
    <row r="5" spans="1:6" x14ac:dyDescent="0.2">
      <c r="B5" s="3"/>
      <c r="C5" s="3"/>
      <c r="D5" s="3"/>
      <c r="E5" s="18"/>
      <c r="F5" s="18"/>
    </row>
    <row r="6" spans="1:6" x14ac:dyDescent="0.2">
      <c r="B6" s="3"/>
      <c r="C6" s="3"/>
      <c r="D6" s="3"/>
      <c r="E6" s="18"/>
      <c r="F6" s="18"/>
    </row>
    <row r="7" spans="1:6" x14ac:dyDescent="0.2">
      <c r="B7" s="3"/>
      <c r="C7" s="3"/>
      <c r="D7" s="3"/>
      <c r="E7" s="18"/>
      <c r="F7" s="18"/>
    </row>
    <row r="8" spans="1:6" x14ac:dyDescent="0.2">
      <c r="B8" s="3"/>
      <c r="C8" s="3"/>
      <c r="D8" s="3"/>
      <c r="E8" s="18"/>
      <c r="F8" s="18"/>
    </row>
    <row r="9" spans="1:6" x14ac:dyDescent="0.2">
      <c r="B9" s="3"/>
      <c r="C9" s="3"/>
      <c r="D9" s="3"/>
      <c r="E9" s="18"/>
      <c r="F9" s="18"/>
    </row>
    <row r="10" spans="1:6" x14ac:dyDescent="0.2">
      <c r="B10" s="3"/>
      <c r="C10" s="3"/>
      <c r="D10" s="3"/>
      <c r="E10" s="18"/>
      <c r="F10" s="18"/>
    </row>
    <row r="11" spans="1:6" x14ac:dyDescent="0.2">
      <c r="B11" s="3"/>
      <c r="C11" s="3"/>
      <c r="D11" s="3"/>
      <c r="E11" s="18"/>
      <c r="F11" s="18"/>
    </row>
    <row r="12" spans="1:6" x14ac:dyDescent="0.2">
      <c r="B12" s="3"/>
      <c r="C12" s="3"/>
      <c r="D12" s="3"/>
      <c r="E12" s="18"/>
      <c r="F12" s="18"/>
    </row>
    <row r="13" spans="1:6" x14ac:dyDescent="0.2">
      <c r="B13" s="3"/>
      <c r="C13" s="3"/>
      <c r="D13" s="3"/>
      <c r="E13" s="18"/>
      <c r="F13" s="18"/>
    </row>
    <row r="14" spans="1:6" x14ac:dyDescent="0.2">
      <c r="B14" s="3"/>
      <c r="C14" s="3"/>
      <c r="D14" s="3"/>
      <c r="E14" s="18"/>
      <c r="F14" s="18"/>
    </row>
    <row r="15" spans="1:6" x14ac:dyDescent="0.2">
      <c r="B15" s="3"/>
      <c r="C15" s="3"/>
      <c r="D15" s="3"/>
      <c r="E15" s="18"/>
      <c r="F15" s="18"/>
    </row>
    <row r="16" spans="1:6" x14ac:dyDescent="0.2">
      <c r="B16" s="4"/>
      <c r="C16" s="4"/>
      <c r="D16" s="4"/>
      <c r="E16" s="19"/>
      <c r="F16" s="19"/>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theme="0"/>
    <pageSetUpPr fitToPage="1"/>
  </sheetPr>
  <dimension ref="A1:AJ446"/>
  <sheetViews>
    <sheetView showGridLines="0" zoomScaleNormal="100" workbookViewId="0">
      <selection activeCell="I1" sqref="I1"/>
    </sheetView>
  </sheetViews>
  <sheetFormatPr defaultRowHeight="15" x14ac:dyDescent="0.25"/>
  <cols>
    <col min="1" max="1" width="9.140625" style="195"/>
    <col min="2" max="2" width="29.5703125" style="195" customWidth="1"/>
    <col min="3" max="3" width="12.140625" style="195" customWidth="1"/>
    <col min="4" max="7" width="13.7109375" style="1443" customWidth="1"/>
    <col min="8" max="8" width="13.5703125" style="195" customWidth="1"/>
    <col min="9" max="9" width="12.140625" style="195" customWidth="1"/>
    <col min="10" max="10" width="27.5703125" style="195" customWidth="1"/>
    <col min="11" max="11" width="12.140625" style="195" customWidth="1"/>
    <col min="12" max="12" width="16.7109375" style="195" customWidth="1"/>
    <col min="13" max="13" width="13.7109375" style="1443" customWidth="1"/>
    <col min="14" max="14" width="16.7109375" style="195" customWidth="1"/>
    <col min="15" max="15" width="13.7109375" style="1443" customWidth="1"/>
    <col min="16" max="16384" width="9.140625" style="195"/>
  </cols>
  <sheetData>
    <row r="1" spans="1:36" s="1053" customFormat="1" ht="26.25" customHeight="1" x14ac:dyDescent="0.4">
      <c r="A1" s="1419" t="s">
        <v>507</v>
      </c>
      <c r="B1" s="879"/>
      <c r="C1" s="879"/>
      <c r="D1" s="880"/>
      <c r="E1" s="880"/>
      <c r="F1" s="880"/>
      <c r="G1" s="880"/>
      <c r="H1" s="879"/>
      <c r="I1" s="1960" t="s">
        <v>654</v>
      </c>
      <c r="J1" s="879"/>
      <c r="K1" s="879"/>
      <c r="L1" s="879"/>
      <c r="M1" s="880"/>
      <c r="N1" s="879"/>
      <c r="O1" s="880"/>
      <c r="P1" s="1420"/>
      <c r="Q1" s="1420"/>
      <c r="R1" s="1420"/>
      <c r="S1" s="1420"/>
      <c r="T1" s="1420"/>
      <c r="U1" s="1420"/>
      <c r="V1" s="1420"/>
      <c r="W1" s="745"/>
      <c r="X1" s="745"/>
      <c r="Y1" s="745"/>
      <c r="Z1" s="745"/>
      <c r="AA1" s="745"/>
      <c r="AB1" s="745"/>
    </row>
    <row r="2" spans="1:36" s="1421" customFormat="1" ht="15" customHeight="1" x14ac:dyDescent="0.35">
      <c r="D2" s="1422"/>
      <c r="E2" s="1422"/>
      <c r="F2" s="1422"/>
      <c r="G2" s="1422"/>
      <c r="I2" s="210"/>
      <c r="J2" s="194" t="s">
        <v>421</v>
      </c>
      <c r="M2" s="1422"/>
      <c r="O2" s="1422"/>
    </row>
    <row r="3" spans="1:36" s="1421" customFormat="1" ht="15" customHeight="1" x14ac:dyDescent="0.35">
      <c r="A3" s="1423" t="s">
        <v>508</v>
      </c>
      <c r="D3" s="1422"/>
      <c r="E3" s="1422"/>
      <c r="F3" s="1422"/>
      <c r="G3" s="1422"/>
      <c r="I3" s="195"/>
      <c r="J3" s="194"/>
      <c r="M3" s="1422"/>
      <c r="O3" s="1422"/>
    </row>
    <row r="4" spans="1:36" s="1421" customFormat="1" ht="15" customHeight="1" x14ac:dyDescent="0.35">
      <c r="A4" s="1423" t="s">
        <v>486</v>
      </c>
      <c r="D4" s="1422"/>
      <c r="E4" s="1422"/>
      <c r="F4" s="1422"/>
      <c r="G4" s="1422"/>
      <c r="I4" s="223"/>
      <c r="J4" s="194" t="s">
        <v>422</v>
      </c>
      <c r="M4" s="1422"/>
      <c r="O4" s="1422"/>
    </row>
    <row r="5" spans="1:36" s="1421" customFormat="1" ht="15" customHeight="1" x14ac:dyDescent="0.35">
      <c r="A5" s="1423" t="s">
        <v>515</v>
      </c>
      <c r="D5" s="1422"/>
      <c r="E5" s="1422"/>
      <c r="F5" s="1422"/>
      <c r="G5" s="1422"/>
      <c r="I5" s="214"/>
      <c r="J5" s="194"/>
      <c r="M5" s="1422"/>
      <c r="O5" s="1422"/>
    </row>
    <row r="6" spans="1:36" s="1421" customFormat="1" ht="15" customHeight="1" x14ac:dyDescent="0.35">
      <c r="A6" s="1423" t="s">
        <v>516</v>
      </c>
      <c r="D6" s="1422"/>
      <c r="E6" s="1422"/>
      <c r="F6" s="1422"/>
      <c r="G6" s="1422"/>
      <c r="I6" s="228"/>
      <c r="J6" s="194" t="s">
        <v>650</v>
      </c>
      <c r="M6" s="1422"/>
      <c r="O6" s="1422"/>
    </row>
    <row r="7" spans="1:36" s="1421" customFormat="1" ht="15" customHeight="1" x14ac:dyDescent="0.35">
      <c r="A7" s="1423" t="s">
        <v>487</v>
      </c>
      <c r="D7" s="1422"/>
      <c r="E7" s="1422"/>
      <c r="F7" s="1422"/>
      <c r="G7" s="1422"/>
      <c r="I7" s="195"/>
      <c r="J7" s="194"/>
      <c r="M7" s="1422"/>
      <c r="O7" s="1422"/>
    </row>
    <row r="8" spans="1:36" s="1421" customFormat="1" ht="15" customHeight="1" thickBot="1" x14ac:dyDescent="0.4">
      <c r="A8" s="1423"/>
      <c r="D8" s="1422"/>
      <c r="E8" s="1422"/>
      <c r="F8" s="1422"/>
      <c r="G8" s="1422"/>
      <c r="I8" s="232"/>
      <c r="J8" s="194" t="s">
        <v>649</v>
      </c>
      <c r="M8" s="1422"/>
      <c r="O8" s="1422"/>
    </row>
    <row r="9" spans="1:36" s="745" customFormat="1" ht="26.25" customHeight="1" thickBot="1" x14ac:dyDescent="0.45">
      <c r="A9" s="1424" t="s">
        <v>506</v>
      </c>
      <c r="B9" s="1425"/>
      <c r="C9" s="1426"/>
      <c r="D9" s="1426"/>
      <c r="E9" s="1427"/>
      <c r="F9" s="1426"/>
      <c r="G9" s="1428"/>
      <c r="H9" s="1429"/>
      <c r="I9" s="214"/>
      <c r="J9" s="194"/>
      <c r="K9" s="1429"/>
      <c r="L9" s="1429"/>
      <c r="M9" s="1429"/>
      <c r="N9" s="1429"/>
      <c r="O9" s="1429"/>
      <c r="P9" s="1429"/>
      <c r="Q9" s="1429"/>
      <c r="R9" s="1429"/>
      <c r="S9" s="1429"/>
      <c r="T9" s="1429"/>
      <c r="U9" s="1420"/>
      <c r="V9" s="1420"/>
      <c r="W9" s="1420"/>
      <c r="X9" s="1420"/>
      <c r="Y9" s="1420"/>
      <c r="Z9" s="1420"/>
      <c r="AA9" s="1420"/>
      <c r="AB9" s="1420"/>
      <c r="AC9" s="1420"/>
      <c r="AD9" s="1420"/>
      <c r="AE9" s="1420"/>
      <c r="AF9" s="1420"/>
      <c r="AG9" s="1420"/>
      <c r="AH9" s="1420"/>
      <c r="AI9" s="1420"/>
      <c r="AJ9" s="1420"/>
    </row>
    <row r="10" spans="1:36" s="214" customFormat="1" ht="15" customHeight="1" x14ac:dyDescent="0.25">
      <c r="A10" s="1430" t="s">
        <v>310</v>
      </c>
      <c r="B10" s="1431"/>
      <c r="C10" s="1432"/>
      <c r="D10" s="1963" t="s">
        <v>217</v>
      </c>
      <c r="E10" s="1964"/>
      <c r="F10" s="1433"/>
      <c r="G10" s="1434"/>
      <c r="H10" s="1435"/>
      <c r="I10" s="1436"/>
      <c r="J10" s="194" t="s">
        <v>423</v>
      </c>
    </row>
    <row r="11" spans="1:36" ht="15" customHeight="1" thickBot="1" x14ac:dyDescent="0.3">
      <c r="A11" s="1437" t="s">
        <v>50</v>
      </c>
      <c r="B11" s="1438" t="s">
        <v>15</v>
      </c>
      <c r="C11" s="1439" t="s">
        <v>24</v>
      </c>
      <c r="D11" s="1440" t="s">
        <v>167</v>
      </c>
      <c r="E11" s="1441" t="s">
        <v>11</v>
      </c>
      <c r="F11" s="1433"/>
      <c r="G11" s="1434"/>
      <c r="H11" s="1442"/>
    </row>
    <row r="12" spans="1:36" ht="15" hidden="1" customHeight="1" x14ac:dyDescent="0.25">
      <c r="A12" s="1444"/>
      <c r="B12" s="1445"/>
      <c r="C12" s="1446"/>
      <c r="D12" s="1440"/>
      <c r="E12" s="1441"/>
      <c r="F12" s="1433"/>
      <c r="G12" s="1434"/>
      <c r="H12" s="1442"/>
    </row>
    <row r="13" spans="1:36" s="1452" customFormat="1" ht="15" customHeight="1" x14ac:dyDescent="0.25">
      <c r="A13" s="1414" t="s">
        <v>179</v>
      </c>
      <c r="B13" s="1415" t="s">
        <v>538</v>
      </c>
      <c r="C13" s="1447" t="str">
        <f>'Linac 1'!C$3</f>
        <v>Linac 1</v>
      </c>
      <c r="D13" s="1448">
        <f>'Linac 1'!AA$40</f>
        <v>2.7169724681689482E-2</v>
      </c>
      <c r="E13" s="1449">
        <f>SUM(D12:D23)</f>
        <v>0.27169724681689483</v>
      </c>
      <c r="F13" s="1450"/>
      <c r="G13" s="1451" t="s">
        <v>566</v>
      </c>
    </row>
    <row r="14" spans="1:36" ht="15" customHeight="1" x14ac:dyDescent="0.25">
      <c r="A14" s="1453"/>
      <c r="B14" s="1454"/>
      <c r="C14" s="1455" t="str">
        <f>'Linac 2'!C$3</f>
        <v>Linac 2</v>
      </c>
      <c r="D14" s="1456">
        <f>'Linac 2'!AA$40</f>
        <v>2.7169724681689482E-2</v>
      </c>
      <c r="E14" s="1457"/>
      <c r="F14" s="1458"/>
      <c r="G14" s="1451" t="s">
        <v>564</v>
      </c>
    </row>
    <row r="15" spans="1:36" ht="15" customHeight="1" x14ac:dyDescent="0.25">
      <c r="A15" s="1459"/>
      <c r="B15" s="1460"/>
      <c r="C15" s="1455" t="str">
        <f>'Linac 3'!C$3</f>
        <v>Linac 3</v>
      </c>
      <c r="D15" s="1456">
        <f>'Linac 3'!AA$40</f>
        <v>2.7169724681689482E-2</v>
      </c>
      <c r="E15" s="1457"/>
      <c r="F15" s="1458"/>
    </row>
    <row r="16" spans="1:36" ht="15" customHeight="1" x14ac:dyDescent="0.25">
      <c r="A16" s="1459"/>
      <c r="B16" s="1460"/>
      <c r="C16" s="1455" t="str">
        <f>'Linac 4'!C$3</f>
        <v>Linac 4</v>
      </c>
      <c r="D16" s="1456">
        <f>'Linac 4'!AA$40</f>
        <v>2.7169724681689482E-2</v>
      </c>
      <c r="E16" s="1457"/>
      <c r="F16" s="1458"/>
    </row>
    <row r="17" spans="1:17" ht="15" customHeight="1" x14ac:dyDescent="0.25">
      <c r="A17" s="1459"/>
      <c r="B17" s="1461"/>
      <c r="C17" s="1455" t="str">
        <f>'Linac 5'!C$3</f>
        <v>Linac 5</v>
      </c>
      <c r="D17" s="1456">
        <f>'Linac 5'!AA$40</f>
        <v>2.7169724681689482E-2</v>
      </c>
      <c r="E17" s="1457"/>
      <c r="F17" s="1458"/>
    </row>
    <row r="18" spans="1:17" ht="15" customHeight="1" x14ac:dyDescent="0.25">
      <c r="A18" s="1459"/>
      <c r="B18" s="1460"/>
      <c r="C18" s="1455" t="str">
        <f>'Linac 6'!C$3</f>
        <v>Linac 6</v>
      </c>
      <c r="D18" s="1456">
        <f>'Linac 6'!AA$40</f>
        <v>2.7169724681689482E-2</v>
      </c>
      <c r="E18" s="1457"/>
      <c r="F18" s="1458"/>
    </row>
    <row r="19" spans="1:17" ht="15" customHeight="1" x14ac:dyDescent="0.25">
      <c r="A19" s="1459"/>
      <c r="B19" s="1460"/>
      <c r="C19" s="1455" t="str">
        <f>'Linac 7'!C$3</f>
        <v>Linac 7</v>
      </c>
      <c r="D19" s="1456">
        <f>'Linac 7'!AA$40</f>
        <v>2.7169724681689482E-2</v>
      </c>
      <c r="E19" s="1457"/>
      <c r="F19" s="1458"/>
    </row>
    <row r="20" spans="1:17" ht="15" customHeight="1" x14ac:dyDescent="0.25">
      <c r="A20" s="1459"/>
      <c r="B20" s="1460"/>
      <c r="C20" s="1455" t="str">
        <f>'Linac 8'!C$3</f>
        <v>Linac 8</v>
      </c>
      <c r="D20" s="1456">
        <f>'Linac 8'!AA$40</f>
        <v>2.7169724681689482E-2</v>
      </c>
      <c r="E20" s="1457"/>
      <c r="F20" s="1458"/>
    </row>
    <row r="21" spans="1:17" ht="15" customHeight="1" x14ac:dyDescent="0.25">
      <c r="A21" s="1459"/>
      <c r="B21" s="1460"/>
      <c r="C21" s="1455" t="str">
        <f>'Linac 9'!C$3</f>
        <v>Linac 9</v>
      </c>
      <c r="D21" s="1456">
        <f>'Linac 9'!AA$40</f>
        <v>2.7169724681689482E-2</v>
      </c>
      <c r="E21" s="1457"/>
      <c r="F21" s="1458"/>
    </row>
    <row r="22" spans="1:17" ht="15" customHeight="1" thickBot="1" x14ac:dyDescent="0.3">
      <c r="A22" s="1462"/>
      <c r="B22" s="1463"/>
      <c r="C22" s="1464" t="str">
        <f>'Linac 10'!C$3</f>
        <v>Linac 10</v>
      </c>
      <c r="D22" s="1465">
        <f>'Linac 10'!AA$40</f>
        <v>2.7169724681689482E-2</v>
      </c>
      <c r="E22" s="1466"/>
      <c r="F22" s="1458"/>
      <c r="G22" s="299"/>
      <c r="H22" s="1467"/>
    </row>
    <row r="23" spans="1:17" ht="15" hidden="1" customHeight="1" x14ac:dyDescent="0.25">
      <c r="A23" s="1459"/>
      <c r="B23" s="1460"/>
      <c r="C23" s="1455"/>
      <c r="D23" s="1456"/>
      <c r="E23" s="1468"/>
      <c r="F23" s="1458"/>
      <c r="G23" s="299"/>
      <c r="H23" s="1467"/>
    </row>
    <row r="24" spans="1:17" ht="15" customHeight="1" x14ac:dyDescent="0.25">
      <c r="A24" s="1469"/>
      <c r="B24" s="1470"/>
      <c r="C24" s="1447" t="str">
        <f>'Linac 1'!C$3</f>
        <v>Linac 1</v>
      </c>
      <c r="D24" s="1448">
        <f>'Linac 1'!AA$43</f>
        <v>2.7169724681689482E-2</v>
      </c>
      <c r="E24" s="1471"/>
      <c r="F24" s="1450"/>
      <c r="H24" s="1467"/>
    </row>
    <row r="25" spans="1:17" ht="15" customHeight="1" x14ac:dyDescent="0.25">
      <c r="A25" s="1416" t="s">
        <v>180</v>
      </c>
      <c r="B25" s="1417" t="s">
        <v>539</v>
      </c>
      <c r="C25" s="1455" t="str">
        <f>'Linac 2'!C$3</f>
        <v>Linac 2</v>
      </c>
      <c r="D25" s="1456">
        <f>'Linac 2'!AA$43</f>
        <v>2.7169724681689482E-2</v>
      </c>
      <c r="E25" s="1472">
        <f>SUM(D23:D34)</f>
        <v>0.27169724681689483</v>
      </c>
      <c r="F25" s="1458"/>
      <c r="G25" s="1473"/>
      <c r="H25" s="1435"/>
    </row>
    <row r="26" spans="1:17" ht="15" customHeight="1" x14ac:dyDescent="0.25">
      <c r="A26" s="1459"/>
      <c r="B26" s="1461"/>
      <c r="C26" s="1455" t="str">
        <f>'Linac 3'!C$3</f>
        <v>Linac 3</v>
      </c>
      <c r="D26" s="1456">
        <f>'Linac 3'!AA$43</f>
        <v>2.7169724681689482E-2</v>
      </c>
      <c r="E26" s="1457"/>
      <c r="F26" s="1458"/>
      <c r="G26" s="299"/>
      <c r="H26" s="1435"/>
    </row>
    <row r="27" spans="1:17" ht="15" customHeight="1" x14ac:dyDescent="0.25">
      <c r="A27" s="1459"/>
      <c r="B27" s="1461"/>
      <c r="C27" s="1455" t="str">
        <f>'Linac 4'!C$3</f>
        <v>Linac 4</v>
      </c>
      <c r="D27" s="1456">
        <f>'Linac 4'!AA$43</f>
        <v>2.7169724681689482E-2</v>
      </c>
      <c r="E27" s="1457"/>
      <c r="F27" s="1458"/>
      <c r="G27" s="299"/>
      <c r="H27" s="1435"/>
      <c r="Q27" s="1474"/>
    </row>
    <row r="28" spans="1:17" ht="15" customHeight="1" x14ac:dyDescent="0.25">
      <c r="A28" s="1459"/>
      <c r="B28" s="1461"/>
      <c r="C28" s="1455" t="str">
        <f>'Linac 5'!C$3</f>
        <v>Linac 5</v>
      </c>
      <c r="D28" s="1456">
        <f>'Linac 5'!AA$43</f>
        <v>2.7169724681689482E-2</v>
      </c>
      <c r="E28" s="1457"/>
      <c r="F28" s="1458"/>
      <c r="G28" s="299"/>
      <c r="H28" s="1435"/>
      <c r="Q28" s="1474"/>
    </row>
    <row r="29" spans="1:17" ht="15" customHeight="1" x14ac:dyDescent="0.25">
      <c r="A29" s="1459"/>
      <c r="B29" s="1461"/>
      <c r="C29" s="1455" t="str">
        <f>'Linac 6'!C$3</f>
        <v>Linac 6</v>
      </c>
      <c r="D29" s="1456">
        <f>'Linac 6'!AA$43</f>
        <v>2.7169724681689482E-2</v>
      </c>
      <c r="E29" s="1457"/>
      <c r="F29" s="1458"/>
      <c r="G29" s="299"/>
      <c r="H29" s="1435"/>
      <c r="I29" s="1429"/>
      <c r="J29" s="801"/>
      <c r="K29" s="1429"/>
      <c r="L29" s="1475"/>
      <c r="M29" s="1475"/>
      <c r="N29" s="1475"/>
      <c r="O29" s="1475"/>
      <c r="Q29" s="1474"/>
    </row>
    <row r="30" spans="1:17" ht="15" customHeight="1" x14ac:dyDescent="0.25">
      <c r="A30" s="1459"/>
      <c r="B30" s="1461"/>
      <c r="C30" s="1455" t="str">
        <f>'Linac 7'!C$3</f>
        <v>Linac 7</v>
      </c>
      <c r="D30" s="1456">
        <f>'Linac 7'!AA$43</f>
        <v>2.7169724681689482E-2</v>
      </c>
      <c r="E30" s="1457"/>
      <c r="F30" s="1458"/>
      <c r="G30" s="299"/>
      <c r="H30" s="1435"/>
      <c r="I30" s="1429"/>
      <c r="J30" s="801"/>
      <c r="K30" s="1429"/>
      <c r="L30" s="1475"/>
      <c r="M30" s="1475"/>
      <c r="N30" s="1475"/>
      <c r="O30" s="1475"/>
      <c r="Q30" s="1474"/>
    </row>
    <row r="31" spans="1:17" ht="15" customHeight="1" x14ac:dyDescent="0.25">
      <c r="A31" s="1459"/>
      <c r="B31" s="1461"/>
      <c r="C31" s="1455" t="str">
        <f>'Linac 8'!C$3</f>
        <v>Linac 8</v>
      </c>
      <c r="D31" s="1456">
        <f>'Linac 8'!AA$43</f>
        <v>2.7169724681689482E-2</v>
      </c>
      <c r="E31" s="1457"/>
      <c r="F31" s="1458"/>
      <c r="G31" s="299"/>
      <c r="H31" s="1435"/>
      <c r="I31" s="1429"/>
      <c r="J31" s="801"/>
      <c r="K31" s="1429"/>
      <c r="L31" s="1475"/>
      <c r="M31" s="1475"/>
      <c r="N31" s="1475"/>
      <c r="O31" s="1475"/>
      <c r="Q31" s="1474"/>
    </row>
    <row r="32" spans="1:17" ht="15" customHeight="1" x14ac:dyDescent="0.25">
      <c r="A32" s="1459"/>
      <c r="B32" s="1461"/>
      <c r="C32" s="1455" t="str">
        <f>'Linac 9'!C$3</f>
        <v>Linac 9</v>
      </c>
      <c r="D32" s="1456">
        <f>'Linac 9'!AA$43</f>
        <v>2.7169724681689482E-2</v>
      </c>
      <c r="E32" s="1457"/>
      <c r="F32" s="1458"/>
      <c r="G32" s="299"/>
      <c r="H32" s="1435"/>
      <c r="M32" s="1475"/>
      <c r="N32" s="1475"/>
      <c r="O32" s="1475"/>
      <c r="Q32" s="1474"/>
    </row>
    <row r="33" spans="1:17" ht="15" customHeight="1" thickBot="1" x14ac:dyDescent="0.3">
      <c r="A33" s="1462"/>
      <c r="B33" s="1476"/>
      <c r="C33" s="1464" t="str">
        <f>'Linac 10'!C$3</f>
        <v>Linac 10</v>
      </c>
      <c r="D33" s="1465">
        <f>'Linac 10'!AA$43</f>
        <v>2.7169724681689482E-2</v>
      </c>
      <c r="E33" s="1466"/>
      <c r="F33" s="1458"/>
      <c r="G33" s="299"/>
      <c r="H33" s="1435"/>
      <c r="M33" s="1475"/>
      <c r="N33" s="1475"/>
      <c r="O33" s="1475"/>
      <c r="Q33" s="1474"/>
    </row>
    <row r="34" spans="1:17" ht="15" hidden="1" customHeight="1" x14ac:dyDescent="0.25">
      <c r="A34" s="1459"/>
      <c r="B34" s="1461"/>
      <c r="C34" s="1455"/>
      <c r="D34" s="1456"/>
      <c r="E34" s="1457"/>
      <c r="F34" s="1458"/>
      <c r="G34" s="299"/>
      <c r="H34" s="1435"/>
      <c r="M34" s="1475"/>
      <c r="N34" s="1475"/>
      <c r="O34" s="1475"/>
      <c r="Q34" s="1474"/>
    </row>
    <row r="35" spans="1:17" ht="15" customHeight="1" x14ac:dyDescent="0.25">
      <c r="A35" s="1477"/>
      <c r="B35" s="1478"/>
      <c r="C35" s="1447" t="str">
        <f>'Linac 1'!C$3</f>
        <v>Linac 1</v>
      </c>
      <c r="D35" s="1448">
        <f>'Linac 1'!AA$46</f>
        <v>2.7169724681689482E-2</v>
      </c>
      <c r="E35" s="1471"/>
      <c r="F35" s="1450"/>
      <c r="G35" s="1479"/>
      <c r="H35" s="1435"/>
      <c r="Q35" s="1474"/>
    </row>
    <row r="36" spans="1:17" ht="15" customHeight="1" x14ac:dyDescent="0.25">
      <c r="A36" s="1459"/>
      <c r="B36" s="1480"/>
      <c r="C36" s="1455" t="str">
        <f>'Linac 2'!C$3</f>
        <v>Linac 2</v>
      </c>
      <c r="D36" s="1456">
        <f>'Linac 2'!AA$46</f>
        <v>2.7169724681689482E-2</v>
      </c>
      <c r="E36" s="1457"/>
      <c r="F36" s="1458"/>
      <c r="G36" s="299"/>
      <c r="H36" s="1435"/>
    </row>
    <row r="37" spans="1:17" ht="15" customHeight="1" x14ac:dyDescent="0.25">
      <c r="A37" s="1416" t="s">
        <v>181</v>
      </c>
      <c r="B37" s="1418" t="s">
        <v>540</v>
      </c>
      <c r="C37" s="1455" t="str">
        <f>'Linac 3'!C$3</f>
        <v>Linac 3</v>
      </c>
      <c r="D37" s="1456">
        <f>'Linac 3'!AA$46</f>
        <v>2.7169724681689482E-2</v>
      </c>
      <c r="E37" s="1472">
        <f>SUM(D34:D45)</f>
        <v>0.27169724681689483</v>
      </c>
      <c r="F37" s="1458"/>
      <c r="G37" s="299"/>
      <c r="H37" s="1435"/>
    </row>
    <row r="38" spans="1:17" ht="15" customHeight="1" x14ac:dyDescent="0.25">
      <c r="A38" s="1459"/>
      <c r="B38" s="1480"/>
      <c r="C38" s="1455" t="str">
        <f>'Linac 4'!C$3</f>
        <v>Linac 4</v>
      </c>
      <c r="D38" s="1456">
        <f>'Linac 4'!AA$46</f>
        <v>2.7169724681689482E-2</v>
      </c>
      <c r="E38" s="1457"/>
      <c r="F38" s="1458"/>
      <c r="G38" s="299"/>
      <c r="H38" s="1435"/>
    </row>
    <row r="39" spans="1:17" ht="15" customHeight="1" x14ac:dyDescent="0.25">
      <c r="A39" s="1459"/>
      <c r="B39" s="1480"/>
      <c r="C39" s="1455" t="str">
        <f>'Linac 5'!C$3</f>
        <v>Linac 5</v>
      </c>
      <c r="D39" s="1456">
        <f>'Linac 5'!AA$46</f>
        <v>2.7169724681689482E-2</v>
      </c>
      <c r="E39" s="1457"/>
      <c r="F39" s="1458"/>
      <c r="G39" s="299"/>
      <c r="H39" s="1435"/>
      <c r="M39" s="1475"/>
      <c r="N39" s="1475"/>
      <c r="O39" s="1475"/>
    </row>
    <row r="40" spans="1:17" ht="15" customHeight="1" x14ac:dyDescent="0.25">
      <c r="A40" s="1459"/>
      <c r="B40" s="1480"/>
      <c r="C40" s="1455" t="str">
        <f>'Linac 6'!C$3</f>
        <v>Linac 6</v>
      </c>
      <c r="D40" s="1456">
        <f>'Linac 6'!AA$46</f>
        <v>2.7169724681689482E-2</v>
      </c>
      <c r="E40" s="1457"/>
      <c r="F40" s="1458"/>
      <c r="G40" s="299"/>
      <c r="H40" s="1435"/>
      <c r="M40" s="1475"/>
      <c r="N40" s="1475"/>
      <c r="O40" s="1475"/>
    </row>
    <row r="41" spans="1:17" ht="15" customHeight="1" x14ac:dyDescent="0.25">
      <c r="A41" s="1459"/>
      <c r="B41" s="1480"/>
      <c r="C41" s="1455" t="str">
        <f>'Linac 7'!C$3</f>
        <v>Linac 7</v>
      </c>
      <c r="D41" s="1456">
        <f>'Linac 7'!AA$46</f>
        <v>2.7169724681689482E-2</v>
      </c>
      <c r="E41" s="1457"/>
      <c r="F41" s="1458"/>
      <c r="G41" s="299"/>
      <c r="H41" s="1435"/>
      <c r="M41" s="1475"/>
      <c r="N41" s="1475"/>
      <c r="O41" s="1475"/>
    </row>
    <row r="42" spans="1:17" ht="15" customHeight="1" x14ac:dyDescent="0.25">
      <c r="A42" s="1459"/>
      <c r="B42" s="1480"/>
      <c r="C42" s="1455" t="str">
        <f>'Linac 8'!C$3</f>
        <v>Linac 8</v>
      </c>
      <c r="D42" s="1456">
        <f>'Linac 8'!AA$46</f>
        <v>2.7169724681689482E-2</v>
      </c>
      <c r="E42" s="1457"/>
      <c r="F42" s="1458"/>
      <c r="G42" s="299"/>
      <c r="H42" s="1435"/>
      <c r="M42" s="1475"/>
      <c r="N42" s="1475"/>
      <c r="O42" s="1475"/>
    </row>
    <row r="43" spans="1:17" ht="15" customHeight="1" x14ac:dyDescent="0.25">
      <c r="A43" s="1459"/>
      <c r="B43" s="1480"/>
      <c r="C43" s="1455" t="str">
        <f>'Linac 9'!C$3</f>
        <v>Linac 9</v>
      </c>
      <c r="D43" s="1456">
        <f>'Linac 9'!AA$46</f>
        <v>2.7169724681689482E-2</v>
      </c>
      <c r="E43" s="1457"/>
      <c r="F43" s="1458"/>
      <c r="G43" s="299"/>
      <c r="H43" s="1435"/>
      <c r="M43" s="1475"/>
      <c r="N43" s="1475"/>
      <c r="O43" s="1475"/>
    </row>
    <row r="44" spans="1:17" ht="15" customHeight="1" thickBot="1" x14ac:dyDescent="0.3">
      <c r="A44" s="1462"/>
      <c r="B44" s="1481"/>
      <c r="C44" s="1464" t="str">
        <f>'Linac 10'!C$3</f>
        <v>Linac 10</v>
      </c>
      <c r="D44" s="1465">
        <f>'Linac 10'!AA$46</f>
        <v>2.7169724681689482E-2</v>
      </c>
      <c r="E44" s="1466"/>
      <c r="F44" s="1458"/>
      <c r="G44" s="299"/>
      <c r="H44" s="1435"/>
      <c r="M44" s="1475"/>
      <c r="N44" s="1475"/>
      <c r="O44" s="1475"/>
    </row>
    <row r="45" spans="1:17" ht="15" hidden="1" customHeight="1" x14ac:dyDescent="0.25">
      <c r="A45" s="1459"/>
      <c r="B45" s="1461"/>
      <c r="C45" s="1455"/>
      <c r="D45" s="1456"/>
      <c r="E45" s="1457"/>
      <c r="F45" s="1458"/>
      <c r="G45" s="299"/>
      <c r="H45" s="1435"/>
      <c r="M45" s="1475"/>
      <c r="N45" s="1475"/>
      <c r="O45" s="1475"/>
    </row>
    <row r="46" spans="1:17" ht="15" customHeight="1" x14ac:dyDescent="0.25">
      <c r="A46" s="1477"/>
      <c r="B46" s="1478"/>
      <c r="C46" s="1447" t="str">
        <f>'Linac 1'!C$3</f>
        <v>Linac 1</v>
      </c>
      <c r="D46" s="1448">
        <f>'Linac 1'!AA$49</f>
        <v>2.7169724681689482E-2</v>
      </c>
      <c r="E46" s="1471"/>
      <c r="F46" s="1450"/>
      <c r="G46" s="1479"/>
      <c r="H46" s="1435"/>
      <c r="M46" s="1482"/>
      <c r="N46" s="214"/>
    </row>
    <row r="47" spans="1:17" ht="15" customHeight="1" x14ac:dyDescent="0.25">
      <c r="A47" s="1459"/>
      <c r="B47" s="1480"/>
      <c r="C47" s="1455" t="str">
        <f>'Linac 2'!C$3</f>
        <v>Linac 2</v>
      </c>
      <c r="D47" s="1456">
        <f>'Linac 2'!AA$49</f>
        <v>2.7169724681689482E-2</v>
      </c>
      <c r="E47" s="1457"/>
      <c r="F47" s="1458"/>
      <c r="G47" s="299"/>
      <c r="H47" s="1435"/>
      <c r="I47" s="214"/>
      <c r="M47" s="1482"/>
      <c r="N47" s="214"/>
    </row>
    <row r="48" spans="1:17" ht="15" customHeight="1" x14ac:dyDescent="0.25">
      <c r="A48" s="1459"/>
      <c r="B48" s="1480"/>
      <c r="C48" s="1455" t="str">
        <f>'Linac 3'!C$3</f>
        <v>Linac 3</v>
      </c>
      <c r="D48" s="1456">
        <f>'Linac 3'!AA$49</f>
        <v>2.7169724681689482E-2</v>
      </c>
      <c r="E48" s="1457"/>
      <c r="F48" s="1458"/>
      <c r="G48" s="299"/>
      <c r="H48" s="1435"/>
      <c r="I48" s="214"/>
    </row>
    <row r="49" spans="1:14" ht="15" customHeight="1" x14ac:dyDescent="0.25">
      <c r="A49" s="1416" t="s">
        <v>182</v>
      </c>
      <c r="B49" s="1418" t="s">
        <v>541</v>
      </c>
      <c r="C49" s="1455" t="str">
        <f>'Linac 4'!C$3</f>
        <v>Linac 4</v>
      </c>
      <c r="D49" s="1456">
        <f>'Linac 4'!AA$49</f>
        <v>2.7169724681689482E-2</v>
      </c>
      <c r="E49" s="1472">
        <f>SUM(D45:D56)</f>
        <v>0.27169724681689483</v>
      </c>
      <c r="F49" s="1458"/>
      <c r="G49" s="299"/>
      <c r="H49" s="1435"/>
      <c r="I49" s="214"/>
    </row>
    <row r="50" spans="1:14" ht="15" customHeight="1" x14ac:dyDescent="0.25">
      <c r="A50" s="1459"/>
      <c r="B50" s="1480"/>
      <c r="C50" s="1455" t="str">
        <f>'Linac 5'!C$3</f>
        <v>Linac 5</v>
      </c>
      <c r="D50" s="1456">
        <f>'Linac 5'!AA$49</f>
        <v>2.7169724681689482E-2</v>
      </c>
      <c r="E50" s="1457"/>
      <c r="F50" s="299"/>
      <c r="G50" s="299"/>
      <c r="H50" s="1435"/>
      <c r="I50" s="214"/>
    </row>
    <row r="51" spans="1:14" ht="15" customHeight="1" x14ac:dyDescent="0.25">
      <c r="A51" s="1459"/>
      <c r="B51" s="1480"/>
      <c r="C51" s="1455" t="str">
        <f>'Linac 6'!C$3</f>
        <v>Linac 6</v>
      </c>
      <c r="D51" s="1456">
        <f>'Linac 6'!AA$49</f>
        <v>2.7169724681689482E-2</v>
      </c>
      <c r="E51" s="1457"/>
      <c r="F51" s="299"/>
      <c r="G51" s="299"/>
      <c r="H51" s="1435"/>
      <c r="I51" s="214"/>
    </row>
    <row r="52" spans="1:14" ht="15" customHeight="1" x14ac:dyDescent="0.25">
      <c r="A52" s="1459"/>
      <c r="B52" s="1480"/>
      <c r="C52" s="1455" t="str">
        <f>'Linac 7'!C$3</f>
        <v>Linac 7</v>
      </c>
      <c r="D52" s="1456">
        <f>'Linac 7'!AA$49</f>
        <v>2.7169724681689482E-2</v>
      </c>
      <c r="E52" s="1457"/>
      <c r="F52" s="299"/>
      <c r="G52" s="299"/>
      <c r="H52" s="1435"/>
      <c r="I52" s="214"/>
    </row>
    <row r="53" spans="1:14" ht="15" customHeight="1" x14ac:dyDescent="0.25">
      <c r="A53" s="1459"/>
      <c r="B53" s="1480"/>
      <c r="C53" s="1455" t="str">
        <f>'Linac 8'!C$3</f>
        <v>Linac 8</v>
      </c>
      <c r="D53" s="1456">
        <f>'Linac 8'!AA$49</f>
        <v>2.7169724681689482E-2</v>
      </c>
      <c r="E53" s="1457"/>
      <c r="F53" s="299"/>
      <c r="G53" s="299"/>
      <c r="H53" s="1435"/>
      <c r="I53" s="1435"/>
    </row>
    <row r="54" spans="1:14" ht="15" customHeight="1" x14ac:dyDescent="0.25">
      <c r="A54" s="1459"/>
      <c r="B54" s="1480"/>
      <c r="C54" s="1455" t="str">
        <f>'Linac 9'!C$3</f>
        <v>Linac 9</v>
      </c>
      <c r="D54" s="1456">
        <f>'Linac 9'!AA$49</f>
        <v>2.7169724681689482E-2</v>
      </c>
      <c r="E54" s="1457"/>
      <c r="F54" s="299"/>
      <c r="G54" s="299"/>
      <c r="H54" s="1435"/>
    </row>
    <row r="55" spans="1:14" ht="15" customHeight="1" thickBot="1" x14ac:dyDescent="0.3">
      <c r="A55" s="1462"/>
      <c r="B55" s="1481"/>
      <c r="C55" s="1464" t="str">
        <f>'Linac 10'!C$3</f>
        <v>Linac 10</v>
      </c>
      <c r="D55" s="1465">
        <f>'Linac 10'!AA$49</f>
        <v>2.7169724681689482E-2</v>
      </c>
      <c r="E55" s="1466"/>
      <c r="F55" s="299"/>
      <c r="G55" s="299"/>
      <c r="H55" s="1435"/>
      <c r="I55" s="1435"/>
    </row>
    <row r="56" spans="1:14" ht="15" hidden="1" customHeight="1" x14ac:dyDescent="0.25">
      <c r="A56" s="1459"/>
      <c r="B56" s="1461"/>
      <c r="C56" s="1455"/>
      <c r="D56" s="1456"/>
      <c r="E56" s="1457"/>
      <c r="F56" s="299"/>
      <c r="G56" s="299"/>
      <c r="H56" s="1435"/>
      <c r="I56" s="1435"/>
    </row>
    <row r="57" spans="1:14" ht="15" customHeight="1" x14ac:dyDescent="0.25">
      <c r="A57" s="1477"/>
      <c r="B57" s="1470"/>
      <c r="C57" s="1447" t="str">
        <f>'Linac 1'!C$3</f>
        <v>Linac 1</v>
      </c>
      <c r="D57" s="1448">
        <f>'Linac 1'!AA$52</f>
        <v>2.7169724681689482E-2</v>
      </c>
      <c r="E57" s="1471"/>
      <c r="F57" s="1450"/>
      <c r="G57" s="1479"/>
      <c r="H57" s="1435"/>
      <c r="I57" s="1435"/>
      <c r="J57" s="214"/>
      <c r="K57" s="214"/>
      <c r="L57" s="214"/>
      <c r="M57" s="1482"/>
      <c r="N57" s="214"/>
    </row>
    <row r="58" spans="1:14" ht="15" customHeight="1" x14ac:dyDescent="0.25">
      <c r="A58" s="1459"/>
      <c r="B58" s="1461"/>
      <c r="C58" s="1455" t="str">
        <f>'Linac 2'!C$3</f>
        <v>Linac 2</v>
      </c>
      <c r="D58" s="1456">
        <f>'Linac 2'!AA$52</f>
        <v>2.7169724681689482E-2</v>
      </c>
      <c r="E58" s="1457"/>
      <c r="F58" s="1458"/>
      <c r="G58" s="299"/>
      <c r="H58" s="1435"/>
      <c r="I58" s="1483"/>
      <c r="J58" s="214"/>
      <c r="K58" s="745"/>
      <c r="L58" s="1482"/>
      <c r="M58" s="1482"/>
      <c r="N58" s="214"/>
    </row>
    <row r="59" spans="1:14" ht="15" customHeight="1" x14ac:dyDescent="0.25">
      <c r="A59" s="1459"/>
      <c r="B59" s="1461"/>
      <c r="C59" s="1455" t="str">
        <f>'Linac 3'!C$3</f>
        <v>Linac 3</v>
      </c>
      <c r="D59" s="1456">
        <f>'Linac 3'!AA$52</f>
        <v>2.7169724681689482E-2</v>
      </c>
      <c r="E59" s="1457"/>
      <c r="F59" s="1458"/>
      <c r="G59" s="299"/>
      <c r="H59" s="1435"/>
    </row>
    <row r="60" spans="1:14" ht="15" customHeight="1" x14ac:dyDescent="0.25">
      <c r="A60" s="1459"/>
      <c r="B60" s="1461"/>
      <c r="C60" s="1455" t="str">
        <f>'Linac 4'!C$3</f>
        <v>Linac 4</v>
      </c>
      <c r="D60" s="1456">
        <f>'Linac 4'!AA$52</f>
        <v>2.7169724681689482E-2</v>
      </c>
      <c r="E60" s="1457"/>
      <c r="F60" s="1458"/>
      <c r="G60" s="299"/>
      <c r="H60" s="1435"/>
      <c r="I60" s="1435"/>
    </row>
    <row r="61" spans="1:14" ht="15" customHeight="1" x14ac:dyDescent="0.25">
      <c r="A61" s="1416" t="s">
        <v>440</v>
      </c>
      <c r="B61" s="1417" t="s">
        <v>542</v>
      </c>
      <c r="C61" s="1455" t="str">
        <f>'Linac 5'!C$3</f>
        <v>Linac 5</v>
      </c>
      <c r="D61" s="1456">
        <f>'Linac 5'!AA$52</f>
        <v>2.7169724681689482E-2</v>
      </c>
      <c r="E61" s="1472">
        <f>SUM(D56:D67)</f>
        <v>0.27169724681689483</v>
      </c>
      <c r="F61" s="299"/>
      <c r="G61" s="299"/>
      <c r="H61" s="1435"/>
      <c r="I61" s="1435"/>
    </row>
    <row r="62" spans="1:14" ht="15" customHeight="1" x14ac:dyDescent="0.25">
      <c r="A62" s="1459"/>
      <c r="B62" s="1461"/>
      <c r="C62" s="1455" t="str">
        <f>'Linac 6'!C$3</f>
        <v>Linac 6</v>
      </c>
      <c r="D62" s="1456">
        <f>'Linac 6'!AA$52</f>
        <v>2.7169724681689482E-2</v>
      </c>
      <c r="E62" s="1457"/>
      <c r="F62" s="299"/>
      <c r="G62" s="299"/>
      <c r="H62" s="1435"/>
      <c r="I62" s="1435"/>
    </row>
    <row r="63" spans="1:14" ht="15" customHeight="1" x14ac:dyDescent="0.25">
      <c r="A63" s="1459"/>
      <c r="B63" s="1461"/>
      <c r="C63" s="1455" t="str">
        <f>'Linac 7'!C$3</f>
        <v>Linac 7</v>
      </c>
      <c r="D63" s="1456">
        <f>'Linac 7'!AA$52</f>
        <v>2.7169724681689482E-2</v>
      </c>
      <c r="E63" s="1457"/>
      <c r="F63" s="299"/>
      <c r="G63" s="299"/>
      <c r="H63" s="1435"/>
      <c r="I63" s="1435"/>
    </row>
    <row r="64" spans="1:14" ht="15" customHeight="1" x14ac:dyDescent="0.25">
      <c r="A64" s="1459"/>
      <c r="B64" s="1461"/>
      <c r="C64" s="1455" t="str">
        <f>'Linac 8'!C$3</f>
        <v>Linac 8</v>
      </c>
      <c r="D64" s="1456">
        <f>'Linac 8'!AA$52</f>
        <v>2.7169724681689482E-2</v>
      </c>
      <c r="E64" s="1457"/>
      <c r="F64" s="299"/>
      <c r="G64" s="299"/>
      <c r="H64" s="1435"/>
      <c r="I64" s="1435"/>
    </row>
    <row r="65" spans="1:14" ht="15" customHeight="1" x14ac:dyDescent="0.25">
      <c r="A65" s="1459"/>
      <c r="B65" s="1461"/>
      <c r="C65" s="1455" t="str">
        <f>'Linac 9'!C$3</f>
        <v>Linac 9</v>
      </c>
      <c r="D65" s="1456">
        <f>'Linac 9'!AA$52</f>
        <v>2.7169724681689482E-2</v>
      </c>
      <c r="E65" s="1457"/>
      <c r="F65" s="299"/>
      <c r="G65" s="299"/>
      <c r="H65" s="1435"/>
      <c r="I65" s="1435"/>
    </row>
    <row r="66" spans="1:14" ht="15" customHeight="1" thickBot="1" x14ac:dyDescent="0.3">
      <c r="A66" s="1462"/>
      <c r="B66" s="1476"/>
      <c r="C66" s="1464" t="str">
        <f>'Linac 10'!C$3</f>
        <v>Linac 10</v>
      </c>
      <c r="D66" s="1465">
        <f>'Linac 10'!AA$52</f>
        <v>2.7169724681689482E-2</v>
      </c>
      <c r="E66" s="1466"/>
      <c r="F66" s="299"/>
      <c r="G66" s="299"/>
      <c r="H66" s="1435"/>
      <c r="I66" s="1435"/>
    </row>
    <row r="67" spans="1:14" ht="15" hidden="1" customHeight="1" x14ac:dyDescent="0.25">
      <c r="A67" s="1459"/>
      <c r="B67" s="1461"/>
      <c r="C67" s="1455"/>
      <c r="D67" s="1456"/>
      <c r="E67" s="1457"/>
      <c r="F67" s="299"/>
      <c r="G67" s="299"/>
      <c r="H67" s="1435"/>
      <c r="I67" s="1435"/>
    </row>
    <row r="68" spans="1:14" ht="15" customHeight="1" x14ac:dyDescent="0.25">
      <c r="A68" s="1477"/>
      <c r="B68" s="1470"/>
      <c r="C68" s="1447" t="str">
        <f>'Linac 1'!C$3</f>
        <v>Linac 1</v>
      </c>
      <c r="D68" s="1448">
        <f>'Linac 1'!AA$55</f>
        <v>2.7169724681689482E-2</v>
      </c>
      <c r="E68" s="1471"/>
      <c r="F68" s="1450"/>
      <c r="G68" s="1479"/>
      <c r="H68" s="1435"/>
      <c r="I68" s="1435"/>
      <c r="J68" s="214"/>
      <c r="K68" s="214"/>
      <c r="L68" s="214"/>
      <c r="M68" s="1482"/>
      <c r="N68" s="214"/>
    </row>
    <row r="69" spans="1:14" ht="15" customHeight="1" x14ac:dyDescent="0.25">
      <c r="A69" s="1459"/>
      <c r="B69" s="1461"/>
      <c r="C69" s="1455" t="str">
        <f>'Linac 2'!C$3</f>
        <v>Linac 2</v>
      </c>
      <c r="D69" s="1456">
        <f>'Linac 2'!AA$55</f>
        <v>2.7169724681689482E-2</v>
      </c>
      <c r="E69" s="1457"/>
      <c r="F69" s="1458"/>
      <c r="G69" s="299"/>
      <c r="H69" s="1435"/>
      <c r="I69" s="1483"/>
      <c r="J69" s="214"/>
      <c r="K69" s="745"/>
      <c r="L69" s="1482"/>
      <c r="M69" s="1482"/>
      <c r="N69" s="214"/>
    </row>
    <row r="70" spans="1:14" ht="15" customHeight="1" x14ac:dyDescent="0.25">
      <c r="A70" s="1459"/>
      <c r="B70" s="1461"/>
      <c r="C70" s="1455" t="str">
        <f>'Linac 3'!C$3</f>
        <v>Linac 3</v>
      </c>
      <c r="D70" s="1456">
        <f>'Linac 3'!AA$55</f>
        <v>2.7169724681689482E-2</v>
      </c>
      <c r="E70" s="1457"/>
      <c r="F70" s="1458"/>
      <c r="G70" s="299"/>
      <c r="H70" s="1435"/>
    </row>
    <row r="71" spans="1:14" ht="15" customHeight="1" x14ac:dyDescent="0.25">
      <c r="A71" s="1459"/>
      <c r="B71" s="1461"/>
      <c r="C71" s="1455" t="str">
        <f>'Linac 4'!C$3</f>
        <v>Linac 4</v>
      </c>
      <c r="D71" s="1456">
        <f>'Linac 4'!AA$55</f>
        <v>2.7169724681689482E-2</v>
      </c>
      <c r="E71" s="1457"/>
      <c r="F71" s="1458"/>
      <c r="G71" s="299"/>
      <c r="H71" s="1435"/>
      <c r="I71" s="1435"/>
    </row>
    <row r="72" spans="1:14" ht="15" customHeight="1" x14ac:dyDescent="0.25">
      <c r="A72" s="1459"/>
      <c r="B72" s="1461"/>
      <c r="C72" s="1455" t="str">
        <f>'Linac 5'!C$3</f>
        <v>Linac 5</v>
      </c>
      <c r="D72" s="1456">
        <f>'Linac 5'!AA$55</f>
        <v>2.7169724681689482E-2</v>
      </c>
      <c r="E72" s="1457"/>
      <c r="F72" s="299"/>
      <c r="G72" s="299"/>
      <c r="H72" s="1435"/>
      <c r="I72" s="1435"/>
    </row>
    <row r="73" spans="1:14" ht="15" customHeight="1" x14ac:dyDescent="0.25">
      <c r="A73" s="1416" t="s">
        <v>441</v>
      </c>
      <c r="B73" s="1417" t="s">
        <v>543</v>
      </c>
      <c r="C73" s="1455" t="str">
        <f>'Linac 6'!C$3</f>
        <v>Linac 6</v>
      </c>
      <c r="D73" s="1456">
        <f>'Linac 6'!AA$55</f>
        <v>2.7169724681689482E-2</v>
      </c>
      <c r="E73" s="1472">
        <f>SUM(D67:D78)</f>
        <v>0.27169724681689483</v>
      </c>
      <c r="F73" s="299"/>
      <c r="G73" s="299"/>
      <c r="H73" s="1435"/>
      <c r="I73" s="1435"/>
    </row>
    <row r="74" spans="1:14" ht="15" customHeight="1" x14ac:dyDescent="0.25">
      <c r="A74" s="1459"/>
      <c r="B74" s="1461"/>
      <c r="C74" s="1455" t="str">
        <f>'Linac 7'!C$3</f>
        <v>Linac 7</v>
      </c>
      <c r="D74" s="1456">
        <f>'Linac 7'!AA$55</f>
        <v>2.7169724681689482E-2</v>
      </c>
      <c r="E74" s="1457"/>
      <c r="F74" s="299"/>
      <c r="G74" s="299"/>
      <c r="H74" s="1435"/>
      <c r="I74" s="1435"/>
    </row>
    <row r="75" spans="1:14" ht="15" customHeight="1" x14ac:dyDescent="0.25">
      <c r="A75" s="1459"/>
      <c r="B75" s="1461"/>
      <c r="C75" s="1455" t="str">
        <f>'Linac 8'!C$3</f>
        <v>Linac 8</v>
      </c>
      <c r="D75" s="1456">
        <f>'Linac 8'!AA$55</f>
        <v>2.7169724681689482E-2</v>
      </c>
      <c r="E75" s="1457"/>
      <c r="F75" s="299"/>
      <c r="G75" s="299"/>
      <c r="H75" s="1435"/>
      <c r="I75" s="1435"/>
    </row>
    <row r="76" spans="1:14" ht="15" customHeight="1" x14ac:dyDescent="0.25">
      <c r="A76" s="1459"/>
      <c r="B76" s="1461"/>
      <c r="C76" s="1455" t="str">
        <f>'Linac 9'!C$3</f>
        <v>Linac 9</v>
      </c>
      <c r="D76" s="1456">
        <f>'Linac 9'!AA$55</f>
        <v>2.7169724681689482E-2</v>
      </c>
      <c r="E76" s="1457"/>
      <c r="F76" s="299"/>
      <c r="G76" s="299"/>
      <c r="H76" s="1435"/>
      <c r="I76" s="1435"/>
    </row>
    <row r="77" spans="1:14" ht="15" customHeight="1" thickBot="1" x14ac:dyDescent="0.3">
      <c r="A77" s="1462"/>
      <c r="B77" s="1476"/>
      <c r="C77" s="1464" t="str">
        <f>'Linac 10'!C$3</f>
        <v>Linac 10</v>
      </c>
      <c r="D77" s="1465">
        <f>'Linac 10'!AA$55</f>
        <v>2.7169724681689482E-2</v>
      </c>
      <c r="E77" s="1466"/>
      <c r="F77" s="299"/>
      <c r="G77" s="299"/>
      <c r="H77" s="1435"/>
      <c r="I77" s="1435"/>
    </row>
    <row r="78" spans="1:14" ht="15" hidden="1" customHeight="1" x14ac:dyDescent="0.25">
      <c r="A78" s="1459"/>
      <c r="B78" s="1461"/>
      <c r="C78" s="1455"/>
      <c r="D78" s="1456"/>
      <c r="E78" s="1457"/>
      <c r="F78" s="299"/>
      <c r="G78" s="299"/>
      <c r="H78" s="1435"/>
      <c r="I78" s="1435"/>
    </row>
    <row r="79" spans="1:14" ht="15" customHeight="1" x14ac:dyDescent="0.25">
      <c r="A79" s="1469"/>
      <c r="B79" s="1470"/>
      <c r="C79" s="1447" t="str">
        <f>'Linac 1'!C$3</f>
        <v>Linac 1</v>
      </c>
      <c r="D79" s="1448">
        <f>'Linac 1'!AA$58</f>
        <v>2.7169724681689482E-2</v>
      </c>
      <c r="E79" s="1471"/>
      <c r="F79" s="1450"/>
      <c r="G79" s="1479"/>
      <c r="H79" s="1435"/>
      <c r="I79" s="1435"/>
      <c r="J79" s="214"/>
      <c r="K79" s="214"/>
      <c r="L79" s="214"/>
      <c r="M79" s="1482"/>
      <c r="N79" s="214"/>
    </row>
    <row r="80" spans="1:14" ht="15" customHeight="1" x14ac:dyDescent="0.25">
      <c r="A80" s="1459"/>
      <c r="B80" s="1461"/>
      <c r="C80" s="1455" t="str">
        <f>'Linac 2'!C$3</f>
        <v>Linac 2</v>
      </c>
      <c r="D80" s="1456">
        <f>'Linac 2'!AA$58</f>
        <v>2.7169724681689482E-2</v>
      </c>
      <c r="E80" s="1457"/>
      <c r="F80" s="1458"/>
      <c r="G80" s="299"/>
      <c r="H80" s="1435"/>
      <c r="I80" s="1483"/>
      <c r="J80" s="214"/>
      <c r="K80" s="745"/>
      <c r="L80" s="1482"/>
      <c r="M80" s="1482"/>
      <c r="N80" s="214"/>
    </row>
    <row r="81" spans="1:14" ht="15" customHeight="1" x14ac:dyDescent="0.25">
      <c r="A81" s="1459"/>
      <c r="B81" s="1461"/>
      <c r="C81" s="1455" t="str">
        <f>'Linac 3'!C$3</f>
        <v>Linac 3</v>
      </c>
      <c r="D81" s="1456">
        <f>'Linac 3'!AA$58</f>
        <v>2.7169724681689482E-2</v>
      </c>
      <c r="E81" s="1457"/>
      <c r="F81" s="1458"/>
      <c r="G81" s="299"/>
      <c r="H81" s="1435"/>
    </row>
    <row r="82" spans="1:14" ht="15" customHeight="1" x14ac:dyDescent="0.25">
      <c r="A82" s="1459"/>
      <c r="B82" s="1461"/>
      <c r="C82" s="1455" t="str">
        <f>'Linac 4'!C$3</f>
        <v>Linac 4</v>
      </c>
      <c r="D82" s="1456">
        <f>'Linac 4'!AA$58</f>
        <v>2.7169724681689482E-2</v>
      </c>
      <c r="E82" s="1457"/>
      <c r="F82" s="1458"/>
      <c r="G82" s="299"/>
      <c r="H82" s="1435"/>
      <c r="I82" s="1435"/>
    </row>
    <row r="83" spans="1:14" ht="15" customHeight="1" x14ac:dyDescent="0.25">
      <c r="A83" s="1459"/>
      <c r="B83" s="1461"/>
      <c r="C83" s="1455" t="str">
        <f>'Linac 5'!C$3</f>
        <v>Linac 5</v>
      </c>
      <c r="D83" s="1456">
        <f>'Linac 5'!AA$58</f>
        <v>2.7169724681689482E-2</v>
      </c>
      <c r="E83" s="1457"/>
      <c r="F83" s="299"/>
      <c r="G83" s="299"/>
      <c r="H83" s="1435"/>
      <c r="I83" s="1435"/>
    </row>
    <row r="84" spans="1:14" ht="15" customHeight="1" x14ac:dyDescent="0.25">
      <c r="A84" s="1459"/>
      <c r="B84" s="1461"/>
      <c r="C84" s="1455" t="str">
        <f>'Linac 6'!C$3</f>
        <v>Linac 6</v>
      </c>
      <c r="D84" s="1456">
        <f>'Linac 6'!AA$58</f>
        <v>2.7169724681689482E-2</v>
      </c>
      <c r="E84" s="1457"/>
      <c r="F84" s="299"/>
      <c r="G84" s="299"/>
      <c r="H84" s="1435"/>
      <c r="I84" s="1435"/>
    </row>
    <row r="85" spans="1:14" ht="15" customHeight="1" x14ac:dyDescent="0.25">
      <c r="A85" s="1416" t="s">
        <v>442</v>
      </c>
      <c r="B85" s="1417" t="s">
        <v>544</v>
      </c>
      <c r="C85" s="1455" t="str">
        <f>'Linac 7'!C$3</f>
        <v>Linac 7</v>
      </c>
      <c r="D85" s="1456">
        <f>'Linac 7'!AA$58</f>
        <v>2.7169724681689482E-2</v>
      </c>
      <c r="E85" s="1472">
        <f>SUM(D78:D89)</f>
        <v>0.27169724681689483</v>
      </c>
      <c r="F85" s="299"/>
      <c r="G85" s="299"/>
      <c r="H85" s="1435"/>
      <c r="I85" s="1435"/>
    </row>
    <row r="86" spans="1:14" ht="15" customHeight="1" x14ac:dyDescent="0.25">
      <c r="A86" s="1459"/>
      <c r="B86" s="1461"/>
      <c r="C86" s="1455" t="str">
        <f>'Linac 8'!C$3</f>
        <v>Linac 8</v>
      </c>
      <c r="D86" s="1456">
        <f>'Linac 8'!AA$58</f>
        <v>2.7169724681689482E-2</v>
      </c>
      <c r="E86" s="1457"/>
      <c r="F86" s="299"/>
      <c r="G86" s="299"/>
      <c r="H86" s="1435"/>
      <c r="I86" s="1435"/>
    </row>
    <row r="87" spans="1:14" ht="15" customHeight="1" x14ac:dyDescent="0.25">
      <c r="A87" s="1459"/>
      <c r="B87" s="1461"/>
      <c r="C87" s="1455" t="str">
        <f>'Linac 9'!C$3</f>
        <v>Linac 9</v>
      </c>
      <c r="D87" s="1456">
        <f>'Linac 9'!AA$58</f>
        <v>2.7169724681689482E-2</v>
      </c>
      <c r="E87" s="1457"/>
      <c r="F87" s="299"/>
      <c r="G87" s="299"/>
      <c r="H87" s="1435"/>
      <c r="I87" s="1435"/>
    </row>
    <row r="88" spans="1:14" ht="15" customHeight="1" thickBot="1" x14ac:dyDescent="0.3">
      <c r="A88" s="1462"/>
      <c r="B88" s="1476"/>
      <c r="C88" s="1464" t="str">
        <f>'Linac 10'!C$3</f>
        <v>Linac 10</v>
      </c>
      <c r="D88" s="1465">
        <f>'Linac 10'!AA$58</f>
        <v>2.7169724681689482E-2</v>
      </c>
      <c r="E88" s="1466"/>
      <c r="F88" s="299"/>
      <c r="G88" s="299"/>
      <c r="H88" s="1435"/>
      <c r="I88" s="1435"/>
    </row>
    <row r="89" spans="1:14" ht="15" hidden="1" customHeight="1" x14ac:dyDescent="0.25">
      <c r="A89" s="1459"/>
      <c r="B89" s="1461"/>
      <c r="C89" s="1455"/>
      <c r="D89" s="1456"/>
      <c r="E89" s="1457"/>
      <c r="F89" s="299"/>
      <c r="G89" s="299"/>
      <c r="H89" s="1435"/>
      <c r="I89" s="1435"/>
    </row>
    <row r="90" spans="1:14" ht="15" customHeight="1" x14ac:dyDescent="0.25">
      <c r="A90" s="1469"/>
      <c r="B90" s="1470"/>
      <c r="C90" s="1447" t="str">
        <f>'Linac 1'!C$3</f>
        <v>Linac 1</v>
      </c>
      <c r="D90" s="1448">
        <f>'Linac 1'!AA$61</f>
        <v>2.7169724681689482E-2</v>
      </c>
      <c r="E90" s="1471"/>
      <c r="F90" s="1450"/>
      <c r="G90" s="1479"/>
      <c r="H90" s="1435"/>
      <c r="I90" s="1435"/>
      <c r="J90" s="214"/>
      <c r="K90" s="214"/>
      <c r="L90" s="214"/>
      <c r="M90" s="1482"/>
      <c r="N90" s="214"/>
    </row>
    <row r="91" spans="1:14" ht="15" customHeight="1" x14ac:dyDescent="0.25">
      <c r="A91" s="1459"/>
      <c r="B91" s="1461"/>
      <c r="C91" s="1455" t="str">
        <f>'Linac 2'!C$3</f>
        <v>Linac 2</v>
      </c>
      <c r="D91" s="1456">
        <f>'Linac 2'!AA$61</f>
        <v>2.7169724681689482E-2</v>
      </c>
      <c r="E91" s="1457"/>
      <c r="F91" s="1458"/>
      <c r="G91" s="299"/>
      <c r="H91" s="1435"/>
      <c r="I91" s="1483"/>
      <c r="J91" s="214"/>
      <c r="K91" s="745"/>
      <c r="L91" s="1482"/>
      <c r="M91" s="1482"/>
      <c r="N91" s="214"/>
    </row>
    <row r="92" spans="1:14" ht="15" customHeight="1" x14ac:dyDescent="0.25">
      <c r="A92" s="1459"/>
      <c r="B92" s="1461"/>
      <c r="C92" s="1455" t="str">
        <f>'Linac 3'!C$3</f>
        <v>Linac 3</v>
      </c>
      <c r="D92" s="1456">
        <f>'Linac 3'!AA$61</f>
        <v>2.7169724681689482E-2</v>
      </c>
      <c r="E92" s="1457"/>
      <c r="F92" s="1458"/>
      <c r="G92" s="299"/>
      <c r="H92" s="1435"/>
    </row>
    <row r="93" spans="1:14" ht="15" customHeight="1" x14ac:dyDescent="0.25">
      <c r="A93" s="1459"/>
      <c r="B93" s="1461"/>
      <c r="C93" s="1455" t="str">
        <f>'Linac 4'!C$3</f>
        <v>Linac 4</v>
      </c>
      <c r="D93" s="1456">
        <f>'Linac 4'!AA$61</f>
        <v>2.7169724681689482E-2</v>
      </c>
      <c r="E93" s="1457"/>
      <c r="F93" s="1458"/>
      <c r="G93" s="299"/>
      <c r="H93" s="1435"/>
      <c r="I93" s="1435"/>
    </row>
    <row r="94" spans="1:14" ht="15" customHeight="1" x14ac:dyDescent="0.25">
      <c r="A94" s="1459"/>
      <c r="B94" s="1461"/>
      <c r="C94" s="1455" t="str">
        <f>'Linac 5'!C$3</f>
        <v>Linac 5</v>
      </c>
      <c r="D94" s="1456">
        <f>'Linac 5'!AA$61</f>
        <v>2.7169724681689482E-2</v>
      </c>
      <c r="E94" s="1457"/>
      <c r="F94" s="299"/>
      <c r="G94" s="299"/>
      <c r="H94" s="1435"/>
      <c r="I94" s="1435"/>
    </row>
    <row r="95" spans="1:14" ht="15" customHeight="1" x14ac:dyDescent="0.25">
      <c r="A95" s="1459"/>
      <c r="B95" s="1461"/>
      <c r="C95" s="1455" t="str">
        <f>'Linac 6'!C$3</f>
        <v>Linac 6</v>
      </c>
      <c r="D95" s="1456">
        <f>'Linac 6'!AA$61</f>
        <v>2.7169724681689482E-2</v>
      </c>
      <c r="E95" s="1457"/>
      <c r="F95" s="299"/>
      <c r="G95" s="299"/>
      <c r="H95" s="1435"/>
      <c r="I95" s="1435"/>
    </row>
    <row r="96" spans="1:14" ht="15" customHeight="1" x14ac:dyDescent="0.25">
      <c r="A96" s="1459"/>
      <c r="B96" s="1461"/>
      <c r="C96" s="1455" t="str">
        <f>'Linac 7'!C$3</f>
        <v>Linac 7</v>
      </c>
      <c r="D96" s="1456">
        <f>'Linac 7'!AA$61</f>
        <v>2.7169724681689482E-2</v>
      </c>
      <c r="E96" s="1457"/>
      <c r="F96" s="299"/>
      <c r="G96" s="299"/>
      <c r="H96" s="1435"/>
      <c r="I96" s="1435"/>
    </row>
    <row r="97" spans="1:14" ht="15" customHeight="1" x14ac:dyDescent="0.25">
      <c r="A97" s="1416" t="s">
        <v>443</v>
      </c>
      <c r="B97" s="1417" t="s">
        <v>545</v>
      </c>
      <c r="C97" s="1455" t="str">
        <f>'Linac 8'!C$3</f>
        <v>Linac 8</v>
      </c>
      <c r="D97" s="1456">
        <f>'Linac 8'!AA$61</f>
        <v>2.7169724681689482E-2</v>
      </c>
      <c r="E97" s="1472">
        <f>SUM(D89:D100)</f>
        <v>0.27169724681689483</v>
      </c>
      <c r="F97" s="299"/>
      <c r="G97" s="299"/>
      <c r="H97" s="1435"/>
      <c r="I97" s="1435"/>
    </row>
    <row r="98" spans="1:14" ht="15" customHeight="1" x14ac:dyDescent="0.25">
      <c r="A98" s="1459"/>
      <c r="B98" s="1461"/>
      <c r="C98" s="1455" t="str">
        <f>'Linac 9'!C$3</f>
        <v>Linac 9</v>
      </c>
      <c r="D98" s="1456">
        <f>'Linac 9'!AA$61</f>
        <v>2.7169724681689482E-2</v>
      </c>
      <c r="E98" s="1457"/>
      <c r="F98" s="299"/>
      <c r="G98" s="299"/>
      <c r="H98" s="1435"/>
      <c r="I98" s="1435"/>
    </row>
    <row r="99" spans="1:14" ht="15" customHeight="1" thickBot="1" x14ac:dyDescent="0.3">
      <c r="A99" s="1462"/>
      <c r="B99" s="1476"/>
      <c r="C99" s="1464" t="str">
        <f>'Linac 10'!C$3</f>
        <v>Linac 10</v>
      </c>
      <c r="D99" s="1465">
        <f>'Linac 10'!AA$61</f>
        <v>2.7169724681689482E-2</v>
      </c>
      <c r="E99" s="1466"/>
      <c r="F99" s="299"/>
      <c r="G99" s="299"/>
      <c r="H99" s="1435"/>
      <c r="I99" s="1435"/>
    </row>
    <row r="100" spans="1:14" ht="15" hidden="1" customHeight="1" x14ac:dyDescent="0.25">
      <c r="A100" s="1459"/>
      <c r="B100" s="1461"/>
      <c r="C100" s="1455"/>
      <c r="D100" s="1456"/>
      <c r="E100" s="1457"/>
      <c r="F100" s="299"/>
      <c r="G100" s="299"/>
      <c r="H100" s="1435"/>
      <c r="I100" s="1435"/>
    </row>
    <row r="101" spans="1:14" ht="15" customHeight="1" x14ac:dyDescent="0.25">
      <c r="A101" s="1477"/>
      <c r="B101" s="1470"/>
      <c r="C101" s="1484" t="str">
        <f>'Linac 1'!C$3</f>
        <v>Linac 1</v>
      </c>
      <c r="D101" s="1448">
        <f>'Linac 1'!AA$64</f>
        <v>2.7169724681689482E-2</v>
      </c>
      <c r="E101" s="1471"/>
      <c r="F101" s="1450"/>
      <c r="G101" s="1479"/>
      <c r="H101" s="1435"/>
      <c r="I101" s="1435"/>
      <c r="J101" s="214"/>
      <c r="K101" s="214"/>
      <c r="L101" s="214"/>
      <c r="M101" s="1482"/>
      <c r="N101" s="214"/>
    </row>
    <row r="102" spans="1:14" ht="15" customHeight="1" x14ac:dyDescent="0.25">
      <c r="A102" s="1459"/>
      <c r="B102" s="1461"/>
      <c r="C102" s="1485" t="str">
        <f>'Linac 2'!C$3</f>
        <v>Linac 2</v>
      </c>
      <c r="D102" s="1456">
        <f>'Linac 2'!AA$64</f>
        <v>2.7169724681689482E-2</v>
      </c>
      <c r="E102" s="1457"/>
      <c r="F102" s="1458"/>
      <c r="G102" s="299"/>
      <c r="H102" s="1435"/>
      <c r="I102" s="1483"/>
      <c r="J102" s="214"/>
      <c r="K102" s="745"/>
      <c r="L102" s="1482"/>
      <c r="M102" s="1482"/>
      <c r="N102" s="214"/>
    </row>
    <row r="103" spans="1:14" ht="15" customHeight="1" x14ac:dyDescent="0.25">
      <c r="A103" s="1459"/>
      <c r="B103" s="1461"/>
      <c r="C103" s="1485" t="str">
        <f>'Linac 3'!C$3</f>
        <v>Linac 3</v>
      </c>
      <c r="D103" s="1456">
        <f>'Linac 3'!AA$64</f>
        <v>2.7169724681689482E-2</v>
      </c>
      <c r="E103" s="1457"/>
      <c r="F103" s="1458"/>
      <c r="G103" s="299"/>
      <c r="H103" s="1435"/>
    </row>
    <row r="104" spans="1:14" ht="15" customHeight="1" x14ac:dyDescent="0.25">
      <c r="A104" s="1459"/>
      <c r="B104" s="1461"/>
      <c r="C104" s="1485" t="str">
        <f>'Linac 4'!C$3</f>
        <v>Linac 4</v>
      </c>
      <c r="D104" s="1456">
        <f>'Linac 4'!AA$64</f>
        <v>2.7169724681689482E-2</v>
      </c>
      <c r="E104" s="1457"/>
      <c r="F104" s="1458"/>
      <c r="G104" s="299"/>
      <c r="H104" s="1435"/>
      <c r="I104" s="1435"/>
    </row>
    <row r="105" spans="1:14" ht="15" customHeight="1" x14ac:dyDescent="0.25">
      <c r="A105" s="1459"/>
      <c r="B105" s="1461"/>
      <c r="C105" s="1485" t="str">
        <f>'Linac 5'!C$3</f>
        <v>Linac 5</v>
      </c>
      <c r="D105" s="1456">
        <f>'Linac 5'!AA$64</f>
        <v>2.7169724681689482E-2</v>
      </c>
      <c r="E105" s="1457"/>
      <c r="F105" s="299"/>
      <c r="G105" s="299"/>
      <c r="H105" s="1435"/>
      <c r="I105" s="1435"/>
    </row>
    <row r="106" spans="1:14" ht="15" customHeight="1" x14ac:dyDescent="0.25">
      <c r="A106" s="1459"/>
      <c r="B106" s="1461"/>
      <c r="C106" s="1485" t="str">
        <f>'Linac 6'!C$3</f>
        <v>Linac 6</v>
      </c>
      <c r="D106" s="1456">
        <f>'Linac 6'!AA$64</f>
        <v>2.7169724681689482E-2</v>
      </c>
      <c r="E106" s="1457"/>
      <c r="F106" s="299"/>
      <c r="G106" s="299"/>
      <c r="H106" s="1435"/>
      <c r="I106" s="1435"/>
    </row>
    <row r="107" spans="1:14" ht="15" customHeight="1" x14ac:dyDescent="0.25">
      <c r="A107" s="1459"/>
      <c r="B107" s="1461"/>
      <c r="C107" s="1485" t="str">
        <f>'Linac 7'!C$3</f>
        <v>Linac 7</v>
      </c>
      <c r="D107" s="1456">
        <f>'Linac 7'!AA$64</f>
        <v>2.7169724681689482E-2</v>
      </c>
      <c r="E107" s="1457"/>
      <c r="F107" s="299"/>
      <c r="G107" s="299"/>
      <c r="H107" s="1435"/>
      <c r="I107" s="1435"/>
    </row>
    <row r="108" spans="1:14" ht="15" customHeight="1" x14ac:dyDescent="0.25">
      <c r="A108" s="1459"/>
      <c r="B108" s="1461"/>
      <c r="C108" s="1485" t="str">
        <f>'Linac 8'!C$3</f>
        <v>Linac 8</v>
      </c>
      <c r="D108" s="1456">
        <f>'Linac 8'!AA$64</f>
        <v>2.7169724681689482E-2</v>
      </c>
      <c r="E108" s="1457"/>
      <c r="F108" s="299"/>
      <c r="G108" s="299"/>
      <c r="H108" s="1435"/>
      <c r="I108" s="1435"/>
    </row>
    <row r="109" spans="1:14" ht="15" customHeight="1" x14ac:dyDescent="0.25">
      <c r="A109" s="1416" t="s">
        <v>444</v>
      </c>
      <c r="B109" s="1417" t="s">
        <v>546</v>
      </c>
      <c r="C109" s="1485" t="str">
        <f>'Linac 9'!C$3</f>
        <v>Linac 9</v>
      </c>
      <c r="D109" s="1456">
        <f>'Linac 9'!AA$64</f>
        <v>2.7169724681689482E-2</v>
      </c>
      <c r="E109" s="1472">
        <f>SUM(D100:D111)</f>
        <v>0.27169724681689483</v>
      </c>
      <c r="F109" s="299"/>
      <c r="G109" s="299"/>
      <c r="H109" s="1435"/>
      <c r="I109" s="1435"/>
    </row>
    <row r="110" spans="1:14" ht="15" customHeight="1" thickBot="1" x14ac:dyDescent="0.3">
      <c r="A110" s="1462"/>
      <c r="B110" s="1476"/>
      <c r="C110" s="1486" t="str">
        <f>'Linac 10'!C$3</f>
        <v>Linac 10</v>
      </c>
      <c r="D110" s="1465">
        <f>'Linac 10'!AA$64</f>
        <v>2.7169724681689482E-2</v>
      </c>
      <c r="E110" s="1466"/>
      <c r="F110" s="299"/>
      <c r="G110" s="299"/>
      <c r="H110" s="1435"/>
      <c r="I110" s="1435"/>
    </row>
    <row r="111" spans="1:14" ht="15" hidden="1" customHeight="1" x14ac:dyDescent="0.25">
      <c r="A111" s="1459"/>
      <c r="B111" s="1461"/>
      <c r="C111" s="1455"/>
      <c r="D111" s="1456"/>
      <c r="E111" s="1457"/>
      <c r="F111" s="299"/>
      <c r="G111" s="299"/>
      <c r="H111" s="1435"/>
      <c r="I111" s="1435"/>
    </row>
    <row r="112" spans="1:14" ht="15" customHeight="1" x14ac:dyDescent="0.25">
      <c r="A112" s="1477"/>
      <c r="B112" s="1470"/>
      <c r="C112" s="1484" t="str">
        <f>'Linac 1'!C$3</f>
        <v>Linac 1</v>
      </c>
      <c r="D112" s="1448">
        <f>'Linac 1'!AA$67</f>
        <v>2.7169724681689482E-2</v>
      </c>
      <c r="E112" s="1471"/>
      <c r="F112" s="1450"/>
      <c r="G112" s="1479"/>
      <c r="H112" s="1435"/>
      <c r="I112" s="1435"/>
      <c r="J112" s="214"/>
      <c r="K112" s="214"/>
      <c r="L112" s="214"/>
      <c r="M112" s="1482"/>
      <c r="N112" s="214"/>
    </row>
    <row r="113" spans="1:14" ht="15" customHeight="1" x14ac:dyDescent="0.25">
      <c r="A113" s="1459"/>
      <c r="B113" s="1461"/>
      <c r="C113" s="1485" t="str">
        <f>'Linac 2'!C$3</f>
        <v>Linac 2</v>
      </c>
      <c r="D113" s="1456">
        <f>'Linac 2'!AA$67</f>
        <v>2.7169724681689482E-2</v>
      </c>
      <c r="E113" s="1457"/>
      <c r="F113" s="1458"/>
      <c r="G113" s="299"/>
      <c r="H113" s="1435"/>
      <c r="I113" s="1483"/>
      <c r="J113" s="214"/>
      <c r="K113" s="745"/>
      <c r="L113" s="1482"/>
      <c r="M113" s="1482"/>
      <c r="N113" s="214"/>
    </row>
    <row r="114" spans="1:14" ht="15" customHeight="1" x14ac:dyDescent="0.25">
      <c r="A114" s="1459"/>
      <c r="B114" s="1461"/>
      <c r="C114" s="1485" t="str">
        <f>'Linac 3'!C$3</f>
        <v>Linac 3</v>
      </c>
      <c r="D114" s="1456">
        <f>'Linac 3'!AA$67</f>
        <v>2.7169724681689482E-2</v>
      </c>
      <c r="E114" s="1457"/>
      <c r="F114" s="1458"/>
      <c r="G114" s="299"/>
      <c r="H114" s="1435"/>
    </row>
    <row r="115" spans="1:14" ht="15" customHeight="1" x14ac:dyDescent="0.25">
      <c r="A115" s="1459"/>
      <c r="B115" s="1461"/>
      <c r="C115" s="1485" t="str">
        <f>'Linac 4'!C$3</f>
        <v>Linac 4</v>
      </c>
      <c r="D115" s="1456">
        <f>'Linac 4'!AA$67</f>
        <v>2.7169724681689482E-2</v>
      </c>
      <c r="E115" s="1457"/>
      <c r="F115" s="1458"/>
      <c r="G115" s="299"/>
      <c r="H115" s="1435"/>
      <c r="I115" s="1435"/>
    </row>
    <row r="116" spans="1:14" ht="15" customHeight="1" x14ac:dyDescent="0.25">
      <c r="A116" s="1459"/>
      <c r="B116" s="1461"/>
      <c r="C116" s="1485" t="str">
        <f>'Linac 5'!C$3</f>
        <v>Linac 5</v>
      </c>
      <c r="D116" s="1456">
        <f>'Linac 5'!AA$67</f>
        <v>2.7169724681689482E-2</v>
      </c>
      <c r="E116" s="1457"/>
      <c r="F116" s="299"/>
      <c r="G116" s="299"/>
      <c r="H116" s="1435"/>
      <c r="I116" s="1435"/>
    </row>
    <row r="117" spans="1:14" ht="15" customHeight="1" x14ac:dyDescent="0.25">
      <c r="A117" s="1459"/>
      <c r="B117" s="1461"/>
      <c r="C117" s="1485" t="str">
        <f>'Linac 6'!C$3</f>
        <v>Linac 6</v>
      </c>
      <c r="D117" s="1456">
        <f>'Linac 6'!AA$67</f>
        <v>2.7169724681689482E-2</v>
      </c>
      <c r="E117" s="1457"/>
      <c r="F117" s="299"/>
      <c r="G117" s="299"/>
      <c r="H117" s="1435"/>
      <c r="I117" s="1435"/>
    </row>
    <row r="118" spans="1:14" ht="15" customHeight="1" x14ac:dyDescent="0.25">
      <c r="A118" s="1459"/>
      <c r="B118" s="1461"/>
      <c r="C118" s="1485" t="str">
        <f>'Linac 7'!C$3</f>
        <v>Linac 7</v>
      </c>
      <c r="D118" s="1456">
        <f>'Linac 7'!AA$67</f>
        <v>2.7169724681689482E-2</v>
      </c>
      <c r="E118" s="1457"/>
      <c r="F118" s="299"/>
      <c r="G118" s="299"/>
      <c r="H118" s="1435"/>
      <c r="I118" s="1435"/>
    </row>
    <row r="119" spans="1:14" ht="15" customHeight="1" x14ac:dyDescent="0.25">
      <c r="A119" s="1459"/>
      <c r="B119" s="1461"/>
      <c r="C119" s="1485" t="str">
        <f>'Linac 8'!C$3</f>
        <v>Linac 8</v>
      </c>
      <c r="D119" s="1456">
        <f>'Linac 8'!AA$67</f>
        <v>2.7169724681689482E-2</v>
      </c>
      <c r="E119" s="1457"/>
      <c r="F119" s="299"/>
      <c r="G119" s="299"/>
      <c r="H119" s="1435"/>
      <c r="I119" s="1435"/>
    </row>
    <row r="120" spans="1:14" ht="15" customHeight="1" x14ac:dyDescent="0.25">
      <c r="A120" s="1459"/>
      <c r="B120" s="1461"/>
      <c r="C120" s="1485" t="str">
        <f>'Linac 9'!C$3</f>
        <v>Linac 9</v>
      </c>
      <c r="D120" s="1456">
        <f>'Linac 9'!AA$67</f>
        <v>2.7169724681689482E-2</v>
      </c>
      <c r="E120" s="1457"/>
      <c r="F120" s="299"/>
      <c r="G120" s="299"/>
      <c r="H120" s="1435"/>
      <c r="I120" s="1435"/>
    </row>
    <row r="121" spans="1:14" ht="15" customHeight="1" thickBot="1" x14ac:dyDescent="0.3">
      <c r="A121" s="1672" t="s">
        <v>445</v>
      </c>
      <c r="B121" s="1673" t="s">
        <v>547</v>
      </c>
      <c r="C121" s="1486" t="str">
        <f>'Linac 10'!C$3</f>
        <v>Linac 10</v>
      </c>
      <c r="D121" s="1465">
        <f>'Linac 10'!AA$67</f>
        <v>2.7169724681689482E-2</v>
      </c>
      <c r="E121" s="1487">
        <f>SUM(D111:D122)</f>
        <v>0.27169724681689483</v>
      </c>
      <c r="F121" s="299"/>
      <c r="G121" s="299"/>
      <c r="H121" s="1435"/>
      <c r="I121" s="1435"/>
    </row>
    <row r="122" spans="1:14" ht="15" hidden="1" customHeight="1" x14ac:dyDescent="0.25">
      <c r="A122" s="1674"/>
      <c r="B122" s="1675"/>
      <c r="C122" s="1455"/>
      <c r="D122" s="1456"/>
      <c r="E122" s="1468"/>
      <c r="F122" s="299"/>
      <c r="G122" s="299"/>
      <c r="H122" s="1435"/>
      <c r="I122" s="1435"/>
    </row>
    <row r="123" spans="1:14" ht="15" customHeight="1" x14ac:dyDescent="0.25">
      <c r="A123" s="1414" t="s">
        <v>183</v>
      </c>
      <c r="B123" s="1415" t="s">
        <v>548</v>
      </c>
      <c r="C123" s="1484" t="str">
        <f>'Linac 1'!C$3</f>
        <v>Linac 1</v>
      </c>
      <c r="D123" s="1448">
        <f>'Linac 1'!AA$70</f>
        <v>15.53309014511383</v>
      </c>
      <c r="E123" s="1449">
        <f>SUM(D122:D133)</f>
        <v>15.777617667249036</v>
      </c>
      <c r="F123" s="299"/>
      <c r="G123" s="1451" t="s">
        <v>565</v>
      </c>
      <c r="H123" s="1435"/>
      <c r="I123" s="1435"/>
    </row>
    <row r="124" spans="1:14" ht="15" customHeight="1" x14ac:dyDescent="0.25">
      <c r="A124" s="1459"/>
      <c r="B124" s="1461"/>
      <c r="C124" s="1485" t="str">
        <f>'Linac 2'!C$3</f>
        <v>Linac 2</v>
      </c>
      <c r="D124" s="1456">
        <f>'Linac 2'!AA$70</f>
        <v>2.7169724681689482E-2</v>
      </c>
      <c r="E124" s="1457"/>
      <c r="F124" s="299"/>
      <c r="G124" s="1451" t="s">
        <v>564</v>
      </c>
      <c r="H124" s="1435"/>
      <c r="I124" s="214"/>
      <c r="J124" s="214"/>
    </row>
    <row r="125" spans="1:14" ht="15" customHeight="1" x14ac:dyDescent="0.25">
      <c r="A125" s="1459"/>
      <c r="B125" s="1461"/>
      <c r="C125" s="1485" t="str">
        <f>'Linac 3'!C$3</f>
        <v>Linac 3</v>
      </c>
      <c r="D125" s="1456">
        <f>'Linac 3'!AA$70</f>
        <v>2.7169724681689482E-2</v>
      </c>
      <c r="E125" s="1457"/>
      <c r="F125" s="299"/>
      <c r="G125" s="299"/>
      <c r="H125" s="1435"/>
    </row>
    <row r="126" spans="1:14" ht="15" customHeight="1" x14ac:dyDescent="0.25">
      <c r="A126" s="1459"/>
      <c r="B126" s="1461"/>
      <c r="C126" s="1485" t="str">
        <f>'Linac 4'!C$3</f>
        <v>Linac 4</v>
      </c>
      <c r="D126" s="1456">
        <f>'Linac 4'!AA$70</f>
        <v>2.7169724681689482E-2</v>
      </c>
      <c r="E126" s="1457"/>
      <c r="F126" s="299"/>
      <c r="G126" s="299"/>
      <c r="H126" s="1435"/>
    </row>
    <row r="127" spans="1:14" ht="15" customHeight="1" x14ac:dyDescent="0.25">
      <c r="A127" s="1459"/>
      <c r="B127" s="1461"/>
      <c r="C127" s="1485" t="str">
        <f>'Linac 5'!C$3</f>
        <v>Linac 5</v>
      </c>
      <c r="D127" s="1456">
        <f>'Linac 5'!AA$70</f>
        <v>2.7169724681689482E-2</v>
      </c>
      <c r="E127" s="1457"/>
      <c r="F127" s="299"/>
      <c r="G127" s="299"/>
      <c r="H127" s="1435"/>
    </row>
    <row r="128" spans="1:14" ht="15" customHeight="1" x14ac:dyDescent="0.25">
      <c r="A128" s="1459"/>
      <c r="B128" s="1461"/>
      <c r="C128" s="1485" t="str">
        <f>'Linac 6'!C$3</f>
        <v>Linac 6</v>
      </c>
      <c r="D128" s="1456">
        <f>'Linac 6'!AA$70</f>
        <v>2.7169724681689482E-2</v>
      </c>
      <c r="E128" s="1457"/>
      <c r="F128" s="299"/>
      <c r="G128" s="299"/>
      <c r="H128" s="1435"/>
    </row>
    <row r="129" spans="1:8" ht="15" customHeight="1" x14ac:dyDescent="0.25">
      <c r="A129" s="1459"/>
      <c r="B129" s="1461"/>
      <c r="C129" s="1485" t="str">
        <f>'Linac 7'!C$3</f>
        <v>Linac 7</v>
      </c>
      <c r="D129" s="1456">
        <f>'Linac 7'!AA$70</f>
        <v>2.7169724681689482E-2</v>
      </c>
      <c r="E129" s="1457"/>
      <c r="F129" s="299"/>
      <c r="G129" s="299"/>
      <c r="H129" s="1435"/>
    </row>
    <row r="130" spans="1:8" ht="15" customHeight="1" x14ac:dyDescent="0.25">
      <c r="A130" s="1459"/>
      <c r="B130" s="1461"/>
      <c r="C130" s="1485" t="str">
        <f>'Linac 8'!C$3</f>
        <v>Linac 8</v>
      </c>
      <c r="D130" s="1456">
        <f>'Linac 8'!AA$70</f>
        <v>2.7169724681689482E-2</v>
      </c>
      <c r="E130" s="1457"/>
      <c r="F130" s="299"/>
      <c r="G130" s="299"/>
      <c r="H130" s="1435"/>
    </row>
    <row r="131" spans="1:8" ht="15" customHeight="1" x14ac:dyDescent="0.25">
      <c r="A131" s="1459"/>
      <c r="B131" s="1461"/>
      <c r="C131" s="1485" t="str">
        <f>'Linac 9'!C$3</f>
        <v>Linac 9</v>
      </c>
      <c r="D131" s="1456">
        <f>'Linac 9'!AA$70</f>
        <v>2.7169724681689482E-2</v>
      </c>
      <c r="E131" s="1457"/>
      <c r="F131" s="299"/>
      <c r="G131" s="299"/>
      <c r="H131" s="1435"/>
    </row>
    <row r="132" spans="1:8" ht="15" customHeight="1" thickBot="1" x14ac:dyDescent="0.3">
      <c r="A132" s="1462"/>
      <c r="B132" s="1476"/>
      <c r="C132" s="1486" t="str">
        <f>'Linac 10'!C$3</f>
        <v>Linac 10</v>
      </c>
      <c r="D132" s="1465">
        <f>'Linac 10'!AA$70</f>
        <v>2.7169724681689482E-2</v>
      </c>
      <c r="E132" s="1466"/>
      <c r="F132" s="299"/>
      <c r="G132" s="299"/>
      <c r="H132" s="1435"/>
    </row>
    <row r="133" spans="1:8" ht="15" hidden="1" customHeight="1" x14ac:dyDescent="0.25">
      <c r="A133" s="299"/>
      <c r="B133" s="1461"/>
      <c r="C133" s="1455"/>
      <c r="D133" s="1488"/>
      <c r="E133" s="1468"/>
      <c r="F133" s="299"/>
      <c r="G133" s="299"/>
      <c r="H133" s="1435"/>
    </row>
    <row r="134" spans="1:8" ht="15" customHeight="1" x14ac:dyDescent="0.25">
      <c r="A134" s="1477"/>
      <c r="B134" s="1470"/>
      <c r="C134" s="1484" t="str">
        <f>'Linac 1'!C$3</f>
        <v>Linac 1</v>
      </c>
      <c r="D134" s="1448">
        <f>'Linac 1'!AA$74</f>
        <v>2.7169724681689482E-2</v>
      </c>
      <c r="E134" s="1489"/>
      <c r="F134" s="299"/>
      <c r="G134" s="299"/>
      <c r="H134" s="1435"/>
    </row>
    <row r="135" spans="1:8" ht="15" customHeight="1" x14ac:dyDescent="0.25">
      <c r="A135" s="1416" t="s">
        <v>184</v>
      </c>
      <c r="B135" s="1417" t="s">
        <v>557</v>
      </c>
      <c r="C135" s="1485" t="str">
        <f>'Linac 2'!C$3</f>
        <v>Linac 2</v>
      </c>
      <c r="D135" s="1456">
        <f>'Linac 2'!AA$73</f>
        <v>15.53309014511383</v>
      </c>
      <c r="E135" s="1472">
        <f>SUM(D133:D144)</f>
        <v>15.777617667249036</v>
      </c>
      <c r="F135" s="299"/>
      <c r="G135" s="299"/>
      <c r="H135" s="1435"/>
    </row>
    <row r="136" spans="1:8" ht="15" customHeight="1" x14ac:dyDescent="0.25">
      <c r="A136" s="1459"/>
      <c r="B136" s="1461"/>
      <c r="C136" s="1485" t="str">
        <f>'Linac 3'!C$3</f>
        <v>Linac 3</v>
      </c>
      <c r="D136" s="1456">
        <f>'Linac 3'!AA$73</f>
        <v>2.7169724681689482E-2</v>
      </c>
      <c r="E136" s="1457"/>
      <c r="F136" s="299"/>
      <c r="G136" s="299"/>
      <c r="H136" s="1435"/>
    </row>
    <row r="137" spans="1:8" ht="15" customHeight="1" x14ac:dyDescent="0.25">
      <c r="A137" s="1459"/>
      <c r="B137" s="1461"/>
      <c r="C137" s="1485" t="str">
        <f>'Linac 4'!C$3</f>
        <v>Linac 4</v>
      </c>
      <c r="D137" s="1456">
        <f>'Linac 4'!AA$73</f>
        <v>2.7169724681689482E-2</v>
      </c>
      <c r="E137" s="1457"/>
      <c r="F137" s="299"/>
      <c r="G137" s="299"/>
      <c r="H137" s="1435"/>
    </row>
    <row r="138" spans="1:8" ht="15" customHeight="1" x14ac:dyDescent="0.25">
      <c r="A138" s="1459"/>
      <c r="B138" s="1461"/>
      <c r="C138" s="1485" t="str">
        <f>'Linac 5'!C$3</f>
        <v>Linac 5</v>
      </c>
      <c r="D138" s="1456">
        <f>'Linac 5'!AA$73</f>
        <v>2.7169724681689482E-2</v>
      </c>
      <c r="E138" s="1457"/>
      <c r="F138" s="299"/>
      <c r="G138" s="299"/>
      <c r="H138" s="1435"/>
    </row>
    <row r="139" spans="1:8" ht="15" customHeight="1" x14ac:dyDescent="0.25">
      <c r="A139" s="1459"/>
      <c r="B139" s="1461"/>
      <c r="C139" s="1485" t="str">
        <f>'Linac 6'!C$3</f>
        <v>Linac 6</v>
      </c>
      <c r="D139" s="1456">
        <f>'Linac 6'!AA$73</f>
        <v>2.7169724681689482E-2</v>
      </c>
      <c r="E139" s="1457"/>
      <c r="F139" s="299"/>
      <c r="G139" s="299"/>
      <c r="H139" s="1435"/>
    </row>
    <row r="140" spans="1:8" ht="15" customHeight="1" x14ac:dyDescent="0.25">
      <c r="A140" s="1459"/>
      <c r="B140" s="1461"/>
      <c r="C140" s="1485" t="str">
        <f>'Linac 7'!C$3</f>
        <v>Linac 7</v>
      </c>
      <c r="D140" s="1456">
        <f>'Linac 7'!AA$73</f>
        <v>2.7169724681689482E-2</v>
      </c>
      <c r="E140" s="1457"/>
      <c r="F140" s="299"/>
      <c r="G140" s="299"/>
      <c r="H140" s="1435"/>
    </row>
    <row r="141" spans="1:8" ht="15" customHeight="1" x14ac:dyDescent="0.25">
      <c r="A141" s="1459"/>
      <c r="B141" s="1461"/>
      <c r="C141" s="1485" t="str">
        <f>'Linac 8'!C$3</f>
        <v>Linac 8</v>
      </c>
      <c r="D141" s="1456">
        <f>'Linac 8'!AA$73</f>
        <v>2.7169724681689482E-2</v>
      </c>
      <c r="E141" s="1457"/>
      <c r="F141" s="299"/>
      <c r="G141" s="299"/>
      <c r="H141" s="1435"/>
    </row>
    <row r="142" spans="1:8" ht="15" customHeight="1" x14ac:dyDescent="0.25">
      <c r="A142" s="1459"/>
      <c r="B142" s="1461"/>
      <c r="C142" s="1485" t="str">
        <f>'Linac 9'!C$3</f>
        <v>Linac 9</v>
      </c>
      <c r="D142" s="1456">
        <f>'Linac 9'!AA$73</f>
        <v>2.7169724681689482E-2</v>
      </c>
      <c r="E142" s="1457"/>
      <c r="F142" s="299"/>
      <c r="G142" s="299"/>
      <c r="H142" s="1435"/>
    </row>
    <row r="143" spans="1:8" ht="15" customHeight="1" thickBot="1" x14ac:dyDescent="0.3">
      <c r="A143" s="1462"/>
      <c r="B143" s="1476"/>
      <c r="C143" s="1486" t="str">
        <f>'Linac 10'!C$3</f>
        <v>Linac 10</v>
      </c>
      <c r="D143" s="1465">
        <f>'Linac 10'!AA$73</f>
        <v>2.7169724681689482E-2</v>
      </c>
      <c r="E143" s="1466"/>
      <c r="F143" s="299"/>
      <c r="G143" s="299"/>
      <c r="H143" s="1435"/>
    </row>
    <row r="144" spans="1:8" ht="15" hidden="1" customHeight="1" x14ac:dyDescent="0.25">
      <c r="A144" s="299"/>
      <c r="B144" s="1461"/>
      <c r="C144" s="1455"/>
      <c r="D144" s="1456"/>
      <c r="E144" s="1468"/>
      <c r="F144" s="299"/>
      <c r="G144" s="299"/>
      <c r="H144" s="1435"/>
    </row>
    <row r="145" spans="1:9" ht="15" customHeight="1" x14ac:dyDescent="0.25">
      <c r="A145" s="1477"/>
      <c r="B145" s="1470"/>
      <c r="C145" s="1484" t="str">
        <f>'Linac 1'!C$3</f>
        <v>Linac 1</v>
      </c>
      <c r="D145" s="1448">
        <f>'Linac 1'!AA$77</f>
        <v>2.7169724681689482E-2</v>
      </c>
      <c r="E145" s="1471"/>
      <c r="F145" s="299"/>
      <c r="G145" s="299"/>
      <c r="H145" s="1435"/>
    </row>
    <row r="146" spans="1:9" ht="15" customHeight="1" x14ac:dyDescent="0.25">
      <c r="A146" s="1459"/>
      <c r="B146" s="1461"/>
      <c r="C146" s="1485" t="str">
        <f>'Linac 2'!C$3</f>
        <v>Linac 2</v>
      </c>
      <c r="D146" s="1456">
        <f>'Linac 2'!AA$77</f>
        <v>2.7169724681689482E-2</v>
      </c>
      <c r="E146" s="1457"/>
      <c r="F146" s="299"/>
      <c r="G146" s="299"/>
      <c r="H146" s="1435"/>
    </row>
    <row r="147" spans="1:9" ht="15" customHeight="1" x14ac:dyDescent="0.25">
      <c r="A147" s="1416" t="s">
        <v>185</v>
      </c>
      <c r="B147" s="1417" t="s">
        <v>549</v>
      </c>
      <c r="C147" s="1485" t="str">
        <f>'Linac 3'!C$3</f>
        <v>Linac 3</v>
      </c>
      <c r="D147" s="1456">
        <f>'Linac 3'!AA$76</f>
        <v>15.53309014511383</v>
      </c>
      <c r="E147" s="1490">
        <f>SUM(D144:D155)</f>
        <v>15.777617667249036</v>
      </c>
      <c r="F147" s="299"/>
      <c r="G147" s="299"/>
      <c r="H147" s="1435"/>
    </row>
    <row r="148" spans="1:9" ht="15" customHeight="1" x14ac:dyDescent="0.25">
      <c r="A148" s="1459"/>
      <c r="B148" s="1461"/>
      <c r="C148" s="1485" t="str">
        <f>'Linac 4'!C$3</f>
        <v>Linac 4</v>
      </c>
      <c r="D148" s="1456">
        <f>'Linac 4'!AA$76</f>
        <v>2.7169724681689482E-2</v>
      </c>
      <c r="E148" s="1457"/>
      <c r="F148" s="299"/>
      <c r="G148" s="299"/>
      <c r="H148" s="1435"/>
    </row>
    <row r="149" spans="1:9" ht="15" customHeight="1" x14ac:dyDescent="0.25">
      <c r="A149" s="1459"/>
      <c r="B149" s="1461"/>
      <c r="C149" s="1485" t="str">
        <f>'Linac 5'!C$3</f>
        <v>Linac 5</v>
      </c>
      <c r="D149" s="1456">
        <f>'Linac 5'!AA$76</f>
        <v>2.7169724681689482E-2</v>
      </c>
      <c r="E149" s="1457"/>
      <c r="F149" s="299"/>
      <c r="G149" s="299"/>
      <c r="H149" s="1435"/>
    </row>
    <row r="150" spans="1:9" ht="15" customHeight="1" x14ac:dyDescent="0.25">
      <c r="A150" s="1459"/>
      <c r="B150" s="1461"/>
      <c r="C150" s="1485" t="str">
        <f>'Linac 6'!C$3</f>
        <v>Linac 6</v>
      </c>
      <c r="D150" s="1456">
        <f>'Linac 6'!AA$76</f>
        <v>2.7169724681689482E-2</v>
      </c>
      <c r="E150" s="1457"/>
      <c r="F150" s="299"/>
      <c r="G150" s="299"/>
      <c r="H150" s="1435"/>
    </row>
    <row r="151" spans="1:9" ht="15" customHeight="1" x14ac:dyDescent="0.25">
      <c r="A151" s="1459"/>
      <c r="B151" s="1461"/>
      <c r="C151" s="1485" t="str">
        <f>'Linac 7'!C$3</f>
        <v>Linac 7</v>
      </c>
      <c r="D151" s="1456">
        <f>'Linac 7'!AA$76</f>
        <v>2.7169724681689482E-2</v>
      </c>
      <c r="E151" s="1457"/>
      <c r="F151" s="299"/>
      <c r="G151" s="299"/>
      <c r="H151" s="1435"/>
    </row>
    <row r="152" spans="1:9" ht="15" customHeight="1" x14ac:dyDescent="0.25">
      <c r="A152" s="1459"/>
      <c r="B152" s="1461"/>
      <c r="C152" s="1485" t="str">
        <f>'Linac 8'!C$3</f>
        <v>Linac 8</v>
      </c>
      <c r="D152" s="1456">
        <f>'Linac 8'!AA$76</f>
        <v>2.7169724681689482E-2</v>
      </c>
      <c r="E152" s="1457"/>
      <c r="F152" s="299"/>
      <c r="G152" s="299"/>
      <c r="H152" s="1435"/>
    </row>
    <row r="153" spans="1:9" ht="15" customHeight="1" x14ac:dyDescent="0.25">
      <c r="A153" s="1459"/>
      <c r="B153" s="1461"/>
      <c r="C153" s="1485" t="str">
        <f>'Linac 9'!C$3</f>
        <v>Linac 9</v>
      </c>
      <c r="D153" s="1456">
        <f>'Linac 9'!AA$76</f>
        <v>2.7169724681689482E-2</v>
      </c>
      <c r="E153" s="1457"/>
      <c r="F153" s="299"/>
      <c r="G153" s="299"/>
      <c r="H153" s="1435"/>
    </row>
    <row r="154" spans="1:9" ht="15" customHeight="1" thickBot="1" x14ac:dyDescent="0.3">
      <c r="A154" s="1462"/>
      <c r="B154" s="1476"/>
      <c r="C154" s="1486" t="str">
        <f>'Linac 10'!C$3</f>
        <v>Linac 10</v>
      </c>
      <c r="D154" s="1465">
        <f>'Linac 10'!AA$76</f>
        <v>2.7169724681689482E-2</v>
      </c>
      <c r="E154" s="1466"/>
      <c r="F154" s="299"/>
      <c r="G154" s="299"/>
      <c r="H154" s="1435"/>
    </row>
    <row r="155" spans="1:9" ht="15" hidden="1" customHeight="1" x14ac:dyDescent="0.25">
      <c r="A155" s="299"/>
      <c r="B155" s="1461"/>
      <c r="C155" s="1455"/>
      <c r="D155" s="1456"/>
      <c r="E155" s="1457"/>
      <c r="F155" s="299"/>
      <c r="G155" s="299"/>
      <c r="H155" s="1435"/>
    </row>
    <row r="156" spans="1:9" ht="15" customHeight="1" x14ac:dyDescent="0.25">
      <c r="A156" s="1477"/>
      <c r="B156" s="1470"/>
      <c r="C156" s="1484" t="str">
        <f>'Linac 1'!C$3</f>
        <v>Linac 1</v>
      </c>
      <c r="D156" s="1448">
        <f>'Linac 1'!AA$80</f>
        <v>2.7169724681689482E-2</v>
      </c>
      <c r="E156" s="1471"/>
      <c r="F156" s="299"/>
      <c r="G156" s="299"/>
      <c r="H156" s="1435"/>
    </row>
    <row r="157" spans="1:9" ht="15" customHeight="1" x14ac:dyDescent="0.25">
      <c r="A157" s="1459"/>
      <c r="B157" s="1461"/>
      <c r="C157" s="1485" t="str">
        <f>'Linac 2'!C$3</f>
        <v>Linac 2</v>
      </c>
      <c r="D157" s="1456">
        <f>'Linac 2'!AA$80</f>
        <v>2.7169724681689482E-2</v>
      </c>
      <c r="E157" s="1457"/>
      <c r="F157" s="299"/>
      <c r="G157" s="299"/>
      <c r="H157" s="1435"/>
    </row>
    <row r="158" spans="1:9" ht="15" customHeight="1" x14ac:dyDescent="0.25">
      <c r="A158" s="1459"/>
      <c r="B158" s="1461"/>
      <c r="C158" s="1485" t="str">
        <f>'Linac 3'!C$3</f>
        <v>Linac 3</v>
      </c>
      <c r="D158" s="1456">
        <f>'Linac 3'!AA$80</f>
        <v>2.7169724681689482E-2</v>
      </c>
      <c r="E158" s="1457"/>
      <c r="F158" s="299"/>
      <c r="G158" s="299"/>
      <c r="H158" s="1435"/>
      <c r="I158" s="1435"/>
    </row>
    <row r="159" spans="1:9" ht="15" customHeight="1" x14ac:dyDescent="0.25">
      <c r="A159" s="1416" t="s">
        <v>186</v>
      </c>
      <c r="B159" s="1417" t="s">
        <v>550</v>
      </c>
      <c r="C159" s="1485" t="str">
        <f>'Linac 4'!C$3</f>
        <v>Linac 4</v>
      </c>
      <c r="D159" s="1456">
        <f>'Linac 4'!AA$79</f>
        <v>15.53309014511383</v>
      </c>
      <c r="E159" s="1490">
        <f>SUM(D155:D166)</f>
        <v>15.777617667249036</v>
      </c>
      <c r="F159" s="299"/>
      <c r="G159" s="299"/>
      <c r="H159" s="1435"/>
      <c r="I159" s="1435"/>
    </row>
    <row r="160" spans="1:9" ht="15" customHeight="1" x14ac:dyDescent="0.25">
      <c r="A160" s="1459"/>
      <c r="B160" s="1461"/>
      <c r="C160" s="1485" t="str">
        <f>'Linac 5'!C$3</f>
        <v>Linac 5</v>
      </c>
      <c r="D160" s="1456">
        <f>'Linac 5'!AA$79</f>
        <v>2.7169724681689482E-2</v>
      </c>
      <c r="E160" s="1457"/>
      <c r="F160" s="299"/>
      <c r="G160" s="299"/>
      <c r="H160" s="1435"/>
      <c r="I160" s="1435"/>
    </row>
    <row r="161" spans="1:10" ht="15" customHeight="1" x14ac:dyDescent="0.25">
      <c r="A161" s="1459"/>
      <c r="B161" s="1461"/>
      <c r="C161" s="1485" t="str">
        <f>'Linac 6'!C$3</f>
        <v>Linac 6</v>
      </c>
      <c r="D161" s="1456">
        <f>'Linac 6'!AA$79</f>
        <v>2.7169724681689482E-2</v>
      </c>
      <c r="E161" s="1457"/>
      <c r="F161" s="299"/>
      <c r="G161" s="299"/>
      <c r="H161" s="1435"/>
      <c r="I161" s="1435"/>
    </row>
    <row r="162" spans="1:10" ht="15" customHeight="1" x14ac:dyDescent="0.25">
      <c r="A162" s="1459"/>
      <c r="B162" s="1461"/>
      <c r="C162" s="1485" t="str">
        <f>'Linac 7'!C$3</f>
        <v>Linac 7</v>
      </c>
      <c r="D162" s="1456">
        <f>'Linac 7'!AA$79</f>
        <v>2.7169724681689482E-2</v>
      </c>
      <c r="E162" s="1457"/>
      <c r="F162" s="299"/>
      <c r="G162" s="299"/>
      <c r="H162" s="1435"/>
      <c r="I162" s="1435"/>
    </row>
    <row r="163" spans="1:10" ht="15" customHeight="1" x14ac:dyDescent="0.25">
      <c r="A163" s="1459"/>
      <c r="B163" s="1461"/>
      <c r="C163" s="1485" t="str">
        <f>'Linac 8'!C$3</f>
        <v>Linac 8</v>
      </c>
      <c r="D163" s="1456">
        <f>'Linac 8'!AA$79</f>
        <v>2.7169724681689482E-2</v>
      </c>
      <c r="E163" s="1457"/>
      <c r="F163" s="299"/>
      <c r="G163" s="299"/>
      <c r="H163" s="1435"/>
      <c r="I163" s="1435"/>
    </row>
    <row r="164" spans="1:10" ht="15" customHeight="1" x14ac:dyDescent="0.25">
      <c r="A164" s="1459"/>
      <c r="B164" s="1461"/>
      <c r="C164" s="1485" t="str">
        <f>'Linac 9'!C$3</f>
        <v>Linac 9</v>
      </c>
      <c r="D164" s="1456">
        <f>'Linac 9'!AA$79</f>
        <v>2.7169724681689482E-2</v>
      </c>
      <c r="E164" s="1457"/>
      <c r="F164" s="299"/>
      <c r="G164" s="299"/>
      <c r="H164" s="1435"/>
      <c r="I164" s="1435"/>
    </row>
    <row r="165" spans="1:10" ht="15" customHeight="1" thickBot="1" x14ac:dyDescent="0.3">
      <c r="A165" s="1462"/>
      <c r="B165" s="1476"/>
      <c r="C165" s="1486" t="str">
        <f>'Linac 10'!C$3</f>
        <v>Linac 10</v>
      </c>
      <c r="D165" s="1465">
        <f>'Linac 10'!AA$79</f>
        <v>2.7169724681689482E-2</v>
      </c>
      <c r="E165" s="1466"/>
      <c r="F165" s="299"/>
      <c r="G165" s="299"/>
      <c r="H165" s="1435"/>
      <c r="I165" s="1435"/>
    </row>
    <row r="166" spans="1:10" ht="15" hidden="1" customHeight="1" x14ac:dyDescent="0.25">
      <c r="A166" s="299"/>
      <c r="B166" s="1461"/>
      <c r="C166" s="1455"/>
      <c r="D166" s="1456"/>
      <c r="E166" s="1457"/>
      <c r="F166" s="299"/>
      <c r="G166" s="299"/>
      <c r="H166" s="1435"/>
      <c r="I166" s="1435"/>
    </row>
    <row r="167" spans="1:10" ht="15" customHeight="1" x14ac:dyDescent="0.25">
      <c r="A167" s="1477"/>
      <c r="B167" s="1470"/>
      <c r="C167" s="1484" t="str">
        <f>'Linac 1'!C$3</f>
        <v>Linac 1</v>
      </c>
      <c r="D167" s="1448">
        <f>'Linac 1'!AA$83</f>
        <v>2.7169724681689482E-2</v>
      </c>
      <c r="E167" s="1471"/>
      <c r="F167" s="299"/>
      <c r="G167" s="299"/>
      <c r="H167" s="1435"/>
      <c r="I167" s="1435"/>
    </row>
    <row r="168" spans="1:10" ht="15" customHeight="1" x14ac:dyDescent="0.25">
      <c r="A168" s="1459"/>
      <c r="B168" s="1461"/>
      <c r="C168" s="1485" t="str">
        <f>'Linac 2'!C$3</f>
        <v>Linac 2</v>
      </c>
      <c r="D168" s="1456">
        <f>'Linac 2'!AA$83</f>
        <v>2.7169724681689482E-2</v>
      </c>
      <c r="E168" s="1457"/>
      <c r="F168" s="299"/>
      <c r="G168" s="299"/>
      <c r="H168" s="1435"/>
      <c r="I168" s="1467"/>
      <c r="J168" s="214"/>
    </row>
    <row r="169" spans="1:10" ht="15" customHeight="1" x14ac:dyDescent="0.25">
      <c r="A169" s="1459"/>
      <c r="B169" s="1461"/>
      <c r="C169" s="1485" t="str">
        <f>'Linac 3'!C$3</f>
        <v>Linac 3</v>
      </c>
      <c r="D169" s="1456">
        <f>'Linac 3'!AA$83</f>
        <v>2.7169724681689482E-2</v>
      </c>
      <c r="E169" s="1457"/>
      <c r="F169" s="299"/>
      <c r="G169" s="299"/>
      <c r="H169" s="1435"/>
      <c r="I169" s="1467"/>
      <c r="J169" s="214"/>
    </row>
    <row r="170" spans="1:10" ht="15" customHeight="1" x14ac:dyDescent="0.25">
      <c r="A170" s="1459"/>
      <c r="B170" s="1461"/>
      <c r="C170" s="1485" t="str">
        <f>'Linac 4'!C$3</f>
        <v>Linac 4</v>
      </c>
      <c r="D170" s="1456">
        <f>'Linac 4'!AA$83</f>
        <v>2.7169724681689482E-2</v>
      </c>
      <c r="E170" s="1457"/>
      <c r="F170" s="299"/>
      <c r="G170" s="299"/>
      <c r="H170" s="1435"/>
      <c r="I170" s="1467"/>
      <c r="J170" s="214"/>
    </row>
    <row r="171" spans="1:10" ht="15" customHeight="1" x14ac:dyDescent="0.25">
      <c r="A171" s="1416" t="s">
        <v>446</v>
      </c>
      <c r="B171" s="1417" t="s">
        <v>551</v>
      </c>
      <c r="C171" s="1485" t="str">
        <f>'Linac 5'!C$3</f>
        <v>Linac 5</v>
      </c>
      <c r="D171" s="1456">
        <f>'Linac 5'!AA$82</f>
        <v>15.53309014511383</v>
      </c>
      <c r="E171" s="1490">
        <f>SUM(D166:D177)</f>
        <v>15.777617667249036</v>
      </c>
      <c r="F171" s="299"/>
      <c r="G171" s="299"/>
      <c r="H171" s="1435"/>
      <c r="I171" s="1467"/>
      <c r="J171" s="214"/>
    </row>
    <row r="172" spans="1:10" ht="15" customHeight="1" x14ac:dyDescent="0.25">
      <c r="A172" s="1459"/>
      <c r="B172" s="1461"/>
      <c r="C172" s="1485" t="str">
        <f>'Linac 6'!C$3</f>
        <v>Linac 6</v>
      </c>
      <c r="D172" s="1456">
        <f>'Linac 6'!AA$82</f>
        <v>2.7169724681689482E-2</v>
      </c>
      <c r="E172" s="1457"/>
      <c r="F172" s="299"/>
      <c r="G172" s="299"/>
      <c r="H172" s="1435"/>
      <c r="I172" s="1467"/>
      <c r="J172" s="214"/>
    </row>
    <row r="173" spans="1:10" ht="15" customHeight="1" x14ac:dyDescent="0.25">
      <c r="A173" s="1459"/>
      <c r="B173" s="1461"/>
      <c r="C173" s="1485" t="str">
        <f>'Linac 7'!C$3</f>
        <v>Linac 7</v>
      </c>
      <c r="D173" s="1456">
        <f>'Linac 7'!AA$82</f>
        <v>2.7169724681689482E-2</v>
      </c>
      <c r="E173" s="1457"/>
      <c r="F173" s="299"/>
      <c r="G173" s="299"/>
      <c r="H173" s="1435"/>
      <c r="I173" s="1467"/>
      <c r="J173" s="214"/>
    </row>
    <row r="174" spans="1:10" ht="15" customHeight="1" x14ac:dyDescent="0.25">
      <c r="A174" s="1459"/>
      <c r="B174" s="1461"/>
      <c r="C174" s="1485" t="str">
        <f>'Linac 8'!C$3</f>
        <v>Linac 8</v>
      </c>
      <c r="D174" s="1456">
        <f>'Linac 8'!AA$82</f>
        <v>2.7169724681689482E-2</v>
      </c>
      <c r="E174" s="1457"/>
      <c r="F174" s="299"/>
      <c r="G174" s="299"/>
      <c r="H174" s="1435"/>
      <c r="I174" s="1467"/>
      <c r="J174" s="214"/>
    </row>
    <row r="175" spans="1:10" ht="15" customHeight="1" x14ac:dyDescent="0.25">
      <c r="A175" s="1459"/>
      <c r="B175" s="1461"/>
      <c r="C175" s="1485" t="str">
        <f>'Linac 9'!C$3</f>
        <v>Linac 9</v>
      </c>
      <c r="D175" s="1456">
        <f>'Linac 9'!AA$82</f>
        <v>2.7169724681689482E-2</v>
      </c>
      <c r="E175" s="1457"/>
      <c r="F175" s="299"/>
      <c r="G175" s="299"/>
      <c r="H175" s="1435"/>
      <c r="I175" s="1467"/>
      <c r="J175" s="214"/>
    </row>
    <row r="176" spans="1:10" ht="15" customHeight="1" thickBot="1" x14ac:dyDescent="0.3">
      <c r="A176" s="1462"/>
      <c r="B176" s="1476"/>
      <c r="C176" s="1486" t="str">
        <f>'Linac 10'!C$3</f>
        <v>Linac 10</v>
      </c>
      <c r="D176" s="1465">
        <f>'Linac 10'!AA$82</f>
        <v>2.7169724681689482E-2</v>
      </c>
      <c r="E176" s="1466"/>
      <c r="F176" s="299"/>
      <c r="G176" s="299"/>
      <c r="H176" s="1435"/>
      <c r="I176" s="1467"/>
      <c r="J176" s="214"/>
    </row>
    <row r="177" spans="1:10" ht="15" hidden="1" customHeight="1" x14ac:dyDescent="0.25">
      <c r="A177" s="299"/>
      <c r="B177" s="1461"/>
      <c r="C177" s="1455"/>
      <c r="D177" s="1456"/>
      <c r="E177" s="1457"/>
      <c r="F177" s="299"/>
      <c r="G177" s="299"/>
      <c r="H177" s="1435"/>
      <c r="I177" s="1467"/>
      <c r="J177" s="214"/>
    </row>
    <row r="178" spans="1:10" ht="15" customHeight="1" x14ac:dyDescent="0.25">
      <c r="A178" s="1477"/>
      <c r="B178" s="1470"/>
      <c r="C178" s="1484" t="str">
        <f>'Linac 1'!C$3</f>
        <v>Linac 1</v>
      </c>
      <c r="D178" s="1448">
        <f>'Linac 1'!AA$86</f>
        <v>2.7169724681689482E-2</v>
      </c>
      <c r="E178" s="1471"/>
      <c r="F178" s="299"/>
      <c r="G178" s="299"/>
      <c r="H178" s="1435"/>
      <c r="I178" s="1467"/>
      <c r="J178" s="214"/>
    </row>
    <row r="179" spans="1:10" ht="15" customHeight="1" x14ac:dyDescent="0.25">
      <c r="A179" s="1459"/>
      <c r="B179" s="1461"/>
      <c r="C179" s="1485" t="str">
        <f>'Linac 2'!C$3</f>
        <v>Linac 2</v>
      </c>
      <c r="D179" s="1456">
        <f>'Linac 2'!AA$86</f>
        <v>2.7169724681689482E-2</v>
      </c>
      <c r="E179" s="1457"/>
      <c r="F179" s="299"/>
      <c r="G179" s="299"/>
      <c r="H179" s="1435"/>
      <c r="I179" s="1467"/>
      <c r="J179" s="214"/>
    </row>
    <row r="180" spans="1:10" ht="15" customHeight="1" x14ac:dyDescent="0.25">
      <c r="A180" s="1459"/>
      <c r="B180" s="1461"/>
      <c r="C180" s="1485" t="str">
        <f>'Linac 3'!C$3</f>
        <v>Linac 3</v>
      </c>
      <c r="D180" s="1456">
        <f>'Linac 3'!AA$86</f>
        <v>2.7169724681689482E-2</v>
      </c>
      <c r="E180" s="1457"/>
      <c r="F180" s="299"/>
      <c r="G180" s="299"/>
      <c r="H180" s="1435"/>
      <c r="I180" s="1467"/>
      <c r="J180" s="214"/>
    </row>
    <row r="181" spans="1:10" ht="15" customHeight="1" x14ac:dyDescent="0.25">
      <c r="A181" s="1459"/>
      <c r="B181" s="1461"/>
      <c r="C181" s="1485" t="str">
        <f>'Linac 4'!C$3</f>
        <v>Linac 4</v>
      </c>
      <c r="D181" s="1456">
        <f>'Linac 4'!AA$86</f>
        <v>2.7169724681689482E-2</v>
      </c>
      <c r="E181" s="1457"/>
      <c r="F181" s="299"/>
      <c r="G181" s="299"/>
      <c r="H181" s="1435"/>
      <c r="I181" s="1467"/>
      <c r="J181" s="214"/>
    </row>
    <row r="182" spans="1:10" ht="15" customHeight="1" x14ac:dyDescent="0.25">
      <c r="A182" s="1459"/>
      <c r="B182" s="1461"/>
      <c r="C182" s="1485" t="str">
        <f>'Linac 5'!C$3</f>
        <v>Linac 5</v>
      </c>
      <c r="D182" s="1456">
        <f>'Linac 5'!AA$86</f>
        <v>2.7169724681689482E-2</v>
      </c>
      <c r="E182" s="1457"/>
      <c r="F182" s="299"/>
      <c r="G182" s="299"/>
      <c r="H182" s="1435"/>
      <c r="I182" s="1467"/>
      <c r="J182" s="214"/>
    </row>
    <row r="183" spans="1:10" ht="15" customHeight="1" x14ac:dyDescent="0.25">
      <c r="A183" s="1416" t="s">
        <v>447</v>
      </c>
      <c r="B183" s="1417" t="s">
        <v>552</v>
      </c>
      <c r="C183" s="1485" t="str">
        <f>'Linac 6'!C$3</f>
        <v>Linac 6</v>
      </c>
      <c r="D183" s="1456">
        <f>'Linac 6'!AA$85</f>
        <v>15.53309014511383</v>
      </c>
      <c r="E183" s="1490">
        <f>SUM(D177:D188)</f>
        <v>15.777617667249036</v>
      </c>
      <c r="F183" s="299"/>
      <c r="G183" s="299"/>
      <c r="H183" s="1435"/>
      <c r="I183" s="1467"/>
      <c r="J183" s="214"/>
    </row>
    <row r="184" spans="1:10" ht="15" customHeight="1" x14ac:dyDescent="0.25">
      <c r="A184" s="1459"/>
      <c r="B184" s="1461"/>
      <c r="C184" s="1485" t="str">
        <f>'Linac 7'!C$3</f>
        <v>Linac 7</v>
      </c>
      <c r="D184" s="1456">
        <f>'Linac 7'!AA$85</f>
        <v>2.7169724681689482E-2</v>
      </c>
      <c r="E184" s="1457"/>
      <c r="F184" s="299"/>
      <c r="G184" s="299"/>
      <c r="H184" s="1435"/>
      <c r="I184" s="1467"/>
      <c r="J184" s="214"/>
    </row>
    <row r="185" spans="1:10" ht="15" customHeight="1" x14ac:dyDescent="0.25">
      <c r="A185" s="1459"/>
      <c r="B185" s="1461"/>
      <c r="C185" s="1485" t="str">
        <f>'Linac 8'!C$3</f>
        <v>Linac 8</v>
      </c>
      <c r="D185" s="1456">
        <f>'Linac 8'!AA$85</f>
        <v>2.7169724681689482E-2</v>
      </c>
      <c r="E185" s="1457"/>
      <c r="F185" s="299"/>
      <c r="G185" s="299"/>
      <c r="H185" s="1435"/>
      <c r="I185" s="1467"/>
      <c r="J185" s="214"/>
    </row>
    <row r="186" spans="1:10" ht="15" customHeight="1" x14ac:dyDescent="0.25">
      <c r="A186" s="1459"/>
      <c r="B186" s="1461"/>
      <c r="C186" s="1485" t="str">
        <f>'Linac 9'!C$3</f>
        <v>Linac 9</v>
      </c>
      <c r="D186" s="1456">
        <f>'Linac 9'!AA$85</f>
        <v>2.7169724681689482E-2</v>
      </c>
      <c r="E186" s="1457"/>
      <c r="F186" s="299"/>
      <c r="G186" s="299"/>
      <c r="H186" s="1435"/>
      <c r="I186" s="1467"/>
      <c r="J186" s="214"/>
    </row>
    <row r="187" spans="1:10" ht="15" customHeight="1" thickBot="1" x14ac:dyDescent="0.3">
      <c r="A187" s="1462"/>
      <c r="B187" s="1476"/>
      <c r="C187" s="1486" t="str">
        <f>'Linac 10'!C$3</f>
        <v>Linac 10</v>
      </c>
      <c r="D187" s="1465">
        <f>'Linac 10'!AA$85</f>
        <v>2.7169724681689482E-2</v>
      </c>
      <c r="E187" s="1466"/>
      <c r="F187" s="299"/>
      <c r="G187" s="299"/>
      <c r="H187" s="1435"/>
      <c r="I187" s="1467"/>
      <c r="J187" s="214"/>
    </row>
    <row r="188" spans="1:10" ht="15" hidden="1" customHeight="1" x14ac:dyDescent="0.25">
      <c r="A188" s="299"/>
      <c r="B188" s="1461"/>
      <c r="C188" s="1455"/>
      <c r="D188" s="1456"/>
      <c r="E188" s="1457"/>
      <c r="F188" s="299"/>
      <c r="G188" s="299"/>
      <c r="H188" s="1435"/>
      <c r="I188" s="1467"/>
      <c r="J188" s="214"/>
    </row>
    <row r="189" spans="1:10" ht="15" customHeight="1" x14ac:dyDescent="0.25">
      <c r="A189" s="1477"/>
      <c r="B189" s="1470"/>
      <c r="C189" s="1484" t="str">
        <f>'Linac 1'!C$3</f>
        <v>Linac 1</v>
      </c>
      <c r="D189" s="1448">
        <f>'Linac 1'!AA$89</f>
        <v>2.7169724681689482E-2</v>
      </c>
      <c r="E189" s="1471"/>
      <c r="F189" s="299"/>
      <c r="G189" s="299"/>
      <c r="H189" s="1435"/>
      <c r="I189" s="1467"/>
      <c r="J189" s="214"/>
    </row>
    <row r="190" spans="1:10" ht="15" customHeight="1" x14ac:dyDescent="0.25">
      <c r="A190" s="1459"/>
      <c r="B190" s="1461"/>
      <c r="C190" s="1485" t="str">
        <f>'Linac 2'!C$3</f>
        <v>Linac 2</v>
      </c>
      <c r="D190" s="1456">
        <f>'Linac 2'!AA$89</f>
        <v>2.7169724681689482E-2</v>
      </c>
      <c r="E190" s="1457"/>
      <c r="F190" s="299"/>
      <c r="G190" s="299"/>
      <c r="H190" s="1435"/>
      <c r="I190" s="1467"/>
      <c r="J190" s="214"/>
    </row>
    <row r="191" spans="1:10" ht="15" customHeight="1" x14ac:dyDescent="0.25">
      <c r="A191" s="1459"/>
      <c r="B191" s="1461"/>
      <c r="C191" s="1485" t="str">
        <f>'Linac 3'!C$3</f>
        <v>Linac 3</v>
      </c>
      <c r="D191" s="1456">
        <f>'Linac 3'!AA$89</f>
        <v>2.7169724681689482E-2</v>
      </c>
      <c r="E191" s="1457"/>
      <c r="F191" s="299"/>
      <c r="G191" s="299"/>
      <c r="H191" s="1435"/>
      <c r="I191" s="1467"/>
      <c r="J191" s="214"/>
    </row>
    <row r="192" spans="1:10" ht="15" customHeight="1" x14ac:dyDescent="0.25">
      <c r="A192" s="1459"/>
      <c r="B192" s="1461"/>
      <c r="C192" s="1485" t="str">
        <f>'Linac 4'!C$3</f>
        <v>Linac 4</v>
      </c>
      <c r="D192" s="1456">
        <f>'Linac 4'!AA$89</f>
        <v>2.7169724681689482E-2</v>
      </c>
      <c r="E192" s="1457"/>
      <c r="F192" s="299"/>
      <c r="G192" s="299"/>
      <c r="H192" s="1435"/>
      <c r="I192" s="1467"/>
      <c r="J192" s="214"/>
    </row>
    <row r="193" spans="1:10" ht="15" customHeight="1" x14ac:dyDescent="0.25">
      <c r="A193" s="1459"/>
      <c r="B193" s="1461"/>
      <c r="C193" s="1485" t="str">
        <f>'Linac 5'!C$3</f>
        <v>Linac 5</v>
      </c>
      <c r="D193" s="1456">
        <f>'Linac 5'!AA$89</f>
        <v>2.7169724681689482E-2</v>
      </c>
      <c r="E193" s="1457"/>
      <c r="F193" s="299"/>
      <c r="G193" s="299"/>
      <c r="H193" s="1435"/>
      <c r="I193" s="1467"/>
      <c r="J193" s="214"/>
    </row>
    <row r="194" spans="1:10" ht="15" customHeight="1" x14ac:dyDescent="0.25">
      <c r="A194" s="1459"/>
      <c r="B194" s="1461"/>
      <c r="C194" s="1485" t="str">
        <f>'Linac 6'!C$3</f>
        <v>Linac 6</v>
      </c>
      <c r="D194" s="1456">
        <f>'Linac 6'!AA$89</f>
        <v>2.7169724681689482E-2</v>
      </c>
      <c r="E194" s="1457"/>
      <c r="F194" s="299"/>
      <c r="G194" s="299"/>
      <c r="H194" s="1435"/>
      <c r="I194" s="1467"/>
      <c r="J194" s="214"/>
    </row>
    <row r="195" spans="1:10" ht="15" customHeight="1" x14ac:dyDescent="0.25">
      <c r="A195" s="1416" t="s">
        <v>448</v>
      </c>
      <c r="B195" s="1417" t="s">
        <v>553</v>
      </c>
      <c r="C195" s="1485" t="str">
        <f>'Linac 7'!C$3</f>
        <v>Linac 7</v>
      </c>
      <c r="D195" s="1456">
        <f>'Linac 7'!AA$88</f>
        <v>15.53309014511383</v>
      </c>
      <c r="E195" s="1490">
        <f>SUM(D188:D199)</f>
        <v>15.777617667249036</v>
      </c>
      <c r="F195" s="299"/>
      <c r="G195" s="299"/>
      <c r="H195" s="1435"/>
      <c r="I195" s="1467"/>
      <c r="J195" s="214"/>
    </row>
    <row r="196" spans="1:10" ht="15" customHeight="1" x14ac:dyDescent="0.25">
      <c r="A196" s="1459"/>
      <c r="B196" s="1461"/>
      <c r="C196" s="1485" t="str">
        <f>'Linac 8'!C$3</f>
        <v>Linac 8</v>
      </c>
      <c r="D196" s="1456">
        <f>'Linac 8'!AA$88</f>
        <v>2.7169724681689482E-2</v>
      </c>
      <c r="E196" s="1457"/>
      <c r="F196" s="299"/>
      <c r="G196" s="299"/>
      <c r="H196" s="1435"/>
      <c r="I196" s="1467"/>
      <c r="J196" s="214"/>
    </row>
    <row r="197" spans="1:10" ht="15" customHeight="1" x14ac:dyDescent="0.25">
      <c r="A197" s="1459"/>
      <c r="B197" s="1461"/>
      <c r="C197" s="1485" t="str">
        <f>'Linac 9'!C$3</f>
        <v>Linac 9</v>
      </c>
      <c r="D197" s="1456">
        <f>'Linac 9'!AA$88</f>
        <v>2.7169724681689482E-2</v>
      </c>
      <c r="E197" s="1457"/>
      <c r="F197" s="299"/>
      <c r="G197" s="299"/>
      <c r="H197" s="1435"/>
      <c r="I197" s="1467"/>
      <c r="J197" s="214"/>
    </row>
    <row r="198" spans="1:10" ht="15" customHeight="1" thickBot="1" x14ac:dyDescent="0.3">
      <c r="A198" s="1462"/>
      <c r="B198" s="1476"/>
      <c r="C198" s="1486" t="str">
        <f>'Linac 10'!C$3</f>
        <v>Linac 10</v>
      </c>
      <c r="D198" s="1465">
        <f>'Linac 10'!AA$88</f>
        <v>2.7169724681689482E-2</v>
      </c>
      <c r="E198" s="1466"/>
      <c r="F198" s="299"/>
      <c r="G198" s="299"/>
      <c r="H198" s="1435"/>
      <c r="I198" s="1467"/>
      <c r="J198" s="214"/>
    </row>
    <row r="199" spans="1:10" ht="15" hidden="1" customHeight="1" x14ac:dyDescent="0.25">
      <c r="A199" s="299"/>
      <c r="B199" s="1461"/>
      <c r="C199" s="1455"/>
      <c r="D199" s="1456"/>
      <c r="E199" s="1457"/>
      <c r="F199" s="299"/>
      <c r="G199" s="299"/>
      <c r="H199" s="1435"/>
      <c r="I199" s="1467"/>
      <c r="J199" s="214"/>
    </row>
    <row r="200" spans="1:10" ht="15" customHeight="1" x14ac:dyDescent="0.25">
      <c r="A200" s="1477"/>
      <c r="B200" s="1470"/>
      <c r="C200" s="1484" t="str">
        <f>'Linac 1'!C$3</f>
        <v>Linac 1</v>
      </c>
      <c r="D200" s="1448">
        <f>'Linac 1'!AA$92</f>
        <v>2.7169724681689482E-2</v>
      </c>
      <c r="E200" s="1471"/>
      <c r="F200" s="299"/>
      <c r="G200" s="299"/>
      <c r="H200" s="1435"/>
      <c r="I200" s="1467"/>
      <c r="J200" s="214"/>
    </row>
    <row r="201" spans="1:10" ht="15" customHeight="1" x14ac:dyDescent="0.25">
      <c r="A201" s="1459"/>
      <c r="B201" s="1461"/>
      <c r="C201" s="1485" t="str">
        <f>'Linac 2'!C$3</f>
        <v>Linac 2</v>
      </c>
      <c r="D201" s="1456">
        <f>'Linac 2'!AA$92</f>
        <v>2.7169724681689482E-2</v>
      </c>
      <c r="E201" s="1457"/>
      <c r="F201" s="299"/>
      <c r="G201" s="299"/>
      <c r="H201" s="1435"/>
      <c r="I201" s="1467"/>
      <c r="J201" s="214"/>
    </row>
    <row r="202" spans="1:10" ht="15" customHeight="1" x14ac:dyDescent="0.25">
      <c r="A202" s="1459"/>
      <c r="B202" s="1461"/>
      <c r="C202" s="1485" t="str">
        <f>'Linac 3'!C$3</f>
        <v>Linac 3</v>
      </c>
      <c r="D202" s="1456">
        <f>'Linac 3'!AA$92</f>
        <v>2.7169724681689482E-2</v>
      </c>
      <c r="E202" s="1457"/>
      <c r="F202" s="299"/>
      <c r="G202" s="299"/>
      <c r="H202" s="1435"/>
      <c r="I202" s="1467"/>
      <c r="J202" s="214"/>
    </row>
    <row r="203" spans="1:10" ht="15" customHeight="1" x14ac:dyDescent="0.25">
      <c r="A203" s="1459"/>
      <c r="B203" s="1461"/>
      <c r="C203" s="1485" t="str">
        <f>'Linac 4'!C$3</f>
        <v>Linac 4</v>
      </c>
      <c r="D203" s="1456">
        <f>'Linac 4'!AA$92</f>
        <v>2.7169724681689482E-2</v>
      </c>
      <c r="E203" s="1457"/>
      <c r="F203" s="299"/>
      <c r="G203" s="299"/>
      <c r="H203" s="1435"/>
      <c r="I203" s="1467"/>
      <c r="J203" s="214"/>
    </row>
    <row r="204" spans="1:10" ht="15" customHeight="1" x14ac:dyDescent="0.25">
      <c r="A204" s="1459"/>
      <c r="B204" s="1461"/>
      <c r="C204" s="1485" t="str">
        <f>'Linac 5'!C$3</f>
        <v>Linac 5</v>
      </c>
      <c r="D204" s="1456">
        <f>'Linac 5'!AA$92</f>
        <v>2.7169724681689482E-2</v>
      </c>
      <c r="E204" s="1457"/>
      <c r="F204" s="299"/>
      <c r="G204" s="299"/>
      <c r="H204" s="1435"/>
      <c r="I204" s="1467"/>
      <c r="J204" s="214"/>
    </row>
    <row r="205" spans="1:10" ht="15" customHeight="1" x14ac:dyDescent="0.25">
      <c r="A205" s="1459"/>
      <c r="B205" s="1461"/>
      <c r="C205" s="1485" t="str">
        <f>'Linac 6'!C$3</f>
        <v>Linac 6</v>
      </c>
      <c r="D205" s="1456">
        <f>'Linac 6'!AA$92</f>
        <v>2.7169724681689482E-2</v>
      </c>
      <c r="E205" s="1457"/>
      <c r="F205" s="299"/>
      <c r="G205" s="299"/>
      <c r="H205" s="1435"/>
      <c r="I205" s="1467"/>
      <c r="J205" s="214"/>
    </row>
    <row r="206" spans="1:10" ht="15" customHeight="1" x14ac:dyDescent="0.25">
      <c r="A206" s="1459"/>
      <c r="B206" s="1461"/>
      <c r="C206" s="1485" t="str">
        <f>'Linac 7'!C$3</f>
        <v>Linac 7</v>
      </c>
      <c r="D206" s="1456">
        <f>'Linac 7'!AA$92</f>
        <v>2.7169724681689482E-2</v>
      </c>
      <c r="E206" s="1457"/>
      <c r="F206" s="299"/>
      <c r="G206" s="299"/>
      <c r="H206" s="1435"/>
      <c r="I206" s="1467"/>
      <c r="J206" s="214"/>
    </row>
    <row r="207" spans="1:10" ht="15" customHeight="1" x14ac:dyDescent="0.25">
      <c r="A207" s="1416" t="s">
        <v>449</v>
      </c>
      <c r="B207" s="1417" t="s">
        <v>554</v>
      </c>
      <c r="C207" s="1485" t="str">
        <f>'Linac 8'!C$3</f>
        <v>Linac 8</v>
      </c>
      <c r="D207" s="1456">
        <f>'Linac 8'!AA$91</f>
        <v>15.53309014511383</v>
      </c>
      <c r="E207" s="1490">
        <f>SUM(D199:D210)</f>
        <v>15.777617667249036</v>
      </c>
      <c r="F207" s="299"/>
      <c r="G207" s="299"/>
      <c r="H207" s="1435"/>
      <c r="I207" s="1467"/>
      <c r="J207" s="214"/>
    </row>
    <row r="208" spans="1:10" ht="15" customHeight="1" x14ac:dyDescent="0.25">
      <c r="A208" s="1459"/>
      <c r="B208" s="1461"/>
      <c r="C208" s="1485" t="str">
        <f>'Linac 9'!C$3</f>
        <v>Linac 9</v>
      </c>
      <c r="D208" s="1456">
        <f>'Linac 9'!AA$91</f>
        <v>2.7169724681689482E-2</v>
      </c>
      <c r="E208" s="1457"/>
      <c r="F208" s="299"/>
      <c r="G208" s="299"/>
      <c r="H208" s="1435"/>
      <c r="I208" s="1467"/>
      <c r="J208" s="214"/>
    </row>
    <row r="209" spans="1:10" ht="15" customHeight="1" thickBot="1" x14ac:dyDescent="0.3">
      <c r="A209" s="1462"/>
      <c r="B209" s="1476"/>
      <c r="C209" s="1486" t="str">
        <f>'Linac 10'!C$3</f>
        <v>Linac 10</v>
      </c>
      <c r="D209" s="1465">
        <f>'Linac 10'!AA$91</f>
        <v>2.7169724681689482E-2</v>
      </c>
      <c r="E209" s="1466"/>
      <c r="F209" s="299"/>
      <c r="G209" s="299"/>
      <c r="H209" s="1435"/>
      <c r="I209" s="1467"/>
      <c r="J209" s="214"/>
    </row>
    <row r="210" spans="1:10" ht="15" hidden="1" customHeight="1" x14ac:dyDescent="0.25">
      <c r="A210" s="299"/>
      <c r="B210" s="1461"/>
      <c r="C210" s="1455"/>
      <c r="D210" s="1456"/>
      <c r="E210" s="1457"/>
      <c r="F210" s="299"/>
      <c r="G210" s="299"/>
      <c r="H210" s="1435"/>
      <c r="I210" s="1467"/>
      <c r="J210" s="214"/>
    </row>
    <row r="211" spans="1:10" ht="15" customHeight="1" x14ac:dyDescent="0.25">
      <c r="A211" s="1477"/>
      <c r="B211" s="1470"/>
      <c r="C211" s="1484" t="str">
        <f>'Linac 1'!C$3</f>
        <v>Linac 1</v>
      </c>
      <c r="D211" s="1448">
        <f>'Linac 1'!AA$95</f>
        <v>2.7169724681689482E-2</v>
      </c>
      <c r="E211" s="1471"/>
      <c r="F211" s="299"/>
      <c r="G211" s="299"/>
      <c r="H211" s="1435"/>
      <c r="I211" s="1467"/>
      <c r="J211" s="214"/>
    </row>
    <row r="212" spans="1:10" ht="15" customHeight="1" x14ac:dyDescent="0.25">
      <c r="A212" s="1459"/>
      <c r="B212" s="1461"/>
      <c r="C212" s="1485" t="str">
        <f>'Linac 2'!C$3</f>
        <v>Linac 2</v>
      </c>
      <c r="D212" s="1456">
        <f>'Linac 2'!AA$95</f>
        <v>2.7169724681689482E-2</v>
      </c>
      <c r="E212" s="1457"/>
      <c r="F212" s="299"/>
      <c r="G212" s="299"/>
      <c r="H212" s="1435"/>
      <c r="I212" s="1467"/>
      <c r="J212" s="214"/>
    </row>
    <row r="213" spans="1:10" ht="15" customHeight="1" x14ac:dyDescent="0.25">
      <c r="A213" s="1459"/>
      <c r="B213" s="1461"/>
      <c r="C213" s="1485" t="str">
        <f>'Linac 3'!C$3</f>
        <v>Linac 3</v>
      </c>
      <c r="D213" s="1456">
        <f>'Linac 3'!AA$95</f>
        <v>2.7169724681689482E-2</v>
      </c>
      <c r="E213" s="1457"/>
      <c r="F213" s="299"/>
      <c r="G213" s="299"/>
      <c r="H213" s="1435"/>
      <c r="I213" s="1435"/>
    </row>
    <row r="214" spans="1:10" ht="15" customHeight="1" x14ac:dyDescent="0.25">
      <c r="A214" s="1459"/>
      <c r="B214" s="1461"/>
      <c r="C214" s="1485" t="str">
        <f>'Linac 4'!C$3</f>
        <v>Linac 4</v>
      </c>
      <c r="D214" s="1456">
        <f>'Linac 4'!AA$95</f>
        <v>2.7169724681689482E-2</v>
      </c>
      <c r="E214" s="1457"/>
      <c r="F214" s="299"/>
      <c r="G214" s="299"/>
      <c r="H214" s="1435"/>
      <c r="I214" s="1435"/>
    </row>
    <row r="215" spans="1:10" ht="15" customHeight="1" x14ac:dyDescent="0.25">
      <c r="A215" s="1459"/>
      <c r="B215" s="1461"/>
      <c r="C215" s="1485" t="str">
        <f>'Linac 5'!C$3</f>
        <v>Linac 5</v>
      </c>
      <c r="D215" s="1456">
        <f>'Linac 5'!AA$95</f>
        <v>2.7169724681689482E-2</v>
      </c>
      <c r="E215" s="1457"/>
      <c r="F215" s="299"/>
      <c r="G215" s="299"/>
      <c r="H215" s="1435"/>
      <c r="I215" s="1435"/>
    </row>
    <row r="216" spans="1:10" ht="15" customHeight="1" x14ac:dyDescent="0.25">
      <c r="A216" s="1459"/>
      <c r="B216" s="1461"/>
      <c r="C216" s="1485" t="str">
        <f>'Linac 6'!C$3</f>
        <v>Linac 6</v>
      </c>
      <c r="D216" s="1456">
        <f>'Linac 6'!AA$95</f>
        <v>2.7169724681689482E-2</v>
      </c>
      <c r="E216" s="1457"/>
      <c r="F216" s="299"/>
      <c r="G216" s="299"/>
      <c r="H216" s="1435"/>
      <c r="I216" s="1435"/>
    </row>
    <row r="217" spans="1:10" ht="15" customHeight="1" x14ac:dyDescent="0.25">
      <c r="A217" s="1459"/>
      <c r="B217" s="1461"/>
      <c r="C217" s="1485" t="str">
        <f>'Linac 7'!C$3</f>
        <v>Linac 7</v>
      </c>
      <c r="D217" s="1456">
        <f>'Linac 7'!AA$95</f>
        <v>2.7169724681689482E-2</v>
      </c>
      <c r="E217" s="1457"/>
      <c r="F217" s="299"/>
      <c r="G217" s="299"/>
      <c r="H217" s="1435"/>
      <c r="I217" s="1435"/>
    </row>
    <row r="218" spans="1:10" ht="15" customHeight="1" x14ac:dyDescent="0.25">
      <c r="A218" s="1459"/>
      <c r="B218" s="1461"/>
      <c r="C218" s="1485" t="str">
        <f>'Linac 8'!C$3</f>
        <v>Linac 8</v>
      </c>
      <c r="D218" s="1456">
        <f>'Linac 8'!AA$95</f>
        <v>2.7169724681689482E-2</v>
      </c>
      <c r="E218" s="1457"/>
      <c r="F218" s="299"/>
      <c r="G218" s="299"/>
      <c r="H218" s="1435"/>
      <c r="I218" s="1435"/>
    </row>
    <row r="219" spans="1:10" ht="15" customHeight="1" x14ac:dyDescent="0.25">
      <c r="A219" s="1416" t="s">
        <v>450</v>
      </c>
      <c r="B219" s="1417" t="s">
        <v>555</v>
      </c>
      <c r="C219" s="1485" t="str">
        <f>'Linac 9'!C$3</f>
        <v>Linac 9</v>
      </c>
      <c r="D219" s="1456">
        <f>'Linac 9'!AA$94</f>
        <v>15.53309014511383</v>
      </c>
      <c r="E219" s="1490">
        <f>SUM(D210:D221)</f>
        <v>15.777617667249036</v>
      </c>
      <c r="F219" s="299"/>
      <c r="G219" s="299"/>
      <c r="H219" s="1435"/>
      <c r="I219" s="1435"/>
    </row>
    <row r="220" spans="1:10" ht="15" customHeight="1" thickBot="1" x14ac:dyDescent="0.3">
      <c r="A220" s="1462"/>
      <c r="B220" s="1476"/>
      <c r="C220" s="1486" t="str">
        <f>'Linac 10'!C$3</f>
        <v>Linac 10</v>
      </c>
      <c r="D220" s="1465">
        <f>'Linac 10'!AA$94</f>
        <v>2.7169724681689482E-2</v>
      </c>
      <c r="E220" s="1466"/>
      <c r="F220" s="299"/>
      <c r="G220" s="299"/>
      <c r="H220" s="1435"/>
      <c r="I220" s="1435"/>
    </row>
    <row r="221" spans="1:10" ht="15" hidden="1" customHeight="1" x14ac:dyDescent="0.25">
      <c r="A221" s="299"/>
      <c r="B221" s="1461"/>
      <c r="C221" s="1455"/>
      <c r="D221" s="1456"/>
      <c r="E221" s="1457"/>
      <c r="F221" s="299"/>
      <c r="G221" s="299"/>
      <c r="H221" s="1435"/>
      <c r="I221" s="1435"/>
    </row>
    <row r="222" spans="1:10" ht="15" customHeight="1" x14ac:dyDescent="0.25">
      <c r="A222" s="1477"/>
      <c r="B222" s="1470"/>
      <c r="C222" s="1484" t="str">
        <f>'Linac 1'!C$3</f>
        <v>Linac 1</v>
      </c>
      <c r="D222" s="1448">
        <f>'Linac 1'!AA$98</f>
        <v>2.7169724681689482E-2</v>
      </c>
      <c r="E222" s="1471"/>
      <c r="F222" s="299"/>
      <c r="G222" s="299"/>
      <c r="H222" s="1435"/>
      <c r="I222" s="1435"/>
    </row>
    <row r="223" spans="1:10" ht="15" customHeight="1" x14ac:dyDescent="0.25">
      <c r="A223" s="1459"/>
      <c r="B223" s="1461"/>
      <c r="C223" s="1485" t="str">
        <f>'Linac 2'!C$3</f>
        <v>Linac 2</v>
      </c>
      <c r="D223" s="1456">
        <f>'Linac 2'!AA$98</f>
        <v>2.7169724681689482E-2</v>
      </c>
      <c r="E223" s="1457"/>
      <c r="F223" s="299"/>
      <c r="G223" s="299"/>
      <c r="H223" s="1435"/>
      <c r="I223" s="1467"/>
      <c r="J223" s="214"/>
    </row>
    <row r="224" spans="1:10" ht="15" customHeight="1" x14ac:dyDescent="0.25">
      <c r="A224" s="1459"/>
      <c r="B224" s="1461"/>
      <c r="C224" s="1485" t="str">
        <f>'Linac 3'!C$3</f>
        <v>Linac 3</v>
      </c>
      <c r="D224" s="1456">
        <f>'Linac 3'!AA$98</f>
        <v>2.7169724681689482E-2</v>
      </c>
      <c r="E224" s="1457"/>
      <c r="F224" s="299"/>
      <c r="G224" s="299"/>
      <c r="H224" s="1435"/>
      <c r="I224" s="1467"/>
      <c r="J224" s="214"/>
    </row>
    <row r="225" spans="1:9" ht="15" customHeight="1" x14ac:dyDescent="0.25">
      <c r="A225" s="1459"/>
      <c r="B225" s="1461"/>
      <c r="C225" s="1485" t="str">
        <f>'Linac 4'!C$3</f>
        <v>Linac 4</v>
      </c>
      <c r="D225" s="1456">
        <f>'Linac 4'!AA$98</f>
        <v>2.7169724681689482E-2</v>
      </c>
      <c r="E225" s="1457"/>
      <c r="F225" s="299"/>
      <c r="G225" s="299"/>
      <c r="H225" s="1435"/>
      <c r="I225" s="1435"/>
    </row>
    <row r="226" spans="1:9" ht="15" customHeight="1" x14ac:dyDescent="0.25">
      <c r="A226" s="1459"/>
      <c r="B226" s="1461"/>
      <c r="C226" s="1485" t="str">
        <f>'Linac 5'!C$3</f>
        <v>Linac 5</v>
      </c>
      <c r="D226" s="1456">
        <f>'Linac 5'!AA$98</f>
        <v>2.7169724681689482E-2</v>
      </c>
      <c r="E226" s="1457"/>
      <c r="F226" s="299"/>
      <c r="G226" s="299"/>
      <c r="H226" s="1435"/>
      <c r="I226" s="1435"/>
    </row>
    <row r="227" spans="1:9" ht="15" customHeight="1" x14ac:dyDescent="0.25">
      <c r="A227" s="1459"/>
      <c r="B227" s="1461"/>
      <c r="C227" s="1485" t="str">
        <f>'Linac 6'!C$3</f>
        <v>Linac 6</v>
      </c>
      <c r="D227" s="1456">
        <f>'Linac 6'!AA$98</f>
        <v>2.7169724681689482E-2</v>
      </c>
      <c r="E227" s="1457"/>
      <c r="F227" s="299"/>
      <c r="G227" s="299"/>
      <c r="H227" s="1435"/>
      <c r="I227" s="1435"/>
    </row>
    <row r="228" spans="1:9" ht="15" customHeight="1" x14ac:dyDescent="0.25">
      <c r="A228" s="1459"/>
      <c r="B228" s="1461"/>
      <c r="C228" s="1485" t="str">
        <f>'Linac 7'!C$3</f>
        <v>Linac 7</v>
      </c>
      <c r="D228" s="1456">
        <f>'Linac 7'!AA$98</f>
        <v>2.7169724681689482E-2</v>
      </c>
      <c r="E228" s="1457"/>
      <c r="F228" s="299"/>
      <c r="G228" s="299"/>
      <c r="H228" s="1435"/>
      <c r="I228" s="1435"/>
    </row>
    <row r="229" spans="1:9" ht="15" customHeight="1" x14ac:dyDescent="0.25">
      <c r="A229" s="1459"/>
      <c r="B229" s="1461"/>
      <c r="C229" s="1485" t="str">
        <f>'Linac 8'!C$3</f>
        <v>Linac 8</v>
      </c>
      <c r="D229" s="1456">
        <f>'Linac 8'!AA$98</f>
        <v>2.7169724681689482E-2</v>
      </c>
      <c r="E229" s="1457"/>
      <c r="F229" s="299"/>
      <c r="G229" s="299"/>
      <c r="H229" s="1435"/>
      <c r="I229" s="1435"/>
    </row>
    <row r="230" spans="1:9" ht="15" customHeight="1" x14ac:dyDescent="0.25">
      <c r="A230" s="1459"/>
      <c r="B230" s="1461"/>
      <c r="C230" s="1485" t="str">
        <f>'Linac 9'!C$3</f>
        <v>Linac 9</v>
      </c>
      <c r="D230" s="1456">
        <f>'Linac 9'!AA$98</f>
        <v>2.7169724681689482E-2</v>
      </c>
      <c r="E230" s="1457"/>
      <c r="F230" s="299"/>
      <c r="G230" s="299"/>
      <c r="H230" s="1435"/>
      <c r="I230" s="1435"/>
    </row>
    <row r="231" spans="1:9" ht="15" customHeight="1" thickBot="1" x14ac:dyDescent="0.3">
      <c r="A231" s="1672" t="s">
        <v>451</v>
      </c>
      <c r="B231" s="1673" t="s">
        <v>556</v>
      </c>
      <c r="C231" s="1486" t="str">
        <f>'Linac 10'!C$3</f>
        <v>Linac 10</v>
      </c>
      <c r="D231" s="1465">
        <f>'Linac 10'!AA$97</f>
        <v>15.54074121711383</v>
      </c>
      <c r="E231" s="1491">
        <f>SUM(D221:D232)</f>
        <v>15.785268739249036</v>
      </c>
      <c r="F231" s="299"/>
      <c r="G231" s="299"/>
      <c r="H231" s="1435"/>
      <c r="I231" s="1435"/>
    </row>
    <row r="232" spans="1:9" ht="15" hidden="1" customHeight="1" x14ac:dyDescent="0.25">
      <c r="A232" s="1676"/>
      <c r="B232" s="1675"/>
      <c r="C232" s="1455"/>
      <c r="D232" s="1456"/>
      <c r="E232" s="1492"/>
      <c r="F232" s="299"/>
      <c r="G232" s="299"/>
      <c r="H232" s="1435"/>
      <c r="I232" s="1435"/>
    </row>
    <row r="233" spans="1:9" ht="15" customHeight="1" x14ac:dyDescent="0.25">
      <c r="A233" s="1677" t="s">
        <v>559</v>
      </c>
      <c r="B233" s="1678" t="s">
        <v>558</v>
      </c>
      <c r="C233" s="1493" t="str">
        <f>'Linac 1'!C$3</f>
        <v>Linac 1</v>
      </c>
      <c r="D233" s="1494">
        <f>'Linac 1'!AA$101</f>
        <v>2.7169724681689482E-2</v>
      </c>
      <c r="E233" s="1495">
        <f>SUM(D233:D242)</f>
        <v>0.27169724681689483</v>
      </c>
      <c r="F233" s="299"/>
      <c r="G233" s="1496" t="s">
        <v>562</v>
      </c>
      <c r="H233" s="1435"/>
      <c r="I233" s="1435"/>
    </row>
    <row r="234" spans="1:9" ht="15" customHeight="1" x14ac:dyDescent="0.25">
      <c r="A234" s="1458"/>
      <c r="B234" s="1497"/>
      <c r="C234" s="1455" t="str">
        <f>'Linac 2'!C$3</f>
        <v>Linac 2</v>
      </c>
      <c r="D234" s="1498">
        <f>'Linac 2'!AA$101</f>
        <v>2.7169724681689482E-2</v>
      </c>
      <c r="E234" s="1457"/>
      <c r="F234" s="299"/>
      <c r="G234" s="1496" t="s">
        <v>563</v>
      </c>
      <c r="H234" s="1435"/>
      <c r="I234" s="1435"/>
    </row>
    <row r="235" spans="1:9" ht="15" customHeight="1" x14ac:dyDescent="0.25">
      <c r="A235" s="1458"/>
      <c r="B235" s="1497"/>
      <c r="C235" s="1455" t="str">
        <f>'Linac 3'!C$3</f>
        <v>Linac 3</v>
      </c>
      <c r="D235" s="1498">
        <f>'Linac 3'!AA$101</f>
        <v>2.7169724681689482E-2</v>
      </c>
      <c r="E235" s="1457"/>
      <c r="F235" s="299"/>
      <c r="G235" s="299"/>
      <c r="H235" s="1435"/>
      <c r="I235" s="1435"/>
    </row>
    <row r="236" spans="1:9" ht="15" customHeight="1" x14ac:dyDescent="0.25">
      <c r="A236" s="1458"/>
      <c r="B236" s="1497"/>
      <c r="C236" s="1455" t="str">
        <f>'Linac 4'!C$3</f>
        <v>Linac 4</v>
      </c>
      <c r="D236" s="1498">
        <f>'Linac 4'!AA$101</f>
        <v>2.7169724681689482E-2</v>
      </c>
      <c r="E236" s="1457"/>
      <c r="F236" s="299"/>
      <c r="G236" s="299"/>
      <c r="H236" s="1435"/>
      <c r="I236" s="1435"/>
    </row>
    <row r="237" spans="1:9" ht="15" customHeight="1" x14ac:dyDescent="0.25">
      <c r="A237" s="1459"/>
      <c r="B237" s="1497"/>
      <c r="C237" s="1499" t="str">
        <f>'Linac 5'!C$3</f>
        <v>Linac 5</v>
      </c>
      <c r="D237" s="1498">
        <f>'Linac 5'!AA$101</f>
        <v>2.7169724681689482E-2</v>
      </c>
      <c r="E237" s="1457"/>
      <c r="F237" s="299"/>
      <c r="G237" s="299"/>
      <c r="H237" s="1435"/>
      <c r="I237" s="1435"/>
    </row>
    <row r="238" spans="1:9" ht="15" customHeight="1" x14ac:dyDescent="0.25">
      <c r="A238" s="1459"/>
      <c r="B238" s="1497"/>
      <c r="C238" s="1499" t="str">
        <f>'Linac 6'!C$3</f>
        <v>Linac 6</v>
      </c>
      <c r="D238" s="1498">
        <f>'Linac 6'!AA$101</f>
        <v>2.7169724681689482E-2</v>
      </c>
      <c r="E238" s="1457"/>
      <c r="F238" s="299"/>
      <c r="G238" s="299"/>
      <c r="H238" s="1435"/>
      <c r="I238" s="1435"/>
    </row>
    <row r="239" spans="1:9" ht="15" customHeight="1" x14ac:dyDescent="0.25">
      <c r="A239" s="1459"/>
      <c r="B239" s="1497"/>
      <c r="C239" s="1499" t="str">
        <f>'Linac 7'!C$3</f>
        <v>Linac 7</v>
      </c>
      <c r="D239" s="1498">
        <f>'Linac 7'!AA$101</f>
        <v>2.7169724681689482E-2</v>
      </c>
      <c r="E239" s="1457"/>
      <c r="F239" s="299"/>
      <c r="G239" s="299"/>
      <c r="H239" s="1435"/>
      <c r="I239" s="1435"/>
    </row>
    <row r="240" spans="1:9" ht="15" customHeight="1" x14ac:dyDescent="0.25">
      <c r="A240" s="1459"/>
      <c r="B240" s="1497"/>
      <c r="C240" s="1499" t="str">
        <f>'Linac 8'!C$3</f>
        <v>Linac 8</v>
      </c>
      <c r="D240" s="1498">
        <f>'Linac 8'!AA$101</f>
        <v>2.7169724681689482E-2</v>
      </c>
      <c r="E240" s="1457"/>
      <c r="F240" s="299"/>
      <c r="G240" s="299"/>
      <c r="H240" s="1435"/>
      <c r="I240" s="1435"/>
    </row>
    <row r="241" spans="1:9" ht="15" customHeight="1" x14ac:dyDescent="0.25">
      <c r="A241" s="1459"/>
      <c r="B241" s="1497"/>
      <c r="C241" s="1499" t="str">
        <f>'Linac 9'!C$3</f>
        <v>Linac 9</v>
      </c>
      <c r="D241" s="1498">
        <f>'Linac 9'!AA$101</f>
        <v>2.7169724681689482E-2</v>
      </c>
      <c r="E241" s="1457"/>
      <c r="F241" s="299"/>
      <c r="G241" s="299"/>
      <c r="H241" s="1435"/>
      <c r="I241" s="1435"/>
    </row>
    <row r="242" spans="1:9" ht="15" customHeight="1" thickBot="1" x14ac:dyDescent="0.3">
      <c r="A242" s="1462"/>
      <c r="B242" s="1476"/>
      <c r="C242" s="1486" t="str">
        <f>'Linac 10'!C$3</f>
        <v>Linac 10</v>
      </c>
      <c r="D242" s="1465">
        <f>'Linac 10'!AA$101</f>
        <v>2.7169724681689482E-2</v>
      </c>
      <c r="E242" s="1466"/>
      <c r="F242" s="299"/>
      <c r="G242" s="299"/>
      <c r="H242" s="1435"/>
      <c r="I242" s="1435"/>
    </row>
    <row r="243" spans="1:9" ht="15" hidden="1" customHeight="1" x14ac:dyDescent="0.25">
      <c r="A243" s="380"/>
      <c r="B243" s="381"/>
      <c r="C243" s="380"/>
      <c r="D243" s="1500"/>
      <c r="E243" s="380"/>
      <c r="F243" s="299"/>
      <c r="G243" s="299"/>
      <c r="H243" s="1435"/>
      <c r="I243" s="1435"/>
    </row>
    <row r="244" spans="1:9" ht="15" customHeight="1" x14ac:dyDescent="0.25">
      <c r="A244" s="1501"/>
      <c r="B244" s="1502"/>
      <c r="C244" s="1501"/>
      <c r="D244" s="1503"/>
      <c r="E244" s="1501"/>
      <c r="F244" s="299"/>
      <c r="G244" s="299"/>
      <c r="H244" s="1435"/>
      <c r="I244" s="1435"/>
    </row>
    <row r="245" spans="1:9" ht="15" customHeight="1" x14ac:dyDescent="0.25">
      <c r="A245" s="1504" t="s">
        <v>561</v>
      </c>
      <c r="B245" s="1505"/>
      <c r="C245" s="1506"/>
      <c r="D245" s="1965" t="s">
        <v>85</v>
      </c>
      <c r="E245" s="1966"/>
      <c r="F245" s="1961" t="s">
        <v>239</v>
      </c>
      <c r="G245" s="1962"/>
      <c r="H245" s="1507"/>
      <c r="I245" s="289"/>
    </row>
    <row r="246" spans="1:9" ht="21.75" customHeight="1" x14ac:dyDescent="0.25">
      <c r="A246" s="1508" t="s">
        <v>50</v>
      </c>
      <c r="B246" s="1509" t="s">
        <v>15</v>
      </c>
      <c r="C246" s="1510" t="s">
        <v>24</v>
      </c>
      <c r="D246" s="1511" t="s">
        <v>309</v>
      </c>
      <c r="E246" s="880" t="s">
        <v>166</v>
      </c>
      <c r="F246" s="1512" t="s">
        <v>309</v>
      </c>
      <c r="G246" s="1513" t="s">
        <v>166</v>
      </c>
      <c r="H246" s="1507"/>
      <c r="I246" s="1420" t="s">
        <v>560</v>
      </c>
    </row>
    <row r="247" spans="1:9" ht="15" customHeight="1" x14ac:dyDescent="0.25">
      <c r="A247" s="1679" t="s">
        <v>187</v>
      </c>
      <c r="B247" s="1680" t="s">
        <v>427</v>
      </c>
      <c r="C247" s="1514" t="str">
        <f>CT!C$3</f>
        <v>CT 1</v>
      </c>
      <c r="D247" s="1515">
        <f>CT!N25</f>
        <v>1.4756735893035709E-5</v>
      </c>
      <c r="E247" s="1516">
        <f>CT!M25</f>
        <v>6.1388021315028553E-2</v>
      </c>
      <c r="F247" s="1517"/>
      <c r="G247" s="1518"/>
      <c r="H247" s="1507"/>
      <c r="I247" s="1435"/>
    </row>
    <row r="248" spans="1:9" ht="15.75" customHeight="1" x14ac:dyDescent="0.25">
      <c r="A248" s="1681"/>
      <c r="B248" s="1682"/>
      <c r="C248" s="884"/>
      <c r="D248" s="1519"/>
      <c r="E248" s="1520"/>
      <c r="F248" s="1521"/>
      <c r="G248" s="1522"/>
      <c r="H248" s="1507"/>
      <c r="I248" s="1435"/>
    </row>
    <row r="249" spans="1:9" ht="15.75" customHeight="1" x14ac:dyDescent="0.25">
      <c r="A249" s="1679" t="s">
        <v>215</v>
      </c>
      <c r="B249" s="1680" t="s">
        <v>570</v>
      </c>
      <c r="C249" s="1514" t="str">
        <f>Orthovolt!C3</f>
        <v>Orthovolt</v>
      </c>
      <c r="D249" s="1516">
        <f>Orthovolt!AD34</f>
        <v>1.656914582006157E-6</v>
      </c>
      <c r="E249" s="1516">
        <f>Orthovolt!AC34</f>
        <v>7.7543602437888139E-3</v>
      </c>
      <c r="F249" s="1523"/>
      <c r="G249" s="1524"/>
      <c r="H249" s="1507"/>
      <c r="I249" s="1435"/>
    </row>
    <row r="250" spans="1:9" ht="15.75" customHeight="1" x14ac:dyDescent="0.25">
      <c r="A250" s="1679" t="s">
        <v>530</v>
      </c>
      <c r="B250" s="1680" t="s">
        <v>558</v>
      </c>
      <c r="C250" s="1514" t="str">
        <f>Orthovolt!C3</f>
        <v>Orthovolt</v>
      </c>
      <c r="D250" s="1516">
        <f>Orthovolt!AD38</f>
        <v>1.656914582006157E-6</v>
      </c>
      <c r="E250" s="1516">
        <f>Orthovolt!AC38</f>
        <v>7.7543602437888139E-3</v>
      </c>
      <c r="F250" s="1523"/>
      <c r="G250" s="1524"/>
      <c r="H250" s="1507"/>
      <c r="I250" s="1435"/>
    </row>
    <row r="251" spans="1:9" ht="15.75" customHeight="1" x14ac:dyDescent="0.25">
      <c r="A251" s="1683"/>
      <c r="B251" s="1682"/>
      <c r="C251" s="884"/>
      <c r="D251" s="1520"/>
      <c r="E251" s="1520"/>
      <c r="F251" s="1525"/>
      <c r="G251" s="1526"/>
      <c r="H251" s="1507"/>
      <c r="I251" s="1435"/>
    </row>
    <row r="252" spans="1:9" ht="15.75" customHeight="1" x14ac:dyDescent="0.25">
      <c r="A252" s="1679" t="s">
        <v>218</v>
      </c>
      <c r="B252" s="1680" t="s">
        <v>571</v>
      </c>
      <c r="C252" s="1514" t="str">
        <f>'Brachy HDR'!C3</f>
        <v>HDR</v>
      </c>
      <c r="D252" s="1516">
        <f>'Brachy HDR'!J27</f>
        <v>2.6057791652880827E-5</v>
      </c>
      <c r="E252" s="1516">
        <f>'Brachy HDR'!K27</f>
        <v>2.6057791652880826E-3</v>
      </c>
      <c r="F252" s="1525"/>
      <c r="G252" s="1526"/>
      <c r="H252" s="1507"/>
      <c r="I252" s="1435"/>
    </row>
    <row r="253" spans="1:9" ht="15.75" customHeight="1" x14ac:dyDescent="0.25">
      <c r="A253" s="1681"/>
      <c r="B253" s="1682"/>
      <c r="C253" s="884"/>
      <c r="D253" s="1520"/>
      <c r="E253" s="1520"/>
      <c r="F253" s="1525"/>
      <c r="G253" s="1526"/>
      <c r="H253" s="1507"/>
      <c r="I253" s="1435"/>
    </row>
    <row r="254" spans="1:9" ht="15.75" customHeight="1" x14ac:dyDescent="0.25">
      <c r="A254" s="1679" t="s">
        <v>219</v>
      </c>
      <c r="B254" s="1680" t="s">
        <v>572</v>
      </c>
      <c r="C254" s="1514" t="str">
        <f>'Brachy PDR'!C3</f>
        <v>PDR</v>
      </c>
      <c r="D254" s="1516">
        <f>'Brachy PDR'!J28</f>
        <v>3.0521695642455497E-6</v>
      </c>
      <c r="E254" s="1516">
        <f>'Brachy PDR'!K28</f>
        <v>5.1886882592174345E-4</v>
      </c>
      <c r="F254" s="1525"/>
      <c r="G254" s="1526"/>
      <c r="H254" s="1507"/>
      <c r="I254" s="1435"/>
    </row>
    <row r="255" spans="1:9" ht="15.75" customHeight="1" x14ac:dyDescent="0.25">
      <c r="A255" s="1683"/>
      <c r="B255" s="1684"/>
      <c r="C255" s="1528"/>
      <c r="D255" s="1520"/>
      <c r="E255" s="1520"/>
      <c r="F255" s="1529"/>
      <c r="G255" s="1526"/>
      <c r="H255" s="1507"/>
      <c r="I255" s="1435"/>
    </row>
    <row r="256" spans="1:9" ht="15.75" customHeight="1" x14ac:dyDescent="0.25">
      <c r="A256" s="1679" t="s">
        <v>332</v>
      </c>
      <c r="B256" s="1680" t="s">
        <v>424</v>
      </c>
      <c r="C256" s="1514" t="str">
        <f>'I-125 implantatie'!C3</f>
        <v>I-125</v>
      </c>
      <c r="D256" s="1516">
        <f>'I-125 implantatie'!E23</f>
        <v>2.9381666666666661E-4</v>
      </c>
      <c r="E256" s="1516">
        <f>'I-125 implantatie'!F23</f>
        <v>5.876333333333332E-2</v>
      </c>
      <c r="F256" s="1530">
        <f>'I-125 implantatie'!G24</f>
        <v>7.863945578231292E-2</v>
      </c>
      <c r="G256" s="1531">
        <f>'I-125 implantatie'!H24</f>
        <v>15.727891156462585</v>
      </c>
      <c r="H256" s="1507"/>
      <c r="I256" s="1435"/>
    </row>
    <row r="257" spans="1:15" ht="15.75" customHeight="1" x14ac:dyDescent="0.25">
      <c r="A257" s="1685" t="s">
        <v>468</v>
      </c>
      <c r="B257" s="1686" t="s">
        <v>425</v>
      </c>
      <c r="C257" s="1532" t="str">
        <f>'I-125 implantatie'!C3</f>
        <v>I-125</v>
      </c>
      <c r="D257" s="1533">
        <f>'I-125 implantatie'!E25</f>
        <v>2.4887999999999999E-4</v>
      </c>
      <c r="E257" s="1533">
        <f>'I-125 implantatie'!F25</f>
        <v>4.9776000000000001E-2</v>
      </c>
      <c r="F257" s="1534"/>
      <c r="G257" s="1535"/>
      <c r="H257" s="1507"/>
      <c r="I257" s="1435"/>
    </row>
    <row r="258" spans="1:15" ht="15.75" customHeight="1" x14ac:dyDescent="0.25">
      <c r="A258" s="1687"/>
      <c r="B258" s="1688"/>
      <c r="C258" s="1536"/>
      <c r="D258" s="1537"/>
      <c r="E258" s="1538"/>
      <c r="F258" s="1539"/>
      <c r="G258" s="1540"/>
      <c r="H258" s="1507"/>
      <c r="I258" s="1435"/>
    </row>
    <row r="259" spans="1:15" ht="15.75" customHeight="1" thickBot="1" x14ac:dyDescent="0.3">
      <c r="A259" s="1689" t="s">
        <v>477</v>
      </c>
      <c r="B259" s="1690" t="s">
        <v>96</v>
      </c>
      <c r="C259" s="1541" t="str">
        <f>'PET-CT '!C3</f>
        <v>PET-CT</v>
      </c>
      <c r="D259" s="1542">
        <f>'PET-CT '!H24</f>
        <v>3.0666666666666668E-3</v>
      </c>
      <c r="E259" s="1542">
        <f>'PET-CT '!I24</f>
        <v>0.3066666666666667</v>
      </c>
      <c r="F259" s="1543"/>
      <c r="G259" s="1544"/>
      <c r="H259" s="1507"/>
      <c r="I259" s="1435"/>
    </row>
    <row r="260" spans="1:15" ht="30" customHeight="1" thickBot="1" x14ac:dyDescent="0.3">
      <c r="D260" s="195"/>
      <c r="F260" s="195"/>
      <c r="H260" s="1507"/>
      <c r="I260" s="1435"/>
    </row>
    <row r="261" spans="1:15" ht="26.25" customHeight="1" thickBot="1" x14ac:dyDescent="0.3">
      <c r="A261" s="1545" t="s">
        <v>426</v>
      </c>
      <c r="B261" s="1546"/>
      <c r="C261" s="1547"/>
      <c r="D261" s="1547"/>
      <c r="E261" s="1547"/>
      <c r="F261" s="1547"/>
      <c r="G261" s="1548"/>
      <c r="M261" s="195"/>
      <c r="O261" s="195"/>
    </row>
    <row r="262" spans="1:15" ht="24.95" customHeight="1" x14ac:dyDescent="0.3">
      <c r="A262" s="1549"/>
      <c r="B262" s="1550" t="s">
        <v>310</v>
      </c>
      <c r="C262" s="1551"/>
      <c r="D262" s="1970" t="s">
        <v>85</v>
      </c>
      <c r="E262" s="1971"/>
      <c r="F262" s="1552"/>
      <c r="G262" s="1553"/>
      <c r="M262" s="195"/>
      <c r="O262" s="195"/>
    </row>
    <row r="263" spans="1:15" ht="24.95" customHeight="1" x14ac:dyDescent="0.25">
      <c r="A263" s="1554"/>
      <c r="B263" s="1555"/>
      <c r="C263" s="1556" t="s">
        <v>24</v>
      </c>
      <c r="D263" s="1557" t="s">
        <v>337</v>
      </c>
      <c r="E263" s="1558" t="s">
        <v>166</v>
      </c>
      <c r="F263" s="1552"/>
      <c r="G263" s="195"/>
      <c r="M263" s="195"/>
      <c r="O263" s="195"/>
    </row>
    <row r="264" spans="1:15" ht="24.95" hidden="1" customHeight="1" x14ac:dyDescent="0.25">
      <c r="A264" s="1559"/>
      <c r="B264" s="1560"/>
      <c r="C264" s="1561"/>
      <c r="D264" s="1562"/>
      <c r="E264" s="1558"/>
      <c r="F264" s="1552"/>
      <c r="G264" s="195"/>
      <c r="M264" s="195"/>
      <c r="O264" s="195"/>
    </row>
    <row r="265" spans="1:15" ht="20.100000000000001" customHeight="1" x14ac:dyDescent="0.25">
      <c r="A265" s="1691" t="s">
        <v>349</v>
      </c>
      <c r="B265" s="1692"/>
      <c r="C265" s="1493" t="str">
        <f>'Linac 1'!C$3</f>
        <v>Linac 1</v>
      </c>
      <c r="D265" s="1563">
        <f>'Linac 1'!J$172</f>
        <v>2.0625</v>
      </c>
      <c r="E265" s="1564">
        <f>'Linac 1'!K$172</f>
        <v>2.0625</v>
      </c>
      <c r="F265" s="1552"/>
      <c r="G265" s="1496" t="s">
        <v>562</v>
      </c>
      <c r="M265" s="195"/>
      <c r="O265" s="195"/>
    </row>
    <row r="266" spans="1:15" ht="15" customHeight="1" x14ac:dyDescent="0.25">
      <c r="A266" s="1565"/>
      <c r="B266" s="1053"/>
      <c r="C266" s="1455" t="str">
        <f>'Linac 2'!C$3</f>
        <v>Linac 2</v>
      </c>
      <c r="D266" s="1563">
        <f>'Linac 2'!J$172</f>
        <v>2.0625</v>
      </c>
      <c r="E266" s="1564">
        <f>'Linac 2'!K$172</f>
        <v>2.0625</v>
      </c>
      <c r="F266" s="1552"/>
      <c r="G266" s="1435"/>
      <c r="M266" s="195"/>
      <c r="O266" s="195"/>
    </row>
    <row r="267" spans="1:15" ht="15" customHeight="1" x14ac:dyDescent="0.25">
      <c r="A267" s="1565"/>
      <c r="B267" s="1053"/>
      <c r="C267" s="1455" t="str">
        <f>'Linac 3'!C$3</f>
        <v>Linac 3</v>
      </c>
      <c r="D267" s="1563">
        <f>'Linac 3'!J$172</f>
        <v>2.0625</v>
      </c>
      <c r="E267" s="1564">
        <f>'Linac 3'!K$172</f>
        <v>2.0625</v>
      </c>
      <c r="F267" s="1552"/>
      <c r="G267" s="1435"/>
      <c r="M267" s="195"/>
      <c r="O267" s="195"/>
    </row>
    <row r="268" spans="1:15" ht="15" customHeight="1" x14ac:dyDescent="0.25">
      <c r="A268" s="1565"/>
      <c r="B268" s="1053"/>
      <c r="C268" s="1455" t="str">
        <f>'Linac 4'!C$3</f>
        <v>Linac 4</v>
      </c>
      <c r="D268" s="1563">
        <f>'Linac 4'!J$172</f>
        <v>2.0625</v>
      </c>
      <c r="E268" s="1564">
        <f>'Linac 4'!K$172</f>
        <v>2.0625</v>
      </c>
      <c r="F268" s="1552"/>
      <c r="G268" s="1435"/>
      <c r="M268" s="195"/>
      <c r="O268" s="195"/>
    </row>
    <row r="269" spans="1:15" ht="15" customHeight="1" x14ac:dyDescent="0.25">
      <c r="A269" s="1565"/>
      <c r="B269" s="1053"/>
      <c r="C269" s="1499" t="str">
        <f>'Linac 5'!C$3</f>
        <v>Linac 5</v>
      </c>
      <c r="D269" s="1563">
        <f>'Linac 5'!J$172</f>
        <v>2.0625</v>
      </c>
      <c r="E269" s="1564">
        <f>'Linac 5'!K$172</f>
        <v>2.0625</v>
      </c>
      <c r="F269" s="1552"/>
      <c r="G269" s="1435"/>
      <c r="M269" s="195"/>
      <c r="O269" s="195"/>
    </row>
    <row r="270" spans="1:15" ht="15" customHeight="1" x14ac:dyDescent="0.25">
      <c r="A270" s="1565"/>
      <c r="B270" s="1053"/>
      <c r="C270" s="1499" t="str">
        <f>'Linac 6'!C$3</f>
        <v>Linac 6</v>
      </c>
      <c r="D270" s="1563">
        <f>'Linac 6'!J$172</f>
        <v>2.0625</v>
      </c>
      <c r="E270" s="1564">
        <f>'Linac 6'!K$172</f>
        <v>2.0625</v>
      </c>
      <c r="F270" s="1552"/>
      <c r="G270" s="1435"/>
      <c r="M270" s="195"/>
      <c r="O270" s="195"/>
    </row>
    <row r="271" spans="1:15" ht="15" customHeight="1" x14ac:dyDescent="0.25">
      <c r="A271" s="1565"/>
      <c r="B271" s="1053"/>
      <c r="C271" s="1499" t="str">
        <f>'Linac 7'!C$3</f>
        <v>Linac 7</v>
      </c>
      <c r="D271" s="1563">
        <f>'Linac 7'!J$172</f>
        <v>2.0625</v>
      </c>
      <c r="E271" s="1564">
        <f>'Linac 7'!K$172</f>
        <v>2.0625</v>
      </c>
      <c r="F271" s="1552"/>
      <c r="G271" s="1435"/>
      <c r="M271" s="195"/>
      <c r="O271" s="195"/>
    </row>
    <row r="272" spans="1:15" ht="15" customHeight="1" x14ac:dyDescent="0.25">
      <c r="A272" s="1565"/>
      <c r="B272" s="1053"/>
      <c r="C272" s="1499" t="str">
        <f>'Linac 8'!C$3</f>
        <v>Linac 8</v>
      </c>
      <c r="D272" s="1563">
        <f>'Linac 8'!J$172</f>
        <v>2.0625</v>
      </c>
      <c r="E272" s="1564">
        <f>'Linac 8'!K$172</f>
        <v>2.0625</v>
      </c>
      <c r="F272" s="1552"/>
      <c r="G272" s="1435"/>
      <c r="M272" s="195"/>
      <c r="O272" s="195"/>
    </row>
    <row r="273" spans="1:15" ht="15" customHeight="1" x14ac:dyDescent="0.25">
      <c r="A273" s="1565"/>
      <c r="B273" s="1053"/>
      <c r="C273" s="1499" t="str">
        <f>'Linac 9'!C$3</f>
        <v>Linac 9</v>
      </c>
      <c r="D273" s="1563">
        <f>'Linac 9'!J$172</f>
        <v>2.0625</v>
      </c>
      <c r="E273" s="1564">
        <f>'Linac 9'!K$172</f>
        <v>2.0625</v>
      </c>
      <c r="F273" s="1552"/>
      <c r="G273" s="1435"/>
      <c r="M273" s="195"/>
      <c r="O273" s="195"/>
    </row>
    <row r="274" spans="1:15" ht="15" customHeight="1" x14ac:dyDescent="0.25">
      <c r="A274" s="1565"/>
      <c r="B274" s="1053"/>
      <c r="C274" s="1499" t="str">
        <f>'Linac 10'!C$3</f>
        <v>Linac 10</v>
      </c>
      <c r="D274" s="1563">
        <f>'Linac 10'!J$172</f>
        <v>2.0625</v>
      </c>
      <c r="E274" s="1564">
        <f>'Linac 10'!K$172</f>
        <v>2.0625</v>
      </c>
      <c r="F274" s="1552"/>
      <c r="G274" s="1435"/>
      <c r="M274" s="195"/>
      <c r="O274" s="195"/>
    </row>
    <row r="275" spans="1:15" ht="15" hidden="1" customHeight="1" x14ac:dyDescent="0.25">
      <c r="A275" s="1566"/>
      <c r="B275" s="1567"/>
      <c r="C275" s="1568"/>
      <c r="D275" s="1569"/>
      <c r="E275" s="1570"/>
      <c r="F275" s="1552"/>
      <c r="G275" s="1435"/>
      <c r="M275" s="195"/>
      <c r="O275" s="195"/>
    </row>
    <row r="276" spans="1:15" ht="15" customHeight="1" x14ac:dyDescent="0.25">
      <c r="A276" s="1693" t="s">
        <v>331</v>
      </c>
      <c r="B276" s="1694"/>
      <c r="C276" s="1571" t="str">
        <f>'Linac 1'!C$3</f>
        <v>Linac 1</v>
      </c>
      <c r="D276" s="1563">
        <f>'Linac 1'!F179</f>
        <v>1.2500000000000001E-2</v>
      </c>
      <c r="E276" s="1572">
        <f>'Linac 1'!G179</f>
        <v>0.05</v>
      </c>
      <c r="F276" s="1552"/>
      <c r="G276" s="1435"/>
      <c r="M276" s="195"/>
      <c r="O276" s="195"/>
    </row>
    <row r="277" spans="1:15" ht="15" customHeight="1" x14ac:dyDescent="0.25">
      <c r="A277" s="1573"/>
      <c r="B277" s="1574"/>
      <c r="C277" s="1499" t="str">
        <f>'Linac 2'!C$3</f>
        <v>Linac 2</v>
      </c>
      <c r="D277" s="1563">
        <f>'Linac 2'!F$179</f>
        <v>1.2500000000000001E-2</v>
      </c>
      <c r="E277" s="1572">
        <f>'Linac 2'!G$179</f>
        <v>0.05</v>
      </c>
      <c r="F277" s="1552"/>
      <c r="G277" s="1435"/>
      <c r="M277" s="195"/>
      <c r="O277" s="195"/>
    </row>
    <row r="278" spans="1:15" ht="15" customHeight="1" x14ac:dyDescent="0.25">
      <c r="A278" s="1573"/>
      <c r="B278" s="1574"/>
      <c r="C278" s="1499" t="str">
        <f>'Linac 3'!C$3</f>
        <v>Linac 3</v>
      </c>
      <c r="D278" s="1563">
        <f>'Linac 3'!F$179</f>
        <v>1.2500000000000001E-2</v>
      </c>
      <c r="E278" s="1572">
        <f>'Linac 3'!G$179</f>
        <v>0.05</v>
      </c>
      <c r="F278" s="1552"/>
      <c r="G278" s="1435"/>
      <c r="M278" s="195"/>
      <c r="O278" s="195"/>
    </row>
    <row r="279" spans="1:15" ht="15" customHeight="1" x14ac:dyDescent="0.25">
      <c r="A279" s="1573"/>
      <c r="B279" s="1574"/>
      <c r="C279" s="1499" t="str">
        <f>'Linac 4'!C$3</f>
        <v>Linac 4</v>
      </c>
      <c r="D279" s="1563">
        <f>'Linac 4'!F$179</f>
        <v>1.2500000000000001E-2</v>
      </c>
      <c r="E279" s="1572">
        <f>'Linac 4'!G$179</f>
        <v>0.05</v>
      </c>
      <c r="F279" s="1552"/>
      <c r="G279" s="1435"/>
      <c r="M279" s="195"/>
      <c r="O279" s="195"/>
    </row>
    <row r="280" spans="1:15" ht="15" customHeight="1" x14ac:dyDescent="0.25">
      <c r="A280" s="1573"/>
      <c r="B280" s="1574"/>
      <c r="C280" s="1499" t="str">
        <f>'Linac 5'!C$3</f>
        <v>Linac 5</v>
      </c>
      <c r="D280" s="1563">
        <f>'Linac 5'!F$179</f>
        <v>1.2500000000000001E-2</v>
      </c>
      <c r="E280" s="1572">
        <f>'Linac 5'!G$179</f>
        <v>0.05</v>
      </c>
      <c r="F280" s="1552"/>
      <c r="G280" s="1435"/>
      <c r="M280" s="195"/>
      <c r="O280" s="195"/>
    </row>
    <row r="281" spans="1:15" ht="15" customHeight="1" x14ac:dyDescent="0.25">
      <c r="A281" s="1573"/>
      <c r="B281" s="1574"/>
      <c r="C281" s="1499" t="str">
        <f>'Linac 6'!C$3</f>
        <v>Linac 6</v>
      </c>
      <c r="D281" s="1563">
        <f>'Linac 6'!F$179</f>
        <v>1.2500000000000001E-2</v>
      </c>
      <c r="E281" s="1572">
        <f>'Linac 6'!G$179</f>
        <v>0.05</v>
      </c>
      <c r="F281" s="1552"/>
      <c r="G281" s="1435"/>
      <c r="M281" s="195"/>
      <c r="O281" s="195"/>
    </row>
    <row r="282" spans="1:15" ht="15" customHeight="1" x14ac:dyDescent="0.25">
      <c r="A282" s="1573"/>
      <c r="B282" s="1574"/>
      <c r="C282" s="1499" t="str">
        <f>'Linac 7'!C$3</f>
        <v>Linac 7</v>
      </c>
      <c r="D282" s="1563">
        <f>'Linac 7'!F$179</f>
        <v>1.2500000000000001E-2</v>
      </c>
      <c r="E282" s="1572">
        <f>'Linac 7'!G$179</f>
        <v>0.05</v>
      </c>
      <c r="F282" s="1552"/>
      <c r="G282" s="1435"/>
      <c r="M282" s="195"/>
      <c r="O282" s="195"/>
    </row>
    <row r="283" spans="1:15" ht="15" customHeight="1" x14ac:dyDescent="0.25">
      <c r="A283" s="1573"/>
      <c r="B283" s="1574"/>
      <c r="C283" s="1499" t="str">
        <f>'Linac 8'!C$3</f>
        <v>Linac 8</v>
      </c>
      <c r="D283" s="1563">
        <f>'Linac 8'!F$179</f>
        <v>1.2500000000000001E-2</v>
      </c>
      <c r="E283" s="1572">
        <f>'Linac 8'!G$179</f>
        <v>0.05</v>
      </c>
      <c r="F283" s="1552"/>
      <c r="G283" s="1435"/>
      <c r="M283" s="195"/>
      <c r="O283" s="195"/>
    </row>
    <row r="284" spans="1:15" ht="15" customHeight="1" x14ac:dyDescent="0.25">
      <c r="A284" s="1573"/>
      <c r="B284" s="1574"/>
      <c r="C284" s="1499" t="str">
        <f>'Linac 9'!C$3</f>
        <v>Linac 9</v>
      </c>
      <c r="D284" s="1563">
        <f>'Linac 9'!F$179</f>
        <v>1.2500000000000001E-2</v>
      </c>
      <c r="E284" s="1572">
        <f>'Linac 9'!G$179</f>
        <v>0.05</v>
      </c>
      <c r="F284" s="1552"/>
      <c r="G284" s="1435"/>
      <c r="M284" s="195"/>
      <c r="O284" s="195"/>
    </row>
    <row r="285" spans="1:15" ht="15" customHeight="1" x14ac:dyDescent="0.25">
      <c r="A285" s="1573"/>
      <c r="B285" s="1574"/>
      <c r="C285" s="1575" t="str">
        <f>'Linac 10'!C$3</f>
        <v>Linac 10</v>
      </c>
      <c r="D285" s="1563">
        <f>'Linac 10'!F$179</f>
        <v>1.2500000000000001E-2</v>
      </c>
      <c r="E285" s="1572">
        <f>'Linac 10'!G$179</f>
        <v>0.05</v>
      </c>
      <c r="F285" s="1552"/>
      <c r="G285" s="1435"/>
      <c r="M285" s="195"/>
      <c r="O285" s="195"/>
    </row>
    <row r="286" spans="1:15" ht="15" hidden="1" customHeight="1" x14ac:dyDescent="0.25">
      <c r="A286" s="1576"/>
      <c r="B286" s="1577"/>
      <c r="C286" s="1578"/>
      <c r="D286" s="1569"/>
      <c r="E286" s="1579"/>
      <c r="F286" s="1552"/>
      <c r="G286" s="1435"/>
      <c r="M286" s="195"/>
      <c r="O286" s="195"/>
    </row>
    <row r="287" spans="1:15" ht="15" customHeight="1" x14ac:dyDescent="0.25">
      <c r="A287" s="1693" t="s">
        <v>330</v>
      </c>
      <c r="B287" s="1694"/>
      <c r="C287" s="1571" t="str">
        <f>'Linac 1'!C$3</f>
        <v>Linac 1</v>
      </c>
      <c r="D287" s="1563">
        <f>'Linac 1'!F$185</f>
        <v>3.0000000000000001E-3</v>
      </c>
      <c r="E287" s="1564">
        <f>'Linac 1'!G$185</f>
        <v>7.2000000000000008E-2</v>
      </c>
      <c r="F287" s="1552"/>
      <c r="G287" s="1435"/>
      <c r="M287" s="195"/>
      <c r="O287" s="195"/>
    </row>
    <row r="288" spans="1:15" ht="15" customHeight="1" x14ac:dyDescent="0.25">
      <c r="A288" s="1573"/>
      <c r="B288" s="1574"/>
      <c r="C288" s="1499" t="str">
        <f>'Linac 2'!C$3</f>
        <v>Linac 2</v>
      </c>
      <c r="D288" s="1563">
        <f>'Linac 2'!F$185</f>
        <v>3.0000000000000001E-3</v>
      </c>
      <c r="E288" s="1564">
        <f>'Linac 2'!G$185</f>
        <v>7.2000000000000008E-2</v>
      </c>
      <c r="F288" s="1552"/>
      <c r="G288" s="1435"/>
    </row>
    <row r="289" spans="1:15" ht="15" customHeight="1" x14ac:dyDescent="0.25">
      <c r="A289" s="1573"/>
      <c r="B289" s="1574"/>
      <c r="C289" s="1499" t="str">
        <f>'Linac 3'!C$3</f>
        <v>Linac 3</v>
      </c>
      <c r="D289" s="1563">
        <f>'Linac 3'!F$185</f>
        <v>3.0000000000000001E-3</v>
      </c>
      <c r="E289" s="1564">
        <f>'Linac 3'!G$185</f>
        <v>7.2000000000000008E-2</v>
      </c>
      <c r="F289" s="1552"/>
      <c r="G289" s="1435"/>
    </row>
    <row r="290" spans="1:15" ht="15" customHeight="1" x14ac:dyDescent="0.25">
      <c r="A290" s="1573"/>
      <c r="B290" s="1574"/>
      <c r="C290" s="1499" t="str">
        <f>'Linac 4'!C$3</f>
        <v>Linac 4</v>
      </c>
      <c r="D290" s="1563">
        <f>'Linac 4'!F$185</f>
        <v>3.0000000000000001E-3</v>
      </c>
      <c r="E290" s="1564">
        <f>'Linac 4'!G$185</f>
        <v>7.2000000000000008E-2</v>
      </c>
      <c r="F290" s="1552"/>
      <c r="G290" s="1467"/>
    </row>
    <row r="291" spans="1:15" ht="15" customHeight="1" x14ac:dyDescent="0.25">
      <c r="A291" s="1573"/>
      <c r="B291" s="1574"/>
      <c r="C291" s="1499" t="str">
        <f>'Linac 5'!C$3</f>
        <v>Linac 5</v>
      </c>
      <c r="D291" s="1563">
        <f>'Linac 5'!F$185</f>
        <v>3.0000000000000001E-3</v>
      </c>
      <c r="E291" s="1564">
        <f>'Linac 5'!G$185</f>
        <v>7.2000000000000008E-2</v>
      </c>
      <c r="F291" s="1552"/>
      <c r="G291" s="1467"/>
    </row>
    <row r="292" spans="1:15" ht="15" customHeight="1" x14ac:dyDescent="0.25">
      <c r="A292" s="1573"/>
      <c r="B292" s="1574"/>
      <c r="C292" s="1499" t="str">
        <f>'Linac 6'!C$3</f>
        <v>Linac 6</v>
      </c>
      <c r="D292" s="1563">
        <f>'Linac 6'!F$185</f>
        <v>3.0000000000000001E-3</v>
      </c>
      <c r="E292" s="1564">
        <f>'Linac 6'!G$185</f>
        <v>7.2000000000000008E-2</v>
      </c>
      <c r="F292" s="1552"/>
      <c r="G292" s="1467"/>
    </row>
    <row r="293" spans="1:15" ht="15" customHeight="1" x14ac:dyDescent="0.25">
      <c r="A293" s="1573"/>
      <c r="B293" s="1574"/>
      <c r="C293" s="1499" t="str">
        <f>'Linac 7'!C$3</f>
        <v>Linac 7</v>
      </c>
      <c r="D293" s="1563">
        <f>'Linac 7'!F$185</f>
        <v>3.0000000000000001E-3</v>
      </c>
      <c r="E293" s="1564">
        <f>'Linac 7'!G$185</f>
        <v>7.2000000000000008E-2</v>
      </c>
      <c r="F293" s="1552"/>
      <c r="G293" s="1467"/>
    </row>
    <row r="294" spans="1:15" ht="15" customHeight="1" x14ac:dyDescent="0.25">
      <c r="A294" s="1573"/>
      <c r="B294" s="1574"/>
      <c r="C294" s="1499" t="str">
        <f>'Linac 8'!C$3</f>
        <v>Linac 8</v>
      </c>
      <c r="D294" s="1563">
        <f>'Linac 8'!F$185</f>
        <v>3.0000000000000001E-3</v>
      </c>
      <c r="E294" s="1564">
        <f>'Linac 8'!G$185</f>
        <v>7.2000000000000008E-2</v>
      </c>
      <c r="F294" s="1552"/>
      <c r="G294" s="1467"/>
    </row>
    <row r="295" spans="1:15" ht="15" customHeight="1" x14ac:dyDescent="0.25">
      <c r="A295" s="1573"/>
      <c r="B295" s="1574"/>
      <c r="C295" s="1499" t="str">
        <f>'Linac 9'!C$3</f>
        <v>Linac 9</v>
      </c>
      <c r="D295" s="1563">
        <f>'Linac 9'!F$185</f>
        <v>3.0000000000000001E-3</v>
      </c>
      <c r="E295" s="1564">
        <f>'Linac 9'!G$185</f>
        <v>7.2000000000000008E-2</v>
      </c>
      <c r="F295" s="1552"/>
      <c r="G295" s="1467"/>
    </row>
    <row r="296" spans="1:15" ht="15" customHeight="1" x14ac:dyDescent="0.25">
      <c r="A296" s="1573"/>
      <c r="B296" s="1574"/>
      <c r="C296" s="1575" t="str">
        <f>'Linac 10'!C$3</f>
        <v>Linac 10</v>
      </c>
      <c r="D296" s="1563">
        <f>'Linac 10'!F$185</f>
        <v>3.0000000000000001E-3</v>
      </c>
      <c r="E296" s="1564">
        <f>'Linac 10'!G$185</f>
        <v>7.2000000000000008E-2</v>
      </c>
      <c r="F296" s="1552"/>
      <c r="G296" s="1467"/>
    </row>
    <row r="297" spans="1:15" ht="15" hidden="1" customHeight="1" x14ac:dyDescent="0.25">
      <c r="A297" s="1576"/>
      <c r="B297" s="1577"/>
      <c r="C297" s="1578"/>
      <c r="D297" s="1569"/>
      <c r="E297" s="1570"/>
      <c r="F297" s="1552"/>
      <c r="G297" s="1467"/>
    </row>
    <row r="298" spans="1:15" ht="15" customHeight="1" x14ac:dyDescent="0.25">
      <c r="A298" s="1695" t="s">
        <v>326</v>
      </c>
      <c r="B298" s="1694"/>
      <c r="C298" s="1571" t="str">
        <f>'Linac 1'!C$3</f>
        <v>Linac 1</v>
      </c>
      <c r="D298" s="1563">
        <f>'Linac 1'!N$191</f>
        <v>1.8104733127211996E-2</v>
      </c>
      <c r="E298" s="1564">
        <f>'Linac 1'!O$191</f>
        <v>1.8104733127211996E-2</v>
      </c>
      <c r="F298" s="1552"/>
      <c r="G298" s="1467"/>
    </row>
    <row r="299" spans="1:15" ht="15" customHeight="1" x14ac:dyDescent="0.25">
      <c r="A299" s="1458"/>
      <c r="B299" s="289"/>
      <c r="C299" s="1499" t="str">
        <f>'Linac 2'!C$3</f>
        <v>Linac 2</v>
      </c>
      <c r="D299" s="1563">
        <f>'Linac 2'!N$191</f>
        <v>1.8104733127211996E-2</v>
      </c>
      <c r="E299" s="1564">
        <f>'Linac 2'!O$191</f>
        <v>1.8104733127211996E-2</v>
      </c>
      <c r="F299" s="1552"/>
      <c r="G299" s="289"/>
      <c r="K299" s="1443"/>
    </row>
    <row r="300" spans="1:15" ht="15" customHeight="1" x14ac:dyDescent="0.25">
      <c r="A300" s="1580"/>
      <c r="B300" s="289"/>
      <c r="C300" s="1499" t="str">
        <f>'Linac 3'!C$3</f>
        <v>Linac 3</v>
      </c>
      <c r="D300" s="1563">
        <f>'Linac 3'!N$191</f>
        <v>1.8104733127211996E-2</v>
      </c>
      <c r="E300" s="1564">
        <f>'Linac 3'!O$191</f>
        <v>1.8104733127211996E-2</v>
      </c>
      <c r="F300" s="1552"/>
      <c r="G300" s="1507"/>
      <c r="K300" s="1443"/>
    </row>
    <row r="301" spans="1:15" ht="15" customHeight="1" x14ac:dyDescent="0.25">
      <c r="A301" s="1458"/>
      <c r="B301" s="289"/>
      <c r="C301" s="1499" t="str">
        <f>'Linac 4'!C$3</f>
        <v>Linac 4</v>
      </c>
      <c r="D301" s="1563">
        <f>'Linac 4'!N$191</f>
        <v>1.8104733127211996E-2</v>
      </c>
      <c r="E301" s="1564">
        <f>'Linac 4'!O$191</f>
        <v>1.8104733127211996E-2</v>
      </c>
      <c r="F301" s="1552"/>
      <c r="G301" s="1507"/>
      <c r="H301" s="1581"/>
      <c r="K301" s="1443"/>
    </row>
    <row r="302" spans="1:15" ht="15" customHeight="1" x14ac:dyDescent="0.25">
      <c r="A302" s="1573"/>
      <c r="B302" s="1574"/>
      <c r="C302" s="1499" t="str">
        <f>'Linac 5'!C$3</f>
        <v>Linac 5</v>
      </c>
      <c r="D302" s="1563">
        <f>'Linac 5'!N$191</f>
        <v>1.8104733127211996E-2</v>
      </c>
      <c r="E302" s="1564">
        <f>'Linac 5'!O$191</f>
        <v>1.8104733127211996E-2</v>
      </c>
      <c r="F302" s="1552"/>
      <c r="G302" s="1435"/>
      <c r="K302" s="1443"/>
    </row>
    <row r="303" spans="1:15" ht="15" customHeight="1" x14ac:dyDescent="0.25">
      <c r="A303" s="1573"/>
      <c r="B303" s="1574"/>
      <c r="C303" s="1499" t="str">
        <f>'Linac 6'!C$3</f>
        <v>Linac 6</v>
      </c>
      <c r="D303" s="1563">
        <f>'Linac 6'!N$191</f>
        <v>1.8104733127211996E-2</v>
      </c>
      <c r="E303" s="1564">
        <f>'Linac 6'!O$191</f>
        <v>1.8104733127211996E-2</v>
      </c>
      <c r="F303" s="1552"/>
      <c r="G303" s="1435"/>
      <c r="K303" s="1443"/>
      <c r="O303" s="195"/>
    </row>
    <row r="304" spans="1:15" ht="15" customHeight="1" x14ac:dyDescent="0.25">
      <c r="A304" s="1573"/>
      <c r="B304" s="1574"/>
      <c r="C304" s="1499" t="str">
        <f>'Linac 7'!C$3</f>
        <v>Linac 7</v>
      </c>
      <c r="D304" s="1563">
        <f>'Linac 7'!N$191</f>
        <v>1.8104733127211996E-2</v>
      </c>
      <c r="E304" s="1564">
        <f>'Linac 7'!O$191</f>
        <v>1.8104733127211996E-2</v>
      </c>
      <c r="F304" s="1552"/>
      <c r="G304" s="1467"/>
      <c r="H304" s="289"/>
      <c r="L304" s="1443"/>
      <c r="M304" s="195"/>
      <c r="N304" s="1443"/>
      <c r="O304" s="195"/>
    </row>
    <row r="305" spans="1:15" ht="15" customHeight="1" x14ac:dyDescent="0.25">
      <c r="A305" s="1573"/>
      <c r="B305" s="1574"/>
      <c r="C305" s="1499" t="str">
        <f>'Linac 8'!C$3</f>
        <v>Linac 8</v>
      </c>
      <c r="D305" s="1563">
        <f>'Linac 8'!N$191</f>
        <v>1.8104733127211996E-2</v>
      </c>
      <c r="E305" s="1564">
        <f>'Linac 8'!O$191</f>
        <v>1.8104733127211996E-2</v>
      </c>
      <c r="F305" s="1552"/>
      <c r="G305" s="289"/>
      <c r="H305" s="289"/>
      <c r="L305" s="1443"/>
      <c r="M305" s="195"/>
      <c r="N305" s="1443"/>
      <c r="O305" s="195"/>
    </row>
    <row r="306" spans="1:15" ht="15" customHeight="1" x14ac:dyDescent="0.25">
      <c r="A306" s="1573"/>
      <c r="B306" s="1574"/>
      <c r="C306" s="1499" t="str">
        <f>'Linac 9'!C$3</f>
        <v>Linac 9</v>
      </c>
      <c r="D306" s="1563">
        <f>'Linac 9'!N$191</f>
        <v>1.8104733127211996E-2</v>
      </c>
      <c r="E306" s="1564">
        <f>'Linac 9'!O$191</f>
        <v>1.8104733127211996E-2</v>
      </c>
      <c r="F306" s="1552"/>
      <c r="G306" s="289"/>
      <c r="H306" s="299"/>
      <c r="I306" s="1435"/>
      <c r="O306" s="195"/>
    </row>
    <row r="307" spans="1:15" ht="15" customHeight="1" thickBot="1" x14ac:dyDescent="0.3">
      <c r="A307" s="1582"/>
      <c r="B307" s="1583"/>
      <c r="C307" s="1486" t="str">
        <f>'Linac 10'!C$3</f>
        <v>Linac 10</v>
      </c>
      <c r="D307" s="1584">
        <f>'Linac 10'!N$191</f>
        <v>1.8104733127211996E-2</v>
      </c>
      <c r="E307" s="1585">
        <f>'Linac 10'!O$191</f>
        <v>1.8104733127211996E-2</v>
      </c>
      <c r="F307" s="1552"/>
      <c r="G307" s="289"/>
      <c r="H307" s="1507"/>
      <c r="I307" s="1435"/>
      <c r="M307" s="195"/>
      <c r="N307" s="1443"/>
      <c r="O307" s="195"/>
    </row>
    <row r="308" spans="1:15" ht="15" customHeight="1" thickBot="1" x14ac:dyDescent="0.3">
      <c r="A308" s="1573"/>
      <c r="B308" s="1574"/>
      <c r="C308" s="299"/>
      <c r="D308" s="1586"/>
      <c r="E308" s="1479"/>
      <c r="F308" s="1552"/>
      <c r="G308" s="289"/>
      <c r="H308" s="1507"/>
      <c r="I308" s="1435"/>
      <c r="M308" s="195"/>
      <c r="N308" s="1443"/>
      <c r="O308" s="195"/>
    </row>
    <row r="309" spans="1:15" ht="21" customHeight="1" x14ac:dyDescent="0.3">
      <c r="A309" s="1587"/>
      <c r="B309" s="1588" t="s">
        <v>561</v>
      </c>
      <c r="C309" s="1589"/>
      <c r="D309" s="1970" t="s">
        <v>305</v>
      </c>
      <c r="E309" s="1974"/>
      <c r="F309" s="1972" t="s">
        <v>463</v>
      </c>
      <c r="G309" s="1973"/>
      <c r="O309" s="195"/>
    </row>
    <row r="310" spans="1:15" ht="21" customHeight="1" x14ac:dyDescent="0.35">
      <c r="A310" s="1590"/>
      <c r="B310" s="1591"/>
      <c r="C310" s="1592" t="s">
        <v>24</v>
      </c>
      <c r="D310" s="1593" t="s">
        <v>337</v>
      </c>
      <c r="E310" s="1593" t="s">
        <v>166</v>
      </c>
      <c r="F310" s="1593" t="s">
        <v>337</v>
      </c>
      <c r="G310" s="1441" t="s">
        <v>166</v>
      </c>
      <c r="H310" s="214"/>
      <c r="I310" s="1420" t="s">
        <v>560</v>
      </c>
      <c r="K310" s="1443"/>
      <c r="N310" s="1594"/>
      <c r="O310" s="1594"/>
    </row>
    <row r="311" spans="1:15" ht="21" hidden="1" customHeight="1" x14ac:dyDescent="0.35">
      <c r="A311" s="1595"/>
      <c r="B311" s="1596"/>
      <c r="C311" s="1597"/>
      <c r="D311" s="1598"/>
      <c r="E311" s="1598"/>
      <c r="F311" s="1598"/>
      <c r="G311" s="1599"/>
      <c r="H311" s="214"/>
      <c r="I311" s="1420"/>
      <c r="K311" s="1443"/>
      <c r="N311" s="1594"/>
      <c r="O311" s="1594"/>
    </row>
    <row r="312" spans="1:15" ht="15" customHeight="1" x14ac:dyDescent="0.25">
      <c r="A312" s="1696" t="s">
        <v>481</v>
      </c>
      <c r="B312" s="1697"/>
      <c r="C312" s="1600" t="str">
        <f>CT!C3</f>
        <v>CT 1</v>
      </c>
      <c r="D312" s="1601">
        <f>CT!F81</f>
        <v>0</v>
      </c>
      <c r="E312" s="1602">
        <f>CT!G81</f>
        <v>0</v>
      </c>
      <c r="F312" s="1527"/>
      <c r="G312" s="1603"/>
      <c r="H312" s="214"/>
      <c r="I312" s="214"/>
      <c r="K312" s="1443"/>
      <c r="M312" s="1604"/>
      <c r="N312" s="1443"/>
      <c r="O312" s="195"/>
    </row>
    <row r="313" spans="1:15" ht="15" customHeight="1" x14ac:dyDescent="0.25">
      <c r="A313" s="1698"/>
      <c r="B313" s="1699"/>
      <c r="C313" s="1605"/>
      <c r="D313" s="1606"/>
      <c r="E313" s="1607"/>
      <c r="F313" s="1608"/>
      <c r="G313" s="1609"/>
      <c r="H313" s="214"/>
      <c r="M313" s="195"/>
      <c r="O313" s="195"/>
    </row>
    <row r="314" spans="1:15" s="1554" customFormat="1" ht="15" customHeight="1" x14ac:dyDescent="0.25">
      <c r="A314" s="1696" t="s">
        <v>464</v>
      </c>
      <c r="B314" s="1697"/>
      <c r="C314" s="1600" t="str">
        <f>Orthovolt!$C$3</f>
        <v>Orthovolt</v>
      </c>
      <c r="D314" s="1601">
        <f>Orthovolt!I50</f>
        <v>0.74125000000000008</v>
      </c>
      <c r="E314" s="1602">
        <f>Orthovolt!J50</f>
        <v>0.74125000000000008</v>
      </c>
      <c r="F314" s="1527"/>
      <c r="G314" s="1609"/>
      <c r="H314" s="214"/>
      <c r="I314" s="195"/>
    </row>
    <row r="315" spans="1:15" s="1554" customFormat="1" ht="15" customHeight="1" x14ac:dyDescent="0.25">
      <c r="A315" s="1700"/>
      <c r="B315" s="1701"/>
      <c r="C315" s="1610"/>
      <c r="D315" s="1611"/>
      <c r="E315" s="1612"/>
      <c r="F315" s="1608"/>
      <c r="G315" s="1609"/>
      <c r="H315" s="214"/>
      <c r="I315" s="195"/>
    </row>
    <row r="316" spans="1:15" s="1554" customFormat="1" ht="15" customHeight="1" x14ac:dyDescent="0.25">
      <c r="A316" s="1696" t="s">
        <v>457</v>
      </c>
      <c r="B316" s="1702"/>
      <c r="C316" s="1613" t="str">
        <f>'Brachy HDR'!$C$3</f>
        <v>HDR</v>
      </c>
      <c r="D316" s="1614">
        <f>CT!M36</f>
        <v>0.18899999999999997</v>
      </c>
      <c r="E316" s="1615">
        <f>'Brachy HDR'!J35</f>
        <v>0.59422499999999989</v>
      </c>
      <c r="F316" s="1612"/>
      <c r="G316" s="1609"/>
      <c r="H316" s="214"/>
      <c r="I316" s="195"/>
    </row>
    <row r="317" spans="1:15" s="1554" customFormat="1" ht="15" customHeight="1" x14ac:dyDescent="0.25">
      <c r="A317" s="1703" t="s">
        <v>304</v>
      </c>
      <c r="B317" s="1704"/>
      <c r="C317" s="1613"/>
      <c r="D317" s="1616">
        <f>'Brachy HDR'!I40</f>
        <v>1.0425</v>
      </c>
      <c r="E317" s="1617">
        <f>'Brachy HDR'!J40</f>
        <v>1.0425</v>
      </c>
      <c r="F317" s="1617">
        <f>'Brachy HDR'!K41</f>
        <v>21.27551020408163</v>
      </c>
      <c r="G317" s="1618">
        <f>'Brachy HDR'!L41</f>
        <v>21.27551020408163</v>
      </c>
      <c r="H317" s="214"/>
      <c r="I317" s="195"/>
    </row>
    <row r="318" spans="1:15" s="1554" customFormat="1" ht="15" customHeight="1" x14ac:dyDescent="0.25">
      <c r="A318" s="1700"/>
      <c r="B318" s="1701"/>
      <c r="C318" s="1619"/>
      <c r="D318" s="1620"/>
      <c r="E318" s="1612"/>
      <c r="F318" s="1621"/>
      <c r="G318" s="1622"/>
      <c r="H318" s="214"/>
      <c r="I318" s="195"/>
    </row>
    <row r="319" spans="1:15" s="1554" customFormat="1" ht="15" customHeight="1" x14ac:dyDescent="0.25">
      <c r="A319" s="1696" t="s">
        <v>457</v>
      </c>
      <c r="B319" s="1705"/>
      <c r="C319" s="1613" t="str">
        <f>'Brachy PDR'!$C$3</f>
        <v>PDR</v>
      </c>
      <c r="D319" s="1616">
        <f>'Brachy PDR'!I36</f>
        <v>0</v>
      </c>
      <c r="E319" s="1617">
        <f>'Brachy PDR'!J36</f>
        <v>0</v>
      </c>
      <c r="F319" s="1621"/>
      <c r="G319" s="1623"/>
      <c r="H319" s="195"/>
      <c r="I319" s="195"/>
    </row>
    <row r="320" spans="1:15" s="1554" customFormat="1" ht="15" customHeight="1" x14ac:dyDescent="0.25">
      <c r="A320" s="1703" t="s">
        <v>304</v>
      </c>
      <c r="B320" s="1705"/>
      <c r="C320" s="1613"/>
      <c r="D320" s="1616">
        <f>'Brachy PDR'!I41</f>
        <v>0.17143333333333335</v>
      </c>
      <c r="E320" s="1617">
        <f>'Brachy PDR'!J41</f>
        <v>0.17143333333333335</v>
      </c>
      <c r="F320" s="1624">
        <f>'Brachy PDR'!K42</f>
        <v>1.7143333333333333</v>
      </c>
      <c r="G320" s="1625">
        <f>'Brachy PDR'!L42</f>
        <v>1.7143333333333333</v>
      </c>
      <c r="H320" s="195"/>
      <c r="I320" s="195"/>
    </row>
    <row r="321" spans="1:15" s="1554" customFormat="1" ht="15.75" customHeight="1" x14ac:dyDescent="0.25">
      <c r="A321" s="1700"/>
      <c r="B321" s="1701"/>
      <c r="C321" s="1619"/>
      <c r="D321" s="1620"/>
      <c r="E321" s="1612"/>
      <c r="F321" s="1608"/>
      <c r="G321" s="1623"/>
      <c r="H321" s="195"/>
      <c r="I321" s="195"/>
    </row>
    <row r="322" spans="1:15" s="1554" customFormat="1" ht="15.75" customHeight="1" x14ac:dyDescent="0.25">
      <c r="A322" s="1706" t="s">
        <v>307</v>
      </c>
      <c r="B322" s="1702"/>
      <c r="C322" s="1626" t="str">
        <f>'I-125 implantatie'!$C$3</f>
        <v>I-125</v>
      </c>
      <c r="D322" s="1616">
        <f>'I-125 implantatie'!G34</f>
        <v>8.0572602134634293E-3</v>
      </c>
      <c r="E322" s="1617">
        <f>'I-125 implantatie'!H34</f>
        <v>8.0572602134634293E-3</v>
      </c>
      <c r="F322" s="1627"/>
      <c r="G322" s="1623"/>
      <c r="H322" s="195"/>
      <c r="I322" s="195"/>
    </row>
    <row r="323" spans="1:15" s="1554" customFormat="1" ht="15.75" customHeight="1" x14ac:dyDescent="0.25">
      <c r="A323" s="1706" t="s">
        <v>308</v>
      </c>
      <c r="B323" s="1702"/>
      <c r="C323" s="1628"/>
      <c r="D323" s="1616">
        <f>'I-125 implantatie'!G39</f>
        <v>1.4103200000000003E-4</v>
      </c>
      <c r="E323" s="1617">
        <f>'I-125 implantatie'!H39</f>
        <v>1.4103200000000003E-4</v>
      </c>
      <c r="F323" s="1627"/>
      <c r="G323" s="1623"/>
      <c r="H323" s="195"/>
      <c r="I323" s="195"/>
    </row>
    <row r="324" spans="1:15" s="1554" customFormat="1" ht="15.75" customHeight="1" x14ac:dyDescent="0.25">
      <c r="A324" s="1707"/>
      <c r="B324" s="1708"/>
      <c r="C324" s="1629"/>
      <c r="D324" s="1630"/>
      <c r="E324" s="1631"/>
      <c r="F324" s="1627"/>
      <c r="G324" s="1623"/>
      <c r="H324" s="195"/>
      <c r="I324" s="195"/>
    </row>
    <row r="325" spans="1:15" s="1554" customFormat="1" ht="15.75" customHeight="1" thickBot="1" x14ac:dyDescent="0.3">
      <c r="A325" s="1709" t="s">
        <v>306</v>
      </c>
      <c r="B325" s="1710"/>
      <c r="C325" s="1632" t="str">
        <f>'PET-CT '!$C$3</f>
        <v>PET-CT</v>
      </c>
      <c r="D325" s="1584">
        <f>'PET-CT '!F32</f>
        <v>3.6799999999999999E-2</v>
      </c>
      <c r="E325" s="1633">
        <f>'PET-CT '!G32</f>
        <v>3.6799999999999999E-2</v>
      </c>
      <c r="F325" s="1634"/>
      <c r="G325" s="1635"/>
      <c r="H325" s="195"/>
      <c r="I325" s="195"/>
    </row>
    <row r="326" spans="1:15" s="1554" customFormat="1" ht="15.75" hidden="1" customHeight="1" thickBot="1" x14ac:dyDescent="0.3">
      <c r="A326" s="1636"/>
      <c r="B326" s="1637"/>
      <c r="C326" s="1638"/>
      <c r="D326" s="1639"/>
      <c r="E326" s="1640"/>
      <c r="F326" s="1639"/>
      <c r="G326" s="1641"/>
      <c r="H326" s="195"/>
      <c r="I326" s="195"/>
    </row>
    <row r="327" spans="1:15" s="1554" customFormat="1" ht="30" customHeight="1" thickBot="1" x14ac:dyDescent="0.3">
      <c r="A327" s="195"/>
      <c r="B327" s="195"/>
      <c r="C327" s="1435"/>
      <c r="D327" s="195"/>
      <c r="E327" s="195"/>
      <c r="F327" s="1443"/>
      <c r="G327" s="801"/>
      <c r="H327" s="195"/>
      <c r="I327" s="195"/>
      <c r="J327" s="195"/>
    </row>
    <row r="328" spans="1:15" s="1645" customFormat="1" ht="26.25" customHeight="1" thickBot="1" x14ac:dyDescent="0.45">
      <c r="A328" s="1967" t="s">
        <v>645</v>
      </c>
      <c r="B328" s="1968"/>
      <c r="C328" s="1968"/>
      <c r="D328" s="1968"/>
      <c r="E328" s="1969"/>
      <c r="F328" s="1642"/>
      <c r="G328" s="1642"/>
      <c r="H328" s="1643"/>
      <c r="I328" s="1644"/>
      <c r="M328" s="1646"/>
      <c r="O328" s="1646"/>
    </row>
    <row r="329" spans="1:15" ht="15.75" customHeight="1" x14ac:dyDescent="0.25">
      <c r="A329" s="1647" t="s">
        <v>310</v>
      </c>
      <c r="B329" s="1648"/>
      <c r="C329" s="1648"/>
      <c r="D329" s="1961" t="s">
        <v>217</v>
      </c>
      <c r="E329" s="1962"/>
      <c r="F329" s="1429"/>
      <c r="G329" s="1451" t="s">
        <v>567</v>
      </c>
      <c r="H329" s="1507"/>
      <c r="I329" s="1435"/>
    </row>
    <row r="330" spans="1:15" ht="15.75" customHeight="1" thickBot="1" x14ac:dyDescent="0.3">
      <c r="A330" s="1508" t="s">
        <v>50</v>
      </c>
      <c r="B330" s="1649" t="s">
        <v>15</v>
      </c>
      <c r="C330" s="1650" t="s">
        <v>24</v>
      </c>
      <c r="D330" s="1651" t="s">
        <v>167</v>
      </c>
      <c r="E330" s="1441" t="s">
        <v>11</v>
      </c>
      <c r="F330" s="299"/>
      <c r="G330" s="1451" t="s">
        <v>564</v>
      </c>
      <c r="H330" s="1507"/>
      <c r="I330" s="1435"/>
    </row>
    <row r="331" spans="1:15" ht="15.75" hidden="1" customHeight="1" thickBot="1" x14ac:dyDescent="0.3">
      <c r="A331" s="1652"/>
      <c r="B331" s="1653"/>
      <c r="C331" s="1654"/>
      <c r="D331" s="1655"/>
      <c r="E331" s="1656"/>
      <c r="F331" s="299"/>
      <c r="G331" s="1657"/>
      <c r="H331" s="1507"/>
      <c r="I331" s="1435"/>
    </row>
    <row r="332" spans="1:15" ht="15.75" customHeight="1" x14ac:dyDescent="0.25">
      <c r="A332" s="1414" t="s">
        <v>172</v>
      </c>
      <c r="B332" s="1711" t="s">
        <v>97</v>
      </c>
      <c r="C332" s="1447" t="str">
        <f>'Linac 1'!C$3</f>
        <v>Linac 1</v>
      </c>
      <c r="D332" s="1658">
        <f>'Linac 1'!AD$145</f>
        <v>0.2166888315913871</v>
      </c>
      <c r="E332" s="1659">
        <f>SUM(D331:D342)</f>
        <v>2.1668883159138712</v>
      </c>
      <c r="F332" s="1475"/>
      <c r="G332" s="1475"/>
      <c r="H332" s="1507"/>
      <c r="I332" s="1435"/>
    </row>
    <row r="333" spans="1:15" ht="15.75" customHeight="1" x14ac:dyDescent="0.25">
      <c r="A333" s="1459"/>
      <c r="B333" s="1660"/>
      <c r="C333" s="1455" t="str">
        <f>'Linac 2'!C$3</f>
        <v>Linac 2</v>
      </c>
      <c r="D333" s="1661">
        <f>'Linac 2'!AD$145</f>
        <v>0.2166888315913871</v>
      </c>
      <c r="E333" s="1662"/>
      <c r="F333" s="1429"/>
      <c r="G333" s="1429"/>
      <c r="H333" s="1507"/>
      <c r="I333" s="1435"/>
    </row>
    <row r="334" spans="1:15" ht="15.75" customHeight="1" x14ac:dyDescent="0.25">
      <c r="A334" s="1459"/>
      <c r="B334" s="1660"/>
      <c r="C334" s="1455" t="str">
        <f>'Linac 3'!C$3</f>
        <v>Linac 3</v>
      </c>
      <c r="D334" s="1661">
        <f>'Linac 3'!AD$145</f>
        <v>0.2166888315913871</v>
      </c>
      <c r="E334" s="1662"/>
      <c r="F334" s="1429"/>
      <c r="G334" s="1429"/>
      <c r="H334" s="1507"/>
      <c r="I334" s="1435"/>
    </row>
    <row r="335" spans="1:15" ht="15.75" customHeight="1" x14ac:dyDescent="0.25">
      <c r="A335" s="1459"/>
      <c r="B335" s="1660"/>
      <c r="C335" s="1455" t="str">
        <f>'Linac 4'!C$3</f>
        <v>Linac 4</v>
      </c>
      <c r="D335" s="1661">
        <f>'Linac 4'!AD$145</f>
        <v>0.2166888315913871</v>
      </c>
      <c r="E335" s="1662"/>
      <c r="F335" s="1429"/>
      <c r="G335" s="1429"/>
      <c r="H335" s="1507"/>
      <c r="I335" s="1435"/>
    </row>
    <row r="336" spans="1:15" ht="15.75" customHeight="1" x14ac:dyDescent="0.25">
      <c r="A336" s="1459"/>
      <c r="B336" s="1660"/>
      <c r="C336" s="1485" t="str">
        <f>'Linac 5'!C$3</f>
        <v>Linac 5</v>
      </c>
      <c r="D336" s="1661">
        <f>'Linac 5'!AD$145</f>
        <v>0.2166888315913871</v>
      </c>
      <c r="E336" s="1662"/>
      <c r="F336" s="1429"/>
      <c r="G336" s="1429"/>
      <c r="H336" s="1507"/>
      <c r="I336" s="1435"/>
    </row>
    <row r="337" spans="1:21" ht="15.75" customHeight="1" x14ac:dyDescent="0.25">
      <c r="A337" s="1459"/>
      <c r="B337" s="1660"/>
      <c r="C337" s="1485" t="str">
        <f>'Linac 6'!C$3</f>
        <v>Linac 6</v>
      </c>
      <c r="D337" s="1661">
        <f>'Linac 6'!AD$145</f>
        <v>0.2166888315913871</v>
      </c>
      <c r="E337" s="1662"/>
      <c r="F337" s="1429"/>
      <c r="G337" s="1429"/>
      <c r="H337" s="1435"/>
      <c r="I337" s="1435"/>
    </row>
    <row r="338" spans="1:21" ht="15.75" customHeight="1" x14ac:dyDescent="0.25">
      <c r="A338" s="1459"/>
      <c r="B338" s="1660"/>
      <c r="C338" s="1485" t="str">
        <f>'Linac 7'!C$3</f>
        <v>Linac 7</v>
      </c>
      <c r="D338" s="1661">
        <f>'Linac 7'!AD$145</f>
        <v>0.2166888315913871</v>
      </c>
      <c r="E338" s="1662"/>
      <c r="F338" s="1429"/>
      <c r="G338" s="1429"/>
      <c r="H338" s="1435"/>
      <c r="I338" s="1435"/>
    </row>
    <row r="339" spans="1:21" ht="15.75" customHeight="1" x14ac:dyDescent="0.25">
      <c r="A339" s="1459"/>
      <c r="B339" s="1660"/>
      <c r="C339" s="1485" t="str">
        <f>'Linac 8'!C$3</f>
        <v>Linac 8</v>
      </c>
      <c r="D339" s="1661">
        <f>'Linac 8'!AD$145</f>
        <v>0.2166888315913871</v>
      </c>
      <c r="E339" s="1662"/>
      <c r="F339" s="1429"/>
      <c r="G339" s="1429"/>
      <c r="H339" s="1435"/>
      <c r="I339" s="1435"/>
    </row>
    <row r="340" spans="1:21" ht="15.75" customHeight="1" x14ac:dyDescent="0.25">
      <c r="A340" s="1459"/>
      <c r="B340" s="1660"/>
      <c r="C340" s="1485" t="str">
        <f>'Linac 9'!C$3</f>
        <v>Linac 9</v>
      </c>
      <c r="D340" s="1661">
        <f>'Linac 9'!AD$145</f>
        <v>0.2166888315913871</v>
      </c>
      <c r="E340" s="1662"/>
      <c r="F340" s="1429"/>
      <c r="G340" s="1429"/>
      <c r="H340" s="1435"/>
      <c r="I340" s="1435"/>
    </row>
    <row r="341" spans="1:21" ht="15.75" customHeight="1" thickBot="1" x14ac:dyDescent="0.3">
      <c r="A341" s="1462"/>
      <c r="B341" s="1663"/>
      <c r="C341" s="1486" t="str">
        <f>'Linac 10'!C$3</f>
        <v>Linac 10</v>
      </c>
      <c r="D341" s="1664">
        <f>'Linac 10'!AD$145</f>
        <v>0.2166888315913871</v>
      </c>
      <c r="E341" s="1665"/>
      <c r="F341" s="1429"/>
      <c r="G341" s="1429"/>
      <c r="H341" s="1435"/>
      <c r="I341" s="1435"/>
    </row>
    <row r="342" spans="1:21" s="1053" customFormat="1" ht="15.75" hidden="1" customHeight="1" thickBot="1" x14ac:dyDescent="0.3">
      <c r="A342" s="299"/>
      <c r="B342" s="1496"/>
      <c r="C342" s="299"/>
      <c r="D342" s="1479"/>
      <c r="E342" s="1429"/>
      <c r="F342" s="1429"/>
      <c r="G342" s="1429"/>
      <c r="H342" s="1666"/>
      <c r="I342" s="1666"/>
      <c r="M342" s="1667"/>
      <c r="O342" s="1667"/>
    </row>
    <row r="343" spans="1:21" ht="15.75" customHeight="1" x14ac:dyDescent="0.25">
      <c r="A343" s="1414" t="s">
        <v>175</v>
      </c>
      <c r="B343" s="1711" t="s">
        <v>98</v>
      </c>
      <c r="C343" s="1447" t="str">
        <f>'Linac 1'!C$3</f>
        <v>Linac 1</v>
      </c>
      <c r="D343" s="1658">
        <f>'Linac 1'!AD$150</f>
        <v>0.2166888315913871</v>
      </c>
      <c r="E343" s="1659">
        <f>SUM(D342:D353)</f>
        <v>2.1668883159138712</v>
      </c>
      <c r="F343" s="1475"/>
      <c r="G343" s="1475"/>
      <c r="H343" s="1435"/>
      <c r="I343" s="1435"/>
    </row>
    <row r="344" spans="1:21" ht="15.75" customHeight="1" x14ac:dyDescent="0.25">
      <c r="A344" s="1459"/>
      <c r="B344" s="1660"/>
      <c r="C344" s="1455" t="str">
        <f>'Linac 2'!C$3</f>
        <v>Linac 2</v>
      </c>
      <c r="D344" s="1661">
        <f>'Linac 2'!AD$150</f>
        <v>0.2166888315913871</v>
      </c>
      <c r="E344" s="1662"/>
      <c r="F344" s="1429"/>
      <c r="G344" s="1429"/>
      <c r="H344" s="1435"/>
      <c r="I344" s="1435"/>
    </row>
    <row r="345" spans="1:21" ht="15.75" customHeight="1" x14ac:dyDescent="0.25">
      <c r="A345" s="1459"/>
      <c r="B345" s="1660"/>
      <c r="C345" s="1455" t="str">
        <f>'Linac 3'!C$3</f>
        <v>Linac 3</v>
      </c>
      <c r="D345" s="1661">
        <f>'Linac 3'!AD$150</f>
        <v>0.2166888315913871</v>
      </c>
      <c r="E345" s="1662"/>
      <c r="F345" s="1429"/>
      <c r="G345" s="1429"/>
      <c r="I345" s="1435"/>
    </row>
    <row r="346" spans="1:21" ht="15.75" customHeight="1" x14ac:dyDescent="0.25">
      <c r="A346" s="1459"/>
      <c r="B346" s="1660"/>
      <c r="C346" s="1455" t="str">
        <f>'Linac 4'!C$3</f>
        <v>Linac 4</v>
      </c>
      <c r="D346" s="1661">
        <f>'Linac 4'!AD$150</f>
        <v>0.2166888315913871</v>
      </c>
      <c r="E346" s="1662"/>
      <c r="F346" s="1429"/>
      <c r="G346" s="1429"/>
      <c r="H346" s="1594"/>
      <c r="I346" s="1435"/>
      <c r="T346" s="1594"/>
      <c r="U346" s="1594"/>
    </row>
    <row r="347" spans="1:21" s="1594" customFormat="1" ht="15.75" customHeight="1" x14ac:dyDescent="0.25">
      <c r="A347" s="1459"/>
      <c r="B347" s="1660"/>
      <c r="C347" s="1485" t="str">
        <f>'Linac 5'!C$3</f>
        <v>Linac 5</v>
      </c>
      <c r="D347" s="1661">
        <f>'Linac 5'!AD$150</f>
        <v>0.2166888315913871</v>
      </c>
      <c r="E347" s="1662"/>
      <c r="F347" s="1429"/>
      <c r="G347" s="1429"/>
      <c r="H347" s="195"/>
      <c r="I347" s="1435"/>
      <c r="J347" s="195"/>
      <c r="K347" s="195"/>
      <c r="L347" s="195"/>
      <c r="M347" s="1443"/>
      <c r="N347" s="195"/>
      <c r="O347" s="1443"/>
      <c r="P347" s="195"/>
      <c r="Q347" s="195"/>
      <c r="T347" s="195"/>
      <c r="U347" s="195"/>
    </row>
    <row r="348" spans="1:21" ht="15.75" x14ac:dyDescent="0.25">
      <c r="A348" s="1459"/>
      <c r="B348" s="1660"/>
      <c r="C348" s="1485" t="str">
        <f>'Linac 6'!C$3</f>
        <v>Linac 6</v>
      </c>
      <c r="D348" s="1661">
        <f>'Linac 6'!AD$150</f>
        <v>0.2166888315913871</v>
      </c>
      <c r="E348" s="1662"/>
      <c r="F348" s="1429"/>
      <c r="G348" s="1429"/>
      <c r="I348" s="1435"/>
    </row>
    <row r="349" spans="1:21" ht="15" customHeight="1" x14ac:dyDescent="0.25">
      <c r="A349" s="1459"/>
      <c r="B349" s="1660"/>
      <c r="C349" s="1485" t="str">
        <f>'Linac 7'!C$3</f>
        <v>Linac 7</v>
      </c>
      <c r="D349" s="1661">
        <f>'Linac 7'!AD$150</f>
        <v>0.2166888315913871</v>
      </c>
      <c r="E349" s="1662"/>
      <c r="F349" s="1429"/>
      <c r="G349" s="1429"/>
      <c r="I349" s="1435"/>
    </row>
    <row r="350" spans="1:21" ht="15" customHeight="1" x14ac:dyDescent="0.25">
      <c r="A350" s="1459"/>
      <c r="B350" s="1660"/>
      <c r="C350" s="1485" t="str">
        <f>'Linac 8'!C$3</f>
        <v>Linac 8</v>
      </c>
      <c r="D350" s="1661">
        <f>'Linac 8'!AD$150</f>
        <v>0.2166888315913871</v>
      </c>
      <c r="E350" s="1662"/>
      <c r="F350" s="1429"/>
      <c r="G350" s="1429"/>
      <c r="I350" s="1435"/>
    </row>
    <row r="351" spans="1:21" ht="15" customHeight="1" x14ac:dyDescent="0.25">
      <c r="A351" s="1459"/>
      <c r="B351" s="1660"/>
      <c r="C351" s="1485" t="str">
        <f>'Linac 9'!C$3</f>
        <v>Linac 9</v>
      </c>
      <c r="D351" s="1661">
        <f>'Linac 9'!AD$150</f>
        <v>0.2166888315913871</v>
      </c>
      <c r="E351" s="1662"/>
      <c r="F351" s="1429"/>
      <c r="G351" s="1429"/>
      <c r="I351" s="1435"/>
    </row>
    <row r="352" spans="1:21" ht="15" customHeight="1" thickBot="1" x14ac:dyDescent="0.3">
      <c r="A352" s="1462"/>
      <c r="B352" s="1663"/>
      <c r="C352" s="1486" t="str">
        <f>'Linac 10'!C$3</f>
        <v>Linac 10</v>
      </c>
      <c r="D352" s="1664">
        <f>'Linac 10'!AD$150</f>
        <v>0.2166888315913871</v>
      </c>
      <c r="E352" s="1665"/>
      <c r="F352" s="1429"/>
      <c r="G352" s="1429"/>
      <c r="I352" s="1435"/>
    </row>
    <row r="353" spans="1:15" s="1053" customFormat="1" ht="15" hidden="1" customHeight="1" thickBot="1" x14ac:dyDescent="0.3">
      <c r="A353" s="299"/>
      <c r="B353" s="1496"/>
      <c r="C353" s="299"/>
      <c r="D353" s="1479"/>
      <c r="E353" s="1429"/>
      <c r="F353" s="1429"/>
      <c r="G353" s="1429"/>
      <c r="I353" s="1666"/>
      <c r="M353" s="1667"/>
      <c r="O353" s="1667"/>
    </row>
    <row r="354" spans="1:15" ht="15" customHeight="1" x14ac:dyDescent="0.25">
      <c r="A354" s="1414" t="s">
        <v>176</v>
      </c>
      <c r="B354" s="1711" t="s">
        <v>100</v>
      </c>
      <c r="C354" s="1447" t="str">
        <f>'Linac 1'!C$3</f>
        <v>Linac 1</v>
      </c>
      <c r="D354" s="1658">
        <f>'Linac 1'!AD$155</f>
        <v>0.2166888315913871</v>
      </c>
      <c r="E354" s="1659">
        <f>SUM(D353:D364)</f>
        <v>2.1668883159138712</v>
      </c>
      <c r="F354" s="1475"/>
      <c r="G354" s="1475"/>
      <c r="I354" s="1435"/>
    </row>
    <row r="355" spans="1:15" ht="15" customHeight="1" x14ac:dyDescent="0.25">
      <c r="A355" s="1459"/>
      <c r="B355" s="1660"/>
      <c r="C355" s="1455" t="str">
        <f>'Linac 2'!C$3</f>
        <v>Linac 2</v>
      </c>
      <c r="D355" s="1661">
        <f>'Linac 2'!AD$155</f>
        <v>0.2166888315913871</v>
      </c>
      <c r="E355" s="1662"/>
      <c r="F355" s="1429"/>
      <c r="G355" s="1429"/>
      <c r="I355" s="1435"/>
    </row>
    <row r="356" spans="1:15" ht="15" customHeight="1" x14ac:dyDescent="0.25">
      <c r="A356" s="1459"/>
      <c r="B356" s="1660"/>
      <c r="C356" s="1455" t="str">
        <f>'Linac 3'!C$3</f>
        <v>Linac 3</v>
      </c>
      <c r="D356" s="1661">
        <f>'Linac 3'!AD$155</f>
        <v>0.2166888315913871</v>
      </c>
      <c r="E356" s="1662"/>
      <c r="F356" s="1429"/>
      <c r="G356" s="1429"/>
      <c r="H356" s="1435"/>
      <c r="I356" s="1435"/>
    </row>
    <row r="357" spans="1:15" ht="15" customHeight="1" x14ac:dyDescent="0.25">
      <c r="A357" s="1459"/>
      <c r="B357" s="1660"/>
      <c r="C357" s="1455" t="str">
        <f>'Linac 4'!C$3</f>
        <v>Linac 4</v>
      </c>
      <c r="D357" s="1661">
        <f>'Linac 4'!AD$155</f>
        <v>0.2166888315913871</v>
      </c>
      <c r="E357" s="1662"/>
      <c r="F357" s="1429"/>
      <c r="G357" s="1429"/>
    </row>
    <row r="358" spans="1:15" ht="15.75" x14ac:dyDescent="0.25">
      <c r="A358" s="1459"/>
      <c r="B358" s="1660"/>
      <c r="C358" s="1485" t="str">
        <f>'Linac 5'!C$3</f>
        <v>Linac 5</v>
      </c>
      <c r="D358" s="1661">
        <f>'Linac 5'!AD$155</f>
        <v>0.2166888315913871</v>
      </c>
      <c r="E358" s="1662"/>
      <c r="F358" s="1429"/>
      <c r="G358" s="1429"/>
    </row>
    <row r="359" spans="1:15" ht="15.75" x14ac:dyDescent="0.25">
      <c r="A359" s="1459"/>
      <c r="B359" s="1660"/>
      <c r="C359" s="1485" t="str">
        <f>'Linac 6'!C$3</f>
        <v>Linac 6</v>
      </c>
      <c r="D359" s="1661">
        <f>'Linac 6'!AD$155</f>
        <v>0.2166888315913871</v>
      </c>
      <c r="E359" s="1662"/>
      <c r="F359" s="1429"/>
      <c r="G359" s="1429"/>
    </row>
    <row r="360" spans="1:15" ht="15.75" x14ac:dyDescent="0.25">
      <c r="A360" s="1459"/>
      <c r="B360" s="1660"/>
      <c r="C360" s="1485" t="str">
        <f>'Linac 7'!C$3</f>
        <v>Linac 7</v>
      </c>
      <c r="D360" s="1661">
        <f>'Linac 7'!AD$155</f>
        <v>0.2166888315913871</v>
      </c>
      <c r="E360" s="1662"/>
      <c r="F360" s="1429"/>
      <c r="G360" s="1429"/>
    </row>
    <row r="361" spans="1:15" ht="15.75" x14ac:dyDescent="0.25">
      <c r="A361" s="1459"/>
      <c r="B361" s="1660"/>
      <c r="C361" s="1485" t="str">
        <f>'Linac 8'!C$3</f>
        <v>Linac 8</v>
      </c>
      <c r="D361" s="1661">
        <f>'Linac 8'!AD$155</f>
        <v>0.2166888315913871</v>
      </c>
      <c r="E361" s="1662"/>
      <c r="F361" s="1429"/>
      <c r="G361" s="1429"/>
    </row>
    <row r="362" spans="1:15" ht="15.75" x14ac:dyDescent="0.25">
      <c r="A362" s="1459"/>
      <c r="B362" s="1660"/>
      <c r="C362" s="1485" t="str">
        <f>'Linac 9'!C$3</f>
        <v>Linac 9</v>
      </c>
      <c r="D362" s="1661">
        <f>'Linac 9'!AD$155</f>
        <v>0.2166888315913871</v>
      </c>
      <c r="E362" s="1662"/>
      <c r="F362" s="1429"/>
      <c r="G362" s="1429"/>
    </row>
    <row r="363" spans="1:15" ht="16.5" thickBot="1" x14ac:dyDescent="0.3">
      <c r="A363" s="1462"/>
      <c r="B363" s="1663"/>
      <c r="C363" s="1486" t="str">
        <f>'Linac 10'!C$3</f>
        <v>Linac 10</v>
      </c>
      <c r="D363" s="1664">
        <f>'Linac 10'!AD$155</f>
        <v>0.2166888315913871</v>
      </c>
      <c r="E363" s="1665"/>
      <c r="F363" s="1429"/>
      <c r="G363" s="1429"/>
    </row>
    <row r="364" spans="1:15" s="1581" customFormat="1" ht="16.5" hidden="1" thickBot="1" x14ac:dyDescent="0.3">
      <c r="A364" s="299"/>
      <c r="B364" s="1496"/>
      <c r="C364" s="299"/>
      <c r="D364" s="1479"/>
      <c r="E364" s="1429"/>
      <c r="F364" s="1429"/>
      <c r="G364" s="1429"/>
      <c r="M364" s="1668"/>
      <c r="O364" s="1668"/>
    </row>
    <row r="365" spans="1:15" ht="15.75" x14ac:dyDescent="0.25">
      <c r="A365" s="1414" t="s">
        <v>177</v>
      </c>
      <c r="B365" s="1711" t="s">
        <v>99</v>
      </c>
      <c r="C365" s="1447" t="str">
        <f>'Linac 1'!C$3</f>
        <v>Linac 1</v>
      </c>
      <c r="D365" s="1658">
        <f>'Linac 1'!AD$160</f>
        <v>0.2166888315913871</v>
      </c>
      <c r="E365" s="1659">
        <f>SUM(D364:D375)</f>
        <v>2.1668883159138712</v>
      </c>
      <c r="F365" s="1475"/>
      <c r="G365" s="1475"/>
    </row>
    <row r="366" spans="1:15" ht="15.75" x14ac:dyDescent="0.25">
      <c r="A366" s="1669"/>
      <c r="B366" s="1660"/>
      <c r="C366" s="1455" t="str">
        <f>'Linac 2'!C$3</f>
        <v>Linac 2</v>
      </c>
      <c r="D366" s="1661">
        <f>'Linac 2'!AD$160</f>
        <v>0.2166888315913871</v>
      </c>
      <c r="E366" s="1662"/>
      <c r="F366" s="1429"/>
      <c r="G366" s="1429"/>
    </row>
    <row r="367" spans="1:15" ht="15.75" x14ac:dyDescent="0.25">
      <c r="A367" s="1669"/>
      <c r="B367" s="1660"/>
      <c r="C367" s="1455" t="str">
        <f>'Linac 3'!C$3</f>
        <v>Linac 3</v>
      </c>
      <c r="D367" s="1661">
        <f>'Linac 3'!AD$160</f>
        <v>0.2166888315913871</v>
      </c>
      <c r="E367" s="1662"/>
      <c r="F367" s="1429"/>
      <c r="G367" s="1429"/>
    </row>
    <row r="368" spans="1:15" ht="15.75" x14ac:dyDescent="0.25">
      <c r="A368" s="1669"/>
      <c r="B368" s="1660"/>
      <c r="C368" s="1455" t="str">
        <f>'Linac 4'!C$3</f>
        <v>Linac 4</v>
      </c>
      <c r="D368" s="1661">
        <f>'Linac 4'!AD$160</f>
        <v>0.2166888315913871</v>
      </c>
      <c r="E368" s="1662"/>
      <c r="F368" s="1429"/>
      <c r="G368" s="1429"/>
    </row>
    <row r="369" spans="1:7" ht="15.75" x14ac:dyDescent="0.25">
      <c r="A369" s="1669"/>
      <c r="B369" s="1660"/>
      <c r="C369" s="1485" t="str">
        <f>'Linac 5'!C$3</f>
        <v>Linac 5</v>
      </c>
      <c r="D369" s="1661">
        <f>'Linac 5'!AD$160</f>
        <v>0.2166888315913871</v>
      </c>
      <c r="E369" s="1662"/>
      <c r="F369" s="1429"/>
      <c r="G369" s="1429"/>
    </row>
    <row r="370" spans="1:7" ht="15.75" x14ac:dyDescent="0.25">
      <c r="A370" s="1669"/>
      <c r="B370" s="1660"/>
      <c r="C370" s="1485" t="str">
        <f>'Linac 6'!C$3</f>
        <v>Linac 6</v>
      </c>
      <c r="D370" s="1661">
        <f>'Linac 6'!AD$160</f>
        <v>0.2166888315913871</v>
      </c>
      <c r="E370" s="1662"/>
      <c r="F370" s="1429"/>
      <c r="G370" s="1429"/>
    </row>
    <row r="371" spans="1:7" ht="15.75" x14ac:dyDescent="0.25">
      <c r="A371" s="1669"/>
      <c r="B371" s="1660"/>
      <c r="C371" s="1485" t="str">
        <f>'Linac 7'!C$3</f>
        <v>Linac 7</v>
      </c>
      <c r="D371" s="1661">
        <f>'Linac 7'!AD$160</f>
        <v>0.2166888315913871</v>
      </c>
      <c r="E371" s="1662"/>
      <c r="F371" s="1429"/>
      <c r="G371" s="1429"/>
    </row>
    <row r="372" spans="1:7" ht="15.75" x14ac:dyDescent="0.25">
      <c r="A372" s="1669"/>
      <c r="B372" s="1660"/>
      <c r="C372" s="1485" t="str">
        <f>'Linac 8'!C$3</f>
        <v>Linac 8</v>
      </c>
      <c r="D372" s="1661">
        <f>'Linac 8'!AD$160</f>
        <v>0.2166888315913871</v>
      </c>
      <c r="E372" s="1662"/>
      <c r="F372" s="1429"/>
      <c r="G372" s="1429"/>
    </row>
    <row r="373" spans="1:7" ht="15.75" x14ac:dyDescent="0.25">
      <c r="A373" s="1669"/>
      <c r="B373" s="1660"/>
      <c r="C373" s="1485" t="str">
        <f>'Linac 9'!C$3</f>
        <v>Linac 9</v>
      </c>
      <c r="D373" s="1661">
        <f>'Linac 9'!AD$160</f>
        <v>0.2166888315913871</v>
      </c>
      <c r="E373" s="1662"/>
      <c r="F373" s="1429"/>
      <c r="G373" s="1429"/>
    </row>
    <row r="374" spans="1:7" ht="16.5" thickBot="1" x14ac:dyDescent="0.3">
      <c r="A374" s="1670"/>
      <c r="B374" s="1663"/>
      <c r="C374" s="1486" t="str">
        <f>'Linac 10'!C$3</f>
        <v>Linac 10</v>
      </c>
      <c r="D374" s="1664">
        <f>'Linac 10'!AD$160</f>
        <v>0.2166888315913871</v>
      </c>
      <c r="E374" s="1665"/>
      <c r="F374" s="1429"/>
      <c r="G374" s="1429"/>
    </row>
    <row r="375" spans="1:7" x14ac:dyDescent="0.25">
      <c r="A375" s="299"/>
      <c r="B375" s="289"/>
      <c r="C375" s="299"/>
      <c r="D375" s="1479"/>
      <c r="E375" s="299"/>
      <c r="F375" s="299"/>
      <c r="G375" s="299"/>
    </row>
    <row r="408" spans="9:15" x14ac:dyDescent="0.25">
      <c r="O408" s="195"/>
    </row>
    <row r="409" spans="9:15" ht="7.5" customHeight="1" x14ac:dyDescent="0.25"/>
    <row r="411" spans="9:15" ht="7.5" customHeight="1" x14ac:dyDescent="0.25"/>
    <row r="413" spans="9:15" ht="15" customHeight="1" x14ac:dyDescent="0.25"/>
    <row r="414" spans="9:15" ht="15.75" customHeight="1" x14ac:dyDescent="0.25"/>
    <row r="415" spans="9:15" ht="15.75" customHeight="1" x14ac:dyDescent="0.25">
      <c r="I415" s="1435"/>
      <c r="L415" s="1443"/>
      <c r="M415" s="195"/>
      <c r="N415" s="1443"/>
    </row>
    <row r="416" spans="9:15" ht="15.75" customHeight="1" x14ac:dyDescent="0.25">
      <c r="L416" s="1443"/>
      <c r="M416" s="195"/>
      <c r="N416" s="1443"/>
    </row>
    <row r="417" spans="1:15" ht="15" customHeight="1" x14ac:dyDescent="0.25">
      <c r="L417" s="1443"/>
      <c r="M417" s="195"/>
      <c r="N417" s="1443"/>
    </row>
    <row r="418" spans="1:15" ht="15.75" x14ac:dyDescent="0.25">
      <c r="H418" s="1507"/>
    </row>
    <row r="419" spans="1:15" ht="7.5" customHeight="1" x14ac:dyDescent="0.25">
      <c r="H419" s="1474"/>
      <c r="O419" s="195"/>
    </row>
    <row r="420" spans="1:15" x14ac:dyDescent="0.25">
      <c r="H420" s="1474"/>
      <c r="O420" s="195"/>
    </row>
    <row r="421" spans="1:15" x14ac:dyDescent="0.25">
      <c r="O421" s="195"/>
    </row>
    <row r="423" spans="1:15" ht="7.5" customHeight="1" x14ac:dyDescent="0.25"/>
    <row r="425" spans="1:15" ht="7.5" customHeight="1" x14ac:dyDescent="0.25"/>
    <row r="426" spans="1:15" x14ac:dyDescent="0.25">
      <c r="A426" s="1053"/>
      <c r="B426" s="1053"/>
      <c r="C426" s="1053"/>
      <c r="D426" s="1667"/>
      <c r="E426" s="1667"/>
      <c r="F426" s="1667"/>
      <c r="G426" s="1667"/>
    </row>
    <row r="427" spans="1:15" x14ac:dyDescent="0.25">
      <c r="A427" s="1053"/>
      <c r="B427" s="1053"/>
      <c r="C427" s="1053"/>
      <c r="D427" s="1667"/>
      <c r="E427" s="1667"/>
      <c r="F427" s="1667"/>
      <c r="G427" s="1667"/>
      <c r="I427" s="214"/>
    </row>
    <row r="428" spans="1:15" ht="15.75" x14ac:dyDescent="0.25">
      <c r="A428" s="288"/>
      <c r="B428" s="1420"/>
      <c r="C428" s="1429"/>
      <c r="D428" s="1475"/>
      <c r="E428" s="1429"/>
      <c r="F428" s="1429"/>
      <c r="G428" s="1429"/>
      <c r="I428" s="636"/>
    </row>
    <row r="429" spans="1:15" ht="15.75" x14ac:dyDescent="0.25">
      <c r="A429" s="288"/>
      <c r="B429" s="1420"/>
      <c r="C429" s="1420"/>
      <c r="D429" s="1475"/>
      <c r="E429" s="1429"/>
      <c r="F429" s="1429"/>
      <c r="G429" s="1429"/>
      <c r="H429" s="214"/>
      <c r="I429" s="636"/>
    </row>
    <row r="430" spans="1:15" ht="15.75" x14ac:dyDescent="0.25">
      <c r="A430" s="288"/>
      <c r="B430" s="1420"/>
      <c r="C430" s="1420"/>
      <c r="D430" s="1475"/>
      <c r="E430" s="1429"/>
      <c r="F430" s="1429"/>
      <c r="G430" s="1429"/>
      <c r="H430" s="214"/>
    </row>
    <row r="431" spans="1:15" ht="15.75" x14ac:dyDescent="0.25">
      <c r="A431" s="299"/>
      <c r="B431" s="1420"/>
      <c r="C431" s="1429"/>
      <c r="D431" s="1475"/>
      <c r="E431" s="1475"/>
      <c r="F431" s="1475"/>
      <c r="G431" s="1475"/>
      <c r="H431" s="636"/>
    </row>
    <row r="432" spans="1:15" x14ac:dyDescent="0.25">
      <c r="H432" s="1581"/>
    </row>
    <row r="433" spans="1:8" ht="15.75" x14ac:dyDescent="0.25">
      <c r="A433" s="1594"/>
      <c r="B433" s="1594"/>
      <c r="C433" s="1594"/>
      <c r="D433" s="1594"/>
      <c r="E433" s="1594"/>
      <c r="F433" s="1594"/>
      <c r="G433" s="1594"/>
      <c r="H433" s="1581"/>
    </row>
    <row r="446" spans="1:8" ht="15.75" x14ac:dyDescent="0.25">
      <c r="A446" s="1435"/>
      <c r="B446" s="1435"/>
      <c r="C446" s="1435"/>
      <c r="D446" s="1671"/>
      <c r="E446" s="1671"/>
      <c r="F446" s="1671"/>
      <c r="G446" s="1671"/>
    </row>
  </sheetData>
  <sheetProtection algorithmName="SHA-512" hashValue="P+XR7kQzYQjDOQCwB1XdUHP0uPI3v/JUrBrBkAATX25AMa1S5bFRyJ5O+NUhBujEZU1dFRYUQuiRDfRJFhvONw==" saltValue="+yEdGY0HBcL1OFM4OJglKQ==" spinCount="100000" sheet="1" objects="1" scenarios="1"/>
  <protectedRanges>
    <protectedRange sqref="R312 H287 S309 T288:T299 T301:T308 H261:H284" name="invul1"/>
  </protectedRanges>
  <mergeCells count="8">
    <mergeCell ref="D329:E329"/>
    <mergeCell ref="D10:E10"/>
    <mergeCell ref="F245:G245"/>
    <mergeCell ref="D245:E245"/>
    <mergeCell ref="A328:E328"/>
    <mergeCell ref="D262:E262"/>
    <mergeCell ref="F309:G309"/>
    <mergeCell ref="D309:E309"/>
  </mergeCells>
  <phoneticPr fontId="0" type="noConversion"/>
  <pageMargins left="0.70866141732283472" right="0.70866141732283472" top="0.74803149606299213" bottom="0.74803149606299213" header="0.31496062992125984" footer="0.31496062992125984"/>
  <pageSetup paperSize="9" scale="40" orientation="landscape" r:id="rId1"/>
  <headerFooter>
    <oddFooter>&amp;C&amp;F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AJ55"/>
  <sheetViews>
    <sheetView showGridLines="0" zoomScale="55" zoomScaleNormal="55" workbookViewId="0">
      <selection activeCell="F33" sqref="F33"/>
    </sheetView>
  </sheetViews>
  <sheetFormatPr defaultRowHeight="14.25" x14ac:dyDescent="0.2"/>
  <cols>
    <col min="1" max="1" width="25.7109375" style="1807" customWidth="1"/>
    <col min="2" max="2" width="10.7109375" style="1808" customWidth="1"/>
    <col min="3" max="4" width="15.7109375" style="1807" customWidth="1"/>
    <col min="5" max="5" width="15.7109375" style="1808" customWidth="1"/>
    <col min="6" max="6" width="15.7109375" style="1807" customWidth="1"/>
    <col min="7" max="20" width="15.7109375" style="1808" customWidth="1"/>
    <col min="21" max="35" width="20.7109375" style="1807" customWidth="1"/>
    <col min="36" max="16384" width="9.140625" style="1807"/>
  </cols>
  <sheetData>
    <row r="1" spans="1:36" s="1716" customFormat="1" ht="26.25" customHeight="1" x14ac:dyDescent="0.4">
      <c r="A1" s="1712" t="s">
        <v>510</v>
      </c>
      <c r="B1" s="1713"/>
      <c r="C1" s="1714"/>
      <c r="D1" s="1714"/>
      <c r="E1" s="1715"/>
      <c r="F1" s="1714"/>
      <c r="G1" s="1715"/>
      <c r="H1" s="1715"/>
      <c r="I1" s="1715"/>
      <c r="J1" s="1715"/>
      <c r="K1" s="1715"/>
      <c r="L1" s="1715"/>
      <c r="M1" s="1715"/>
      <c r="N1" s="1715"/>
      <c r="O1" s="1715"/>
      <c r="P1" s="1715"/>
      <c r="Q1" s="1715"/>
      <c r="R1" s="1715"/>
      <c r="S1" s="1715"/>
      <c r="T1" s="1715"/>
      <c r="U1" s="1714"/>
      <c r="V1" s="1714"/>
      <c r="W1" s="1714"/>
      <c r="X1" s="1714"/>
      <c r="Y1" s="1714"/>
      <c r="Z1" s="1714"/>
      <c r="AA1" s="1714"/>
      <c r="AB1" s="1714"/>
      <c r="AC1" s="1714"/>
      <c r="AD1" s="1714"/>
      <c r="AE1" s="1714"/>
      <c r="AF1" s="1714"/>
      <c r="AG1" s="1714"/>
      <c r="AH1" s="1714"/>
      <c r="AI1" s="1714"/>
      <c r="AJ1" s="1714"/>
    </row>
    <row r="2" spans="1:36" s="1716" customFormat="1" ht="26.25" customHeight="1" x14ac:dyDescent="0.4">
      <c r="A2" s="1712"/>
      <c r="B2" s="1713"/>
      <c r="C2" s="1714"/>
      <c r="D2" s="1714"/>
      <c r="E2" s="1715"/>
      <c r="F2" s="1714"/>
      <c r="G2" s="1715"/>
      <c r="H2" s="1715"/>
      <c r="I2" s="1715"/>
      <c r="J2" s="1715"/>
      <c r="K2" s="1715"/>
      <c r="L2" s="1715"/>
      <c r="M2" s="1715"/>
      <c r="N2" s="1715"/>
      <c r="O2" s="1715"/>
      <c r="P2" s="1715"/>
      <c r="Q2" s="1715"/>
      <c r="R2" s="1715"/>
      <c r="S2" s="1715"/>
      <c r="T2" s="1715"/>
      <c r="U2" s="1714"/>
      <c r="V2" s="1714"/>
      <c r="W2" s="1714"/>
      <c r="X2" s="1714"/>
      <c r="Y2" s="1714"/>
      <c r="Z2" s="1714"/>
      <c r="AA2" s="1714"/>
      <c r="AB2" s="1714"/>
      <c r="AC2" s="1714"/>
      <c r="AD2" s="1714"/>
      <c r="AE2" s="1714"/>
      <c r="AF2" s="1714"/>
      <c r="AG2" s="1714"/>
      <c r="AH2" s="1714"/>
      <c r="AI2" s="1714"/>
      <c r="AJ2" s="1714"/>
    </row>
    <row r="3" spans="1:36" s="1716" customFormat="1" ht="26.25" customHeight="1" x14ac:dyDescent="0.4">
      <c r="A3" s="1712"/>
      <c r="B3" s="1713"/>
      <c r="C3" s="1714"/>
      <c r="D3" s="1714"/>
      <c r="E3" s="1715"/>
      <c r="F3" s="1714"/>
      <c r="G3" s="1715"/>
      <c r="H3" s="1715"/>
      <c r="I3" s="1715"/>
      <c r="J3" s="1715"/>
      <c r="K3" s="1715"/>
      <c r="L3" s="1715"/>
      <c r="M3" s="1715"/>
      <c r="N3" s="1715"/>
      <c r="O3" s="1715"/>
      <c r="P3" s="1715"/>
      <c r="Q3" s="1715"/>
      <c r="R3" s="1715"/>
      <c r="S3" s="1715"/>
      <c r="T3" s="1715"/>
      <c r="U3" s="1714"/>
      <c r="V3" s="1714"/>
      <c r="W3" s="1714"/>
      <c r="X3" s="1714"/>
      <c r="Y3" s="1714"/>
      <c r="Z3" s="1714"/>
      <c r="AA3" s="1714"/>
      <c r="AB3" s="1714"/>
      <c r="AC3" s="1714"/>
      <c r="AD3" s="1714"/>
      <c r="AE3" s="1714"/>
      <c r="AF3" s="1714"/>
      <c r="AG3" s="1714"/>
      <c r="AH3" s="1714"/>
      <c r="AI3" s="1714"/>
      <c r="AJ3" s="1714"/>
    </row>
    <row r="4" spans="1:36" s="1716" customFormat="1" ht="26.25" customHeight="1" x14ac:dyDescent="0.4">
      <c r="A4" s="1712" t="s">
        <v>511</v>
      </c>
      <c r="B4" s="1713"/>
      <c r="C4" s="1714"/>
      <c r="D4" s="1714"/>
      <c r="E4" s="1715"/>
      <c r="F4" s="1714"/>
      <c r="G4" s="1715"/>
      <c r="H4" s="1715"/>
      <c r="I4" s="1715"/>
      <c r="J4" s="1715"/>
      <c r="K4" s="1715"/>
      <c r="L4" s="1715"/>
      <c r="M4" s="1715"/>
      <c r="N4" s="1715"/>
      <c r="O4" s="1715"/>
      <c r="P4" s="1715"/>
      <c r="Q4" s="1715"/>
      <c r="R4" s="1715"/>
      <c r="S4" s="1715"/>
      <c r="T4" s="1715"/>
      <c r="U4" s="1714"/>
      <c r="V4" s="1714"/>
      <c r="W4" s="1714"/>
      <c r="X4" s="1714"/>
      <c r="Y4" s="1714"/>
      <c r="Z4" s="1714"/>
      <c r="AA4" s="1714"/>
      <c r="AB4" s="1714"/>
      <c r="AC4" s="1714"/>
      <c r="AD4" s="1714"/>
      <c r="AE4" s="1714"/>
      <c r="AF4" s="1714"/>
      <c r="AG4" s="1714"/>
      <c r="AH4" s="1714"/>
      <c r="AI4" s="1714"/>
      <c r="AJ4" s="1714"/>
    </row>
    <row r="5" spans="1:36" s="1716" customFormat="1" ht="20.100000000000001" customHeight="1" x14ac:dyDescent="0.2">
      <c r="A5" s="1717"/>
      <c r="B5" s="1714"/>
      <c r="C5" s="1714"/>
      <c r="D5" s="1715"/>
      <c r="E5" s="1714"/>
      <c r="F5" s="1715"/>
      <c r="G5" s="1715"/>
      <c r="H5" s="1715"/>
      <c r="I5" s="1715"/>
      <c r="J5" s="1715"/>
      <c r="K5" s="1715"/>
      <c r="L5" s="1715"/>
      <c r="M5" s="1715"/>
      <c r="N5" s="1715"/>
      <c r="O5" s="1715"/>
      <c r="P5" s="1715"/>
      <c r="Q5" s="1715"/>
      <c r="R5" s="1714"/>
      <c r="S5" s="1714"/>
      <c r="T5" s="1714"/>
      <c r="U5" s="1714"/>
      <c r="V5" s="1714"/>
      <c r="W5" s="1714"/>
      <c r="X5" s="1714"/>
      <c r="Y5" s="1714"/>
      <c r="Z5" s="1714"/>
      <c r="AA5" s="1714"/>
      <c r="AB5" s="1714"/>
      <c r="AC5" s="1714"/>
      <c r="AD5" s="1714"/>
      <c r="AE5" s="1714"/>
      <c r="AF5" s="1714"/>
      <c r="AG5" s="1714"/>
    </row>
    <row r="6" spans="1:36" s="1716" customFormat="1" ht="30" customHeight="1" x14ac:dyDescent="0.2">
      <c r="A6" s="1718" t="s">
        <v>495</v>
      </c>
      <c r="B6" s="1719"/>
      <c r="C6" s="1720" t="s">
        <v>492</v>
      </c>
      <c r="D6" s="1720" t="s">
        <v>493</v>
      </c>
      <c r="E6" s="1720" t="s">
        <v>497</v>
      </c>
      <c r="F6" s="1720" t="s">
        <v>498</v>
      </c>
      <c r="G6" s="1720" t="s">
        <v>499</v>
      </c>
      <c r="H6" s="1721" t="s">
        <v>58</v>
      </c>
      <c r="I6" s="1720" t="s">
        <v>496</v>
      </c>
      <c r="J6" s="1720" t="s">
        <v>490</v>
      </c>
      <c r="K6" s="1720" t="s">
        <v>502</v>
      </c>
      <c r="L6" s="1720" t="s">
        <v>503</v>
      </c>
      <c r="M6" s="1714"/>
      <c r="N6" s="1714"/>
      <c r="O6" s="1714"/>
      <c r="P6" s="1714"/>
      <c r="Q6" s="1714"/>
      <c r="R6" s="1714"/>
      <c r="S6" s="1714"/>
      <c r="T6" s="1714"/>
      <c r="U6" s="1714"/>
      <c r="V6" s="1714"/>
      <c r="W6" s="1714"/>
      <c r="X6" s="1714"/>
      <c r="Y6" s="1714"/>
      <c r="Z6" s="1714"/>
      <c r="AA6" s="1714"/>
      <c r="AB6" s="1714"/>
    </row>
    <row r="7" spans="1:36" s="1725" customFormat="1" ht="20.100000000000001" customHeight="1" x14ac:dyDescent="0.25">
      <c r="A7" s="1722" t="s">
        <v>506</v>
      </c>
      <c r="B7" s="1723"/>
      <c r="C7" s="1724">
        <f>C29</f>
        <v>0.27169724681689489</v>
      </c>
      <c r="D7" s="1724">
        <f>D29</f>
        <v>6.1388021315028553E-2</v>
      </c>
      <c r="E7" s="1724">
        <f>F29</f>
        <v>0.16366608417091336</v>
      </c>
      <c r="F7" s="1724">
        <f>H29</f>
        <v>0.13715151299109149</v>
      </c>
      <c r="G7" s="1724">
        <f>J29</f>
        <v>0.13584862340844744</v>
      </c>
      <c r="H7" s="1724">
        <f>L29</f>
        <v>1.4106018173902361E-2</v>
      </c>
      <c r="I7" s="1724">
        <f>N29</f>
        <v>2.7169724681689489E-2</v>
      </c>
      <c r="J7" s="1724">
        <f>P29</f>
        <v>1.3584862340844744E-2</v>
      </c>
      <c r="K7" s="1724">
        <f>R29</f>
        <v>2.6190889582644043E-2</v>
      </c>
      <c r="L7" s="1724">
        <f>T29</f>
        <v>0</v>
      </c>
      <c r="M7" s="1717"/>
      <c r="N7" s="1717"/>
      <c r="O7" s="1717"/>
      <c r="P7" s="1717"/>
      <c r="Q7" s="1717"/>
      <c r="R7" s="1717"/>
      <c r="S7" s="1717"/>
      <c r="T7" s="1717"/>
      <c r="U7" s="1717"/>
      <c r="V7" s="1717"/>
      <c r="W7" s="1717"/>
      <c r="X7" s="1717"/>
      <c r="Y7" s="1717"/>
      <c r="Z7" s="1717"/>
      <c r="AA7" s="1717"/>
      <c r="AB7" s="1717"/>
    </row>
    <row r="8" spans="1:36" s="1725" customFormat="1" ht="20.100000000000001" customHeight="1" x14ac:dyDescent="0.25">
      <c r="A8" s="1722" t="s">
        <v>418</v>
      </c>
      <c r="B8" s="1723"/>
      <c r="C8" s="1726"/>
      <c r="D8" s="1727"/>
      <c r="E8" s="1724"/>
      <c r="F8" s="1724"/>
      <c r="G8" s="1724"/>
      <c r="H8" s="1724"/>
      <c r="I8" s="1724"/>
      <c r="J8" s="1724">
        <f>F35*G35</f>
        <v>0.32499999999999996</v>
      </c>
      <c r="K8" s="1724"/>
      <c r="L8" s="1724"/>
      <c r="M8" s="1717"/>
      <c r="N8" s="1717"/>
      <c r="O8" s="1717"/>
      <c r="P8" s="1717"/>
      <c r="Q8" s="1717"/>
      <c r="R8" s="1717"/>
      <c r="S8" s="1717"/>
      <c r="T8" s="1717"/>
      <c r="U8" s="1717"/>
      <c r="V8" s="1717"/>
      <c r="W8" s="1717"/>
      <c r="X8" s="1717"/>
      <c r="Y8" s="1717"/>
      <c r="Z8" s="1717"/>
      <c r="AA8" s="1717"/>
      <c r="AB8" s="1717"/>
    </row>
    <row r="9" spans="1:36" s="1725" customFormat="1" ht="20.100000000000001" customHeight="1" x14ac:dyDescent="0.25">
      <c r="A9" s="1722" t="s">
        <v>512</v>
      </c>
      <c r="B9" s="1723"/>
      <c r="C9" s="1724">
        <f t="shared" ref="C9:L9" si="0">C7+C8</f>
        <v>0.27169724681689489</v>
      </c>
      <c r="D9" s="1724">
        <f t="shared" si="0"/>
        <v>6.1388021315028553E-2</v>
      </c>
      <c r="E9" s="1724">
        <f t="shared" si="0"/>
        <v>0.16366608417091336</v>
      </c>
      <c r="F9" s="1724">
        <f t="shared" si="0"/>
        <v>0.13715151299109149</v>
      </c>
      <c r="G9" s="1724">
        <f t="shared" si="0"/>
        <v>0.13584862340844744</v>
      </c>
      <c r="H9" s="1724">
        <f t="shared" si="0"/>
        <v>1.4106018173902361E-2</v>
      </c>
      <c r="I9" s="1724">
        <f t="shared" si="0"/>
        <v>2.7169724681689489E-2</v>
      </c>
      <c r="J9" s="1724">
        <f t="shared" si="0"/>
        <v>0.33858486234084473</v>
      </c>
      <c r="K9" s="1724">
        <f t="shared" si="0"/>
        <v>2.6190889582644043E-2</v>
      </c>
      <c r="L9" s="1724">
        <f t="shared" si="0"/>
        <v>0</v>
      </c>
      <c r="M9" s="1717"/>
      <c r="N9" s="1717"/>
      <c r="O9" s="1717"/>
      <c r="P9" s="1717"/>
      <c r="Q9" s="1717"/>
      <c r="R9" s="1717"/>
      <c r="S9" s="1717"/>
      <c r="T9" s="1717"/>
      <c r="U9" s="1717"/>
      <c r="V9" s="1717"/>
      <c r="W9" s="1717"/>
      <c r="X9" s="1717"/>
      <c r="Y9" s="1717"/>
      <c r="Z9" s="1717"/>
      <c r="AA9" s="1717"/>
      <c r="AB9" s="1717"/>
    </row>
    <row r="10" spans="1:36" s="1725" customFormat="1" ht="26.25" customHeight="1" x14ac:dyDescent="0.25">
      <c r="A10" s="1722" t="s">
        <v>513</v>
      </c>
      <c r="B10" s="1723"/>
      <c r="C10" s="1726"/>
      <c r="D10" s="1726"/>
      <c r="E10" s="1724"/>
      <c r="F10" s="1724"/>
      <c r="G10" s="1724"/>
      <c r="H10" s="1724"/>
      <c r="I10" s="1724"/>
      <c r="J10" s="1724"/>
      <c r="K10" s="1724"/>
      <c r="L10" s="1724"/>
      <c r="M10" s="1717"/>
      <c r="N10" s="1717"/>
      <c r="O10" s="1717"/>
      <c r="P10" s="1717"/>
      <c r="Q10" s="1717"/>
      <c r="R10" s="1717"/>
      <c r="S10" s="1717"/>
      <c r="T10" s="1717"/>
      <c r="U10" s="1717"/>
      <c r="V10" s="1717"/>
      <c r="W10" s="1717"/>
      <c r="X10" s="1717"/>
      <c r="Y10" s="1717"/>
      <c r="Z10" s="1717"/>
      <c r="AA10" s="1717"/>
      <c r="AB10" s="1717"/>
    </row>
    <row r="11" spans="1:36" s="1716" customFormat="1" ht="26.25" customHeight="1" x14ac:dyDescent="0.4">
      <c r="A11" s="1712"/>
      <c r="B11" s="1713"/>
      <c r="C11" s="1714"/>
      <c r="D11" s="1715"/>
      <c r="E11" s="1715"/>
      <c r="F11" s="1715"/>
      <c r="G11" s="1715"/>
      <c r="H11" s="1715"/>
      <c r="I11" s="1715"/>
      <c r="J11" s="1715"/>
      <c r="K11" s="1715"/>
      <c r="L11" s="1715"/>
      <c r="M11" s="1714"/>
      <c r="N11" s="1714"/>
      <c r="O11" s="1714"/>
      <c r="P11" s="1714"/>
      <c r="Q11" s="1714"/>
      <c r="R11" s="1714"/>
      <c r="S11" s="1714"/>
      <c r="T11" s="1714"/>
      <c r="U11" s="1714"/>
      <c r="V11" s="1714"/>
      <c r="W11" s="1714"/>
      <c r="X11" s="1714"/>
      <c r="Y11" s="1714"/>
      <c r="Z11" s="1714"/>
      <c r="AA11" s="1714"/>
      <c r="AB11" s="1714"/>
    </row>
    <row r="12" spans="1:36" s="1716" customFormat="1" ht="26.25" customHeight="1" x14ac:dyDescent="0.4">
      <c r="A12" s="1728" t="s">
        <v>506</v>
      </c>
      <c r="B12" s="1729"/>
      <c r="C12" s="1730"/>
      <c r="D12" s="1714"/>
      <c r="E12" s="1715"/>
      <c r="F12" s="1714"/>
      <c r="G12" s="1715"/>
      <c r="H12" s="1715"/>
      <c r="I12" s="1715"/>
      <c r="J12" s="1715"/>
      <c r="K12" s="1715"/>
      <c r="L12" s="1715"/>
      <c r="M12" s="1715"/>
      <c r="N12" s="1715"/>
      <c r="O12" s="1715"/>
      <c r="P12" s="1715"/>
      <c r="Q12" s="1715"/>
      <c r="R12" s="1715"/>
      <c r="S12" s="1715"/>
      <c r="T12" s="1714"/>
      <c r="U12" s="1714"/>
      <c r="V12" s="1714"/>
      <c r="W12" s="1714"/>
      <c r="X12" s="1714"/>
      <c r="Y12" s="1714"/>
      <c r="Z12" s="1714"/>
      <c r="AA12" s="1714"/>
      <c r="AB12" s="1714"/>
      <c r="AC12" s="1714"/>
      <c r="AD12" s="1714"/>
      <c r="AE12" s="1714"/>
      <c r="AF12" s="1714"/>
      <c r="AG12" s="1714"/>
      <c r="AH12" s="1714"/>
      <c r="AI12" s="1714"/>
    </row>
    <row r="13" spans="1:36" s="1716" customFormat="1" ht="20.100000000000001" customHeight="1" x14ac:dyDescent="0.2">
      <c r="A13" s="1714" t="s">
        <v>488</v>
      </c>
      <c r="B13" s="1713"/>
      <c r="C13" s="1714"/>
      <c r="D13" s="1714"/>
      <c r="E13" s="1715"/>
      <c r="F13" s="1714" t="s">
        <v>560</v>
      </c>
      <c r="G13" s="1715"/>
      <c r="H13" s="1715"/>
      <c r="I13" s="1715"/>
      <c r="J13" s="1715"/>
      <c r="K13" s="1715"/>
      <c r="L13" s="1715"/>
      <c r="M13" s="1715"/>
      <c r="N13" s="1715"/>
      <c r="O13" s="1715"/>
      <c r="P13" s="1715"/>
      <c r="Q13" s="1715"/>
      <c r="R13" s="1715"/>
      <c r="S13" s="1715"/>
      <c r="T13" s="1715"/>
      <c r="U13" s="1714"/>
      <c r="V13" s="1714"/>
      <c r="W13" s="1714"/>
      <c r="X13" s="1714"/>
      <c r="Y13" s="1714"/>
      <c r="Z13" s="1714"/>
      <c r="AA13" s="1714"/>
      <c r="AB13" s="1714"/>
      <c r="AC13" s="1714"/>
      <c r="AD13" s="1714"/>
      <c r="AE13" s="1714"/>
      <c r="AF13" s="1714"/>
      <c r="AG13" s="1714"/>
      <c r="AH13" s="1714"/>
      <c r="AI13" s="1714"/>
      <c r="AJ13" s="1714"/>
    </row>
    <row r="14" spans="1:36" s="1716" customFormat="1" ht="20.100000000000001" customHeight="1" x14ac:dyDescent="0.2">
      <c r="A14" s="1714" t="s">
        <v>500</v>
      </c>
      <c r="B14" s="1713"/>
      <c r="C14" s="1714"/>
      <c r="D14" s="1714"/>
      <c r="E14" s="1715"/>
      <c r="F14" s="1714"/>
      <c r="G14" s="1715"/>
      <c r="H14" s="1715"/>
      <c r="I14" s="1715"/>
      <c r="J14" s="1715"/>
      <c r="K14" s="1715"/>
      <c r="L14" s="1715"/>
      <c r="M14" s="1715"/>
      <c r="N14" s="1715"/>
      <c r="O14" s="1715"/>
      <c r="P14" s="1715"/>
      <c r="Q14" s="1715"/>
      <c r="R14" s="1715"/>
      <c r="S14" s="1715"/>
      <c r="T14" s="1715"/>
      <c r="U14" s="1714"/>
      <c r="V14" s="1714"/>
      <c r="W14" s="1714"/>
      <c r="X14" s="1714"/>
      <c r="Y14" s="1714"/>
      <c r="Z14" s="1714"/>
      <c r="AA14" s="1714"/>
      <c r="AB14" s="1714"/>
      <c r="AC14" s="1714"/>
      <c r="AD14" s="1714"/>
      <c r="AE14" s="1714"/>
      <c r="AF14" s="1714"/>
      <c r="AG14" s="1714"/>
      <c r="AH14" s="1714"/>
      <c r="AI14" s="1714"/>
      <c r="AJ14" s="1714"/>
    </row>
    <row r="15" spans="1:36" s="1716" customFormat="1" ht="15" customHeight="1" x14ac:dyDescent="0.2">
      <c r="A15" s="1714"/>
      <c r="B15" s="1713"/>
      <c r="C15" s="1714"/>
      <c r="D15" s="1714"/>
      <c r="E15" s="1715"/>
      <c r="F15" s="1714"/>
      <c r="G15" s="1715"/>
      <c r="H15" s="1715"/>
      <c r="I15" s="1715"/>
      <c r="J15" s="1715"/>
      <c r="K15" s="1715"/>
      <c r="L15" s="1715"/>
      <c r="M15" s="1715"/>
      <c r="N15" s="1715"/>
      <c r="O15" s="1715"/>
      <c r="P15" s="1715"/>
      <c r="Q15" s="1715"/>
      <c r="R15" s="1715"/>
      <c r="S15" s="1715"/>
      <c r="T15" s="1715"/>
      <c r="U15" s="1714"/>
      <c r="V15" s="1714"/>
      <c r="W15" s="1714"/>
      <c r="X15" s="1714"/>
      <c r="Y15" s="1714"/>
      <c r="Z15" s="1714"/>
      <c r="AA15" s="1714"/>
      <c r="AB15" s="1714"/>
      <c r="AC15" s="1714"/>
      <c r="AD15" s="1714"/>
      <c r="AE15" s="1714"/>
      <c r="AF15" s="1714"/>
      <c r="AG15" s="1714"/>
      <c r="AH15" s="1714"/>
      <c r="AI15" s="1714"/>
      <c r="AJ15" s="1714"/>
    </row>
    <row r="16" spans="1:36" s="1716" customFormat="1" ht="30" customHeight="1" x14ac:dyDescent="0.2">
      <c r="A16" s="1718" t="s">
        <v>495</v>
      </c>
      <c r="B16" s="1731" t="s">
        <v>501</v>
      </c>
      <c r="C16" s="1720" t="s">
        <v>492</v>
      </c>
      <c r="D16" s="1720" t="s">
        <v>493</v>
      </c>
      <c r="E16" s="1975" t="s">
        <v>497</v>
      </c>
      <c r="F16" s="1975"/>
      <c r="G16" s="1975" t="s">
        <v>498</v>
      </c>
      <c r="H16" s="1975"/>
      <c r="I16" s="1975" t="s">
        <v>499</v>
      </c>
      <c r="J16" s="1975"/>
      <c r="K16" s="1978" t="s">
        <v>58</v>
      </c>
      <c r="L16" s="1979"/>
      <c r="M16" s="1975" t="s">
        <v>496</v>
      </c>
      <c r="N16" s="1975"/>
      <c r="O16" s="1975" t="s">
        <v>490</v>
      </c>
      <c r="P16" s="1975"/>
      <c r="Q16" s="1975" t="s">
        <v>502</v>
      </c>
      <c r="R16" s="1975"/>
      <c r="S16" s="1975" t="s">
        <v>503</v>
      </c>
      <c r="T16" s="1975"/>
      <c r="U16" s="1714"/>
      <c r="V16" s="1714"/>
      <c r="W16" s="1714"/>
      <c r="X16" s="1714"/>
      <c r="Y16" s="1714"/>
      <c r="Z16" s="1714"/>
      <c r="AA16" s="1714"/>
      <c r="AB16" s="1714"/>
      <c r="AC16" s="1714"/>
      <c r="AD16" s="1714"/>
      <c r="AE16" s="1714"/>
      <c r="AF16" s="1714"/>
      <c r="AG16" s="1714"/>
      <c r="AH16" s="1714"/>
      <c r="AI16" s="1714"/>
      <c r="AJ16" s="1714"/>
    </row>
    <row r="17" spans="1:36" s="1716" customFormat="1" ht="20.100000000000001" customHeight="1" x14ac:dyDescent="0.4">
      <c r="A17" s="1732"/>
      <c r="B17" s="1733"/>
      <c r="C17" s="1734"/>
      <c r="D17" s="1734"/>
      <c r="E17" s="1734"/>
      <c r="F17" s="1734" t="s">
        <v>494</v>
      </c>
      <c r="G17" s="1734"/>
      <c r="H17" s="1734" t="s">
        <v>494</v>
      </c>
      <c r="I17" s="1734"/>
      <c r="J17" s="1734" t="s">
        <v>494</v>
      </c>
      <c r="K17" s="1734"/>
      <c r="L17" s="1734" t="s">
        <v>494</v>
      </c>
      <c r="M17" s="1734"/>
      <c r="N17" s="1734" t="s">
        <v>494</v>
      </c>
      <c r="O17" s="1734"/>
      <c r="P17" s="1734" t="s">
        <v>494</v>
      </c>
      <c r="Q17" s="1734"/>
      <c r="R17" s="1734" t="s">
        <v>494</v>
      </c>
      <c r="S17" s="1734"/>
      <c r="T17" s="1734" t="s">
        <v>494</v>
      </c>
      <c r="U17" s="1714"/>
      <c r="V17" s="1714"/>
      <c r="W17" s="1714"/>
      <c r="X17" s="1714"/>
      <c r="Y17" s="1714"/>
      <c r="Z17" s="1714"/>
      <c r="AA17" s="1714"/>
      <c r="AB17" s="1714"/>
      <c r="AC17" s="1714"/>
      <c r="AD17" s="1714"/>
      <c r="AE17" s="1714"/>
      <c r="AF17" s="1714"/>
      <c r="AG17" s="1714"/>
      <c r="AH17" s="1714"/>
      <c r="AI17" s="1714"/>
      <c r="AJ17" s="1714"/>
    </row>
    <row r="18" spans="1:36" s="1716" customFormat="1" ht="20.100000000000001" hidden="1" customHeight="1" x14ac:dyDescent="0.4">
      <c r="A18" s="1735"/>
      <c r="B18" s="1736"/>
      <c r="C18" s="1737"/>
      <c r="D18" s="1737"/>
      <c r="E18" s="1737"/>
      <c r="F18" s="1737"/>
      <c r="G18" s="1737"/>
      <c r="H18" s="1737"/>
      <c r="I18" s="1737"/>
      <c r="J18" s="1737"/>
      <c r="K18" s="1737"/>
      <c r="L18" s="1737"/>
      <c r="M18" s="1737"/>
      <c r="N18" s="1737"/>
      <c r="O18" s="1737"/>
      <c r="P18" s="1737"/>
      <c r="Q18" s="1737"/>
      <c r="R18" s="1737"/>
      <c r="S18" s="1737"/>
      <c r="T18" s="1737"/>
      <c r="U18" s="1714"/>
      <c r="V18" s="1714"/>
      <c r="W18" s="1714"/>
      <c r="X18" s="1714"/>
      <c r="Y18" s="1714"/>
      <c r="Z18" s="1714"/>
      <c r="AA18" s="1714"/>
      <c r="AB18" s="1714"/>
      <c r="AC18" s="1714"/>
      <c r="AD18" s="1714"/>
      <c r="AE18" s="1714"/>
      <c r="AF18" s="1714"/>
      <c r="AG18" s="1714"/>
      <c r="AH18" s="1714"/>
      <c r="AI18" s="1714"/>
      <c r="AJ18" s="1714"/>
    </row>
    <row r="19" spans="1:36" s="1725" customFormat="1" ht="20.100000000000001" customHeight="1" x14ac:dyDescent="0.25">
      <c r="A19" s="1738" t="s">
        <v>51</v>
      </c>
      <c r="B19" s="1739">
        <f>AVERAGE(Samenvatting!E13:E122)</f>
        <v>0.27169724681689489</v>
      </c>
      <c r="C19" s="1724">
        <f>AVERAGE(Samenvatting!E13:E121)</f>
        <v>0.27169724681689489</v>
      </c>
      <c r="D19" s="1726"/>
      <c r="E19" s="1740">
        <v>0.5</v>
      </c>
      <c r="F19" s="1724">
        <f t="shared" ref="F19:F24" si="1">$B19*E19</f>
        <v>0.13584862340844744</v>
      </c>
      <c r="G19" s="1740">
        <v>0.5</v>
      </c>
      <c r="H19" s="1724">
        <f>$B19*G19</f>
        <v>0.13584862340844744</v>
      </c>
      <c r="I19" s="1740">
        <v>0.5</v>
      </c>
      <c r="J19" s="1724">
        <f>$B19*I19</f>
        <v>0.13584862340844744</v>
      </c>
      <c r="K19" s="1740">
        <v>0.05</v>
      </c>
      <c r="L19" s="1724">
        <f>$B19*K19</f>
        <v>1.3584862340844744E-2</v>
      </c>
      <c r="M19" s="1740">
        <v>0.1</v>
      </c>
      <c r="N19" s="1724">
        <f>$B19*M19</f>
        <v>2.7169724681689489E-2</v>
      </c>
      <c r="O19" s="1740">
        <v>0.05</v>
      </c>
      <c r="P19" s="1724">
        <f>$B19*O19</f>
        <v>1.3584862340844744E-2</v>
      </c>
      <c r="Q19" s="1740"/>
      <c r="R19" s="1724"/>
      <c r="S19" s="1740"/>
      <c r="T19" s="1724"/>
      <c r="U19" s="1717"/>
      <c r="V19" s="1717"/>
      <c r="W19" s="1717"/>
      <c r="X19" s="1717"/>
      <c r="Y19" s="1717"/>
      <c r="Z19" s="1717"/>
      <c r="AA19" s="1717"/>
      <c r="AB19" s="1717"/>
      <c r="AC19" s="1717"/>
      <c r="AD19" s="1717"/>
      <c r="AE19" s="1717"/>
      <c r="AF19" s="1717"/>
      <c r="AG19" s="1717"/>
      <c r="AH19" s="1717"/>
      <c r="AI19" s="1717"/>
      <c r="AJ19" s="1717"/>
    </row>
    <row r="20" spans="1:36" s="1725" customFormat="1" ht="20.100000000000001" customHeight="1" x14ac:dyDescent="0.25">
      <c r="A20" s="1738" t="s">
        <v>43</v>
      </c>
      <c r="B20" s="1739">
        <f>Samenvatting!E247</f>
        <v>6.1388021315028553E-2</v>
      </c>
      <c r="C20" s="1726"/>
      <c r="D20" s="1727">
        <f>Samenvatting!E247</f>
        <v>6.1388021315028553E-2</v>
      </c>
      <c r="E20" s="1740">
        <v>0.1</v>
      </c>
      <c r="F20" s="1724">
        <f t="shared" si="1"/>
        <v>6.138802131502856E-3</v>
      </c>
      <c r="G20" s="1740"/>
      <c r="H20" s="1724"/>
      <c r="I20" s="1740"/>
      <c r="J20" s="1724"/>
      <c r="K20" s="1740"/>
      <c r="L20" s="1724"/>
      <c r="M20" s="1740"/>
      <c r="N20" s="1724"/>
      <c r="O20" s="1740"/>
      <c r="P20" s="1724"/>
      <c r="Q20" s="1740"/>
      <c r="R20" s="1724"/>
      <c r="S20" s="1740"/>
      <c r="T20" s="1724"/>
      <c r="U20" s="1717"/>
      <c r="V20" s="1717"/>
      <c r="W20" s="1717"/>
      <c r="X20" s="1717"/>
      <c r="Y20" s="1717"/>
      <c r="Z20" s="1717"/>
      <c r="AA20" s="1717"/>
      <c r="AB20" s="1717"/>
      <c r="AC20" s="1717"/>
      <c r="AD20" s="1717"/>
      <c r="AE20" s="1717"/>
      <c r="AF20" s="1717"/>
      <c r="AG20" s="1717"/>
      <c r="AH20" s="1717"/>
      <c r="AI20" s="1717"/>
      <c r="AJ20" s="1717"/>
    </row>
    <row r="21" spans="1:36" s="1725" customFormat="1" ht="20.100000000000001" customHeight="1" x14ac:dyDescent="0.25">
      <c r="A21" s="1738" t="s">
        <v>91</v>
      </c>
      <c r="B21" s="1739">
        <f>Samenvatting!E249</f>
        <v>7.7543602437888139E-3</v>
      </c>
      <c r="C21" s="1726"/>
      <c r="D21" s="1726"/>
      <c r="E21" s="1740">
        <v>0.1</v>
      </c>
      <c r="F21" s="1724">
        <f t="shared" si="1"/>
        <v>7.7543602437888141E-4</v>
      </c>
      <c r="G21" s="1740"/>
      <c r="H21" s="1724"/>
      <c r="I21" s="1740"/>
      <c r="J21" s="1724"/>
      <c r="K21" s="1740"/>
      <c r="L21" s="1724"/>
      <c r="M21" s="1740"/>
      <c r="N21" s="1724"/>
      <c r="O21" s="1740"/>
      <c r="P21" s="1724"/>
      <c r="Q21" s="1740"/>
      <c r="R21" s="1724"/>
      <c r="S21" s="1740"/>
      <c r="T21" s="1724"/>
      <c r="U21" s="1717"/>
      <c r="V21" s="1717"/>
      <c r="W21" s="1717"/>
      <c r="X21" s="1717"/>
      <c r="Y21" s="1717"/>
      <c r="Z21" s="1717"/>
      <c r="AA21" s="1717"/>
      <c r="AB21" s="1717"/>
      <c r="AC21" s="1717"/>
      <c r="AD21" s="1717"/>
      <c r="AE21" s="1717"/>
      <c r="AF21" s="1717"/>
      <c r="AG21" s="1717"/>
      <c r="AH21" s="1717"/>
      <c r="AI21" s="1717"/>
      <c r="AJ21" s="1717"/>
    </row>
    <row r="22" spans="1:36" s="1725" customFormat="1" ht="26.25" customHeight="1" x14ac:dyDescent="0.25">
      <c r="A22" s="1738" t="s">
        <v>57</v>
      </c>
      <c r="B22" s="1739">
        <f>Samenvatting!E252</f>
        <v>2.6057791652880826E-3</v>
      </c>
      <c r="C22" s="1726"/>
      <c r="D22" s="1726"/>
      <c r="E22" s="1740">
        <v>1</v>
      </c>
      <c r="F22" s="1724">
        <f t="shared" si="1"/>
        <v>2.6057791652880826E-3</v>
      </c>
      <c r="G22" s="1740">
        <v>0.5</v>
      </c>
      <c r="H22" s="1724">
        <f>$B22*G22</f>
        <v>1.3028895826440413E-3</v>
      </c>
      <c r="I22" s="1740"/>
      <c r="J22" s="1724"/>
      <c r="K22" s="1740">
        <v>0.2</v>
      </c>
      <c r="L22" s="1724">
        <f>$B22*K22</f>
        <v>5.2115583305761652E-4</v>
      </c>
      <c r="M22" s="1740"/>
      <c r="N22" s="1724"/>
      <c r="O22" s="1740"/>
      <c r="P22" s="1724"/>
      <c r="Q22" s="1740">
        <v>0.5</v>
      </c>
      <c r="R22" s="1724">
        <f>$B22*Q22</f>
        <v>1.3028895826440413E-3</v>
      </c>
      <c r="S22" s="1740"/>
      <c r="T22" s="1724">
        <f>$B22*S22</f>
        <v>0</v>
      </c>
      <c r="U22" s="1717"/>
      <c r="V22" s="1717"/>
      <c r="W22" s="1717"/>
      <c r="X22" s="1717"/>
      <c r="Y22" s="1717"/>
      <c r="Z22" s="1717"/>
      <c r="AA22" s="1717"/>
      <c r="AB22" s="1717"/>
      <c r="AC22" s="1717"/>
      <c r="AD22" s="1717"/>
      <c r="AE22" s="1717"/>
      <c r="AF22" s="1717"/>
      <c r="AG22" s="1717"/>
      <c r="AH22" s="1717"/>
      <c r="AI22" s="1717"/>
      <c r="AJ22" s="1717"/>
    </row>
    <row r="23" spans="1:36" s="1725" customFormat="1" ht="26.25" customHeight="1" thickBot="1" x14ac:dyDescent="0.3">
      <c r="A23" s="1738" t="s">
        <v>489</v>
      </c>
      <c r="B23" s="1741">
        <f>Samenvatting!E254</f>
        <v>5.1886882592174345E-4</v>
      </c>
      <c r="C23" s="1726"/>
      <c r="D23" s="1726"/>
      <c r="E23" s="1740">
        <v>0.05</v>
      </c>
      <c r="F23" s="1724">
        <f t="shared" si="1"/>
        <v>2.5943441296087175E-5</v>
      </c>
      <c r="G23" s="1740"/>
      <c r="H23" s="1724"/>
      <c r="I23" s="1740"/>
      <c r="J23" s="1724"/>
      <c r="K23" s="1740"/>
      <c r="L23" s="1724"/>
      <c r="M23" s="1740"/>
      <c r="N23" s="1724"/>
      <c r="O23" s="1740"/>
      <c r="P23" s="1724"/>
      <c r="Q23" s="1740"/>
      <c r="R23" s="1724"/>
      <c r="S23" s="1740"/>
      <c r="T23" s="1724"/>
      <c r="U23" s="1717"/>
      <c r="V23" s="1717"/>
      <c r="W23" s="1717"/>
      <c r="X23" s="1717"/>
      <c r="Y23" s="1717"/>
      <c r="Z23" s="1717"/>
      <c r="AA23" s="1717"/>
      <c r="AB23" s="1717"/>
      <c r="AC23" s="1717"/>
      <c r="AD23" s="1717"/>
      <c r="AE23" s="1717"/>
      <c r="AF23" s="1717"/>
      <c r="AG23" s="1717"/>
      <c r="AH23" s="1717"/>
      <c r="AI23" s="1717"/>
      <c r="AJ23" s="1717"/>
    </row>
    <row r="24" spans="1:36" s="1725" customFormat="1" ht="26.25" customHeight="1" thickBot="1" x14ac:dyDescent="0.3">
      <c r="A24" s="1742" t="s">
        <v>643</v>
      </c>
      <c r="B24" s="1743">
        <f>Samenvatting!E256</f>
        <v>5.876333333333332E-2</v>
      </c>
      <c r="C24" s="1744"/>
      <c r="D24" s="1726"/>
      <c r="E24" s="1740">
        <v>0.05</v>
      </c>
      <c r="F24" s="1724">
        <f t="shared" si="1"/>
        <v>2.9381666666666662E-3</v>
      </c>
      <c r="G24" s="1740"/>
      <c r="H24" s="1724"/>
      <c r="I24" s="1740"/>
      <c r="J24" s="1724"/>
      <c r="K24" s="1740"/>
      <c r="L24" s="1724"/>
      <c r="M24" s="1740"/>
      <c r="N24" s="1724"/>
      <c r="O24" s="1740"/>
      <c r="P24" s="1724"/>
      <c r="Q24" s="1740"/>
      <c r="R24" s="1724"/>
      <c r="S24" s="1740"/>
      <c r="T24" s="1724"/>
      <c r="U24" s="1717"/>
      <c r="V24" s="1717"/>
      <c r="W24" s="1717"/>
      <c r="X24" s="1717"/>
      <c r="Y24" s="1717"/>
      <c r="Z24" s="1717"/>
      <c r="AA24" s="1717"/>
      <c r="AB24" s="1717"/>
      <c r="AC24" s="1717"/>
      <c r="AD24" s="1717"/>
      <c r="AE24" s="1717"/>
      <c r="AF24" s="1717"/>
      <c r="AG24" s="1717"/>
      <c r="AH24" s="1717"/>
      <c r="AI24" s="1717"/>
      <c r="AJ24" s="1717"/>
    </row>
    <row r="25" spans="1:36" s="1725" customFormat="1" ht="26.25" customHeight="1" x14ac:dyDescent="0.25">
      <c r="A25" s="1738" t="s">
        <v>644</v>
      </c>
      <c r="B25" s="1745">
        <f>Samenvatting!E257</f>
        <v>4.9776000000000001E-2</v>
      </c>
      <c r="C25" s="1726"/>
      <c r="D25" s="1726"/>
      <c r="E25" s="1740"/>
      <c r="F25" s="1724"/>
      <c r="G25" s="1740"/>
      <c r="H25" s="1724"/>
      <c r="I25" s="1740"/>
      <c r="J25" s="1724"/>
      <c r="K25" s="1740"/>
      <c r="L25" s="1724"/>
      <c r="M25" s="1740"/>
      <c r="N25" s="1724"/>
      <c r="O25" s="1740"/>
      <c r="P25" s="1724"/>
      <c r="Q25" s="1740">
        <v>0.5</v>
      </c>
      <c r="R25" s="1724">
        <f>$B25*Q25</f>
        <v>2.4888E-2</v>
      </c>
      <c r="S25" s="1740"/>
      <c r="T25" s="1724">
        <f>$B25*S25</f>
        <v>0</v>
      </c>
      <c r="U25" s="1717"/>
      <c r="V25" s="1717"/>
      <c r="W25" s="1717"/>
      <c r="X25" s="1717"/>
      <c r="Y25" s="1717"/>
      <c r="Z25" s="1717"/>
      <c r="AA25" s="1717"/>
      <c r="AB25" s="1717"/>
      <c r="AC25" s="1717"/>
      <c r="AD25" s="1717"/>
      <c r="AE25" s="1717"/>
      <c r="AF25" s="1717"/>
      <c r="AG25" s="1717"/>
      <c r="AH25" s="1717"/>
      <c r="AI25" s="1717"/>
      <c r="AJ25" s="1717"/>
    </row>
    <row r="26" spans="1:36" s="1725" customFormat="1" ht="26.25" customHeight="1" x14ac:dyDescent="0.25">
      <c r="A26" s="1738" t="s">
        <v>96</v>
      </c>
      <c r="B26" s="1739">
        <f>Samenvatting!E259</f>
        <v>0.3066666666666667</v>
      </c>
      <c r="C26" s="1726"/>
      <c r="D26" s="1726"/>
      <c r="E26" s="1740">
        <v>0.05</v>
      </c>
      <c r="F26" s="1724">
        <f>$B26*E26</f>
        <v>1.5333333333333336E-2</v>
      </c>
      <c r="G26" s="1740"/>
      <c r="H26" s="1724"/>
      <c r="I26" s="1740"/>
      <c r="J26" s="1724"/>
      <c r="K26" s="1740"/>
      <c r="L26" s="1724"/>
      <c r="M26" s="1740"/>
      <c r="N26" s="1724"/>
      <c r="O26" s="1740"/>
      <c r="P26" s="1724"/>
      <c r="Q26" s="1740"/>
      <c r="R26" s="1724"/>
      <c r="S26" s="1740"/>
      <c r="T26" s="1724"/>
      <c r="U26" s="1717"/>
      <c r="V26" s="1717"/>
      <c r="W26" s="1717"/>
      <c r="X26" s="1717"/>
      <c r="Y26" s="1717"/>
      <c r="Z26" s="1717"/>
      <c r="AA26" s="1717"/>
      <c r="AB26" s="1717"/>
      <c r="AC26" s="1717"/>
      <c r="AD26" s="1717"/>
      <c r="AE26" s="1717"/>
      <c r="AF26" s="1717"/>
      <c r="AG26" s="1717"/>
      <c r="AH26" s="1717"/>
      <c r="AI26" s="1717"/>
      <c r="AJ26" s="1717"/>
    </row>
    <row r="27" spans="1:36" s="1725" customFormat="1" ht="26.25" hidden="1" customHeight="1" x14ac:dyDescent="0.25">
      <c r="A27" s="1746"/>
      <c r="B27" s="1747"/>
      <c r="C27" s="1748"/>
      <c r="D27" s="1748"/>
      <c r="E27" s="1749"/>
      <c r="F27" s="1750"/>
      <c r="G27" s="1749"/>
      <c r="H27" s="1750"/>
      <c r="I27" s="1749"/>
      <c r="J27" s="1750"/>
      <c r="K27" s="1749"/>
      <c r="L27" s="1750"/>
      <c r="M27" s="1749"/>
      <c r="N27" s="1750"/>
      <c r="O27" s="1749"/>
      <c r="P27" s="1750"/>
      <c r="Q27" s="1749"/>
      <c r="R27" s="1750"/>
      <c r="S27" s="1749"/>
      <c r="T27" s="1750"/>
      <c r="U27" s="1717"/>
      <c r="V27" s="1717"/>
      <c r="W27" s="1717"/>
      <c r="X27" s="1717"/>
      <c r="Y27" s="1717"/>
      <c r="Z27" s="1717"/>
      <c r="AA27" s="1717"/>
      <c r="AB27" s="1717"/>
      <c r="AC27" s="1717"/>
      <c r="AD27" s="1717"/>
      <c r="AE27" s="1717"/>
      <c r="AF27" s="1717"/>
      <c r="AG27" s="1717"/>
      <c r="AH27" s="1717"/>
      <c r="AI27" s="1717"/>
      <c r="AJ27" s="1717"/>
    </row>
    <row r="28" spans="1:36" s="1725" customFormat="1" ht="26.25" hidden="1" customHeight="1" x14ac:dyDescent="0.25">
      <c r="A28" s="1751"/>
      <c r="B28" s="1752"/>
      <c r="C28" s="1753"/>
      <c r="D28" s="1753"/>
      <c r="E28" s="1754"/>
      <c r="F28" s="1755"/>
      <c r="G28" s="1754"/>
      <c r="H28" s="1755"/>
      <c r="I28" s="1754"/>
      <c r="J28" s="1755"/>
      <c r="K28" s="1754"/>
      <c r="L28" s="1755"/>
      <c r="M28" s="1754"/>
      <c r="N28" s="1755"/>
      <c r="O28" s="1754"/>
      <c r="P28" s="1755"/>
      <c r="Q28" s="1754"/>
      <c r="R28" s="1755"/>
      <c r="S28" s="1754"/>
      <c r="T28" s="1755"/>
      <c r="U28" s="1717"/>
      <c r="V28" s="1717"/>
      <c r="W28" s="1717"/>
      <c r="X28" s="1717"/>
      <c r="Y28" s="1717"/>
      <c r="Z28" s="1717"/>
      <c r="AA28" s="1717"/>
      <c r="AB28" s="1717"/>
      <c r="AC28" s="1717"/>
      <c r="AD28" s="1717"/>
      <c r="AE28" s="1717"/>
      <c r="AF28" s="1717"/>
      <c r="AG28" s="1717"/>
      <c r="AH28" s="1717"/>
      <c r="AI28" s="1717"/>
      <c r="AJ28" s="1717"/>
    </row>
    <row r="29" spans="1:36" s="1716" customFormat="1" ht="26.25" customHeight="1" x14ac:dyDescent="0.2">
      <c r="A29" s="1756" t="s">
        <v>512</v>
      </c>
      <c r="B29" s="1733"/>
      <c r="C29" s="1757">
        <f>SUM(C18:C28)</f>
        <v>0.27169724681689489</v>
      </c>
      <c r="D29" s="1757">
        <f>SUM(D18:D28)</f>
        <v>6.1388021315028553E-2</v>
      </c>
      <c r="E29" s="1734"/>
      <c r="F29" s="1757">
        <f>SUM(F18:F28)</f>
        <v>0.16366608417091336</v>
      </c>
      <c r="G29" s="1734"/>
      <c r="H29" s="1757">
        <f>SUM(H18:H28)</f>
        <v>0.13715151299109149</v>
      </c>
      <c r="I29" s="1734"/>
      <c r="J29" s="1757">
        <f>SUM(J18:J28)</f>
        <v>0.13584862340844744</v>
      </c>
      <c r="K29" s="1734"/>
      <c r="L29" s="1757">
        <f>SUM(L18:L28)</f>
        <v>1.4106018173902361E-2</v>
      </c>
      <c r="M29" s="1734"/>
      <c r="N29" s="1757">
        <f>SUM(N18:N28)</f>
        <v>2.7169724681689489E-2</v>
      </c>
      <c r="O29" s="1734"/>
      <c r="P29" s="1757">
        <f>SUM(P18:P28)</f>
        <v>1.3584862340844744E-2</v>
      </c>
      <c r="Q29" s="1734"/>
      <c r="R29" s="1757">
        <f>SUM(R18:R28)</f>
        <v>2.6190889582644043E-2</v>
      </c>
      <c r="S29" s="1734"/>
      <c r="T29" s="1757">
        <f>SUM(T18:T28)</f>
        <v>0</v>
      </c>
      <c r="U29" s="1714"/>
      <c r="V29" s="1714"/>
      <c r="W29" s="1714"/>
      <c r="X29" s="1714"/>
      <c r="Y29" s="1714"/>
      <c r="Z29" s="1714"/>
      <c r="AA29" s="1714"/>
      <c r="AB29" s="1714"/>
      <c r="AC29" s="1714"/>
      <c r="AD29" s="1714"/>
      <c r="AE29" s="1714"/>
      <c r="AF29" s="1714"/>
      <c r="AG29" s="1714"/>
      <c r="AH29" s="1714"/>
      <c r="AI29" s="1714"/>
      <c r="AJ29" s="1714"/>
    </row>
    <row r="30" spans="1:36" s="1716" customFormat="1" ht="26.25" customHeight="1" x14ac:dyDescent="0.4">
      <c r="A30" s="1712"/>
      <c r="B30" s="1713"/>
      <c r="C30" s="1714"/>
      <c r="D30" s="1714"/>
      <c r="E30" s="1715"/>
      <c r="F30" s="1714"/>
      <c r="G30" s="1715"/>
      <c r="H30" s="1715"/>
      <c r="I30" s="1715"/>
      <c r="J30" s="1715"/>
      <c r="K30" s="1715"/>
      <c r="L30" s="1715"/>
      <c r="M30" s="1715"/>
      <c r="N30" s="1715"/>
      <c r="O30" s="1715"/>
      <c r="P30" s="1715"/>
      <c r="Q30" s="1715"/>
      <c r="R30" s="1715"/>
      <c r="S30" s="1715"/>
      <c r="T30" s="1715"/>
      <c r="U30" s="1714"/>
      <c r="V30" s="1714"/>
      <c r="W30" s="1714"/>
      <c r="X30" s="1714"/>
      <c r="Y30" s="1714"/>
      <c r="Z30" s="1714"/>
      <c r="AA30" s="1714"/>
      <c r="AB30" s="1714"/>
      <c r="AC30" s="1714"/>
      <c r="AD30" s="1714"/>
      <c r="AE30" s="1714"/>
      <c r="AF30" s="1714"/>
      <c r="AG30" s="1714"/>
      <c r="AH30" s="1714"/>
      <c r="AI30" s="1714"/>
      <c r="AJ30" s="1714"/>
    </row>
    <row r="31" spans="1:36" s="1716" customFormat="1" ht="26.25" customHeight="1" x14ac:dyDescent="0.4">
      <c r="A31" s="1758" t="s">
        <v>418</v>
      </c>
      <c r="B31" s="1759"/>
      <c r="C31" s="1760"/>
      <c r="E31" s="1761"/>
      <c r="F31" s="1762"/>
      <c r="G31" s="1763"/>
      <c r="H31" s="1763"/>
      <c r="I31" s="1763"/>
      <c r="J31" s="1763"/>
      <c r="K31" s="1714"/>
      <c r="L31" s="1714"/>
    </row>
    <row r="32" spans="1:36" s="1764" customFormat="1" ht="15" customHeight="1" thickBot="1" x14ac:dyDescent="0.25"/>
    <row r="33" spans="1:36" s="1775" customFormat="1" ht="60" customHeight="1" thickBot="1" x14ac:dyDescent="0.25">
      <c r="A33" s="1765" t="s">
        <v>491</v>
      </c>
      <c r="B33" s="1766" t="s">
        <v>533</v>
      </c>
      <c r="C33" s="1767"/>
      <c r="D33" s="1767"/>
      <c r="E33" s="1767"/>
      <c r="F33" s="1768" t="s">
        <v>509</v>
      </c>
      <c r="G33" s="1769" t="s">
        <v>504</v>
      </c>
      <c r="H33" s="1770" t="s">
        <v>505</v>
      </c>
      <c r="I33" s="1771" t="s">
        <v>492</v>
      </c>
      <c r="J33" s="1772" t="s">
        <v>493</v>
      </c>
      <c r="K33" s="1772" t="s">
        <v>497</v>
      </c>
      <c r="L33" s="1772" t="s">
        <v>498</v>
      </c>
      <c r="M33" s="1772" t="s">
        <v>499</v>
      </c>
      <c r="N33" s="1773" t="s">
        <v>58</v>
      </c>
      <c r="O33" s="1772" t="s">
        <v>496</v>
      </c>
      <c r="P33" s="1772" t="s">
        <v>490</v>
      </c>
      <c r="Q33" s="1772" t="s">
        <v>502</v>
      </c>
      <c r="R33" s="1774" t="s">
        <v>503</v>
      </c>
    </row>
    <row r="34" spans="1:36" s="1775" customFormat="1" ht="30" customHeight="1" x14ac:dyDescent="0.2">
      <c r="A34" s="1776" t="s">
        <v>51</v>
      </c>
      <c r="B34" s="1777" t="str">
        <f>Samenvatting!A265</f>
        <v>achterblijven in bestralingsruimte tijdens bestraling</v>
      </c>
      <c r="C34" s="1778"/>
      <c r="D34" s="1779"/>
      <c r="E34" s="1779"/>
      <c r="F34" s="1780">
        <v>0</v>
      </c>
      <c r="G34" s="1781">
        <f>AVERAGE(Samenvatting!D264:D275)</f>
        <v>2.0625</v>
      </c>
      <c r="H34" s="1782"/>
      <c r="I34" s="1783">
        <f>$F34*$G34</f>
        <v>0</v>
      </c>
      <c r="J34" s="1781"/>
      <c r="K34" s="1781">
        <f>$F34*$G34</f>
        <v>0</v>
      </c>
      <c r="L34" s="1781">
        <f>$F34*$G34</f>
        <v>0</v>
      </c>
      <c r="M34" s="1781">
        <f>$F34*$G34</f>
        <v>0</v>
      </c>
      <c r="N34" s="1781"/>
      <c r="O34" s="1781"/>
      <c r="P34" s="1781"/>
      <c r="Q34" s="1781"/>
      <c r="R34" s="1784"/>
    </row>
    <row r="35" spans="1:36" s="1775" customFormat="1" ht="30" customHeight="1" x14ac:dyDescent="0.2">
      <c r="A35" s="1785"/>
      <c r="B35" s="1786" t="str">
        <f>Samenvatting!A276</f>
        <v>werken in nabijheid geactiveerde target</v>
      </c>
      <c r="C35" s="1778"/>
      <c r="D35" s="1779"/>
      <c r="E35" s="1779"/>
      <c r="F35" s="1780">
        <v>26</v>
      </c>
      <c r="G35" s="1781">
        <f>AVERAGE(Samenvatting!D275:D286)</f>
        <v>1.2499999999999999E-2</v>
      </c>
      <c r="H35" s="1782"/>
      <c r="I35" s="1783"/>
      <c r="J35" s="1781"/>
      <c r="K35" s="1781"/>
      <c r="L35" s="1781"/>
      <c r="M35" s="1781"/>
      <c r="N35" s="1781"/>
      <c r="O35" s="1781"/>
      <c r="P35" s="1781">
        <f>$F35*$G35</f>
        <v>0.32499999999999996</v>
      </c>
      <c r="Q35" s="1781"/>
      <c r="R35" s="1784"/>
    </row>
    <row r="36" spans="1:36" s="1775" customFormat="1" ht="30" customHeight="1" x14ac:dyDescent="0.2">
      <c r="A36" s="1785"/>
      <c r="B36" s="1786" t="str">
        <f>Samenvatting!A287</f>
        <v>werken in nabijheid geactiveerde onderdelen</v>
      </c>
      <c r="C36" s="1778"/>
      <c r="D36" s="1779"/>
      <c r="E36" s="1779"/>
      <c r="F36" s="1780">
        <v>1</v>
      </c>
      <c r="G36" s="1781">
        <f>AVERAGE(Samenvatting!D286:D297)</f>
        <v>2.9999999999999996E-3</v>
      </c>
      <c r="H36" s="1782"/>
      <c r="I36" s="1783"/>
      <c r="J36" s="1781"/>
      <c r="K36" s="1781"/>
      <c r="L36" s="1781"/>
      <c r="M36" s="1781"/>
      <c r="N36" s="1781"/>
      <c r="O36" s="1781"/>
      <c r="P36" s="1781">
        <f>$F36*$G36</f>
        <v>2.9999999999999996E-3</v>
      </c>
      <c r="Q36" s="1781"/>
      <c r="R36" s="1784"/>
    </row>
    <row r="37" spans="1:36" s="1775" customFormat="1" ht="30" customHeight="1" x14ac:dyDescent="0.2">
      <c r="A37" s="1785"/>
      <c r="B37" s="1786" t="str">
        <f>Samenvatting!A298</f>
        <v>werkzaamheden uitvoeren in gecontroleerde ruimte (buiten de bestralingsruimte) terwijl er gestraald word: bv dak wegens reparaties</v>
      </c>
      <c r="C37" s="1787"/>
      <c r="D37" s="1787"/>
      <c r="E37" s="1787"/>
      <c r="F37" s="1780">
        <v>0</v>
      </c>
      <c r="G37" s="1781">
        <f>AVERAGE(Samenvatting!D297:D307)</f>
        <v>1.8104733127211999E-2</v>
      </c>
      <c r="H37" s="1782"/>
      <c r="I37" s="1783"/>
      <c r="J37" s="1781"/>
      <c r="K37" s="1781"/>
      <c r="L37" s="1781"/>
      <c r="M37" s="1781"/>
      <c r="N37" s="1781"/>
      <c r="O37" s="1781"/>
      <c r="P37" s="1781"/>
      <c r="Q37" s="1781"/>
      <c r="R37" s="1784"/>
    </row>
    <row r="38" spans="1:36" s="1775" customFormat="1" ht="30" customHeight="1" x14ac:dyDescent="0.2">
      <c r="A38" s="1788" t="s">
        <v>43</v>
      </c>
      <c r="B38" s="1777" t="s">
        <v>482</v>
      </c>
      <c r="C38" s="1778"/>
      <c r="D38" s="1779"/>
      <c r="E38" s="1779"/>
      <c r="F38" s="1780">
        <v>0</v>
      </c>
      <c r="G38" s="1781">
        <f>Samenvatting!D312</f>
        <v>0</v>
      </c>
      <c r="H38" s="1782"/>
      <c r="I38" s="1783"/>
      <c r="J38" s="1781">
        <f>$F38*$G38</f>
        <v>0</v>
      </c>
      <c r="K38" s="1781"/>
      <c r="L38" s="1781"/>
      <c r="M38" s="1781"/>
      <c r="N38" s="1781"/>
      <c r="O38" s="1781"/>
      <c r="P38" s="1781"/>
      <c r="Q38" s="1781"/>
      <c r="R38" s="1784"/>
    </row>
    <row r="39" spans="1:36" s="1775" customFormat="1" ht="30" customHeight="1" x14ac:dyDescent="0.2">
      <c r="A39" s="1789" t="s">
        <v>91</v>
      </c>
      <c r="B39" s="1777" t="s">
        <v>483</v>
      </c>
      <c r="C39" s="1778"/>
      <c r="D39" s="1779"/>
      <c r="E39" s="1779"/>
      <c r="F39" s="1780">
        <v>0</v>
      </c>
      <c r="G39" s="1781">
        <f>Samenvatting!D314</f>
        <v>0.74125000000000008</v>
      </c>
      <c r="H39" s="1782"/>
      <c r="I39" s="1783"/>
      <c r="J39" s="1781"/>
      <c r="K39" s="1781"/>
      <c r="L39" s="1781"/>
      <c r="M39" s="1781"/>
      <c r="N39" s="1781"/>
      <c r="O39" s="1781"/>
      <c r="P39" s="1781"/>
      <c r="Q39" s="1781"/>
      <c r="R39" s="1784"/>
    </row>
    <row r="40" spans="1:36" s="1775" customFormat="1" ht="30" customHeight="1" x14ac:dyDescent="0.2">
      <c r="A40" s="1976" t="s">
        <v>57</v>
      </c>
      <c r="B40" s="1777" t="s">
        <v>478</v>
      </c>
      <c r="C40" s="1778"/>
      <c r="D40" s="1779"/>
      <c r="E40" s="1779"/>
      <c r="F40" s="1780">
        <v>0</v>
      </c>
      <c r="G40" s="1781">
        <f>Samenvatting!D316</f>
        <v>0.18899999999999997</v>
      </c>
      <c r="H40" s="1782"/>
      <c r="I40" s="1783"/>
      <c r="J40" s="1781"/>
      <c r="K40" s="1781">
        <f>$F40*$G40</f>
        <v>0</v>
      </c>
      <c r="L40" s="1781">
        <f>$F40*$G40</f>
        <v>0</v>
      </c>
      <c r="M40" s="1781"/>
      <c r="N40" s="1757"/>
      <c r="O40" s="1781"/>
      <c r="P40" s="1781"/>
      <c r="Q40" s="1781"/>
      <c r="R40" s="1784"/>
    </row>
    <row r="41" spans="1:36" s="1775" customFormat="1" ht="30" customHeight="1" x14ac:dyDescent="0.2">
      <c r="A41" s="1977"/>
      <c r="B41" s="1777" t="s">
        <v>484</v>
      </c>
      <c r="C41" s="1778"/>
      <c r="D41" s="1779"/>
      <c r="E41" s="1779"/>
      <c r="F41" s="1780">
        <v>0</v>
      </c>
      <c r="G41" s="1790">
        <f>Samenvatting!D317</f>
        <v>1.0425</v>
      </c>
      <c r="H41" s="1782"/>
      <c r="I41" s="1783"/>
      <c r="J41" s="1781"/>
      <c r="K41" s="1781">
        <f>$F41*$G41</f>
        <v>0</v>
      </c>
      <c r="L41" s="1781">
        <f>$F41*$G41</f>
        <v>0</v>
      </c>
      <c r="M41" s="1781"/>
      <c r="N41" s="1781">
        <f>$F41*$G41</f>
        <v>0</v>
      </c>
      <c r="O41" s="1781">
        <f>$F41*$G41</f>
        <v>0</v>
      </c>
      <c r="P41" s="1781"/>
      <c r="Q41" s="1781">
        <f>$F41*$G41</f>
        <v>0</v>
      </c>
      <c r="R41" s="1784"/>
    </row>
    <row r="42" spans="1:36" s="1775" customFormat="1" ht="30" customHeight="1" x14ac:dyDescent="0.2">
      <c r="A42" s="1976" t="s">
        <v>90</v>
      </c>
      <c r="B42" s="1777" t="s">
        <v>478</v>
      </c>
      <c r="C42" s="1778"/>
      <c r="D42" s="1779"/>
      <c r="E42" s="1779"/>
      <c r="F42" s="1780">
        <v>0</v>
      </c>
      <c r="G42" s="1790">
        <f>Samenvatting!D319</f>
        <v>0</v>
      </c>
      <c r="H42" s="1782"/>
      <c r="I42" s="1783"/>
      <c r="J42" s="1781"/>
      <c r="K42" s="1781"/>
      <c r="L42" s="1781"/>
      <c r="M42" s="1781"/>
      <c r="N42" s="1781"/>
      <c r="O42" s="1781"/>
      <c r="P42" s="1781"/>
      <c r="Q42" s="1781"/>
      <c r="R42" s="1784"/>
    </row>
    <row r="43" spans="1:36" s="1775" customFormat="1" ht="30" customHeight="1" x14ac:dyDescent="0.2">
      <c r="A43" s="1977"/>
      <c r="B43" s="1777" t="s">
        <v>484</v>
      </c>
      <c r="C43" s="1778"/>
      <c r="D43" s="1779"/>
      <c r="E43" s="1779"/>
      <c r="F43" s="1780">
        <v>0</v>
      </c>
      <c r="G43" s="1790">
        <f>Samenvatting!D320</f>
        <v>0.17143333333333335</v>
      </c>
      <c r="H43" s="1782"/>
      <c r="I43" s="1783"/>
      <c r="J43" s="1781"/>
      <c r="K43" s="1781"/>
      <c r="L43" s="1781"/>
      <c r="M43" s="1781"/>
      <c r="N43" s="1781"/>
      <c r="O43" s="1781"/>
      <c r="P43" s="1781"/>
      <c r="Q43" s="1781"/>
      <c r="R43" s="1784"/>
    </row>
    <row r="44" spans="1:36" s="1775" customFormat="1" ht="30" customHeight="1" x14ac:dyDescent="0.2">
      <c r="A44" s="1789" t="s">
        <v>88</v>
      </c>
      <c r="B44" s="1777" t="s">
        <v>485</v>
      </c>
      <c r="C44" s="1778"/>
      <c r="D44" s="1779"/>
      <c r="E44" s="1779"/>
      <c r="F44" s="1780">
        <v>0</v>
      </c>
      <c r="G44" s="1781">
        <f>Samenvatting!D322</f>
        <v>8.0572602134634293E-3</v>
      </c>
      <c r="H44" s="1782"/>
      <c r="I44" s="1783"/>
      <c r="J44" s="1781"/>
      <c r="K44" s="1781"/>
      <c r="L44" s="1781"/>
      <c r="M44" s="1781"/>
      <c r="N44" s="1781"/>
      <c r="O44" s="1781"/>
      <c r="P44" s="1781"/>
      <c r="Q44" s="1781"/>
      <c r="R44" s="1784"/>
    </row>
    <row r="45" spans="1:36" s="1775" customFormat="1" ht="30" customHeight="1" x14ac:dyDescent="0.2">
      <c r="A45" s="1791"/>
      <c r="B45" s="1792" t="s">
        <v>479</v>
      </c>
      <c r="C45" s="1778"/>
      <c r="D45" s="1779"/>
      <c r="E45" s="1779"/>
      <c r="F45" s="1780">
        <v>1</v>
      </c>
      <c r="G45" s="1790">
        <f>Samenvatting!D323</f>
        <v>1.4103200000000003E-4</v>
      </c>
      <c r="H45" s="1782"/>
      <c r="I45" s="1783"/>
      <c r="J45" s="1781"/>
      <c r="K45" s="1781">
        <f>$F45*$G45</f>
        <v>1.4103200000000003E-4</v>
      </c>
      <c r="L45" s="1781"/>
      <c r="M45" s="1781"/>
      <c r="N45" s="1781">
        <f>$F45*$G45</f>
        <v>1.4103200000000003E-4</v>
      </c>
      <c r="O45" s="1781"/>
      <c r="P45" s="1781"/>
      <c r="Q45" s="1781">
        <f>$F45*$G45</f>
        <v>1.4103200000000003E-4</v>
      </c>
      <c r="R45" s="1784"/>
    </row>
    <row r="46" spans="1:36" s="1775" customFormat="1" ht="30" customHeight="1" x14ac:dyDescent="0.2">
      <c r="A46" s="1789" t="s">
        <v>96</v>
      </c>
      <c r="B46" s="1793" t="s">
        <v>480</v>
      </c>
      <c r="C46" s="1794"/>
      <c r="D46" s="1795"/>
      <c r="E46" s="1795"/>
      <c r="F46" s="1796">
        <v>0</v>
      </c>
      <c r="G46" s="1797">
        <f>Samenvatting!D325</f>
        <v>3.6799999999999999E-2</v>
      </c>
      <c r="H46" s="1798"/>
      <c r="I46" s="1783"/>
      <c r="J46" s="1781"/>
      <c r="K46" s="1781">
        <f>$F46*$G46</f>
        <v>0</v>
      </c>
      <c r="L46" s="1781"/>
      <c r="M46" s="1781"/>
      <c r="N46" s="1781"/>
      <c r="O46" s="1781">
        <f>$F46*$G46</f>
        <v>0</v>
      </c>
      <c r="P46" s="1781"/>
      <c r="Q46" s="1781"/>
      <c r="R46" s="1784"/>
      <c r="S46" s="1799"/>
      <c r="T46" s="1799"/>
      <c r="U46" s="1799"/>
    </row>
    <row r="47" spans="1:36" s="1716" customFormat="1" ht="26.25" customHeight="1" thickBot="1" x14ac:dyDescent="0.25">
      <c r="A47" s="1800" t="s">
        <v>512</v>
      </c>
      <c r="B47" s="1801"/>
      <c r="C47" s="1802"/>
      <c r="D47" s="1802"/>
      <c r="E47" s="1803"/>
      <c r="F47" s="1802"/>
      <c r="G47" s="1803"/>
      <c r="H47" s="1802"/>
      <c r="I47" s="1804">
        <f t="shared" ref="I47:R47" si="2">SUM(I34:I46)</f>
        <v>0</v>
      </c>
      <c r="J47" s="1805">
        <f t="shared" si="2"/>
        <v>0</v>
      </c>
      <c r="K47" s="1805">
        <f t="shared" si="2"/>
        <v>1.4103200000000003E-4</v>
      </c>
      <c r="L47" s="1805">
        <f t="shared" si="2"/>
        <v>0</v>
      </c>
      <c r="M47" s="1805">
        <f t="shared" si="2"/>
        <v>0</v>
      </c>
      <c r="N47" s="1805">
        <f t="shared" si="2"/>
        <v>1.4103200000000003E-4</v>
      </c>
      <c r="O47" s="1805">
        <f t="shared" si="2"/>
        <v>0</v>
      </c>
      <c r="P47" s="1805">
        <f t="shared" si="2"/>
        <v>0.32799999999999996</v>
      </c>
      <c r="Q47" s="1805">
        <f t="shared" si="2"/>
        <v>1.4103200000000003E-4</v>
      </c>
      <c r="R47" s="1805">
        <f t="shared" si="2"/>
        <v>0</v>
      </c>
      <c r="S47" s="1715"/>
      <c r="T47" s="1806"/>
      <c r="U47" s="1714"/>
      <c r="V47" s="1714"/>
      <c r="W47" s="1714"/>
      <c r="X47" s="1714"/>
      <c r="Y47" s="1714"/>
      <c r="Z47" s="1714"/>
      <c r="AA47" s="1714"/>
      <c r="AB47" s="1714"/>
      <c r="AC47" s="1714"/>
      <c r="AD47" s="1714"/>
      <c r="AE47" s="1714"/>
      <c r="AF47" s="1714"/>
      <c r="AG47" s="1714"/>
      <c r="AH47" s="1714"/>
      <c r="AI47" s="1714"/>
      <c r="AJ47" s="1714"/>
    </row>
    <row r="48" spans="1:36" s="1775" customFormat="1" ht="15.75" customHeight="1" x14ac:dyDescent="0.2">
      <c r="C48" s="1799"/>
      <c r="D48" s="1799"/>
      <c r="E48" s="1799"/>
      <c r="F48" s="1799"/>
      <c r="G48" s="1799"/>
      <c r="H48" s="1799"/>
      <c r="I48" s="1799"/>
      <c r="M48" s="1763"/>
      <c r="N48" s="1763"/>
      <c r="S48" s="1799"/>
      <c r="T48" s="1799"/>
      <c r="U48" s="1799"/>
    </row>
    <row r="49" spans="1:36" s="1775" customFormat="1" ht="15.75" customHeight="1" x14ac:dyDescent="0.2">
      <c r="M49" s="1763"/>
      <c r="N49" s="1763"/>
      <c r="S49" s="1799"/>
      <c r="T49" s="1799"/>
      <c r="U49" s="1799"/>
    </row>
    <row r="50" spans="1:36" s="1716" customFormat="1" ht="26.25" customHeight="1" x14ac:dyDescent="0.4">
      <c r="A50" s="1712"/>
      <c r="B50" s="1713"/>
      <c r="C50" s="1714"/>
      <c r="D50" s="1714"/>
      <c r="E50" s="1715"/>
      <c r="F50" s="1714"/>
      <c r="G50" s="1715"/>
      <c r="H50" s="1715"/>
      <c r="I50" s="1715"/>
      <c r="J50" s="1715"/>
      <c r="K50" s="1715"/>
      <c r="L50" s="1715"/>
      <c r="M50" s="1715"/>
      <c r="N50" s="1715"/>
      <c r="O50" s="1715"/>
      <c r="P50" s="1715"/>
      <c r="Q50" s="1715"/>
      <c r="R50" s="1715"/>
      <c r="S50" s="1715"/>
      <c r="T50" s="1715"/>
      <c r="U50" s="1714"/>
      <c r="V50" s="1714"/>
      <c r="W50" s="1714"/>
      <c r="X50" s="1714"/>
      <c r="Y50" s="1714"/>
      <c r="Z50" s="1714"/>
      <c r="AA50" s="1714"/>
      <c r="AB50" s="1714"/>
      <c r="AC50" s="1714"/>
      <c r="AD50" s="1714"/>
      <c r="AE50" s="1714"/>
      <c r="AF50" s="1714"/>
      <c r="AG50" s="1714"/>
      <c r="AH50" s="1714"/>
      <c r="AI50" s="1714"/>
      <c r="AJ50" s="1714"/>
    </row>
    <row r="51" spans="1:36" s="1716" customFormat="1" ht="26.25" customHeight="1" x14ac:dyDescent="0.4">
      <c r="A51" s="1712"/>
      <c r="B51" s="1713"/>
      <c r="C51" s="1714"/>
      <c r="D51" s="1714"/>
      <c r="E51" s="1715"/>
      <c r="F51" s="1714"/>
      <c r="G51" s="1715"/>
      <c r="H51" s="1715"/>
      <c r="I51" s="1715"/>
      <c r="J51" s="1715"/>
      <c r="K51" s="1715"/>
      <c r="L51" s="1715"/>
      <c r="M51" s="1715"/>
      <c r="N51" s="1715"/>
      <c r="O51" s="1715"/>
      <c r="P51" s="1715"/>
      <c r="Q51" s="1715"/>
      <c r="R51" s="1715"/>
      <c r="S51" s="1715"/>
      <c r="T51" s="1715"/>
      <c r="U51" s="1714"/>
      <c r="V51" s="1714"/>
      <c r="W51" s="1714"/>
      <c r="X51" s="1714"/>
      <c r="Y51" s="1714"/>
      <c r="Z51" s="1714"/>
      <c r="AA51" s="1714"/>
      <c r="AB51" s="1714"/>
      <c r="AC51" s="1714"/>
      <c r="AD51" s="1714"/>
      <c r="AE51" s="1714"/>
      <c r="AF51" s="1714"/>
      <c r="AG51" s="1714"/>
      <c r="AH51" s="1714"/>
      <c r="AI51" s="1714"/>
      <c r="AJ51" s="1714"/>
    </row>
    <row r="52" spans="1:36" s="1716" customFormat="1" ht="26.25" customHeight="1" x14ac:dyDescent="0.4">
      <c r="A52" s="1712"/>
      <c r="B52" s="1713"/>
      <c r="C52" s="1714"/>
      <c r="D52" s="1714"/>
      <c r="E52" s="1715"/>
      <c r="F52" s="1714"/>
      <c r="G52" s="1715"/>
      <c r="H52" s="1715"/>
      <c r="I52" s="1715"/>
      <c r="J52" s="1715"/>
      <c r="K52" s="1715"/>
      <c r="L52" s="1715"/>
      <c r="M52" s="1715"/>
      <c r="N52" s="1715"/>
      <c r="O52" s="1715"/>
      <c r="P52" s="1715"/>
      <c r="Q52" s="1715"/>
      <c r="R52" s="1715"/>
      <c r="S52" s="1715"/>
      <c r="T52" s="1715"/>
      <c r="U52" s="1714"/>
      <c r="V52" s="1714"/>
      <c r="W52" s="1714"/>
      <c r="X52" s="1714"/>
      <c r="Y52" s="1714"/>
      <c r="Z52" s="1714"/>
      <c r="AA52" s="1714"/>
      <c r="AB52" s="1714"/>
      <c r="AC52" s="1714"/>
      <c r="AD52" s="1714"/>
      <c r="AE52" s="1714"/>
      <c r="AF52" s="1714"/>
      <c r="AG52" s="1714"/>
      <c r="AH52" s="1714"/>
      <c r="AI52" s="1714"/>
      <c r="AJ52" s="1714"/>
    </row>
    <row r="53" spans="1:36" s="1716" customFormat="1" ht="26.25" customHeight="1" x14ac:dyDescent="0.4">
      <c r="A53" s="1712"/>
      <c r="B53" s="1713"/>
      <c r="C53" s="1714"/>
      <c r="D53" s="1714"/>
      <c r="E53" s="1715"/>
      <c r="F53" s="1714"/>
      <c r="G53" s="1715"/>
      <c r="H53" s="1715"/>
      <c r="I53" s="1715"/>
      <c r="J53" s="1715"/>
      <c r="K53" s="1715"/>
      <c r="L53" s="1715"/>
      <c r="M53" s="1715"/>
      <c r="N53" s="1715"/>
      <c r="O53" s="1715"/>
      <c r="P53" s="1715"/>
      <c r="Q53" s="1715"/>
      <c r="R53" s="1715"/>
      <c r="S53" s="1715"/>
      <c r="T53" s="1715"/>
      <c r="U53" s="1714"/>
      <c r="V53" s="1714"/>
      <c r="W53" s="1714"/>
      <c r="X53" s="1714"/>
      <c r="Y53" s="1714"/>
      <c r="Z53" s="1714"/>
      <c r="AA53" s="1714"/>
      <c r="AB53" s="1714"/>
      <c r="AC53" s="1714"/>
      <c r="AD53" s="1714"/>
      <c r="AE53" s="1714"/>
      <c r="AF53" s="1714"/>
      <c r="AG53" s="1714"/>
      <c r="AH53" s="1714"/>
      <c r="AI53" s="1714"/>
      <c r="AJ53" s="1714"/>
    </row>
    <row r="54" spans="1:36" s="1716" customFormat="1" ht="26.25" customHeight="1" x14ac:dyDescent="0.4">
      <c r="A54" s="1712"/>
      <c r="B54" s="1713"/>
      <c r="C54" s="1714"/>
      <c r="D54" s="1714"/>
      <c r="E54" s="1715"/>
      <c r="F54" s="1714"/>
      <c r="G54" s="1715"/>
      <c r="H54" s="1715"/>
      <c r="I54" s="1715"/>
      <c r="J54" s="1715"/>
      <c r="K54" s="1715"/>
      <c r="L54" s="1715"/>
      <c r="M54" s="1715"/>
      <c r="N54" s="1715"/>
      <c r="O54" s="1715"/>
      <c r="P54" s="1715"/>
      <c r="Q54" s="1715"/>
      <c r="R54" s="1715"/>
      <c r="S54" s="1715"/>
      <c r="T54" s="1715"/>
      <c r="U54" s="1714"/>
      <c r="V54" s="1714"/>
      <c r="W54" s="1714"/>
      <c r="X54" s="1714"/>
      <c r="Y54" s="1714"/>
      <c r="Z54" s="1714"/>
      <c r="AA54" s="1714"/>
      <c r="AB54" s="1714"/>
      <c r="AC54" s="1714"/>
      <c r="AD54" s="1714"/>
      <c r="AE54" s="1714"/>
      <c r="AF54" s="1714"/>
      <c r="AG54" s="1714"/>
      <c r="AH54" s="1714"/>
      <c r="AI54" s="1714"/>
      <c r="AJ54" s="1714"/>
    </row>
    <row r="55" spans="1:36" s="1716" customFormat="1" ht="26.25" customHeight="1" x14ac:dyDescent="0.4">
      <c r="A55" s="1712"/>
      <c r="B55" s="1713"/>
      <c r="C55" s="1714"/>
      <c r="D55" s="1714"/>
      <c r="E55" s="1715"/>
      <c r="F55" s="1714"/>
      <c r="G55" s="1715"/>
      <c r="H55" s="1715"/>
      <c r="I55" s="1715"/>
      <c r="J55" s="1715"/>
      <c r="K55" s="1715"/>
      <c r="L55" s="1715"/>
      <c r="M55" s="1715"/>
      <c r="N55" s="1715"/>
      <c r="O55" s="1715"/>
      <c r="P55" s="1715"/>
      <c r="Q55" s="1715"/>
      <c r="R55" s="1715"/>
      <c r="S55" s="1715"/>
      <c r="T55" s="1715"/>
      <c r="U55" s="1714"/>
      <c r="V55" s="1714"/>
      <c r="W55" s="1714"/>
      <c r="X55" s="1714"/>
      <c r="Y55" s="1714"/>
      <c r="Z55" s="1714"/>
      <c r="AA55" s="1714"/>
      <c r="AB55" s="1714"/>
      <c r="AC55" s="1714"/>
      <c r="AD55" s="1714"/>
      <c r="AE55" s="1714"/>
      <c r="AF55" s="1714"/>
      <c r="AG55" s="1714"/>
      <c r="AH55" s="1714"/>
      <c r="AI55" s="1714"/>
      <c r="AJ55" s="1714"/>
    </row>
  </sheetData>
  <mergeCells count="10">
    <mergeCell ref="A40:A41"/>
    <mergeCell ref="A42:A43"/>
    <mergeCell ref="I16:J16"/>
    <mergeCell ref="K16:L16"/>
    <mergeCell ref="M16:N16"/>
    <mergeCell ref="O16:P16"/>
    <mergeCell ref="Q16:R16"/>
    <mergeCell ref="S16:T16"/>
    <mergeCell ref="E16:F16"/>
    <mergeCell ref="G16:H16"/>
  </mergeCells>
  <phoneticPr fontId="0" type="noConversion"/>
  <dataValidations disablePrompts="1" count="1">
    <dataValidation allowBlank="1" showInputMessage="1" showErrorMessage="1" prompt="bij deze handeling kan ook een extremiteitendosis aan hand/vingers opgelopen worden. _x000a_Controleer op tabblad samenvatting of deze lager is dan 50 mSv._x000a_" sqref="B24"/>
  </dataValidations>
  <pageMargins left="0.70866141732283472" right="0.70866141732283472" top="0.74803149606299213" bottom="0.74803149606299213" header="0.31496062992125984" footer="0.31496062992125984"/>
  <pageSetup paperSize="9" scale="40" orientation="landscape" r:id="rId1"/>
  <headerFoot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0" tint="-0.249977111117893"/>
  </sheetPr>
  <dimension ref="A1:CL197"/>
  <sheetViews>
    <sheetView showGridLines="0" topLeftCell="A167" zoomScale="85" zoomScaleNormal="85" workbookViewId="0">
      <selection activeCell="I195" sqref="I195"/>
    </sheetView>
  </sheetViews>
  <sheetFormatPr defaultRowHeight="15" x14ac:dyDescent="0.25"/>
  <cols>
    <col min="1" max="1" width="6.7109375" style="201" customWidth="1"/>
    <col min="2" max="2" width="20.7109375" style="201" customWidth="1"/>
    <col min="3" max="21" width="12.7109375" style="201" customWidth="1"/>
    <col min="22" max="27" width="12.7109375" style="189" customWidth="1"/>
    <col min="28" max="36" width="12.7109375" style="202" customWidth="1"/>
    <col min="37" max="37" width="10" style="202" bestFit="1" customWidth="1"/>
    <col min="38" max="38" width="12.7109375" style="202" customWidth="1"/>
    <col min="39" max="39" width="10" style="202" bestFit="1" customWidth="1"/>
    <col min="40" max="45" width="12.7109375" style="202" customWidth="1"/>
    <col min="46" max="46" width="10.140625" style="202" bestFit="1" customWidth="1"/>
    <col min="47" max="47" width="11.28515625" style="202" bestFit="1" customWidth="1"/>
    <col min="48" max="48" width="10.140625" style="202" bestFit="1" customWidth="1"/>
    <col min="49" max="55" width="12.140625" style="202" customWidth="1"/>
    <col min="56" max="60" width="10.140625" style="202" bestFit="1" customWidth="1"/>
    <col min="61" max="16384" width="9.140625" style="202"/>
  </cols>
  <sheetData>
    <row r="1" spans="1:31" s="187" customFormat="1" ht="26.25" customHeight="1" thickBot="1" x14ac:dyDescent="0.3">
      <c r="A1" s="181" t="s">
        <v>51</v>
      </c>
      <c r="B1" s="182"/>
      <c r="C1" s="183"/>
      <c r="D1" s="182"/>
      <c r="E1" s="182"/>
      <c r="F1" s="182"/>
      <c r="G1" s="182"/>
      <c r="H1" s="182"/>
      <c r="I1" s="182"/>
      <c r="J1" s="182"/>
      <c r="K1" s="182"/>
      <c r="L1" s="182"/>
      <c r="M1" s="182"/>
      <c r="N1" s="182"/>
      <c r="O1" s="182"/>
      <c r="P1" s="182"/>
      <c r="Q1" s="182"/>
      <c r="R1" s="182"/>
      <c r="S1" s="182"/>
      <c r="T1" s="182"/>
      <c r="U1" s="182"/>
      <c r="V1" s="184"/>
      <c r="W1" s="184"/>
      <c r="X1" s="184"/>
      <c r="Y1" s="184"/>
      <c r="Z1" s="184"/>
      <c r="AA1" s="184"/>
      <c r="AB1" s="185"/>
      <c r="AC1" s="185"/>
      <c r="AD1" s="185"/>
      <c r="AE1" s="186"/>
    </row>
    <row r="2" spans="1:31" s="189" customFormat="1" ht="18.75" customHeight="1" thickBot="1" x14ac:dyDescent="0.3">
      <c r="A2" s="188"/>
      <c r="F2" s="190"/>
      <c r="G2" s="190"/>
      <c r="H2" s="190"/>
    </row>
    <row r="3" spans="1:31" s="189" customFormat="1" ht="26.25" customHeight="1" x14ac:dyDescent="0.25">
      <c r="A3" s="191" t="s">
        <v>314</v>
      </c>
      <c r="B3" s="192"/>
      <c r="C3" s="1809" t="s">
        <v>311</v>
      </c>
      <c r="D3" s="1809"/>
      <c r="E3" s="1809"/>
      <c r="F3" s="1810"/>
      <c r="G3" s="1811"/>
      <c r="H3" s="190"/>
      <c r="L3" s="193"/>
      <c r="M3" s="194" t="s">
        <v>420</v>
      </c>
      <c r="N3" s="195"/>
      <c r="O3" s="195"/>
      <c r="P3" s="195"/>
      <c r="Q3" s="195"/>
      <c r="R3" s="195"/>
      <c r="S3" s="195"/>
      <c r="T3" s="195"/>
    </row>
    <row r="4" spans="1:31" ht="22.5" customHeight="1" thickBot="1" x14ac:dyDescent="0.3">
      <c r="A4" s="196" t="s">
        <v>55</v>
      </c>
      <c r="B4" s="197"/>
      <c r="C4" s="1812">
        <v>6</v>
      </c>
      <c r="D4" s="1812">
        <v>10</v>
      </c>
      <c r="E4" s="1813">
        <v>18</v>
      </c>
      <c r="F4" s="1812" t="s">
        <v>188</v>
      </c>
      <c r="G4" s="1814" t="s">
        <v>189</v>
      </c>
      <c r="L4" s="195"/>
      <c r="M4" s="194"/>
      <c r="N4" s="195"/>
      <c r="O4" s="195"/>
      <c r="P4" s="195"/>
      <c r="Q4" s="195"/>
      <c r="R4" s="195"/>
      <c r="S4" s="195"/>
      <c r="T4" s="195"/>
      <c r="U4" s="189"/>
      <c r="Z4" s="202"/>
      <c r="AA4" s="202"/>
    </row>
    <row r="5" spans="1:31" ht="19.5" customHeight="1" x14ac:dyDescent="0.25">
      <c r="B5" s="203"/>
      <c r="C5" s="204"/>
      <c r="D5" s="205"/>
      <c r="E5" s="205"/>
      <c r="F5" s="206"/>
      <c r="G5" s="206"/>
      <c r="H5" s="207"/>
      <c r="I5" s="207"/>
      <c r="J5" s="208"/>
      <c r="K5" s="209"/>
      <c r="L5" s="210"/>
      <c r="M5" s="194" t="s">
        <v>421</v>
      </c>
      <c r="N5" s="195"/>
      <c r="O5" s="195"/>
      <c r="P5" s="195"/>
      <c r="Q5" s="195"/>
      <c r="R5" s="195"/>
      <c r="S5" s="195"/>
      <c r="T5" s="195"/>
      <c r="AD5" s="211"/>
    </row>
    <row r="6" spans="1:31" s="212" customFormat="1" ht="19.5" customHeight="1" thickBot="1" x14ac:dyDescent="0.3">
      <c r="A6" s="188" t="s">
        <v>532</v>
      </c>
      <c r="C6" s="213"/>
      <c r="D6" s="213"/>
      <c r="E6" s="213"/>
      <c r="F6" s="213"/>
      <c r="G6" s="213"/>
      <c r="H6" s="207"/>
      <c r="I6" s="207"/>
      <c r="L6" s="214"/>
      <c r="M6" s="194"/>
      <c r="N6" s="195"/>
      <c r="O6" s="195"/>
      <c r="P6" s="195"/>
      <c r="Q6" s="195"/>
      <c r="R6" s="195"/>
      <c r="S6" s="195"/>
      <c r="T6" s="195"/>
      <c r="AD6" s="189"/>
    </row>
    <row r="7" spans="1:31" s="212" customFormat="1" ht="19.5" customHeight="1" thickBot="1" x14ac:dyDescent="0.3">
      <c r="A7" s="215" t="s">
        <v>240</v>
      </c>
      <c r="B7" s="216"/>
      <c r="C7" s="1815">
        <f>10^3</f>
        <v>1000</v>
      </c>
      <c r="D7" s="217"/>
      <c r="E7" s="217"/>
      <c r="F7" s="217"/>
      <c r="G7" s="218"/>
      <c r="H7" s="189"/>
      <c r="I7" s="189"/>
      <c r="L7" s="219"/>
      <c r="M7" s="194" t="s">
        <v>651</v>
      </c>
      <c r="N7" s="195"/>
      <c r="O7" s="195"/>
      <c r="P7" s="195"/>
      <c r="Q7" s="195"/>
      <c r="R7" s="195"/>
      <c r="S7" s="195"/>
      <c r="T7" s="195"/>
    </row>
    <row r="8" spans="1:31" s="212" customFormat="1" ht="19.5" customHeight="1" x14ac:dyDescent="0.25">
      <c r="A8" s="215" t="s">
        <v>122</v>
      </c>
      <c r="B8" s="216"/>
      <c r="C8" s="1816">
        <v>0.2</v>
      </c>
      <c r="D8" s="1816">
        <v>0.2</v>
      </c>
      <c r="E8" s="1818">
        <v>0.2</v>
      </c>
      <c r="F8" s="1816">
        <v>0.2</v>
      </c>
      <c r="G8" s="1819">
        <v>0.2</v>
      </c>
      <c r="J8" s="220"/>
      <c r="K8" s="220"/>
      <c r="L8" s="195"/>
      <c r="M8" s="194"/>
      <c r="N8" s="195"/>
      <c r="O8" s="195"/>
      <c r="P8" s="195"/>
      <c r="Q8" s="195"/>
      <c r="R8" s="195"/>
      <c r="S8" s="195"/>
      <c r="T8" s="195"/>
    </row>
    <row r="9" spans="1:31" s="212" customFormat="1" ht="19.5" customHeight="1" x14ac:dyDescent="0.25">
      <c r="A9" s="221" t="s">
        <v>123</v>
      </c>
      <c r="B9" s="222"/>
      <c r="C9" s="1817">
        <v>0.5</v>
      </c>
      <c r="D9" s="1817">
        <v>0.5</v>
      </c>
      <c r="E9" s="1820">
        <v>0.5</v>
      </c>
      <c r="F9" s="1817">
        <v>0.5</v>
      </c>
      <c r="G9" s="1821">
        <v>0.5</v>
      </c>
      <c r="H9" s="189"/>
      <c r="I9" s="189"/>
      <c r="J9" s="220"/>
      <c r="K9" s="220"/>
      <c r="L9" s="223"/>
      <c r="M9" s="194" t="s">
        <v>422</v>
      </c>
      <c r="N9" s="195"/>
      <c r="O9" s="195"/>
      <c r="P9" s="195"/>
      <c r="Q9" s="195"/>
      <c r="R9" s="195"/>
      <c r="S9" s="195"/>
      <c r="T9" s="195"/>
    </row>
    <row r="10" spans="1:31" s="212" customFormat="1" ht="19.5" customHeight="1" x14ac:dyDescent="0.25">
      <c r="A10" s="221" t="s">
        <v>124</v>
      </c>
      <c r="B10" s="222"/>
      <c r="C10" s="178">
        <f>1-C9</f>
        <v>0.5</v>
      </c>
      <c r="D10" s="178">
        <f>1-D9</f>
        <v>0.5</v>
      </c>
      <c r="E10" s="179">
        <f>1-E9</f>
        <v>0.5</v>
      </c>
      <c r="F10" s="178">
        <f>1-F9</f>
        <v>0.5</v>
      </c>
      <c r="G10" s="180">
        <f>1-G9</f>
        <v>0.5</v>
      </c>
      <c r="H10" s="189"/>
      <c r="I10" s="189"/>
      <c r="J10" s="220"/>
      <c r="K10" s="220"/>
      <c r="L10" s="195"/>
      <c r="M10" s="224"/>
      <c r="N10" s="195"/>
      <c r="O10" s="195"/>
      <c r="P10" s="195"/>
      <c r="Q10" s="195"/>
      <c r="R10" s="195"/>
      <c r="S10" s="195"/>
      <c r="T10" s="195"/>
      <c r="U10" s="222"/>
      <c r="V10" s="225"/>
      <c r="W10" s="225"/>
      <c r="X10" s="225"/>
      <c r="Y10" s="225"/>
      <c r="Z10" s="225"/>
      <c r="AA10" s="225"/>
      <c r="AB10" s="225"/>
      <c r="AC10" s="225"/>
    </row>
    <row r="11" spans="1:31" s="212" customFormat="1" ht="19.5" customHeight="1" thickBot="1" x14ac:dyDescent="0.3">
      <c r="A11" s="226" t="s">
        <v>125</v>
      </c>
      <c r="B11" s="227"/>
      <c r="C11" s="1822">
        <v>5</v>
      </c>
      <c r="D11" s="1822">
        <v>5</v>
      </c>
      <c r="E11" s="1823">
        <v>5</v>
      </c>
      <c r="F11" s="1822">
        <v>5</v>
      </c>
      <c r="G11" s="1824">
        <v>5</v>
      </c>
      <c r="H11" s="189"/>
      <c r="I11" s="189"/>
      <c r="J11" s="220"/>
      <c r="K11" s="220"/>
      <c r="L11" s="228"/>
      <c r="M11" s="194" t="s">
        <v>650</v>
      </c>
      <c r="N11" s="195"/>
      <c r="O11" s="195"/>
      <c r="P11" s="195"/>
      <c r="Q11" s="195"/>
      <c r="R11" s="195"/>
      <c r="S11" s="195"/>
      <c r="T11" s="195"/>
      <c r="U11" s="222"/>
      <c r="V11" s="225"/>
      <c r="W11" s="225"/>
      <c r="X11" s="225"/>
      <c r="Y11" s="225"/>
      <c r="Z11" s="225"/>
      <c r="AA11" s="225"/>
      <c r="AB11" s="225"/>
      <c r="AC11" s="225"/>
    </row>
    <row r="12" spans="1:31" s="212" customFormat="1" ht="22.5" customHeight="1" x14ac:dyDescent="0.25">
      <c r="A12" s="222"/>
      <c r="B12" s="222"/>
      <c r="C12" s="229"/>
      <c r="D12" s="229"/>
      <c r="E12" s="229"/>
      <c r="F12" s="229"/>
      <c r="G12" s="229"/>
      <c r="H12" s="189"/>
      <c r="I12" s="189"/>
      <c r="J12" s="220"/>
      <c r="K12" s="220"/>
      <c r="L12" s="195"/>
      <c r="M12" s="194"/>
      <c r="N12" s="195"/>
      <c r="O12" s="195"/>
      <c r="P12" s="195"/>
      <c r="Q12" s="195"/>
      <c r="R12" s="195"/>
      <c r="S12" s="195"/>
      <c r="T12" s="195"/>
      <c r="U12" s="222"/>
      <c r="V12" s="225"/>
      <c r="W12" s="225"/>
      <c r="X12" s="225"/>
      <c r="Y12" s="225"/>
      <c r="Z12" s="225"/>
      <c r="AA12" s="225"/>
      <c r="AB12" s="225"/>
      <c r="AC12" s="225"/>
    </row>
    <row r="13" spans="1:31" s="212" customFormat="1" ht="19.5" customHeight="1" thickBot="1" x14ac:dyDescent="0.3">
      <c r="A13" s="230" t="s">
        <v>429</v>
      </c>
      <c r="B13" s="222"/>
      <c r="C13" s="231"/>
      <c r="D13" s="231"/>
      <c r="E13" s="231"/>
      <c r="F13" s="231"/>
      <c r="G13" s="231"/>
      <c r="H13" s="189"/>
      <c r="I13" s="189"/>
      <c r="J13" s="220"/>
      <c r="K13" s="220"/>
      <c r="L13" s="232"/>
      <c r="M13" s="194" t="s">
        <v>649</v>
      </c>
      <c r="N13" s="222"/>
      <c r="O13" s="222"/>
      <c r="P13" s="225"/>
      <c r="Q13" s="222"/>
      <c r="R13" s="222"/>
      <c r="S13" s="222"/>
      <c r="T13" s="233"/>
      <c r="U13" s="222"/>
      <c r="V13" s="225"/>
      <c r="W13" s="225"/>
      <c r="X13" s="225"/>
      <c r="Y13" s="225"/>
      <c r="Z13" s="225"/>
      <c r="AA13" s="225"/>
      <c r="AB13" s="225"/>
      <c r="AC13" s="225"/>
    </row>
    <row r="14" spans="1:31" s="212" customFormat="1" ht="19.5" customHeight="1" x14ac:dyDescent="0.2">
      <c r="A14" s="215" t="s">
        <v>417</v>
      </c>
      <c r="B14" s="234"/>
      <c r="C14" s="1825">
        <v>0.04</v>
      </c>
      <c r="D14" s="1825">
        <v>0.04</v>
      </c>
      <c r="E14" s="1825">
        <v>0.04</v>
      </c>
      <c r="F14" s="1825">
        <v>0.04</v>
      </c>
      <c r="G14" s="1826">
        <v>0.04</v>
      </c>
      <c r="H14" s="189"/>
      <c r="I14" s="189"/>
      <c r="L14" s="235"/>
      <c r="M14" s="194"/>
    </row>
    <row r="15" spans="1:31" s="212" customFormat="1" ht="19.5" customHeight="1" thickBot="1" x14ac:dyDescent="0.25">
      <c r="A15" s="236" t="s">
        <v>121</v>
      </c>
      <c r="B15" s="237"/>
      <c r="C15" s="1827">
        <v>1E-3</v>
      </c>
      <c r="D15" s="238"/>
      <c r="E15" s="238"/>
      <c r="F15" s="238"/>
      <c r="G15" s="239"/>
      <c r="H15" s="189"/>
      <c r="I15" s="189"/>
      <c r="J15" s="240"/>
      <c r="K15" s="225"/>
      <c r="L15" s="241"/>
      <c r="M15" s="194" t="s">
        <v>423</v>
      </c>
      <c r="N15" s="225"/>
      <c r="O15" s="225"/>
      <c r="P15" s="225"/>
      <c r="AD15" s="242"/>
    </row>
    <row r="16" spans="1:31" s="212" customFormat="1" ht="19.5" customHeight="1" thickBot="1" x14ac:dyDescent="0.25">
      <c r="A16" s="226" t="s">
        <v>652</v>
      </c>
      <c r="B16" s="227"/>
      <c r="C16" s="1828">
        <v>0.85</v>
      </c>
      <c r="D16" s="243"/>
      <c r="E16" s="243"/>
      <c r="F16" s="243"/>
      <c r="G16" s="244"/>
      <c r="H16" s="189"/>
      <c r="I16" s="189"/>
      <c r="J16" s="240"/>
      <c r="K16" s="225"/>
      <c r="L16" s="235"/>
      <c r="M16" s="194"/>
      <c r="N16" s="225"/>
      <c r="O16" s="225"/>
      <c r="P16" s="225"/>
      <c r="AD16" s="242"/>
    </row>
    <row r="17" spans="1:29" s="212" customFormat="1" ht="19.5" customHeight="1" thickBot="1" x14ac:dyDescent="0.3">
      <c r="A17" s="245" t="s">
        <v>210</v>
      </c>
      <c r="B17" s="246"/>
      <c r="C17" s="1829">
        <v>1</v>
      </c>
      <c r="D17" s="1830">
        <v>1</v>
      </c>
      <c r="E17" s="1831">
        <v>1</v>
      </c>
      <c r="F17" s="1832">
        <v>1</v>
      </c>
      <c r="G17" s="1833">
        <v>1</v>
      </c>
      <c r="J17" s="220"/>
      <c r="K17" s="220"/>
      <c r="L17" s="222"/>
      <c r="M17" s="222"/>
      <c r="N17" s="222"/>
      <c r="O17" s="222"/>
      <c r="P17" s="57"/>
      <c r="Q17" s="222"/>
    </row>
    <row r="18" spans="1:29" s="212" customFormat="1" ht="22.5" customHeight="1" x14ac:dyDescent="0.25">
      <c r="A18" s="222"/>
      <c r="B18" s="222"/>
      <c r="C18" s="229"/>
      <c r="D18" s="229"/>
      <c r="E18" s="229"/>
      <c r="F18" s="229"/>
      <c r="G18" s="229"/>
      <c r="H18" s="189"/>
      <c r="I18" s="189"/>
      <c r="J18" s="220"/>
      <c r="K18" s="220"/>
      <c r="L18" s="222"/>
      <c r="M18" s="222"/>
      <c r="N18" s="222"/>
      <c r="O18" s="222"/>
      <c r="P18" s="225"/>
      <c r="Q18" s="222"/>
      <c r="R18" s="222"/>
      <c r="S18" s="222"/>
      <c r="T18" s="233"/>
      <c r="U18" s="222"/>
      <c r="V18" s="225"/>
      <c r="W18" s="225"/>
      <c r="X18" s="225"/>
      <c r="Y18" s="225"/>
      <c r="Z18" s="225"/>
      <c r="AA18" s="225"/>
      <c r="AB18" s="225"/>
      <c r="AC18" s="225"/>
    </row>
    <row r="19" spans="1:29" s="212" customFormat="1" ht="19.5" customHeight="1" thickBot="1" x14ac:dyDescent="0.3">
      <c r="A19" s="247" t="s">
        <v>419</v>
      </c>
      <c r="B19" s="222"/>
      <c r="C19" s="231"/>
      <c r="D19" s="231"/>
      <c r="E19" s="231"/>
      <c r="F19" s="231"/>
      <c r="G19" s="231"/>
      <c r="H19" s="189"/>
      <c r="I19" s="189"/>
      <c r="J19" s="220"/>
      <c r="K19" s="220"/>
      <c r="L19" s="222"/>
      <c r="M19" s="222"/>
      <c r="N19" s="222"/>
      <c r="O19" s="222"/>
      <c r="P19" s="225"/>
      <c r="Q19" s="222"/>
      <c r="R19" s="222"/>
      <c r="S19" s="222"/>
      <c r="T19" s="233"/>
      <c r="U19" s="222"/>
      <c r="V19" s="225"/>
      <c r="W19" s="225"/>
      <c r="X19" s="225"/>
      <c r="Y19" s="225"/>
      <c r="Z19" s="225"/>
      <c r="AA19" s="225"/>
      <c r="AB19" s="225"/>
      <c r="AC19" s="225"/>
    </row>
    <row r="20" spans="1:29" s="212" customFormat="1" ht="19.5" customHeight="1" x14ac:dyDescent="0.25">
      <c r="A20" s="248"/>
      <c r="B20" s="249"/>
      <c r="C20" s="250" t="s">
        <v>20</v>
      </c>
      <c r="D20" s="251"/>
      <c r="E20" s="251"/>
      <c r="F20" s="251"/>
      <c r="G20" s="252"/>
      <c r="H20" s="221"/>
      <c r="I20" s="222"/>
      <c r="J20" s="220"/>
      <c r="K20" s="220"/>
      <c r="L20" s="222"/>
      <c r="M20" s="222"/>
      <c r="N20" s="222"/>
      <c r="O20" s="222"/>
      <c r="P20" s="225"/>
      <c r="Q20" s="222"/>
      <c r="R20" s="222"/>
      <c r="S20" s="222"/>
      <c r="T20" s="233"/>
      <c r="U20" s="222"/>
      <c r="V20" s="225"/>
      <c r="W20" s="225"/>
      <c r="X20" s="225"/>
      <c r="Y20" s="225"/>
      <c r="Z20" s="225"/>
      <c r="AA20" s="225"/>
      <c r="AB20" s="225"/>
      <c r="AC20" s="225"/>
    </row>
    <row r="21" spans="1:29" s="212" customFormat="1" ht="19.5" customHeight="1" x14ac:dyDescent="0.25">
      <c r="A21" s="221"/>
      <c r="B21" s="253" t="s">
        <v>266</v>
      </c>
      <c r="C21" s="254">
        <f>VLOOKUP($C$4,'TVT''s afscherming'!$A$10:$J$23,2)</f>
        <v>37</v>
      </c>
      <c r="D21" s="255">
        <f>VLOOKUP($D$4,'TVT''s afscherming'!$A$10:$J$23,2)</f>
        <v>41</v>
      </c>
      <c r="E21" s="255">
        <f>VLOOKUP($E$4,'TVT''s afscherming'!$A$10:$J$23,2)</f>
        <v>45</v>
      </c>
      <c r="F21" s="255">
        <f>VLOOKUP($F$4,'TVT''s afscherming'!$A$10:$J$23,2)</f>
        <v>30</v>
      </c>
      <c r="G21" s="256">
        <f>VLOOKUP($G$4,'TVT''s afscherming'!$A$10:$J$23,2)</f>
        <v>36</v>
      </c>
      <c r="H21" s="221"/>
      <c r="I21" s="225"/>
      <c r="J21" s="220"/>
      <c r="K21" s="220"/>
      <c r="L21" s="222"/>
      <c r="M21" s="222"/>
      <c r="N21" s="222"/>
      <c r="O21" s="222"/>
      <c r="P21" s="225"/>
      <c r="Q21" s="222"/>
      <c r="R21" s="222"/>
      <c r="S21" s="222"/>
      <c r="T21" s="233"/>
      <c r="U21" s="222"/>
      <c r="V21" s="225"/>
      <c r="W21" s="225"/>
      <c r="X21" s="225"/>
      <c r="Y21" s="225"/>
      <c r="Z21" s="225"/>
      <c r="AA21" s="225"/>
      <c r="AB21" s="225"/>
      <c r="AC21" s="225"/>
    </row>
    <row r="22" spans="1:29" s="262" customFormat="1" ht="19.5" customHeight="1" x14ac:dyDescent="0.25">
      <c r="A22" s="257"/>
      <c r="B22" s="222" t="s">
        <v>267</v>
      </c>
      <c r="C22" s="258">
        <f>VLOOKUP($C$4,'TVT''s afscherming'!$A$10:$J$23,3)</f>
        <v>33</v>
      </c>
      <c r="D22" s="258">
        <f>VLOOKUP($D$4,'TVT''s afscherming'!$A$10:$J$23,3)</f>
        <v>37</v>
      </c>
      <c r="E22" s="258">
        <f>VLOOKUP($E$4,'TVT''s afscherming'!$A$10:$J$23,3)</f>
        <v>43</v>
      </c>
      <c r="F22" s="258">
        <f>VLOOKUP($F$4,'TVT''s afscherming'!$A$10:$J$23,3)</f>
        <v>27</v>
      </c>
      <c r="G22" s="259">
        <f>VLOOKUP($G$4,'TVT''s afscherming'!$A$10:$J$23,3)</f>
        <v>36</v>
      </c>
      <c r="H22" s="260"/>
      <c r="I22" s="261"/>
      <c r="J22" s="220"/>
      <c r="K22" s="220"/>
      <c r="L22" s="222"/>
      <c r="M22" s="222"/>
      <c r="N22" s="222"/>
      <c r="O22" s="222"/>
      <c r="P22" s="261"/>
      <c r="Q22" s="222"/>
      <c r="R22" s="222"/>
      <c r="S22" s="222"/>
      <c r="U22" s="222"/>
      <c r="V22" s="222"/>
      <c r="W22" s="222"/>
      <c r="X22" s="261"/>
      <c r="Y22" s="261"/>
      <c r="Z22" s="225"/>
      <c r="AA22" s="225"/>
      <c r="AB22" s="225"/>
      <c r="AC22" s="225"/>
    </row>
    <row r="23" spans="1:29" s="262" customFormat="1" ht="19.5" customHeight="1" x14ac:dyDescent="0.25">
      <c r="A23" s="221"/>
      <c r="B23" s="211" t="s">
        <v>61</v>
      </c>
      <c r="C23" s="263">
        <f>VLOOKUP($C$4,'TVT''s afscherming'!$A$10:$J$23,4)</f>
        <v>24.2</v>
      </c>
      <c r="D23" s="258">
        <f>VLOOKUP($D$4,'TVT''s afscherming'!$A$10:$J$23,4)</f>
        <v>27</v>
      </c>
      <c r="E23" s="258">
        <f>VLOOKUP($E$4,'TVT''s afscherming'!$A$10:$J$23,4)</f>
        <v>27</v>
      </c>
      <c r="F23" s="258">
        <f>VLOOKUP($F$4,'TVT''s afscherming'!$A$10:$J$23,4)</f>
        <v>19.7</v>
      </c>
      <c r="G23" s="259">
        <f>VLOOKUP($G$4,'TVT''s afscherming'!$A$10:$J$23,4)</f>
        <v>23.6</v>
      </c>
      <c r="H23" s="264"/>
      <c r="I23" s="261"/>
      <c r="J23" s="220"/>
      <c r="K23" s="220"/>
      <c r="L23" s="222"/>
      <c r="M23" s="222"/>
      <c r="N23" s="222"/>
      <c r="O23" s="222"/>
      <c r="P23" s="261"/>
      <c r="Q23" s="222"/>
      <c r="R23" s="222"/>
      <c r="S23" s="222"/>
      <c r="U23" s="222"/>
      <c r="V23" s="222"/>
      <c r="W23" s="222"/>
      <c r="X23" s="261"/>
      <c r="Y23" s="261"/>
      <c r="Z23" s="261"/>
      <c r="AA23" s="225"/>
      <c r="AB23" s="225"/>
      <c r="AC23" s="225"/>
    </row>
    <row r="24" spans="1:29" s="212" customFormat="1" ht="19.5" customHeight="1" x14ac:dyDescent="0.25">
      <c r="A24" s="221"/>
      <c r="B24" s="211" t="s">
        <v>3</v>
      </c>
      <c r="C24" s="263">
        <f>VLOOKUP($C$4,'TVT''s afscherming'!$A$10:$J$23,5)</f>
        <v>9.9</v>
      </c>
      <c r="D24" s="258">
        <f>VLOOKUP($D$4,'TVT''s afscherming'!$A$10:$J$23,5)</f>
        <v>10</v>
      </c>
      <c r="E24" s="258">
        <f>VLOOKUP($E$4,'TVT''s afscherming'!$A$10:$J$23,5)</f>
        <v>11</v>
      </c>
      <c r="F24" s="258">
        <f>VLOOKUP($F$4,'TVT''s afscherming'!$A$10:$J$23,5)</f>
        <v>10.199999999999999</v>
      </c>
      <c r="G24" s="259">
        <f>VLOOKUP($G$4,'TVT''s afscherming'!$A$10:$J$23,5)</f>
        <v>10.199999999999999</v>
      </c>
      <c r="H24" s="257"/>
      <c r="I24" s="225"/>
      <c r="J24" s="220"/>
      <c r="K24" s="220"/>
      <c r="L24" s="222"/>
      <c r="M24" s="222"/>
      <c r="N24" s="222"/>
      <c r="O24" s="261"/>
      <c r="P24" s="225"/>
      <c r="Q24" s="262"/>
      <c r="R24" s="262"/>
      <c r="S24" s="262"/>
      <c r="T24" s="233"/>
      <c r="U24" s="222"/>
      <c r="V24" s="265"/>
      <c r="W24" s="266"/>
      <c r="X24" s="225"/>
      <c r="Y24" s="225"/>
      <c r="Z24" s="261"/>
      <c r="AA24" s="225"/>
      <c r="AB24" s="225"/>
      <c r="AC24" s="225"/>
    </row>
    <row r="25" spans="1:29" s="212" customFormat="1" ht="19.5" customHeight="1" x14ac:dyDescent="0.25">
      <c r="A25" s="221"/>
      <c r="B25" s="211" t="s">
        <v>22</v>
      </c>
      <c r="C25" s="263">
        <f>VLOOKUP($C$4,'TVT''s afscherming'!$A$10:$J$23,6)</f>
        <v>5.7</v>
      </c>
      <c r="D25" s="258">
        <f>VLOOKUP($D$4,'TVT''s afscherming'!$A$10:$J$23,6)</f>
        <v>5.7</v>
      </c>
      <c r="E25" s="258">
        <f>VLOOKUP($E$4,'TVT''s afscherming'!$A$10:$J$23,6)</f>
        <v>5.6</v>
      </c>
      <c r="F25" s="258">
        <f>VLOOKUP($F$4,'TVT''s afscherming'!$A$10:$J$23,6)</f>
        <v>5.7</v>
      </c>
      <c r="G25" s="259">
        <f>VLOOKUP($G$4,'TVT''s afscherming'!$A$10:$J$23,6)</f>
        <v>5.7</v>
      </c>
      <c r="H25" s="257"/>
      <c r="I25" s="225"/>
      <c r="J25" s="267"/>
      <c r="K25" s="267"/>
      <c r="L25" s="222"/>
      <c r="M25" s="222"/>
      <c r="N25" s="222"/>
      <c r="O25" s="261"/>
      <c r="P25" s="225"/>
      <c r="Q25" s="262"/>
      <c r="R25" s="262"/>
      <c r="S25" s="262"/>
      <c r="U25" s="222"/>
      <c r="V25" s="222"/>
      <c r="W25" s="222"/>
      <c r="X25" s="225"/>
      <c r="Y25" s="225"/>
      <c r="Z25" s="225"/>
      <c r="AA25" s="225"/>
      <c r="AB25" s="225"/>
      <c r="AC25" s="225"/>
    </row>
    <row r="26" spans="1:29" s="212" customFormat="1" ht="19.5" customHeight="1" x14ac:dyDescent="0.25">
      <c r="A26" s="257"/>
      <c r="B26" s="268"/>
      <c r="C26" s="269" t="s">
        <v>139</v>
      </c>
      <c r="D26" s="270"/>
      <c r="E26" s="270"/>
      <c r="F26" s="270"/>
      <c r="G26" s="271"/>
      <c r="H26" s="257"/>
      <c r="I26" s="225"/>
      <c r="J26" s="240"/>
      <c r="K26" s="225"/>
      <c r="L26" s="225"/>
      <c r="M26" s="225"/>
      <c r="N26" s="225"/>
      <c r="O26" s="225"/>
      <c r="P26" s="225"/>
      <c r="Q26" s="225"/>
      <c r="S26" s="222"/>
      <c r="U26" s="222"/>
      <c r="V26" s="222"/>
      <c r="W26" s="222"/>
      <c r="X26" s="225"/>
      <c r="Y26" s="225"/>
      <c r="Z26" s="225"/>
      <c r="AA26" s="225"/>
      <c r="AB26" s="225"/>
      <c r="AC26" s="225"/>
    </row>
    <row r="27" spans="1:29" s="212" customFormat="1" ht="19.5" customHeight="1" x14ac:dyDescent="0.25">
      <c r="A27" s="257"/>
      <c r="B27" s="253" t="s">
        <v>2</v>
      </c>
      <c r="C27" s="254">
        <f>VLOOKUP($C$4,'TVT''s afscherming'!$A$10:$J$23,7)</f>
        <v>34</v>
      </c>
      <c r="D27" s="254">
        <f>VLOOKUP($D$4,'TVT''s afscherming'!$A$10:$J$23,7)</f>
        <v>38</v>
      </c>
      <c r="E27" s="255">
        <f>VLOOKUP($E$4,'TVT''s afscherming'!$A$10:$J$23,7)</f>
        <v>44</v>
      </c>
      <c r="F27" s="254">
        <f>VLOOKUP($F$4,'TVT''s afscherming'!$A$10:$J$23,7)</f>
        <v>30.5</v>
      </c>
      <c r="G27" s="256">
        <f>VLOOKUP($G$4,'TVT''s afscherming'!$A$10:$J$23,7)</f>
        <v>35.6</v>
      </c>
      <c r="H27" s="257"/>
      <c r="I27" s="225"/>
      <c r="J27" s="272"/>
      <c r="K27" s="272"/>
      <c r="L27" s="222"/>
      <c r="M27" s="222"/>
      <c r="N27" s="222"/>
      <c r="O27" s="222"/>
      <c r="P27" s="225"/>
      <c r="Q27" s="222"/>
      <c r="U27" s="222"/>
      <c r="V27" s="225"/>
      <c r="W27" s="225"/>
      <c r="X27" s="225"/>
      <c r="Y27" s="225"/>
      <c r="Z27" s="225"/>
      <c r="AA27" s="261"/>
      <c r="AB27" s="261"/>
      <c r="AC27" s="261"/>
    </row>
    <row r="28" spans="1:29" s="212" customFormat="1" ht="19.5" customHeight="1" x14ac:dyDescent="0.25">
      <c r="A28" s="257"/>
      <c r="B28" s="211" t="s">
        <v>61</v>
      </c>
      <c r="C28" s="263">
        <f>VLOOKUP($C$4,'TVT''s afscherming'!$A$10:$J$23,8)</f>
        <v>20</v>
      </c>
      <c r="D28" s="263">
        <f>VLOOKUP($D$4,'TVT''s afscherming'!$A$10:$J$23,8)</f>
        <v>24</v>
      </c>
      <c r="E28" s="258">
        <f>VLOOKUP($E$4,'TVT''s afscherming'!$A$10:$J$23,8)</f>
        <v>26.8</v>
      </c>
      <c r="F28" s="263">
        <f>VLOOKUP($F$4,'TVT''s afscherming'!$A$10:$J$23,8)</f>
        <v>20.3</v>
      </c>
      <c r="G28" s="259">
        <f>VLOOKUP($G$4,'TVT''s afscherming'!$A$10:$J$23,8)</f>
        <v>23.7</v>
      </c>
      <c r="J28" s="272"/>
      <c r="K28" s="272"/>
      <c r="L28" s="222"/>
      <c r="M28" s="222"/>
      <c r="N28" s="222"/>
      <c r="O28" s="222"/>
      <c r="P28" s="225"/>
      <c r="Q28" s="222"/>
      <c r="U28" s="222"/>
      <c r="V28" s="222"/>
      <c r="W28" s="222"/>
      <c r="X28" s="222"/>
    </row>
    <row r="29" spans="1:29" s="212" customFormat="1" ht="19.5" customHeight="1" x14ac:dyDescent="0.25">
      <c r="A29" s="257"/>
      <c r="B29" s="211" t="s">
        <v>3</v>
      </c>
      <c r="C29" s="263">
        <f>VLOOKUP($C$4,'TVT''s afscherming'!$A$10:$J$23,9)</f>
        <v>9.9</v>
      </c>
      <c r="D29" s="263">
        <f>VLOOKUP($D$4,'TVT''s afscherming'!$A$10:$J$23,9)</f>
        <v>10</v>
      </c>
      <c r="E29" s="258">
        <f>VLOOKUP($E$4,'TVT''s afscherming'!$A$10:$J$23,9)</f>
        <v>11</v>
      </c>
      <c r="F29" s="263">
        <f>VLOOKUP($F$4,'TVT''s afscherming'!$A$10:$J$23,9)</f>
        <v>10.199999999999999</v>
      </c>
      <c r="G29" s="259">
        <f>VLOOKUP($G$4,'TVT''s afscherming'!$A$10:$J$23,9)</f>
        <v>10.7</v>
      </c>
      <c r="I29" s="211"/>
      <c r="J29" s="272"/>
      <c r="K29" s="272"/>
      <c r="L29" s="222"/>
      <c r="M29" s="222"/>
      <c r="N29" s="222"/>
      <c r="O29" s="222"/>
      <c r="P29" s="225"/>
      <c r="Q29" s="222"/>
      <c r="U29" s="222"/>
      <c r="V29" s="222"/>
      <c r="W29" s="222"/>
      <c r="X29" s="222"/>
    </row>
    <row r="30" spans="1:29" s="212" customFormat="1" ht="19.5" customHeight="1" thickBot="1" x14ac:dyDescent="0.3">
      <c r="A30" s="273"/>
      <c r="B30" s="274" t="s">
        <v>22</v>
      </c>
      <c r="C30" s="275">
        <f>VLOOKUP($C$4,'TVT''s afscherming'!$A$10:$J$23,10)</f>
        <v>5.7</v>
      </c>
      <c r="D30" s="275">
        <f>VLOOKUP($D$4,'TVT''s afscherming'!$A$10:$J$23,10)</f>
        <v>5.7</v>
      </c>
      <c r="E30" s="276">
        <f>VLOOKUP($E$4,'TVT''s afscherming'!$A$10:$J$23,10)</f>
        <v>5.6</v>
      </c>
      <c r="F30" s="275">
        <f>VLOOKUP($F$4,'TVT''s afscherming'!$A$10:$J$23,10)</f>
        <v>5</v>
      </c>
      <c r="G30" s="277">
        <f>VLOOKUP($G$4,'TVT''s afscherming'!$A$10:$J$23,10)</f>
        <v>5.7</v>
      </c>
      <c r="J30" s="272"/>
      <c r="K30" s="272"/>
      <c r="L30" s="222"/>
      <c r="M30" s="222"/>
      <c r="N30" s="222"/>
      <c r="O30" s="222"/>
      <c r="P30" s="225"/>
      <c r="Q30" s="222"/>
      <c r="T30" s="222"/>
      <c r="U30" s="242"/>
      <c r="V30" s="222"/>
      <c r="W30" s="222"/>
      <c r="X30" s="222"/>
      <c r="Y30" s="222"/>
    </row>
    <row r="31" spans="1:29" s="212" customFormat="1" ht="19.5" customHeight="1" x14ac:dyDescent="0.25">
      <c r="A31" s="222"/>
      <c r="J31" s="272"/>
      <c r="K31" s="272"/>
      <c r="L31" s="222"/>
      <c r="M31" s="222"/>
      <c r="N31" s="222"/>
      <c r="O31" s="222"/>
      <c r="P31" s="225"/>
      <c r="Q31" s="222"/>
      <c r="T31" s="222"/>
      <c r="U31" s="242"/>
      <c r="V31" s="222"/>
      <c r="W31" s="222"/>
      <c r="X31" s="222"/>
      <c r="Y31" s="222"/>
    </row>
    <row r="32" spans="1:29" s="212" customFormat="1" ht="19.5" customHeight="1" x14ac:dyDescent="0.25">
      <c r="A32" s="222"/>
      <c r="I32" s="272"/>
      <c r="J32" s="272"/>
      <c r="K32" s="222"/>
      <c r="L32" s="222"/>
      <c r="M32" s="222"/>
      <c r="N32" s="222"/>
      <c r="O32" s="225"/>
      <c r="P32" s="222"/>
      <c r="S32" s="222"/>
      <c r="T32" s="242"/>
      <c r="U32" s="222"/>
      <c r="V32" s="222"/>
      <c r="W32" s="222"/>
      <c r="X32" s="222"/>
    </row>
    <row r="33" spans="1:52" ht="22.5" customHeight="1" x14ac:dyDescent="0.25">
      <c r="A33" s="202"/>
      <c r="B33" s="278"/>
      <c r="C33" s="279"/>
      <c r="D33" s="280"/>
      <c r="I33" s="202"/>
      <c r="J33" s="202"/>
      <c r="K33" s="202"/>
      <c r="L33" s="202"/>
      <c r="M33" s="202"/>
      <c r="N33" s="202"/>
      <c r="O33" s="202"/>
      <c r="P33" s="212"/>
      <c r="Q33" s="212"/>
      <c r="R33" s="222"/>
      <c r="S33" s="189"/>
      <c r="T33" s="189"/>
      <c r="U33" s="189"/>
      <c r="W33" s="202"/>
      <c r="X33" s="202"/>
      <c r="Y33" s="202"/>
      <c r="Z33" s="281"/>
      <c r="AA33" s="281"/>
      <c r="AB33" s="282"/>
      <c r="AC33" s="282"/>
      <c r="AD33" s="282"/>
      <c r="AE33" s="281"/>
      <c r="AF33" s="281"/>
      <c r="AG33" s="281"/>
    </row>
    <row r="34" spans="1:52" ht="19.5" customHeight="1" thickBot="1" x14ac:dyDescent="0.3">
      <c r="A34" s="283" t="s">
        <v>506</v>
      </c>
      <c r="B34" s="284"/>
      <c r="C34" s="284"/>
      <c r="D34" s="280"/>
      <c r="E34" s="230"/>
      <c r="F34" s="285"/>
      <c r="G34" s="208"/>
      <c r="H34" s="286"/>
      <c r="I34" s="287"/>
      <c r="J34" s="288"/>
      <c r="L34" s="289"/>
      <c r="M34" s="290"/>
      <c r="N34" s="290"/>
      <c r="O34" s="290"/>
      <c r="P34" s="290"/>
      <c r="Q34" s="290"/>
      <c r="R34" s="290"/>
      <c r="S34" s="290"/>
      <c r="T34" s="290"/>
      <c r="U34" s="290"/>
      <c r="V34" s="290"/>
      <c r="W34" s="290"/>
      <c r="X34" s="290"/>
      <c r="AB34" s="189"/>
      <c r="AF34" s="281"/>
      <c r="AG34" s="281"/>
      <c r="AH34" s="282"/>
      <c r="AI34" s="282"/>
    </row>
    <row r="35" spans="1:52" s="212" customFormat="1" ht="19.5" customHeight="1" x14ac:dyDescent="0.25">
      <c r="J35" s="291"/>
      <c r="K35" s="292">
        <f>$C$4</f>
        <v>6</v>
      </c>
      <c r="L35" s="293"/>
      <c r="M35" s="294"/>
      <c r="N35" s="292">
        <f>$D$4</f>
        <v>10</v>
      </c>
      <c r="O35" s="293"/>
      <c r="P35" s="294"/>
      <c r="Q35" s="292">
        <f>$E$4</f>
        <v>18</v>
      </c>
      <c r="R35" s="293"/>
      <c r="S35" s="294"/>
      <c r="T35" s="292" t="str">
        <f>$F$4</f>
        <v>6 FFF</v>
      </c>
      <c r="U35" s="293"/>
      <c r="V35" s="294"/>
      <c r="W35" s="292" t="str">
        <f>$G$4</f>
        <v>10 FFF</v>
      </c>
      <c r="X35" s="295"/>
      <c r="Y35" s="296"/>
      <c r="Z35" s="297" t="s">
        <v>16</v>
      </c>
      <c r="AA35" s="298"/>
      <c r="AB35" s="257"/>
      <c r="AC35" s="225"/>
      <c r="AG35" s="299"/>
      <c r="AH35" s="299"/>
      <c r="AI35" s="299"/>
      <c r="AJ35" s="299"/>
      <c r="AK35" s="299"/>
      <c r="AL35" s="299"/>
      <c r="AP35" s="222"/>
      <c r="AQ35" s="211"/>
      <c r="AR35" s="266"/>
      <c r="AS35" s="222"/>
      <c r="AT35" s="187"/>
      <c r="AU35" s="187"/>
      <c r="AV35" s="187"/>
      <c r="AW35" s="187"/>
      <c r="AX35" s="187"/>
      <c r="AY35" s="300"/>
      <c r="AZ35" s="300"/>
    </row>
    <row r="36" spans="1:52" s="212" customFormat="1" ht="19.5" customHeight="1" x14ac:dyDescent="0.25">
      <c r="A36" s="301" t="s">
        <v>50</v>
      </c>
      <c r="B36" s="301" t="s">
        <v>15</v>
      </c>
      <c r="C36" s="302" t="s">
        <v>25</v>
      </c>
      <c r="D36" s="302" t="s">
        <v>158</v>
      </c>
      <c r="E36" s="301" t="s">
        <v>524</v>
      </c>
      <c r="F36" s="303"/>
      <c r="G36" s="304" t="s">
        <v>77</v>
      </c>
      <c r="H36" s="305"/>
      <c r="I36" s="306"/>
      <c r="J36" s="301" t="s">
        <v>86</v>
      </c>
      <c r="K36" s="301" t="s">
        <v>206</v>
      </c>
      <c r="L36" s="301" t="s">
        <v>16</v>
      </c>
      <c r="M36" s="301" t="s">
        <v>86</v>
      </c>
      <c r="N36" s="301" t="s">
        <v>206</v>
      </c>
      <c r="O36" s="301" t="s">
        <v>16</v>
      </c>
      <c r="P36" s="301" t="s">
        <v>86</v>
      </c>
      <c r="Q36" s="301" t="s">
        <v>206</v>
      </c>
      <c r="R36" s="301" t="s">
        <v>16</v>
      </c>
      <c r="S36" s="301" t="s">
        <v>86</v>
      </c>
      <c r="T36" s="301" t="s">
        <v>206</v>
      </c>
      <c r="U36" s="301" t="s">
        <v>16</v>
      </c>
      <c r="V36" s="301" t="s">
        <v>86</v>
      </c>
      <c r="W36" s="301" t="s">
        <v>206</v>
      </c>
      <c r="X36" s="301" t="s">
        <v>16</v>
      </c>
      <c r="Y36" s="307" t="s">
        <v>23</v>
      </c>
      <c r="Z36" s="308" t="s">
        <v>11</v>
      </c>
      <c r="AA36" s="309" t="s">
        <v>11</v>
      </c>
      <c r="AG36" s="310"/>
      <c r="AH36" s="310"/>
      <c r="AI36" s="310"/>
      <c r="AJ36" s="310"/>
      <c r="AK36" s="310"/>
      <c r="AL36" s="310"/>
      <c r="AP36" s="222"/>
      <c r="AQ36" s="211"/>
      <c r="AR36" s="242"/>
      <c r="AS36" s="222"/>
      <c r="AT36" s="225"/>
      <c r="AU36" s="225"/>
      <c r="AV36" s="311"/>
      <c r="AW36" s="225"/>
      <c r="AX36" s="225"/>
      <c r="AY36" s="300"/>
      <c r="AZ36" s="300"/>
    </row>
    <row r="37" spans="1:52" s="212" customFormat="1" ht="20.25" customHeight="1" thickBot="1" x14ac:dyDescent="0.3">
      <c r="A37" s="312"/>
      <c r="B37" s="312"/>
      <c r="C37" s="313"/>
      <c r="D37" s="313" t="s">
        <v>383</v>
      </c>
      <c r="E37" s="312" t="s">
        <v>528</v>
      </c>
      <c r="F37" s="312" t="s">
        <v>1</v>
      </c>
      <c r="G37" s="312" t="s">
        <v>61</v>
      </c>
      <c r="H37" s="312" t="s">
        <v>3</v>
      </c>
      <c r="I37" s="312" t="s">
        <v>22</v>
      </c>
      <c r="J37" s="314" t="s">
        <v>208</v>
      </c>
      <c r="K37" s="314" t="s">
        <v>207</v>
      </c>
      <c r="L37" s="315" t="s">
        <v>174</v>
      </c>
      <c r="M37" s="314" t="s">
        <v>208</v>
      </c>
      <c r="N37" s="314" t="s">
        <v>207</v>
      </c>
      <c r="O37" s="315" t="s">
        <v>174</v>
      </c>
      <c r="P37" s="314" t="s">
        <v>208</v>
      </c>
      <c r="Q37" s="314" t="s">
        <v>207</v>
      </c>
      <c r="R37" s="315" t="s">
        <v>174</v>
      </c>
      <c r="S37" s="314" t="s">
        <v>208</v>
      </c>
      <c r="T37" s="314" t="s">
        <v>207</v>
      </c>
      <c r="U37" s="315" t="s">
        <v>174</v>
      </c>
      <c r="V37" s="314" t="s">
        <v>208</v>
      </c>
      <c r="W37" s="314" t="s">
        <v>207</v>
      </c>
      <c r="X37" s="315" t="s">
        <v>174</v>
      </c>
      <c r="Y37" s="316" t="s">
        <v>173</v>
      </c>
      <c r="Z37" s="315" t="s">
        <v>173</v>
      </c>
      <c r="AA37" s="309" t="s">
        <v>166</v>
      </c>
      <c r="AG37" s="310"/>
      <c r="AH37" s="310"/>
      <c r="AI37" s="310"/>
      <c r="AJ37" s="310"/>
      <c r="AK37" s="310"/>
      <c r="AL37" s="310"/>
      <c r="AP37" s="222"/>
      <c r="AQ37" s="211"/>
      <c r="AR37" s="222"/>
      <c r="AS37" s="222"/>
      <c r="AT37" s="225"/>
      <c r="AU37" s="225"/>
      <c r="AV37" s="225"/>
      <c r="AW37" s="225"/>
      <c r="AX37" s="225"/>
      <c r="AY37" s="300"/>
      <c r="AZ37" s="300"/>
    </row>
    <row r="38" spans="1:52" s="212" customFormat="1" ht="12.75" hidden="1" customHeight="1" thickBot="1" x14ac:dyDescent="0.3">
      <c r="A38" s="317"/>
      <c r="B38" s="317"/>
      <c r="C38" s="318"/>
      <c r="D38" s="318"/>
      <c r="E38" s="317"/>
      <c r="F38" s="317"/>
      <c r="G38" s="317"/>
      <c r="H38" s="317"/>
      <c r="I38" s="317"/>
      <c r="J38" s="77"/>
      <c r="K38" s="77"/>
      <c r="L38" s="78"/>
      <c r="M38" s="77"/>
      <c r="N38" s="77"/>
      <c r="O38" s="78"/>
      <c r="P38" s="77"/>
      <c r="Q38" s="77"/>
      <c r="R38" s="78"/>
      <c r="S38" s="77"/>
      <c r="T38" s="77"/>
      <c r="U38" s="78"/>
      <c r="V38" s="77"/>
      <c r="W38" s="77"/>
      <c r="X38" s="79"/>
      <c r="Y38" s="319"/>
      <c r="Z38" s="320"/>
      <c r="AA38" s="321"/>
      <c r="AG38" s="310"/>
      <c r="AH38" s="310"/>
      <c r="AI38" s="310"/>
      <c r="AJ38" s="310"/>
      <c r="AK38" s="310"/>
      <c r="AL38" s="310"/>
      <c r="AP38" s="222"/>
      <c r="AQ38" s="211"/>
      <c r="AR38" s="222"/>
      <c r="AS38" s="222"/>
      <c r="AT38" s="225"/>
      <c r="AU38" s="225"/>
      <c r="AV38" s="225"/>
      <c r="AW38" s="225"/>
      <c r="AX38" s="225"/>
      <c r="AY38" s="300"/>
      <c r="AZ38" s="300"/>
    </row>
    <row r="39" spans="1:52" s="212" customFormat="1" ht="30" customHeight="1" x14ac:dyDescent="0.25">
      <c r="A39" s="322"/>
      <c r="B39" s="322"/>
      <c r="C39" s="323" t="s">
        <v>569</v>
      </c>
      <c r="D39" s="1834">
        <v>6</v>
      </c>
      <c r="E39" s="1834">
        <v>1</v>
      </c>
      <c r="F39" s="1834">
        <v>250</v>
      </c>
      <c r="G39" s="1834">
        <v>0</v>
      </c>
      <c r="H39" s="1834">
        <v>0</v>
      </c>
      <c r="I39" s="1835">
        <v>0</v>
      </c>
      <c r="J39" s="71">
        <f>IF($F39=0,0,1+($F39-$C$21)/$C$22)+$G39/$C$23+$H39/$C$24+$I39/$C$25</f>
        <v>7.4545454545454541</v>
      </c>
      <c r="K39" s="72">
        <f t="shared" ref="K39:K48" si="0">10^(-J39)</f>
        <v>3.5111917342151263E-8</v>
      </c>
      <c r="L39" s="71">
        <f>($C$7*$C$14*$C$8*$E39/$D39^2*K39*10^6)</f>
        <v>7.8026482982558355E-3</v>
      </c>
      <c r="M39" s="71">
        <f>IF($F39=0,0,1+($F39-$D$21)/$D$22)+$G39/$D$23+$H39/$D$24+$I39/$D$25</f>
        <v>6.6486486486486482</v>
      </c>
      <c r="N39" s="72">
        <f t="shared" ref="N39:N48" si="1">10^(-M39)</f>
        <v>2.2456979955397711E-7</v>
      </c>
      <c r="O39" s="71">
        <f>($C$7*$D$14*$D$8*$E39/$D39^2*N39*10^6)</f>
        <v>4.99043999008838E-2</v>
      </c>
      <c r="P39" s="71">
        <f>IF($F39=0,0,1+($F39-$E$21)/$E$22)+$G39/$E$23+$H39/$E$24+$I39/$E$25</f>
        <v>5.7674418604651159</v>
      </c>
      <c r="Q39" s="72">
        <f t="shared" ref="Q39:Q48" si="2">10^(-P39)</f>
        <v>1.7082763938087111E-6</v>
      </c>
      <c r="R39" s="71">
        <f>($C$7*$E$14*$E$8*$E39/$D39^2*Q39*10^6)</f>
        <v>0.37961697640193576</v>
      </c>
      <c r="S39" s="71">
        <f>IF($F39=0,0,1+($F39-$F$21)/$F$22)+$G39/$F$23+$H39/$F$24+$I39/$F$25</f>
        <v>9.1481481481481488</v>
      </c>
      <c r="T39" s="72">
        <f t="shared" ref="T39:T48" si="3">10^(-S39)</f>
        <v>7.1097094323124171E-10</v>
      </c>
      <c r="U39" s="71">
        <f>($C$7*$F$14*$F$8*$E39/$D39^2*T39*10^6)</f>
        <v>1.5799354294027593E-4</v>
      </c>
      <c r="V39" s="71">
        <f>IF($F39=0,0,1+($F39-$G$21)/$G$22)+$G39/$G$23+$H39/$G$24+$I39/$G$25</f>
        <v>6.9444444444444446</v>
      </c>
      <c r="W39" s="72">
        <f t="shared" ref="W39:W48" si="4">10^(-V39)</f>
        <v>1.136463666385722E-7</v>
      </c>
      <c r="X39" s="73">
        <f>($C$7*$G$14*$G$8*$E39/$D39^2*W39*10^6)</f>
        <v>2.5254748141904933E-2</v>
      </c>
      <c r="Y39" s="324">
        <f>SUM(L39,O39,R39,U39,X39)</f>
        <v>0.46273676628592059</v>
      </c>
      <c r="Z39" s="325"/>
      <c r="AA39" s="326"/>
      <c r="AC39" s="327"/>
      <c r="AG39" s="328"/>
      <c r="AI39" s="328"/>
      <c r="AJ39" s="328"/>
      <c r="AK39" s="328"/>
      <c r="AL39" s="328"/>
      <c r="AP39" s="222"/>
      <c r="AQ39" s="211"/>
      <c r="AR39" s="222"/>
      <c r="AS39" s="222"/>
      <c r="AT39" s="225"/>
      <c r="AU39" s="225"/>
      <c r="AV39" s="225"/>
      <c r="AW39" s="225"/>
      <c r="AX39" s="225"/>
      <c r="AY39" s="300"/>
      <c r="AZ39" s="300"/>
    </row>
    <row r="40" spans="1:52" s="212" customFormat="1" ht="30" customHeight="1" thickBot="1" x14ac:dyDescent="0.3">
      <c r="A40" s="329" t="str">
        <f>Samenvatting!A13</f>
        <v>B1</v>
      </c>
      <c r="B40" s="330" t="str">
        <f>Samenvatting!B13</f>
        <v>bedieningsruimte Linac 1</v>
      </c>
      <c r="C40" s="331" t="s">
        <v>568</v>
      </c>
      <c r="D40" s="1836">
        <v>5</v>
      </c>
      <c r="E40" s="89"/>
      <c r="F40" s="1834">
        <v>250</v>
      </c>
      <c r="G40" s="1834">
        <v>0</v>
      </c>
      <c r="H40" s="1834">
        <v>0</v>
      </c>
      <c r="I40" s="1835">
        <v>0</v>
      </c>
      <c r="J40" s="74">
        <f>$F40/$C$27+$G40/$C$28+$H40/$C$29+$I40/$C$30</f>
        <v>7.3529411764705879</v>
      </c>
      <c r="K40" s="75">
        <f t="shared" si="0"/>
        <v>4.4366873309786093E-8</v>
      </c>
      <c r="L40" s="74">
        <f>($C$7*$C$15*$C$8*($C$9+$C$10*$C$11)/$D40^2*K40*10^6)</f>
        <v>1.0648049594348663E-3</v>
      </c>
      <c r="M40" s="74">
        <f>$F40/$D$27+$G40/$D$28+$H40/$D$29+$I40/$D$30</f>
        <v>6.5789473684210522</v>
      </c>
      <c r="N40" s="75">
        <f t="shared" si="1"/>
        <v>2.636650898730358E-7</v>
      </c>
      <c r="O40" s="74">
        <f>($C$7*$C$15*$D$8*($D$9+$D$10*$D$11)/$D40^2*N40*10^6)</f>
        <v>6.3279621569528599E-3</v>
      </c>
      <c r="P40" s="74">
        <f>$F40/$E$27+$G40/$E$28+$H40/$E$29+$I40/$E$30</f>
        <v>5.6818181818181817</v>
      </c>
      <c r="Q40" s="75">
        <f t="shared" si="2"/>
        <v>2.0805675382171676E-6</v>
      </c>
      <c r="R40" s="74">
        <f>($C$7*$C$15*$E$8*($E$9+$E$10*$E$11)/$D40^2*Q40*10^6)</f>
        <v>4.9933620917212027E-2</v>
      </c>
      <c r="S40" s="74">
        <f>$F40/$F$27+$G40/$F$28+$H40/$F$29+$I40/$F$30</f>
        <v>8.1967213114754092</v>
      </c>
      <c r="T40" s="75">
        <f t="shared" si="3"/>
        <v>6.3573875711648393E-9</v>
      </c>
      <c r="U40" s="74">
        <f>($C$7*$C$15*$F$8*($F$9+$F$10*$F$11)/$D40^2*T40*10^6)</f>
        <v>1.5257730170795616E-4</v>
      </c>
      <c r="V40" s="74">
        <f>$F40/$G$27+$G40/$G$28+$H40/$G$29+$I40/$G$30</f>
        <v>7.0224719101123592</v>
      </c>
      <c r="W40" s="75">
        <f t="shared" si="4"/>
        <v>9.4957241494880226E-8</v>
      </c>
      <c r="X40" s="76">
        <f>($C$7*$C$15*$G$8*($G$9+$G$10*$G$11)/$D40^2*W40*10^6)</f>
        <v>2.278973795877126E-3</v>
      </c>
      <c r="Y40" s="332">
        <f>SUM(L40,O40,R40,U40,X40)</f>
        <v>5.9757939131184837E-2</v>
      </c>
      <c r="Z40" s="333">
        <f>SUM(Y38:Y41)</f>
        <v>0.52249470541710541</v>
      </c>
      <c r="AA40" s="334">
        <f>Z40*52/10^3</f>
        <v>2.7169724681689482E-2</v>
      </c>
      <c r="AG40" s="328"/>
      <c r="AH40" s="328"/>
      <c r="AI40" s="328"/>
      <c r="AJ40" s="328"/>
      <c r="AK40" s="328"/>
      <c r="AL40" s="328"/>
      <c r="AP40" s="222"/>
      <c r="AQ40" s="211"/>
      <c r="AR40" s="222"/>
      <c r="AS40" s="222"/>
      <c r="AT40" s="225"/>
      <c r="AU40" s="225"/>
      <c r="AV40" s="225"/>
      <c r="AW40" s="225"/>
      <c r="AX40" s="225"/>
      <c r="AY40" s="300"/>
      <c r="AZ40" s="300"/>
    </row>
    <row r="41" spans="1:52" s="212" customFormat="1" ht="30" hidden="1" customHeight="1" thickBot="1" x14ac:dyDescent="0.3">
      <c r="A41" s="317"/>
      <c r="B41" s="317"/>
      <c r="C41" s="318"/>
      <c r="D41" s="1838"/>
      <c r="E41" s="1839"/>
      <c r="F41" s="1839"/>
      <c r="G41" s="1839"/>
      <c r="H41" s="1839"/>
      <c r="I41" s="1839"/>
      <c r="J41" s="77"/>
      <c r="K41" s="77"/>
      <c r="L41" s="78"/>
      <c r="M41" s="77"/>
      <c r="N41" s="77"/>
      <c r="O41" s="78"/>
      <c r="P41" s="77"/>
      <c r="Q41" s="77"/>
      <c r="R41" s="78"/>
      <c r="S41" s="77"/>
      <c r="T41" s="77"/>
      <c r="U41" s="78"/>
      <c r="V41" s="77"/>
      <c r="W41" s="77"/>
      <c r="X41" s="79"/>
      <c r="Y41" s="335"/>
      <c r="Z41" s="336"/>
      <c r="AA41" s="309"/>
      <c r="AG41" s="310"/>
      <c r="AH41" s="310"/>
      <c r="AI41" s="310"/>
      <c r="AJ41" s="310"/>
      <c r="AK41" s="310"/>
      <c r="AL41" s="310"/>
      <c r="AP41" s="222"/>
      <c r="AQ41" s="211"/>
      <c r="AR41" s="222"/>
      <c r="AS41" s="222"/>
      <c r="AT41" s="225"/>
      <c r="AU41" s="225"/>
      <c r="AV41" s="225"/>
      <c r="AW41" s="225"/>
      <c r="AX41" s="225"/>
      <c r="AY41" s="300"/>
      <c r="AZ41" s="300"/>
    </row>
    <row r="42" spans="1:52" s="212" customFormat="1" ht="30" customHeight="1" x14ac:dyDescent="0.25">
      <c r="A42" s="322"/>
      <c r="B42" s="322"/>
      <c r="C42" s="323" t="s">
        <v>569</v>
      </c>
      <c r="D42" s="1840">
        <v>6</v>
      </c>
      <c r="E42" s="1840">
        <v>1</v>
      </c>
      <c r="F42" s="1834">
        <v>250</v>
      </c>
      <c r="G42" s="1834">
        <v>0</v>
      </c>
      <c r="H42" s="1834">
        <v>0</v>
      </c>
      <c r="I42" s="1835">
        <v>0</v>
      </c>
      <c r="J42" s="71">
        <f>IF($F42=0,0,1+($F42-$C$21)/$C$22)+$G42/$C$23+$H42/$C$24+$I42/$C$25</f>
        <v>7.4545454545454541</v>
      </c>
      <c r="K42" s="72">
        <f t="shared" si="0"/>
        <v>3.5111917342151263E-8</v>
      </c>
      <c r="L42" s="71">
        <f>($C$7*$C$14*$C$8*$E42/$D42^2*K42*10^6)</f>
        <v>7.8026482982558355E-3</v>
      </c>
      <c r="M42" s="71">
        <f>IF($F42=0,0,1+($F42-$D$21)/$D$22)+$G42/$D$23+$H42/$D$24+$I42/$D$25</f>
        <v>6.6486486486486482</v>
      </c>
      <c r="N42" s="72">
        <f t="shared" si="1"/>
        <v>2.2456979955397711E-7</v>
      </c>
      <c r="O42" s="71">
        <f>($C$7*$D$14*$D$8*$E42/$D42^2*N42*10^6)</f>
        <v>4.99043999008838E-2</v>
      </c>
      <c r="P42" s="71">
        <f>IF($F42=0,0,1+($F42-$E$21)/$E$22)+$G42/$E$23+$H42/$E$24+$I42/$E$25</f>
        <v>5.7674418604651159</v>
      </c>
      <c r="Q42" s="72">
        <f t="shared" si="2"/>
        <v>1.7082763938087111E-6</v>
      </c>
      <c r="R42" s="71">
        <f>($C$7*$E$14*$E$8*$E42/$D42^2*Q42*10^6)</f>
        <v>0.37961697640193576</v>
      </c>
      <c r="S42" s="71">
        <f>IF($F42=0,0,1+($F42-$F$21)/$F$22)+$G42/$F$23+$H42/$F$24+$I42/$F$25</f>
        <v>9.1481481481481488</v>
      </c>
      <c r="T42" s="72">
        <f t="shared" si="3"/>
        <v>7.1097094323124171E-10</v>
      </c>
      <c r="U42" s="71">
        <f>($C$7*$F$14*$F$8*$E42/$D42^2*T42*10^6)</f>
        <v>1.5799354294027593E-4</v>
      </c>
      <c r="V42" s="71">
        <f>IF($F42=0,0,1+($F42-$G$21)/$G$22)+$G42/$G$23+$H42/$G$24+$I42/$G$25</f>
        <v>6.9444444444444446</v>
      </c>
      <c r="W42" s="72">
        <f t="shared" si="4"/>
        <v>1.136463666385722E-7</v>
      </c>
      <c r="X42" s="73">
        <f>($C$7*$G$14*$G$8*$E42/$D42^2*W42*10^6)</f>
        <v>2.5254748141904933E-2</v>
      </c>
      <c r="Y42" s="324">
        <f>SUM(L42,O42,R42,U42,X42)</f>
        <v>0.46273676628592059</v>
      </c>
      <c r="Z42" s="325"/>
      <c r="AA42" s="326"/>
      <c r="AG42" s="328"/>
      <c r="AI42" s="328"/>
      <c r="AJ42" s="328"/>
      <c r="AK42" s="328"/>
      <c r="AL42" s="328"/>
      <c r="AP42" s="222"/>
      <c r="AQ42" s="211"/>
      <c r="AR42" s="222"/>
      <c r="AS42" s="222"/>
      <c r="AT42" s="225"/>
      <c r="AU42" s="225"/>
      <c r="AV42" s="225"/>
      <c r="AW42" s="225"/>
      <c r="AX42" s="225"/>
      <c r="AY42" s="300"/>
      <c r="AZ42" s="300"/>
    </row>
    <row r="43" spans="1:52" s="212" customFormat="1" ht="30" customHeight="1" thickBot="1" x14ac:dyDescent="0.3">
      <c r="A43" s="337" t="str">
        <f>Samenvatting!A25</f>
        <v>B2</v>
      </c>
      <c r="B43" s="338" t="str">
        <f>Samenvatting!B25</f>
        <v>bedieningsruimte Linac 2</v>
      </c>
      <c r="C43" s="331" t="s">
        <v>568</v>
      </c>
      <c r="D43" s="1836">
        <v>5</v>
      </c>
      <c r="E43" s="89"/>
      <c r="F43" s="1834">
        <v>250</v>
      </c>
      <c r="G43" s="1834">
        <v>0</v>
      </c>
      <c r="H43" s="1834">
        <v>0</v>
      </c>
      <c r="I43" s="1835">
        <v>0</v>
      </c>
      <c r="J43" s="74">
        <f>$F43/$C$27+$G43/$C$28+$H43/$C$29+$I43/$C$30</f>
        <v>7.3529411764705879</v>
      </c>
      <c r="K43" s="75">
        <f>10^(-J43)</f>
        <v>4.4366873309786093E-8</v>
      </c>
      <c r="L43" s="74">
        <f>($C$7*$C$15*$C$8*($C$9+$C$10*$C$11)/$D43^2*K43*10^6)</f>
        <v>1.0648049594348663E-3</v>
      </c>
      <c r="M43" s="74">
        <f>$F43/$D$27+$G43/$D$28+$H43/$D$29+$I43/$D$30</f>
        <v>6.5789473684210522</v>
      </c>
      <c r="N43" s="75">
        <f>10^(-M43)</f>
        <v>2.636650898730358E-7</v>
      </c>
      <c r="O43" s="74">
        <f>($C$7*$C$15*$D$8*($D$9+$D$10*$D$11)/$D43^2*N43*10^6)</f>
        <v>6.3279621569528599E-3</v>
      </c>
      <c r="P43" s="74">
        <f>$F43/$E$27+$G43/$E$28+$H43/$E$29+$I43/$E$30</f>
        <v>5.6818181818181817</v>
      </c>
      <c r="Q43" s="75">
        <f>10^(-P43)</f>
        <v>2.0805675382171676E-6</v>
      </c>
      <c r="R43" s="74">
        <f>($C$7*$C$15*$E$8*($E$9+$E$10*$E$11)/$D43^2*Q43*10^6)</f>
        <v>4.9933620917212027E-2</v>
      </c>
      <c r="S43" s="74">
        <f>$F43/$F$27+$G43/$F$28+$H43/$F$29+$I43/$F$30</f>
        <v>8.1967213114754092</v>
      </c>
      <c r="T43" s="75">
        <f>10^(-S43)</f>
        <v>6.3573875711648393E-9</v>
      </c>
      <c r="U43" s="74">
        <f>($C$7*$C$15*$F$8*($F$9+$F$10*$F$11)/$D43^2*T43*10^6)</f>
        <v>1.5257730170795616E-4</v>
      </c>
      <c r="V43" s="74">
        <f>$F43/$G$27+$G43/$G$28+$H43/$G$29+$I43/$G$30</f>
        <v>7.0224719101123592</v>
      </c>
      <c r="W43" s="75">
        <f>10^(-V43)</f>
        <v>9.4957241494880226E-8</v>
      </c>
      <c r="X43" s="76">
        <f>($C$7*$C$15*$G$8*($G$9+$G$10*$G$11)/$D43^2*W43*10^6)</f>
        <v>2.278973795877126E-3</v>
      </c>
      <c r="Y43" s="339">
        <f t="shared" ref="Y43:Y49" si="5">SUM(L43,O43,R43,U43,X43)</f>
        <v>5.9757939131184837E-2</v>
      </c>
      <c r="Z43" s="333">
        <f>SUM(Y41:Y44)</f>
        <v>0.52249470541710541</v>
      </c>
      <c r="AA43" s="334">
        <f>Z43*52/10^3</f>
        <v>2.7169724681689482E-2</v>
      </c>
      <c r="AG43" s="328"/>
      <c r="AH43" s="328"/>
      <c r="AI43" s="328"/>
      <c r="AJ43" s="328"/>
      <c r="AK43" s="328"/>
      <c r="AL43" s="328"/>
      <c r="AP43" s="222"/>
      <c r="AQ43" s="211"/>
      <c r="AR43" s="222"/>
      <c r="AS43" s="222"/>
      <c r="AT43" s="225"/>
      <c r="AU43" s="225"/>
      <c r="AV43" s="225"/>
      <c r="AW43" s="225"/>
      <c r="AX43" s="225"/>
      <c r="AY43" s="300"/>
      <c r="AZ43" s="300"/>
    </row>
    <row r="44" spans="1:52" s="225" customFormat="1" ht="30" hidden="1" customHeight="1" thickBot="1" x14ac:dyDescent="0.3">
      <c r="A44" s="340"/>
      <c r="B44" s="340"/>
      <c r="C44" s="341"/>
      <c r="D44" s="1841"/>
      <c r="E44" s="1842"/>
      <c r="F44" s="1842"/>
      <c r="G44" s="1842"/>
      <c r="H44" s="1842"/>
      <c r="I44" s="1842"/>
      <c r="J44" s="80"/>
      <c r="K44" s="80"/>
      <c r="L44" s="81"/>
      <c r="M44" s="80"/>
      <c r="N44" s="80"/>
      <c r="O44" s="81"/>
      <c r="P44" s="80"/>
      <c r="Q44" s="80"/>
      <c r="R44" s="81"/>
      <c r="S44" s="80"/>
      <c r="T44" s="80"/>
      <c r="U44" s="81"/>
      <c r="V44" s="80"/>
      <c r="W44" s="80"/>
      <c r="X44" s="81"/>
      <c r="Y44" s="57"/>
      <c r="Z44" s="342"/>
      <c r="AA44" s="340"/>
      <c r="AG44" s="310"/>
      <c r="AH44" s="310"/>
      <c r="AI44" s="310"/>
      <c r="AJ44" s="310"/>
      <c r="AK44" s="310"/>
      <c r="AL44" s="310"/>
      <c r="AP44" s="222"/>
      <c r="AQ44" s="211"/>
      <c r="AR44" s="222"/>
      <c r="AS44" s="222"/>
      <c r="AY44" s="300"/>
      <c r="AZ44" s="300"/>
    </row>
    <row r="45" spans="1:52" s="212" customFormat="1" ht="30" customHeight="1" x14ac:dyDescent="0.25">
      <c r="A45" s="322"/>
      <c r="B45" s="322"/>
      <c r="C45" s="323" t="s">
        <v>569</v>
      </c>
      <c r="D45" s="1840">
        <v>6</v>
      </c>
      <c r="E45" s="1840">
        <v>1</v>
      </c>
      <c r="F45" s="1834">
        <v>250</v>
      </c>
      <c r="G45" s="1834">
        <v>0</v>
      </c>
      <c r="H45" s="1834">
        <v>0</v>
      </c>
      <c r="I45" s="1835">
        <v>0</v>
      </c>
      <c r="J45" s="82">
        <f>IF($F45=0,0,1+($F45-$C$21)/$C$22)+$G45/$C$23+$H45/$C$24+$I45/$C$25</f>
        <v>7.4545454545454541</v>
      </c>
      <c r="K45" s="77">
        <f t="shared" si="0"/>
        <v>3.5111917342151263E-8</v>
      </c>
      <c r="L45" s="82">
        <f>($C$7*$C$14*$C$8*$E45/$D45^2*K45*10^6)</f>
        <v>7.8026482982558355E-3</v>
      </c>
      <c r="M45" s="82">
        <f>IF($F45=0,0,1+($F45-$D$21)/$D$22)+$G45/$D$23+$H45/$D$24+$I45/$D$25</f>
        <v>6.6486486486486482</v>
      </c>
      <c r="N45" s="77">
        <f t="shared" si="1"/>
        <v>2.2456979955397711E-7</v>
      </c>
      <c r="O45" s="82">
        <f>($C$7*$E$14*$D$8*$E45/$D45^2*N45*10^6)</f>
        <v>4.99043999008838E-2</v>
      </c>
      <c r="P45" s="82">
        <f>IF($F45=0,0,1+($F45-$E$21)/$E$22)+$G45/$E$23+$H45/$E$24+$I45/$E$25</f>
        <v>5.7674418604651159</v>
      </c>
      <c r="Q45" s="77">
        <f t="shared" si="2"/>
        <v>1.7082763938087111E-6</v>
      </c>
      <c r="R45" s="82">
        <f>($C$7*$E$14*$E$8*$E45/$D45^2*Q45*10^6)</f>
        <v>0.37961697640193576</v>
      </c>
      <c r="S45" s="82">
        <f>IF($F45=0,0,1+($F45-$F$21)/$F$22)+$G45/$F$23+$H45/$F$24+$I45/$F$25</f>
        <v>9.1481481481481488</v>
      </c>
      <c r="T45" s="77">
        <f t="shared" si="3"/>
        <v>7.1097094323124171E-10</v>
      </c>
      <c r="U45" s="82">
        <f>($C$7*$F$14*$F$8*$E45/$D45^2*T45*10^6)</f>
        <v>1.5799354294027593E-4</v>
      </c>
      <c r="V45" s="82">
        <f>IF($F45=0,0,1+($F45-$G$21)/$G$22)+$G45/$G$23+$H45/$G$24+$I45/$G$25</f>
        <v>6.9444444444444446</v>
      </c>
      <c r="W45" s="77">
        <f t="shared" si="4"/>
        <v>1.136463666385722E-7</v>
      </c>
      <c r="X45" s="83">
        <f>($C$7*$G$14*$G$8*$E45/$D45^2*W45*10^6)</f>
        <v>2.5254748141904933E-2</v>
      </c>
      <c r="Y45" s="324">
        <f t="shared" si="5"/>
        <v>0.46273676628592059</v>
      </c>
      <c r="Z45" s="325"/>
      <c r="AA45" s="326"/>
      <c r="AG45" s="328"/>
      <c r="AI45" s="328"/>
      <c r="AJ45" s="328"/>
      <c r="AK45" s="328"/>
      <c r="AL45" s="328"/>
      <c r="AP45" s="222"/>
      <c r="AQ45" s="211"/>
      <c r="AR45" s="222"/>
      <c r="AS45" s="222"/>
      <c r="AT45" s="225"/>
      <c r="AU45" s="225"/>
      <c r="AV45" s="225"/>
      <c r="AW45" s="225"/>
      <c r="AX45" s="225"/>
      <c r="AY45" s="300"/>
      <c r="AZ45" s="300"/>
    </row>
    <row r="46" spans="1:52" s="212" customFormat="1" ht="30" customHeight="1" thickBot="1" x14ac:dyDescent="0.3">
      <c r="A46" s="343" t="str">
        <f>Samenvatting!A37</f>
        <v>B3</v>
      </c>
      <c r="B46" s="338" t="str">
        <f>Samenvatting!B37</f>
        <v>bedieningsruimte Linac 3</v>
      </c>
      <c r="C46" s="331" t="s">
        <v>568</v>
      </c>
      <c r="D46" s="1836">
        <v>5</v>
      </c>
      <c r="E46" s="89"/>
      <c r="F46" s="1834">
        <v>250</v>
      </c>
      <c r="G46" s="1834">
        <v>0</v>
      </c>
      <c r="H46" s="1834">
        <v>0</v>
      </c>
      <c r="I46" s="1835">
        <v>0</v>
      </c>
      <c r="J46" s="74">
        <f>$F46/$C$27+$G46/$C$28+$H46/$C$29+$I46/$C$30</f>
        <v>7.3529411764705879</v>
      </c>
      <c r="K46" s="75">
        <f>10^(-J46)</f>
        <v>4.4366873309786093E-8</v>
      </c>
      <c r="L46" s="74">
        <f>($C$7*$C$15*$C$8*($C$9+$C$10*$C$11)/$D46^2*K46*10^6)</f>
        <v>1.0648049594348663E-3</v>
      </c>
      <c r="M46" s="74">
        <f>$F46/$D$27+$G46/$D$28+$H46/$D$29+$I46/$D$30</f>
        <v>6.5789473684210522</v>
      </c>
      <c r="N46" s="75">
        <f>10^(-M46)</f>
        <v>2.636650898730358E-7</v>
      </c>
      <c r="O46" s="74">
        <f>($C$7*$C$15*$D$8*($D$9+$D$10*$D$11)/$D46^2*N46*10^6)</f>
        <v>6.3279621569528599E-3</v>
      </c>
      <c r="P46" s="74">
        <f>$F46/$E$27+$G46/$E$28+$H46/$E$29+$I46/$E$30</f>
        <v>5.6818181818181817</v>
      </c>
      <c r="Q46" s="75">
        <f>10^(-P46)</f>
        <v>2.0805675382171676E-6</v>
      </c>
      <c r="R46" s="74">
        <f>($C$7*$C$15*$E$8*($E$9+$E$10*$E$11)/$D46^2*Q46*10^6)</f>
        <v>4.9933620917212027E-2</v>
      </c>
      <c r="S46" s="74">
        <f>$F46/$F$27+$G46/$F$28+$H46/$F$29+$I46/$F$30</f>
        <v>8.1967213114754092</v>
      </c>
      <c r="T46" s="75">
        <f>10^(-S46)</f>
        <v>6.3573875711648393E-9</v>
      </c>
      <c r="U46" s="74">
        <f>($C$7*$C$15*$F$8*($F$9+$F$10*$F$11)/$D46^2*T46*10^6)</f>
        <v>1.5257730170795616E-4</v>
      </c>
      <c r="V46" s="74">
        <f>$F46/$G$27+$G46/$G$28+$H46/$G$29+$I46/$G$30</f>
        <v>7.0224719101123592</v>
      </c>
      <c r="W46" s="75">
        <f>10^(-V46)</f>
        <v>9.4957241494880226E-8</v>
      </c>
      <c r="X46" s="76">
        <f>($C$7*$C$15*$G$8*($G$9+$G$10*$G$11)/$D46^2*W46*10^6)</f>
        <v>2.278973795877126E-3</v>
      </c>
      <c r="Y46" s="339">
        <f t="shared" si="5"/>
        <v>5.9757939131184837E-2</v>
      </c>
      <c r="Z46" s="333">
        <f>SUM(Y44:Y47)</f>
        <v>0.52249470541710541</v>
      </c>
      <c r="AA46" s="334">
        <f>Z46*52/10^3</f>
        <v>2.7169724681689482E-2</v>
      </c>
      <c r="AG46" s="328"/>
      <c r="AH46" s="328"/>
      <c r="AI46" s="328"/>
      <c r="AJ46" s="328"/>
      <c r="AK46" s="328"/>
      <c r="AL46" s="328"/>
      <c r="AP46" s="222"/>
      <c r="AQ46" s="211"/>
      <c r="AR46" s="222"/>
      <c r="AS46" s="222"/>
      <c r="AT46" s="225"/>
      <c r="AU46" s="225"/>
      <c r="AV46" s="225"/>
      <c r="AW46" s="225"/>
      <c r="AX46" s="225"/>
      <c r="AY46" s="300"/>
      <c r="AZ46" s="300"/>
    </row>
    <row r="47" spans="1:52" s="212" customFormat="1" ht="30" hidden="1" customHeight="1" thickBot="1" x14ac:dyDescent="0.3">
      <c r="A47" s="317"/>
      <c r="B47" s="317"/>
      <c r="C47" s="318"/>
      <c r="D47" s="1838"/>
      <c r="E47" s="1839"/>
      <c r="F47" s="1839"/>
      <c r="G47" s="1839"/>
      <c r="H47" s="1839"/>
      <c r="I47" s="1839"/>
      <c r="J47" s="77"/>
      <c r="K47" s="77"/>
      <c r="L47" s="78"/>
      <c r="M47" s="77"/>
      <c r="N47" s="77"/>
      <c r="O47" s="78"/>
      <c r="P47" s="77"/>
      <c r="Q47" s="77"/>
      <c r="R47" s="78"/>
      <c r="S47" s="77"/>
      <c r="T47" s="77"/>
      <c r="U47" s="78"/>
      <c r="V47" s="77"/>
      <c r="W47" s="77"/>
      <c r="X47" s="79"/>
      <c r="Y47" s="335"/>
      <c r="Z47" s="344"/>
      <c r="AA47" s="345"/>
      <c r="AG47" s="310"/>
      <c r="AH47" s="310"/>
      <c r="AI47" s="310"/>
      <c r="AJ47" s="310"/>
      <c r="AK47" s="310"/>
      <c r="AL47" s="310"/>
      <c r="AP47" s="222"/>
      <c r="AQ47" s="211"/>
      <c r="AR47" s="222"/>
      <c r="AS47" s="222"/>
      <c r="AT47" s="225"/>
      <c r="AU47" s="225"/>
      <c r="AV47" s="225"/>
      <c r="AW47" s="225"/>
      <c r="AX47" s="225"/>
      <c r="AY47" s="300"/>
      <c r="AZ47" s="300"/>
    </row>
    <row r="48" spans="1:52" s="212" customFormat="1" ht="30" customHeight="1" x14ac:dyDescent="0.25">
      <c r="A48" s="322"/>
      <c r="B48" s="322"/>
      <c r="C48" s="323" t="s">
        <v>569</v>
      </c>
      <c r="D48" s="1840">
        <v>6</v>
      </c>
      <c r="E48" s="1840">
        <v>1</v>
      </c>
      <c r="F48" s="1834">
        <v>250</v>
      </c>
      <c r="G48" s="1834">
        <v>0</v>
      </c>
      <c r="H48" s="1834">
        <v>0</v>
      </c>
      <c r="I48" s="1835">
        <v>0</v>
      </c>
      <c r="J48" s="71">
        <f>IF($F48=0,0,1+($F48-$C$21)/$C$22)+$G48/$C$23+$H48/$C$24+$I48/$C$25</f>
        <v>7.4545454545454541</v>
      </c>
      <c r="K48" s="72">
        <f t="shared" si="0"/>
        <v>3.5111917342151263E-8</v>
      </c>
      <c r="L48" s="71">
        <f>($C$7*$C$14*$C$8*$E48/$D48^2*K48*10^6)</f>
        <v>7.8026482982558355E-3</v>
      </c>
      <c r="M48" s="71">
        <f>IF($F48=0,0,1+($F48-$D$21)/$D$22)+$G48/$D$23+$H48/$D$24+$I48/$D$25</f>
        <v>6.6486486486486482</v>
      </c>
      <c r="N48" s="72">
        <f t="shared" si="1"/>
        <v>2.2456979955397711E-7</v>
      </c>
      <c r="O48" s="71">
        <f>($C$7*$D$14*$D$8*$E48/$D48^2*N48*10^6)</f>
        <v>4.99043999008838E-2</v>
      </c>
      <c r="P48" s="71">
        <f>IF($F48=0,0,1+($F48-$E$21)/$E$22)+$G48/$E$23+$H48/$E$24+$I48/$E$25</f>
        <v>5.7674418604651159</v>
      </c>
      <c r="Q48" s="72">
        <f t="shared" si="2"/>
        <v>1.7082763938087111E-6</v>
      </c>
      <c r="R48" s="71">
        <f>($C$7*$E$14*$E$8*$E48/$D48^2*Q48*10^6)</f>
        <v>0.37961697640193576</v>
      </c>
      <c r="S48" s="71">
        <f>IF($F48=0,0,1+($F48-$F$21)/$F$22)+$G48/$F$23+$H48/$F$24+$I48/$F$25</f>
        <v>9.1481481481481488</v>
      </c>
      <c r="T48" s="72">
        <f t="shared" si="3"/>
        <v>7.1097094323124171E-10</v>
      </c>
      <c r="U48" s="71">
        <f>($C$7*$F$14*$F$8*$E48/$D48^2*T48*10^6)</f>
        <v>1.5799354294027593E-4</v>
      </c>
      <c r="V48" s="71">
        <f>IF($F48=0,0,1+($F48-$G$21)/$G$22)+$G48/$G$23+$H48/$G$24+$I48/$G$25</f>
        <v>6.9444444444444446</v>
      </c>
      <c r="W48" s="72">
        <f t="shared" si="4"/>
        <v>1.136463666385722E-7</v>
      </c>
      <c r="X48" s="73">
        <f>($C$7*$G$14*$G$8*$E48/$D48^2*W48*10^6)</f>
        <v>2.5254748141904933E-2</v>
      </c>
      <c r="Y48" s="324">
        <f t="shared" si="5"/>
        <v>0.46273676628592059</v>
      </c>
      <c r="Z48" s="325"/>
      <c r="AA48" s="326"/>
      <c r="AG48" s="328"/>
      <c r="AI48" s="328"/>
      <c r="AJ48" s="328"/>
      <c r="AK48" s="328"/>
      <c r="AL48" s="328"/>
      <c r="AP48" s="222"/>
      <c r="AQ48" s="211"/>
      <c r="AR48" s="222"/>
      <c r="AS48" s="222"/>
      <c r="AT48" s="225"/>
      <c r="AU48" s="225"/>
      <c r="AV48" s="225"/>
      <c r="AW48" s="225"/>
      <c r="AX48" s="225"/>
      <c r="AY48" s="300"/>
      <c r="AZ48" s="300"/>
    </row>
    <row r="49" spans="1:52" s="212" customFormat="1" ht="30" customHeight="1" thickBot="1" x14ac:dyDescent="0.3">
      <c r="A49" s="343" t="str">
        <f>Samenvatting!A49</f>
        <v>B4</v>
      </c>
      <c r="B49" s="338" t="str">
        <f>Samenvatting!B49</f>
        <v>bedieningsruimte Linac 4</v>
      </c>
      <c r="C49" s="331" t="s">
        <v>568</v>
      </c>
      <c r="D49" s="1836">
        <v>5</v>
      </c>
      <c r="E49" s="89"/>
      <c r="F49" s="1834">
        <v>250</v>
      </c>
      <c r="G49" s="1834">
        <v>0</v>
      </c>
      <c r="H49" s="1834">
        <v>0</v>
      </c>
      <c r="I49" s="1835">
        <v>0</v>
      </c>
      <c r="J49" s="74">
        <f>$F49/$C$27+$G49/$C$28+$H49/$C$29+$I49/$C$30</f>
        <v>7.3529411764705879</v>
      </c>
      <c r="K49" s="75">
        <f>10^(-J49)</f>
        <v>4.4366873309786093E-8</v>
      </c>
      <c r="L49" s="74">
        <f>($C$7*$C$15*$C$8*($C$9+$C$10*$C$11)/$D49^2*K49*10^6)</f>
        <v>1.0648049594348663E-3</v>
      </c>
      <c r="M49" s="74">
        <f>$F49/$D$27+$G49/$D$28+$H49/$D$29+$I49/$D$30</f>
        <v>6.5789473684210522</v>
      </c>
      <c r="N49" s="75">
        <f>10^(-M49)</f>
        <v>2.636650898730358E-7</v>
      </c>
      <c r="O49" s="74">
        <f>($C$7*$C$15*$D$8*($D$9+$D$10*$D$11)/$D49^2*N49*10^6)</f>
        <v>6.3279621569528599E-3</v>
      </c>
      <c r="P49" s="74">
        <f>$F49/$E$27+$G49/$E$28+$H49/$E$29+$I49/$E$30</f>
        <v>5.6818181818181817</v>
      </c>
      <c r="Q49" s="75">
        <f>10^(-P49)</f>
        <v>2.0805675382171676E-6</v>
      </c>
      <c r="R49" s="74">
        <f>($C$7*$C$15*$E$8*($E$9+$E$10*$E$11)/$D49^2*Q49*10^6)</f>
        <v>4.9933620917212027E-2</v>
      </c>
      <c r="S49" s="74">
        <f>$F49/$F$27+$G49/$F$28+$H49/$F$29+$I49/$F$30</f>
        <v>8.1967213114754092</v>
      </c>
      <c r="T49" s="75">
        <f>10^(-S49)</f>
        <v>6.3573875711648393E-9</v>
      </c>
      <c r="U49" s="74">
        <f>($C$7*$C$15*$F$8*($F$9+$F$10*$F$11)/$D49^2*T49*10^6)</f>
        <v>1.5257730170795616E-4</v>
      </c>
      <c r="V49" s="74">
        <f>$F49/$G$27+$G49/$G$28+$H49/$G$29+$I49/$G$30</f>
        <v>7.0224719101123592</v>
      </c>
      <c r="W49" s="75">
        <f>10^(-V49)</f>
        <v>9.4957241494880226E-8</v>
      </c>
      <c r="X49" s="76">
        <f>($C$7*$C$15*$G$8*($G$9+$G$10*$G$11)/$D49^2*W49*10^6)</f>
        <v>2.278973795877126E-3</v>
      </c>
      <c r="Y49" s="339">
        <f t="shared" si="5"/>
        <v>5.9757939131184837E-2</v>
      </c>
      <c r="Z49" s="333">
        <f>SUM(Y47:Y50)</f>
        <v>0.52249470541710541</v>
      </c>
      <c r="AA49" s="334">
        <f>Z49*52/10^3</f>
        <v>2.7169724681689482E-2</v>
      </c>
      <c r="AG49" s="328"/>
      <c r="AH49" s="328"/>
      <c r="AI49" s="328"/>
      <c r="AJ49" s="328"/>
      <c r="AK49" s="328"/>
      <c r="AL49" s="328"/>
      <c r="AP49" s="222"/>
      <c r="AQ49" s="211"/>
      <c r="AR49" s="222"/>
      <c r="AS49" s="222"/>
      <c r="AT49" s="225"/>
      <c r="AU49" s="225"/>
      <c r="AV49" s="225"/>
      <c r="AW49" s="225"/>
      <c r="AX49" s="225"/>
      <c r="AY49" s="300"/>
      <c r="AZ49" s="300"/>
    </row>
    <row r="50" spans="1:52" s="212" customFormat="1" ht="30" hidden="1" customHeight="1" thickBot="1" x14ac:dyDescent="0.3">
      <c r="A50" s="317"/>
      <c r="B50" s="317"/>
      <c r="C50" s="318"/>
      <c r="D50" s="1838"/>
      <c r="E50" s="1839"/>
      <c r="F50" s="1839"/>
      <c r="G50" s="1839"/>
      <c r="H50" s="1839"/>
      <c r="I50" s="1839"/>
      <c r="J50" s="77"/>
      <c r="K50" s="77"/>
      <c r="L50" s="78"/>
      <c r="M50" s="77"/>
      <c r="N50" s="77"/>
      <c r="O50" s="78"/>
      <c r="P50" s="77"/>
      <c r="Q50" s="77"/>
      <c r="R50" s="78"/>
      <c r="S50" s="77"/>
      <c r="T50" s="77"/>
      <c r="U50" s="78"/>
      <c r="V50" s="77"/>
      <c r="W50" s="77"/>
      <c r="X50" s="79"/>
      <c r="Y50" s="316"/>
      <c r="Z50" s="344"/>
      <c r="AA50" s="345"/>
      <c r="AG50" s="310"/>
      <c r="AH50" s="310"/>
      <c r="AI50" s="310"/>
      <c r="AJ50" s="310"/>
      <c r="AK50" s="310"/>
      <c r="AL50" s="310"/>
      <c r="AP50" s="222"/>
      <c r="AQ50" s="211"/>
      <c r="AR50" s="222"/>
      <c r="AS50" s="222"/>
      <c r="AT50" s="225"/>
      <c r="AU50" s="225"/>
      <c r="AV50" s="225"/>
      <c r="AW50" s="225"/>
      <c r="AX50" s="225"/>
      <c r="AY50" s="300"/>
      <c r="AZ50" s="300"/>
    </row>
    <row r="51" spans="1:52" s="212" customFormat="1" ht="30" customHeight="1" x14ac:dyDescent="0.25">
      <c r="A51" s="322"/>
      <c r="B51" s="322"/>
      <c r="C51" s="323" t="s">
        <v>569</v>
      </c>
      <c r="D51" s="1840">
        <v>6</v>
      </c>
      <c r="E51" s="1840">
        <v>1</v>
      </c>
      <c r="F51" s="1834">
        <v>250</v>
      </c>
      <c r="G51" s="1834">
        <v>0</v>
      </c>
      <c r="H51" s="1834">
        <v>0</v>
      </c>
      <c r="I51" s="1835">
        <v>0</v>
      </c>
      <c r="J51" s="71">
        <f>IF($F51=0,0,1+($F51-$C$21)/$C$22)+$G51/$C$23+$H51/$C$24+$I51/$C$25</f>
        <v>7.4545454545454541</v>
      </c>
      <c r="K51" s="72">
        <f>10^(-J51)</f>
        <v>3.5111917342151263E-8</v>
      </c>
      <c r="L51" s="71">
        <f>($C$7*$C$14*$C$8*$E51/$D51^2*K51*10^6)</f>
        <v>7.8026482982558355E-3</v>
      </c>
      <c r="M51" s="71">
        <f>IF($F51=0,0,1+($F51-$D$21)/$D$22)+$G51/$D$23+$H51/$D$24+$I51/$D$25</f>
        <v>6.6486486486486482</v>
      </c>
      <c r="N51" s="72">
        <f>10^(-M51)</f>
        <v>2.2456979955397711E-7</v>
      </c>
      <c r="O51" s="71">
        <f>($C$7*$D$14*$D$8*$E51/$D51^2*N51*10^6)</f>
        <v>4.99043999008838E-2</v>
      </c>
      <c r="P51" s="71">
        <f>IF($F51=0,0,1+($F51-$E$21)/$E$22)+$G51/$E$23+$H51/$E$24+$I51/$E$25</f>
        <v>5.7674418604651159</v>
      </c>
      <c r="Q51" s="72">
        <f>10^(-P51)</f>
        <v>1.7082763938087111E-6</v>
      </c>
      <c r="R51" s="71">
        <f>($C$7*$E$14*$E$8*$E51/$D51^2*Q51*10^6)</f>
        <v>0.37961697640193576</v>
      </c>
      <c r="S51" s="71">
        <f>IF($F51=0,0,1+($F51-$F$21)/$F$22)+$G51/$F$23+$H51/$F$24+$I51/$F$25</f>
        <v>9.1481481481481488</v>
      </c>
      <c r="T51" s="72">
        <f>10^(-S51)</f>
        <v>7.1097094323124171E-10</v>
      </c>
      <c r="U51" s="71">
        <f>($C$7*$F$14*$F$8*$E51/$D51^2*T51*10^6)</f>
        <v>1.5799354294027593E-4</v>
      </c>
      <c r="V51" s="71">
        <f>IF($F51=0,0,1+($F51-$G$21)/$G$22)+$G51/$G$23+$H51/$G$24+$I51/$G$25</f>
        <v>6.9444444444444446</v>
      </c>
      <c r="W51" s="72">
        <f>10^(-V51)</f>
        <v>1.136463666385722E-7</v>
      </c>
      <c r="X51" s="73">
        <f>($C$7*$G$14*$G$8*$E51/$D51^2*W51*10^6)</f>
        <v>2.5254748141904933E-2</v>
      </c>
      <c r="Y51" s="324">
        <f>SUM(L51,O51,R51,U51,X51)</f>
        <v>0.46273676628592059</v>
      </c>
      <c r="Z51" s="325"/>
      <c r="AA51" s="326"/>
      <c r="AG51" s="328"/>
      <c r="AI51" s="328"/>
      <c r="AJ51" s="328"/>
      <c r="AK51" s="328"/>
      <c r="AL51" s="328"/>
      <c r="AP51" s="222"/>
      <c r="AQ51" s="211"/>
      <c r="AR51" s="222"/>
      <c r="AS51" s="222"/>
      <c r="AT51" s="225"/>
      <c r="AU51" s="225"/>
      <c r="AV51" s="225"/>
      <c r="AW51" s="225"/>
      <c r="AX51" s="225"/>
      <c r="AY51" s="300"/>
      <c r="AZ51" s="300"/>
    </row>
    <row r="52" spans="1:52" s="212" customFormat="1" ht="30" customHeight="1" thickBot="1" x14ac:dyDescent="0.3">
      <c r="A52" s="343" t="str">
        <f>Samenvatting!A61</f>
        <v>B5</v>
      </c>
      <c r="B52" s="346" t="str">
        <f>Samenvatting!B61</f>
        <v>bedieningsruimte Linac 5</v>
      </c>
      <c r="C52" s="331" t="s">
        <v>568</v>
      </c>
      <c r="D52" s="1843">
        <v>5</v>
      </c>
      <c r="E52" s="347"/>
      <c r="F52" s="1834">
        <v>250</v>
      </c>
      <c r="G52" s="1834">
        <v>0</v>
      </c>
      <c r="H52" s="1834">
        <v>0</v>
      </c>
      <c r="I52" s="1835">
        <v>0</v>
      </c>
      <c r="J52" s="74">
        <f>$F52/$C$27+$G52/$C$28+$H52/$C$29+$I52/$C$30</f>
        <v>7.3529411764705879</v>
      </c>
      <c r="K52" s="75">
        <f>10^(-J52)</f>
        <v>4.4366873309786093E-8</v>
      </c>
      <c r="L52" s="74">
        <f>($C$7*$C$15*$C$8*($C$9+$C$10*$C$11)/$D52^2*K52*10^6)</f>
        <v>1.0648049594348663E-3</v>
      </c>
      <c r="M52" s="74">
        <f>$F52/$D$27+$G52/$D$28+$H52/$D$29+$I52/$D$30</f>
        <v>6.5789473684210522</v>
      </c>
      <c r="N52" s="75">
        <f>10^(-M52)</f>
        <v>2.636650898730358E-7</v>
      </c>
      <c r="O52" s="74">
        <f>($C$7*$C$15*$D$8*($D$9+$D$10*$D$11)/$D52^2*N52*10^6)</f>
        <v>6.3279621569528599E-3</v>
      </c>
      <c r="P52" s="74">
        <f>$F52/$E$27+$G52/$E$28+$H52/$E$29+$I52/$E$30</f>
        <v>5.6818181818181817</v>
      </c>
      <c r="Q52" s="75">
        <f>10^(-P52)</f>
        <v>2.0805675382171676E-6</v>
      </c>
      <c r="R52" s="74">
        <f>($C$7*$C$15*$E$8*($E$9+$E$10*$E$11)/$D52^2*Q52*10^6)</f>
        <v>4.9933620917212027E-2</v>
      </c>
      <c r="S52" s="74">
        <f>$F52/$F$27+$G52/$F$28+$H52/$F$29+$I52/$F$30</f>
        <v>8.1967213114754092</v>
      </c>
      <c r="T52" s="75">
        <f>10^(-S52)</f>
        <v>6.3573875711648393E-9</v>
      </c>
      <c r="U52" s="74">
        <f>($C$7*$C$15*$F$8*($F$9+$F$10*$F$11)/$D52^2*T52*10^6)</f>
        <v>1.5257730170795616E-4</v>
      </c>
      <c r="V52" s="74">
        <f>$F52/$G$27+$G52/$G$28+$H52/$G$29+$I52/$G$30</f>
        <v>7.0224719101123592</v>
      </c>
      <c r="W52" s="75">
        <f>10^(-V52)</f>
        <v>9.4957241494880226E-8</v>
      </c>
      <c r="X52" s="76">
        <f>($C$7*$C$15*$G$8*($G$9+$G$10*$G$11)/$D52^2*W52*10^6)</f>
        <v>2.278973795877126E-3</v>
      </c>
      <c r="Y52" s="339">
        <f>SUM(L52,O52,R52,U52,X52)</f>
        <v>5.9757939131184837E-2</v>
      </c>
      <c r="Z52" s="333">
        <f>SUM(Y50:Y53)</f>
        <v>0.52249470541710541</v>
      </c>
      <c r="AA52" s="334">
        <f>Z52*52/10^3</f>
        <v>2.7169724681689482E-2</v>
      </c>
      <c r="AG52" s="328"/>
      <c r="AH52" s="328"/>
      <c r="AI52" s="328"/>
      <c r="AJ52" s="328"/>
      <c r="AK52" s="328"/>
      <c r="AL52" s="328"/>
      <c r="AP52" s="222"/>
      <c r="AQ52" s="211"/>
      <c r="AR52" s="222"/>
      <c r="AS52" s="222"/>
      <c r="AT52" s="225"/>
      <c r="AU52" s="225"/>
      <c r="AV52" s="225"/>
      <c r="AW52" s="225"/>
      <c r="AX52" s="225"/>
      <c r="AY52" s="300"/>
      <c r="AZ52" s="300"/>
    </row>
    <row r="53" spans="1:52" s="212" customFormat="1" ht="30" hidden="1" customHeight="1" thickBot="1" x14ac:dyDescent="0.3">
      <c r="A53" s="317"/>
      <c r="B53" s="317"/>
      <c r="C53" s="318"/>
      <c r="D53" s="1838"/>
      <c r="E53" s="1839"/>
      <c r="F53" s="1839"/>
      <c r="G53" s="1839"/>
      <c r="H53" s="1839"/>
      <c r="I53" s="1839"/>
      <c r="J53" s="77"/>
      <c r="K53" s="77"/>
      <c r="L53" s="78"/>
      <c r="M53" s="77"/>
      <c r="N53" s="77"/>
      <c r="O53" s="78"/>
      <c r="P53" s="77"/>
      <c r="Q53" s="77"/>
      <c r="R53" s="78"/>
      <c r="S53" s="77"/>
      <c r="T53" s="77"/>
      <c r="U53" s="78"/>
      <c r="V53" s="77"/>
      <c r="W53" s="77"/>
      <c r="X53" s="79"/>
      <c r="Y53" s="316"/>
      <c r="Z53" s="344"/>
      <c r="AA53" s="345"/>
      <c r="AG53" s="310"/>
      <c r="AH53" s="310"/>
      <c r="AI53" s="310"/>
      <c r="AJ53" s="310"/>
      <c r="AK53" s="310"/>
      <c r="AL53" s="310"/>
      <c r="AP53" s="222"/>
      <c r="AQ53" s="211"/>
      <c r="AR53" s="222"/>
      <c r="AS53" s="222"/>
      <c r="AT53" s="225"/>
      <c r="AU53" s="225"/>
      <c r="AV53" s="225"/>
      <c r="AW53" s="225"/>
      <c r="AX53" s="225"/>
      <c r="AY53" s="300"/>
      <c r="AZ53" s="300"/>
    </row>
    <row r="54" spans="1:52" s="212" customFormat="1" ht="30" customHeight="1" x14ac:dyDescent="0.25">
      <c r="A54" s="322"/>
      <c r="B54" s="322"/>
      <c r="C54" s="323" t="s">
        <v>569</v>
      </c>
      <c r="D54" s="1840">
        <v>6</v>
      </c>
      <c r="E54" s="1840">
        <v>1</v>
      </c>
      <c r="F54" s="1834">
        <v>250</v>
      </c>
      <c r="G54" s="1834">
        <v>0</v>
      </c>
      <c r="H54" s="1834">
        <v>0</v>
      </c>
      <c r="I54" s="1835">
        <v>0</v>
      </c>
      <c r="J54" s="71">
        <f>IF($F54=0,0,1+($F54-$C$21)/$C$22)+$G54/$C$23+$H54/$C$24+$I54/$C$25</f>
        <v>7.4545454545454541</v>
      </c>
      <c r="K54" s="72">
        <f>10^(-J54)</f>
        <v>3.5111917342151263E-8</v>
      </c>
      <c r="L54" s="71">
        <f>($C$7*$C$14*$C$8*$E54/$D54^2*K54*10^6)</f>
        <v>7.8026482982558355E-3</v>
      </c>
      <c r="M54" s="71">
        <f>IF($F54=0,0,1+($F54-$D$21)/$D$22)+$G54/$D$23+$H54/$D$24+$I54/$D$25</f>
        <v>6.6486486486486482</v>
      </c>
      <c r="N54" s="72">
        <f>10^(-M54)</f>
        <v>2.2456979955397711E-7</v>
      </c>
      <c r="O54" s="71">
        <f>($C$7*$D$14*$D$8*$E54/$D54^2*N54*10^6)</f>
        <v>4.99043999008838E-2</v>
      </c>
      <c r="P54" s="71">
        <f>IF($F54=0,0,1+($F54-$E$21)/$E$22)+$G54/$E$23+$H54/$E$24+$I54/$E$25</f>
        <v>5.7674418604651159</v>
      </c>
      <c r="Q54" s="72">
        <f>10^(-P54)</f>
        <v>1.7082763938087111E-6</v>
      </c>
      <c r="R54" s="71">
        <f>($C$7*$E$14*$E$8*$E54/$D54^2*Q54*10^6)</f>
        <v>0.37961697640193576</v>
      </c>
      <c r="S54" s="71">
        <f>IF($F54=0,0,1+($F54-$F$21)/$F$22)+$G54/$F$23+$H54/$F$24+$I54/$F$25</f>
        <v>9.1481481481481488</v>
      </c>
      <c r="T54" s="72">
        <f>10^(-S54)</f>
        <v>7.1097094323124171E-10</v>
      </c>
      <c r="U54" s="71">
        <f>($C$7*$F$14*$F$8*$E54/$D54^2*T54*10^6)</f>
        <v>1.5799354294027593E-4</v>
      </c>
      <c r="V54" s="71">
        <f>IF($F54=0,0,1+($F54-$G$21)/$G$22)+$G54/$G$23+$H54/$G$24+$I54/$G$25</f>
        <v>6.9444444444444446</v>
      </c>
      <c r="W54" s="72">
        <f>10^(-V54)</f>
        <v>1.136463666385722E-7</v>
      </c>
      <c r="X54" s="73">
        <f>($C$7*$G$14*$G$8*$E54/$D54^2*W54*10^6)</f>
        <v>2.5254748141904933E-2</v>
      </c>
      <c r="Y54" s="324">
        <f>SUM(L54,O54,R54,U54,X54)</f>
        <v>0.46273676628592059</v>
      </c>
      <c r="Z54" s="325"/>
      <c r="AA54" s="326"/>
      <c r="AG54" s="328"/>
      <c r="AI54" s="328"/>
      <c r="AJ54" s="328"/>
      <c r="AK54" s="328"/>
      <c r="AL54" s="328"/>
      <c r="AP54" s="222"/>
      <c r="AQ54" s="211"/>
      <c r="AR54" s="222"/>
      <c r="AS54" s="222"/>
      <c r="AT54" s="225"/>
      <c r="AU54" s="225"/>
      <c r="AV54" s="225"/>
      <c r="AW54" s="225"/>
      <c r="AX54" s="225"/>
      <c r="AY54" s="300"/>
      <c r="AZ54" s="300"/>
    </row>
    <row r="55" spans="1:52" s="212" customFormat="1" ht="30" customHeight="1" thickBot="1" x14ac:dyDescent="0.3">
      <c r="A55" s="343" t="str">
        <f>Samenvatting!A73</f>
        <v>B6</v>
      </c>
      <c r="B55" s="338" t="str">
        <f>Samenvatting!B73</f>
        <v>bedieningsruimte Linac 6</v>
      </c>
      <c r="C55" s="331" t="s">
        <v>568</v>
      </c>
      <c r="D55" s="1836">
        <v>5</v>
      </c>
      <c r="E55" s="89"/>
      <c r="F55" s="1834">
        <v>250</v>
      </c>
      <c r="G55" s="1834">
        <v>0</v>
      </c>
      <c r="H55" s="1834">
        <v>0</v>
      </c>
      <c r="I55" s="1835">
        <v>0</v>
      </c>
      <c r="J55" s="74">
        <f>$F55/$C$27+$G55/$C$28+$H55/$C$29+$I55/$C$30</f>
        <v>7.3529411764705879</v>
      </c>
      <c r="K55" s="75">
        <f>10^(-J55)</f>
        <v>4.4366873309786093E-8</v>
      </c>
      <c r="L55" s="74">
        <f>($C$7*$C$15*$C$8*($C$9+$C$10*$C$11)/$D55^2*K55*10^6)</f>
        <v>1.0648049594348663E-3</v>
      </c>
      <c r="M55" s="74">
        <f>$F55/$D$27+$G55/$D$28+$H55/$D$29+$I55/$D$30</f>
        <v>6.5789473684210522</v>
      </c>
      <c r="N55" s="75">
        <f>10^(-M55)</f>
        <v>2.636650898730358E-7</v>
      </c>
      <c r="O55" s="74">
        <f>($C$7*$C$15*$D$8*($D$9+$D$10*$D$11)/$D55^2*N55*10^6)</f>
        <v>6.3279621569528599E-3</v>
      </c>
      <c r="P55" s="74">
        <f>$F55/$E$27+$G55/$E$28+$H55/$E$29+$I55/$E$30</f>
        <v>5.6818181818181817</v>
      </c>
      <c r="Q55" s="75">
        <f>10^(-P55)</f>
        <v>2.0805675382171676E-6</v>
      </c>
      <c r="R55" s="74">
        <f>($C$7*$C$15*$E$8*($E$9+$E$10*$E$11)/$D55^2*Q55*10^6)</f>
        <v>4.9933620917212027E-2</v>
      </c>
      <c r="S55" s="74">
        <f>$F55/$F$27+$G55/$F$28+$H55/$F$29+$I55/$F$30</f>
        <v>8.1967213114754092</v>
      </c>
      <c r="T55" s="75">
        <f>10^(-S55)</f>
        <v>6.3573875711648393E-9</v>
      </c>
      <c r="U55" s="74">
        <f>($C$7*$C$15*$F$8*($F$9+$F$10*$F$11)/$D55^2*T55*10^6)</f>
        <v>1.5257730170795616E-4</v>
      </c>
      <c r="V55" s="74">
        <f>$F55/$G$27+$G55/$G$28+$H55/$G$29+$I55/$G$30</f>
        <v>7.0224719101123592</v>
      </c>
      <c r="W55" s="75">
        <f>10^(-V55)</f>
        <v>9.4957241494880226E-8</v>
      </c>
      <c r="X55" s="76">
        <f>($C$7*$C$15*$G$8*($G$9+$G$10*$G$11)/$D55^2*W55*10^6)</f>
        <v>2.278973795877126E-3</v>
      </c>
      <c r="Y55" s="339">
        <f>SUM(L55,O55,R55,U55,X55)</f>
        <v>5.9757939131184837E-2</v>
      </c>
      <c r="Z55" s="333">
        <f>SUM(Y53:Y56)</f>
        <v>0.52249470541710541</v>
      </c>
      <c r="AA55" s="334">
        <f>Z55*52/10^3</f>
        <v>2.7169724681689482E-2</v>
      </c>
      <c r="AG55" s="328"/>
      <c r="AH55" s="328"/>
      <c r="AI55" s="328"/>
      <c r="AJ55" s="328"/>
      <c r="AK55" s="328"/>
      <c r="AL55" s="328"/>
      <c r="AP55" s="222"/>
      <c r="AQ55" s="211"/>
      <c r="AR55" s="222"/>
      <c r="AS55" s="222"/>
      <c r="AT55" s="225"/>
      <c r="AU55" s="225"/>
      <c r="AV55" s="225"/>
      <c r="AW55" s="225"/>
      <c r="AX55" s="225"/>
      <c r="AY55" s="300"/>
      <c r="AZ55" s="300"/>
    </row>
    <row r="56" spans="1:52" s="212" customFormat="1" ht="30" hidden="1" customHeight="1" thickBot="1" x14ac:dyDescent="0.3">
      <c r="A56" s="317"/>
      <c r="B56" s="317"/>
      <c r="C56" s="318"/>
      <c r="D56" s="1838"/>
      <c r="E56" s="1839"/>
      <c r="F56" s="1839"/>
      <c r="G56" s="1839"/>
      <c r="H56" s="1839"/>
      <c r="I56" s="1839"/>
      <c r="J56" s="77"/>
      <c r="K56" s="77"/>
      <c r="L56" s="78"/>
      <c r="M56" s="77"/>
      <c r="N56" s="77"/>
      <c r="O56" s="78"/>
      <c r="P56" s="77"/>
      <c r="Q56" s="77"/>
      <c r="R56" s="78"/>
      <c r="S56" s="77"/>
      <c r="T56" s="77"/>
      <c r="U56" s="78"/>
      <c r="V56" s="77"/>
      <c r="W56" s="77"/>
      <c r="X56" s="79"/>
      <c r="Y56" s="316"/>
      <c r="Z56" s="344"/>
      <c r="AA56" s="345"/>
      <c r="AG56" s="310"/>
      <c r="AH56" s="310"/>
      <c r="AI56" s="310"/>
      <c r="AJ56" s="310"/>
      <c r="AK56" s="310"/>
      <c r="AL56" s="310"/>
      <c r="AP56" s="222"/>
      <c r="AQ56" s="211"/>
      <c r="AR56" s="222"/>
      <c r="AS56" s="222"/>
      <c r="AT56" s="225"/>
      <c r="AU56" s="225"/>
      <c r="AV56" s="225"/>
      <c r="AW56" s="225"/>
      <c r="AX56" s="225"/>
      <c r="AY56" s="300"/>
      <c r="AZ56" s="300"/>
    </row>
    <row r="57" spans="1:52" s="212" customFormat="1" ht="30" customHeight="1" x14ac:dyDescent="0.25">
      <c r="A57" s="322"/>
      <c r="B57" s="322"/>
      <c r="C57" s="323" t="s">
        <v>569</v>
      </c>
      <c r="D57" s="1840">
        <v>6</v>
      </c>
      <c r="E57" s="1840">
        <v>1</v>
      </c>
      <c r="F57" s="1834">
        <v>250</v>
      </c>
      <c r="G57" s="1834">
        <v>0</v>
      </c>
      <c r="H57" s="1834">
        <v>0</v>
      </c>
      <c r="I57" s="1835">
        <v>0</v>
      </c>
      <c r="J57" s="71">
        <f>IF($F57=0,0,1+($F57-$C$21)/$C$22)+$G57/$C$23+$H57/$C$24+$I57/$C$25</f>
        <v>7.4545454545454541</v>
      </c>
      <c r="K57" s="72">
        <f>10^(-J57)</f>
        <v>3.5111917342151263E-8</v>
      </c>
      <c r="L57" s="71">
        <f>($C$7*$C$14*$C$8*$E57/$D57^2*K57*10^6)</f>
        <v>7.8026482982558355E-3</v>
      </c>
      <c r="M57" s="71">
        <f>IF($F57=0,0,1+($F57-$D$21)/$D$22)+$G57/$D$23+$H57/$D$24+$I57/$D$25</f>
        <v>6.6486486486486482</v>
      </c>
      <c r="N57" s="72">
        <f>10^(-M57)</f>
        <v>2.2456979955397711E-7</v>
      </c>
      <c r="O57" s="71">
        <f>($C$7*$D$14*$D$8*$E57/$D57^2*N57*10^6)</f>
        <v>4.99043999008838E-2</v>
      </c>
      <c r="P57" s="71">
        <f>IF($F57=0,0,1+($F57-$E$21)/$E$22)+$G57/$E$23+$H57/$E$24+$I57/$E$25</f>
        <v>5.7674418604651159</v>
      </c>
      <c r="Q57" s="72">
        <f>10^(-P57)</f>
        <v>1.7082763938087111E-6</v>
      </c>
      <c r="R57" s="71">
        <f>($C$7*$E$14*$E$8*$E57/$D57^2*Q57*10^6)</f>
        <v>0.37961697640193576</v>
      </c>
      <c r="S57" s="71">
        <f>IF($F57=0,0,1+($F57-$F$21)/$F$22)+$G57/$F$23+$H57/$F$24+$I57/$F$25</f>
        <v>9.1481481481481488</v>
      </c>
      <c r="T57" s="72">
        <f>10^(-S57)</f>
        <v>7.1097094323124171E-10</v>
      </c>
      <c r="U57" s="71">
        <f>($C$7*$F$14*$F$8*$E57/$D57^2*T57*10^6)</f>
        <v>1.5799354294027593E-4</v>
      </c>
      <c r="V57" s="71">
        <f>IF($F57=0,0,1+($F57-$G$21)/$G$22)+$G57/$G$23+$H57/$G$24+$I57/$G$25</f>
        <v>6.9444444444444446</v>
      </c>
      <c r="W57" s="72">
        <f>10^(-V57)</f>
        <v>1.136463666385722E-7</v>
      </c>
      <c r="X57" s="73">
        <f>($C$7*$G$14*$G$8*$E57/$D57^2*W57*10^6)</f>
        <v>2.5254748141904933E-2</v>
      </c>
      <c r="Y57" s="324">
        <f>SUM(L57,O57,R57,U57,X57)</f>
        <v>0.46273676628592059</v>
      </c>
      <c r="Z57" s="325"/>
      <c r="AA57" s="326"/>
      <c r="AG57" s="328"/>
      <c r="AI57" s="328"/>
      <c r="AJ57" s="328"/>
      <c r="AK57" s="328"/>
      <c r="AL57" s="328"/>
      <c r="AP57" s="222"/>
      <c r="AQ57" s="211"/>
      <c r="AR57" s="222"/>
      <c r="AS57" s="222"/>
      <c r="AT57" s="225"/>
      <c r="AU57" s="225"/>
      <c r="AV57" s="225"/>
      <c r="AW57" s="225"/>
      <c r="AX57" s="225"/>
      <c r="AY57" s="300"/>
      <c r="AZ57" s="300"/>
    </row>
    <row r="58" spans="1:52" s="212" customFormat="1" ht="30" customHeight="1" thickBot="1" x14ac:dyDescent="0.3">
      <c r="A58" s="343" t="str">
        <f>Samenvatting!A85</f>
        <v>B7</v>
      </c>
      <c r="B58" s="338" t="str">
        <f>Samenvatting!B85</f>
        <v>bedieningsruimte Linac 7</v>
      </c>
      <c r="C58" s="331" t="s">
        <v>568</v>
      </c>
      <c r="D58" s="1836">
        <v>5</v>
      </c>
      <c r="E58" s="89"/>
      <c r="F58" s="1834">
        <v>250</v>
      </c>
      <c r="G58" s="1834">
        <v>0</v>
      </c>
      <c r="H58" s="1834">
        <v>0</v>
      </c>
      <c r="I58" s="1835">
        <v>0</v>
      </c>
      <c r="J58" s="74">
        <f>$F58/$C$27+$G58/$C$28+$H58/$C$29+$I58/$C$30</f>
        <v>7.3529411764705879</v>
      </c>
      <c r="K58" s="75">
        <f>10^(-J58)</f>
        <v>4.4366873309786093E-8</v>
      </c>
      <c r="L58" s="74">
        <f>($C$7*$C$15*$C$8*($C$9+$C$10*$C$11)/$D58^2*K58*10^6)</f>
        <v>1.0648049594348663E-3</v>
      </c>
      <c r="M58" s="74">
        <f>$F58/$D$27+$G58/$D$28+$H58/$D$29+$I58/$D$30</f>
        <v>6.5789473684210522</v>
      </c>
      <c r="N58" s="75">
        <f>10^(-M58)</f>
        <v>2.636650898730358E-7</v>
      </c>
      <c r="O58" s="74">
        <f>($C$7*$C$15*$D$8*($D$9+$D$10*$D$11)/$D58^2*N58*10^6)</f>
        <v>6.3279621569528599E-3</v>
      </c>
      <c r="P58" s="74">
        <f>$F58/$E$27+$G58/$E$28+$H58/$E$29+$I58/$E$30</f>
        <v>5.6818181818181817</v>
      </c>
      <c r="Q58" s="75">
        <f>10^(-P58)</f>
        <v>2.0805675382171676E-6</v>
      </c>
      <c r="R58" s="74">
        <f>($C$7*$C$15*$E$8*($E$9+$E$10*$E$11)/$D58^2*Q58*10^6)</f>
        <v>4.9933620917212027E-2</v>
      </c>
      <c r="S58" s="74">
        <f>$F58/$F$27+$G58/$F$28+$H58/$F$29+$I58/$F$30</f>
        <v>8.1967213114754092</v>
      </c>
      <c r="T58" s="75">
        <f>10^(-S58)</f>
        <v>6.3573875711648393E-9</v>
      </c>
      <c r="U58" s="74">
        <f>($C$7*$C$15*$F$8*($F$9+$F$10*$F$11)/$D58^2*T58*10^6)</f>
        <v>1.5257730170795616E-4</v>
      </c>
      <c r="V58" s="74">
        <f>$F58/$G$27+$G58/$G$28+$H58/$G$29+$I58/$G$30</f>
        <v>7.0224719101123592</v>
      </c>
      <c r="W58" s="75">
        <f>10^(-V58)</f>
        <v>9.4957241494880226E-8</v>
      </c>
      <c r="X58" s="76">
        <f>($C$7*$C$15*$G$8*($G$9+$G$10*$G$11)/$D58^2*W58*10^6)</f>
        <v>2.278973795877126E-3</v>
      </c>
      <c r="Y58" s="339">
        <f>SUM(L58,O58,R58,U58,X58)</f>
        <v>5.9757939131184837E-2</v>
      </c>
      <c r="Z58" s="333">
        <f>SUM(Y56:Y59)</f>
        <v>0.52249470541710541</v>
      </c>
      <c r="AA58" s="334">
        <f>Z58*52/10^3</f>
        <v>2.7169724681689482E-2</v>
      </c>
      <c r="AG58" s="328"/>
      <c r="AH58" s="328"/>
      <c r="AI58" s="328"/>
      <c r="AJ58" s="328"/>
      <c r="AK58" s="328"/>
      <c r="AL58" s="328"/>
      <c r="AP58" s="222"/>
      <c r="AQ58" s="211"/>
      <c r="AR58" s="222"/>
      <c r="AS58" s="222"/>
      <c r="AT58" s="225"/>
      <c r="AU58" s="225"/>
      <c r="AV58" s="225"/>
      <c r="AW58" s="225"/>
      <c r="AX58" s="225"/>
      <c r="AY58" s="300"/>
      <c r="AZ58" s="300"/>
    </row>
    <row r="59" spans="1:52" s="212" customFormat="1" ht="30" hidden="1" customHeight="1" thickBot="1" x14ac:dyDescent="0.3">
      <c r="A59" s="317"/>
      <c r="B59" s="317"/>
      <c r="C59" s="318"/>
      <c r="D59" s="1838"/>
      <c r="E59" s="1839"/>
      <c r="F59" s="1839"/>
      <c r="G59" s="1839"/>
      <c r="H59" s="1839"/>
      <c r="I59" s="1839"/>
      <c r="J59" s="77"/>
      <c r="K59" s="77"/>
      <c r="L59" s="78"/>
      <c r="M59" s="77"/>
      <c r="N59" s="77"/>
      <c r="O59" s="78"/>
      <c r="P59" s="77"/>
      <c r="Q59" s="77"/>
      <c r="R59" s="78"/>
      <c r="S59" s="77"/>
      <c r="T59" s="77"/>
      <c r="U59" s="78"/>
      <c r="V59" s="77"/>
      <c r="W59" s="77"/>
      <c r="X59" s="79"/>
      <c r="Y59" s="316"/>
      <c r="Z59" s="344"/>
      <c r="AA59" s="345"/>
      <c r="AG59" s="310"/>
      <c r="AH59" s="310"/>
      <c r="AI59" s="310"/>
      <c r="AJ59" s="310"/>
      <c r="AK59" s="310"/>
      <c r="AL59" s="310"/>
      <c r="AP59" s="222"/>
      <c r="AQ59" s="211"/>
      <c r="AR59" s="222"/>
      <c r="AS59" s="222"/>
      <c r="AT59" s="225"/>
      <c r="AU59" s="225"/>
      <c r="AV59" s="225"/>
      <c r="AW59" s="225"/>
      <c r="AX59" s="225"/>
      <c r="AY59" s="300"/>
      <c r="AZ59" s="300"/>
    </row>
    <row r="60" spans="1:52" s="212" customFormat="1" ht="30" customHeight="1" x14ac:dyDescent="0.25">
      <c r="A60" s="322"/>
      <c r="B60" s="322"/>
      <c r="C60" s="323" t="s">
        <v>569</v>
      </c>
      <c r="D60" s="1840">
        <v>6</v>
      </c>
      <c r="E60" s="1840">
        <v>1</v>
      </c>
      <c r="F60" s="1834">
        <v>250</v>
      </c>
      <c r="G60" s="1834">
        <v>0</v>
      </c>
      <c r="H60" s="1834">
        <v>0</v>
      </c>
      <c r="I60" s="1835">
        <v>0</v>
      </c>
      <c r="J60" s="71">
        <f>IF($F60=0,0,1+($F60-$C$21)/$C$22)+$G60/$C$23+$H60/$C$24+$I60/$C$25</f>
        <v>7.4545454545454541</v>
      </c>
      <c r="K60" s="72">
        <f>10^(-J60)</f>
        <v>3.5111917342151263E-8</v>
      </c>
      <c r="L60" s="71">
        <f>($C$7*$C$14*$C$8*$E60/$D60^2*K60*10^6)</f>
        <v>7.8026482982558355E-3</v>
      </c>
      <c r="M60" s="71">
        <f>IF($F60=0,0,1+($F60-$D$21)/$D$22)+$G60/$D$23+$H60/$D$24+$I60/$D$25</f>
        <v>6.6486486486486482</v>
      </c>
      <c r="N60" s="72">
        <f>10^(-M60)</f>
        <v>2.2456979955397711E-7</v>
      </c>
      <c r="O60" s="71">
        <f>($C$7*$D$14*$D$8*$E60/$D60^2*N60*10^6)</f>
        <v>4.99043999008838E-2</v>
      </c>
      <c r="P60" s="71">
        <f>IF($F60=0,0,1+($F60-$E$21)/$E$22)+$G60/$E$23+$H60/$E$24+$I60/$E$25</f>
        <v>5.7674418604651159</v>
      </c>
      <c r="Q60" s="72">
        <f>10^(-P60)</f>
        <v>1.7082763938087111E-6</v>
      </c>
      <c r="R60" s="71">
        <f>($C$7*$E$14*$E$8*$E60/$D60^2*Q60*10^6)</f>
        <v>0.37961697640193576</v>
      </c>
      <c r="S60" s="71">
        <f>IF($F60=0,0,1+($F60-$F$21)/$F$22)+$G60/$F$23+$H60/$F$24+$I60/$F$25</f>
        <v>9.1481481481481488</v>
      </c>
      <c r="T60" s="72">
        <f>10^(-S60)</f>
        <v>7.1097094323124171E-10</v>
      </c>
      <c r="U60" s="71">
        <f>($C$7*$F$14*$F$8*$E60/$D60^2*T60*10^6)</f>
        <v>1.5799354294027593E-4</v>
      </c>
      <c r="V60" s="71">
        <f>IF($F60=0,0,1+($F60-$G$21)/$G$22)+$G60/$G$23+$H60/$G$24+$I60/$G$25</f>
        <v>6.9444444444444446</v>
      </c>
      <c r="W60" s="72">
        <f>10^(-V60)</f>
        <v>1.136463666385722E-7</v>
      </c>
      <c r="X60" s="73">
        <f>($C$7*$G$14*$G$8*$E60/$D60^2*W60*10^6)</f>
        <v>2.5254748141904933E-2</v>
      </c>
      <c r="Y60" s="324">
        <f>SUM(L60,O60,R60,U60,X60)</f>
        <v>0.46273676628592059</v>
      </c>
      <c r="Z60" s="325"/>
      <c r="AA60" s="326"/>
      <c r="AG60" s="328"/>
      <c r="AI60" s="328"/>
      <c r="AJ60" s="328"/>
      <c r="AK60" s="328"/>
      <c r="AL60" s="328"/>
      <c r="AP60" s="222"/>
      <c r="AQ60" s="211"/>
      <c r="AR60" s="222"/>
      <c r="AS60" s="222"/>
      <c r="AT60" s="225"/>
      <c r="AU60" s="225"/>
      <c r="AV60" s="225"/>
      <c r="AW60" s="225"/>
      <c r="AX60" s="225"/>
      <c r="AY60" s="300"/>
      <c r="AZ60" s="300"/>
    </row>
    <row r="61" spans="1:52" s="212" customFormat="1" ht="30" customHeight="1" thickBot="1" x14ac:dyDescent="0.3">
      <c r="A61" s="343" t="str">
        <f>Samenvatting!A97</f>
        <v>B8</v>
      </c>
      <c r="B61" s="338" t="str">
        <f>Samenvatting!B97</f>
        <v>bedieningsruimte Linac 8</v>
      </c>
      <c r="C61" s="331" t="s">
        <v>568</v>
      </c>
      <c r="D61" s="1836">
        <v>5</v>
      </c>
      <c r="E61" s="89"/>
      <c r="F61" s="1834">
        <v>250</v>
      </c>
      <c r="G61" s="1834">
        <v>0</v>
      </c>
      <c r="H61" s="1834">
        <v>0</v>
      </c>
      <c r="I61" s="1835">
        <v>0</v>
      </c>
      <c r="J61" s="74">
        <f>$F61/$C$27+$G61/$C$28+$H61/$C$29+$I61/$C$30</f>
        <v>7.3529411764705879</v>
      </c>
      <c r="K61" s="75">
        <f>10^(-J61)</f>
        <v>4.4366873309786093E-8</v>
      </c>
      <c r="L61" s="74">
        <f>($C$7*$C$15*$C$8*($C$9+$C$10*$C$11)/$D61^2*K61*10^6)</f>
        <v>1.0648049594348663E-3</v>
      </c>
      <c r="M61" s="74">
        <f>$F61/$D$27+$G61/$D$28+$H61/$D$29+$I61/$D$30</f>
        <v>6.5789473684210522</v>
      </c>
      <c r="N61" s="75">
        <f>10^(-M61)</f>
        <v>2.636650898730358E-7</v>
      </c>
      <c r="O61" s="74">
        <f>($C$7*$C$15*$D$8*($D$9+$D$10*$D$11)/$D61^2*N61*10^6)</f>
        <v>6.3279621569528599E-3</v>
      </c>
      <c r="P61" s="74">
        <f>$F61/$E$27+$G61/$E$28+$H61/$E$29+$I61/$E$30</f>
        <v>5.6818181818181817</v>
      </c>
      <c r="Q61" s="75">
        <f>10^(-P61)</f>
        <v>2.0805675382171676E-6</v>
      </c>
      <c r="R61" s="74">
        <f>($C$7*$C$15*$E$8*($E$9+$E$10*$E$11)/$D61^2*Q61*10^6)</f>
        <v>4.9933620917212027E-2</v>
      </c>
      <c r="S61" s="74">
        <f>$F61/$F$27+$G61/$F$28+$H61/$F$29+$I61/$F$30</f>
        <v>8.1967213114754092</v>
      </c>
      <c r="T61" s="75">
        <f>10^(-S61)</f>
        <v>6.3573875711648393E-9</v>
      </c>
      <c r="U61" s="74">
        <f>($C$7*$C$15*$F$8*($F$9+$F$10*$F$11)/$D61^2*T61*10^6)</f>
        <v>1.5257730170795616E-4</v>
      </c>
      <c r="V61" s="74">
        <f>$F61/$G$27+$G61/$G$28+$H61/$G$29+$I61/$G$30</f>
        <v>7.0224719101123592</v>
      </c>
      <c r="W61" s="75">
        <f>10^(-V61)</f>
        <v>9.4957241494880226E-8</v>
      </c>
      <c r="X61" s="76">
        <f>($C$7*$C$15*$G$8*($G$9+$G$10*$G$11)/$D61^2*W61*10^6)</f>
        <v>2.278973795877126E-3</v>
      </c>
      <c r="Y61" s="339">
        <f>SUM(L61,O61,R61,U61,X61)</f>
        <v>5.9757939131184837E-2</v>
      </c>
      <c r="Z61" s="333">
        <f>SUM(Y59:Y62)</f>
        <v>0.52249470541710541</v>
      </c>
      <c r="AA61" s="334">
        <f>Z61*52/10^3</f>
        <v>2.7169724681689482E-2</v>
      </c>
      <c r="AG61" s="328"/>
      <c r="AH61" s="328"/>
      <c r="AI61" s="328"/>
      <c r="AJ61" s="328"/>
      <c r="AK61" s="328"/>
      <c r="AL61" s="328"/>
      <c r="AP61" s="222"/>
      <c r="AQ61" s="211"/>
      <c r="AR61" s="222"/>
      <c r="AS61" s="222"/>
      <c r="AT61" s="225"/>
      <c r="AU61" s="225"/>
      <c r="AV61" s="225"/>
      <c r="AW61" s="225"/>
      <c r="AX61" s="225"/>
      <c r="AY61" s="300"/>
      <c r="AZ61" s="300"/>
    </row>
    <row r="62" spans="1:52" s="212" customFormat="1" ht="30" hidden="1" customHeight="1" thickBot="1" x14ac:dyDescent="0.3">
      <c r="A62" s="317"/>
      <c r="B62" s="317"/>
      <c r="C62" s="318"/>
      <c r="D62" s="1838"/>
      <c r="E62" s="1839"/>
      <c r="F62" s="1839"/>
      <c r="G62" s="1839"/>
      <c r="H62" s="1839"/>
      <c r="I62" s="1839"/>
      <c r="J62" s="77"/>
      <c r="K62" s="77"/>
      <c r="L62" s="78"/>
      <c r="M62" s="77"/>
      <c r="N62" s="77"/>
      <c r="O62" s="78"/>
      <c r="P62" s="77"/>
      <c r="Q62" s="77"/>
      <c r="R62" s="78"/>
      <c r="S62" s="77"/>
      <c r="T62" s="77"/>
      <c r="U62" s="78"/>
      <c r="V62" s="77"/>
      <c r="W62" s="77"/>
      <c r="X62" s="79"/>
      <c r="Y62" s="316"/>
      <c r="Z62" s="344"/>
      <c r="AA62" s="345"/>
      <c r="AG62" s="310"/>
      <c r="AH62" s="310"/>
      <c r="AI62" s="310"/>
      <c r="AJ62" s="310"/>
      <c r="AK62" s="310"/>
      <c r="AL62" s="310"/>
      <c r="AP62" s="222"/>
      <c r="AQ62" s="211"/>
      <c r="AR62" s="222"/>
      <c r="AS62" s="222"/>
      <c r="AT62" s="225"/>
      <c r="AU62" s="225"/>
      <c r="AV62" s="225"/>
      <c r="AW62" s="225"/>
      <c r="AX62" s="225"/>
      <c r="AY62" s="300"/>
      <c r="AZ62" s="300"/>
    </row>
    <row r="63" spans="1:52" s="212" customFormat="1" ht="30" customHeight="1" x14ac:dyDescent="0.25">
      <c r="A63" s="322"/>
      <c r="B63" s="322"/>
      <c r="C63" s="323" t="s">
        <v>569</v>
      </c>
      <c r="D63" s="1840">
        <v>6</v>
      </c>
      <c r="E63" s="1840">
        <v>1</v>
      </c>
      <c r="F63" s="1834">
        <v>250</v>
      </c>
      <c r="G63" s="1834">
        <v>0</v>
      </c>
      <c r="H63" s="1834">
        <v>0</v>
      </c>
      <c r="I63" s="1835">
        <v>0</v>
      </c>
      <c r="J63" s="71">
        <f>IF($F63=0,0,1+($F63-$C$21)/$C$22)+$G63/$C$23+$H63/$C$24+$I63/$C$25</f>
        <v>7.4545454545454541</v>
      </c>
      <c r="K63" s="72">
        <f>10^(-J63)</f>
        <v>3.5111917342151263E-8</v>
      </c>
      <c r="L63" s="71">
        <f>($C$7*$C$14*$C$8*$E63/$D63^2*K63*10^6)</f>
        <v>7.8026482982558355E-3</v>
      </c>
      <c r="M63" s="71">
        <f>IF($F63=0,0,1+($F63-$D$21)/$D$22)+$G63/$D$23+$H63/$D$24+$I63/$D$25</f>
        <v>6.6486486486486482</v>
      </c>
      <c r="N63" s="72">
        <f>10^(-M63)</f>
        <v>2.2456979955397711E-7</v>
      </c>
      <c r="O63" s="71">
        <f>($C$7*$D$14*$D$8*$E63/$D63^2*N63*10^6)</f>
        <v>4.99043999008838E-2</v>
      </c>
      <c r="P63" s="71">
        <f>IF($F63=0,0,1+($F63-$E$21)/$E$22)+$G63/$E$23+$H63/$E$24+$I63/$E$25</f>
        <v>5.7674418604651159</v>
      </c>
      <c r="Q63" s="72">
        <f>10^(-P63)</f>
        <v>1.7082763938087111E-6</v>
      </c>
      <c r="R63" s="71">
        <f>($C$7*$E$14*$E$8*$E63/$D63^2*Q63*10^6)</f>
        <v>0.37961697640193576</v>
      </c>
      <c r="S63" s="71">
        <f>IF($F63=0,0,1+($F63-$F$21)/$F$22)+$G63/$F$23+$H63/$F$24+$I63/$F$25</f>
        <v>9.1481481481481488</v>
      </c>
      <c r="T63" s="72">
        <f>10^(-S63)</f>
        <v>7.1097094323124171E-10</v>
      </c>
      <c r="U63" s="71">
        <f>($C$7*$F$14*$F$8*$E63/$D63^2*T63*10^6)</f>
        <v>1.5799354294027593E-4</v>
      </c>
      <c r="V63" s="71">
        <f>IF($F63=0,0,1+($F63-$G$21)/$G$22)+$G63/$G$23+$H63/$G$24+$I63/$G$25</f>
        <v>6.9444444444444446</v>
      </c>
      <c r="W63" s="72">
        <f>10^(-V63)</f>
        <v>1.136463666385722E-7</v>
      </c>
      <c r="X63" s="73">
        <f>($C$7*$G$14*$G$8*$E63/$D63^2*W63*10^6)</f>
        <v>2.5254748141904933E-2</v>
      </c>
      <c r="Y63" s="324">
        <f>SUM(L63,O63,R63,U63,X63)</f>
        <v>0.46273676628592059</v>
      </c>
      <c r="Z63" s="325"/>
      <c r="AA63" s="326"/>
      <c r="AG63" s="328"/>
      <c r="AI63" s="328"/>
      <c r="AJ63" s="328"/>
      <c r="AK63" s="328"/>
      <c r="AL63" s="328"/>
      <c r="AP63" s="222"/>
      <c r="AQ63" s="211"/>
      <c r="AR63" s="222"/>
      <c r="AS63" s="222"/>
      <c r="AT63" s="225"/>
      <c r="AU63" s="225"/>
      <c r="AV63" s="225"/>
      <c r="AW63" s="225"/>
      <c r="AX63" s="225"/>
      <c r="AY63" s="300"/>
      <c r="AZ63" s="300"/>
    </row>
    <row r="64" spans="1:52" s="212" customFormat="1" ht="30" customHeight="1" thickBot="1" x14ac:dyDescent="0.3">
      <c r="A64" s="343" t="str">
        <f>Samenvatting!A109</f>
        <v>B9</v>
      </c>
      <c r="B64" s="338" t="str">
        <f>Samenvatting!B109</f>
        <v>bedieningsruimte Linac 9</v>
      </c>
      <c r="C64" s="331" t="s">
        <v>568</v>
      </c>
      <c r="D64" s="1843">
        <v>5</v>
      </c>
      <c r="E64" s="347"/>
      <c r="F64" s="1834">
        <v>250</v>
      </c>
      <c r="G64" s="1834">
        <v>0</v>
      </c>
      <c r="H64" s="1834">
        <v>0</v>
      </c>
      <c r="I64" s="1835">
        <v>0</v>
      </c>
      <c r="J64" s="74">
        <f>$F64/$C$27+$G64/$C$28+$H64/$C$29+$I64/$C$30</f>
        <v>7.3529411764705879</v>
      </c>
      <c r="K64" s="75">
        <f>10^(-J64)</f>
        <v>4.4366873309786093E-8</v>
      </c>
      <c r="L64" s="74">
        <f>($C$7*$C$15*$C$8*($C$9+$C$10*$C$11)/$D64^2*K64*10^6)</f>
        <v>1.0648049594348663E-3</v>
      </c>
      <c r="M64" s="74">
        <f>$F64/$D$27+$G64/$D$28+$H64/$D$29+$I64/$D$30</f>
        <v>6.5789473684210522</v>
      </c>
      <c r="N64" s="75">
        <f>10^(-M64)</f>
        <v>2.636650898730358E-7</v>
      </c>
      <c r="O64" s="74">
        <f>($C$7*$C$15*$D$8*($D$9+$D$10*$D$11)/$D64^2*N64*10^6)</f>
        <v>6.3279621569528599E-3</v>
      </c>
      <c r="P64" s="74">
        <f>$F64/$E$27+$G64/$E$28+$H64/$E$29+$I64/$E$30</f>
        <v>5.6818181818181817</v>
      </c>
      <c r="Q64" s="75">
        <f>10^(-P64)</f>
        <v>2.0805675382171676E-6</v>
      </c>
      <c r="R64" s="74">
        <f>($C$7*$C$15*$E$8*($E$9+$E$10*$E$11)/$D64^2*Q64*10^6)</f>
        <v>4.9933620917212027E-2</v>
      </c>
      <c r="S64" s="74">
        <f>$F64/$F$27+$G64/$F$28+$H64/$F$29+$I64/$F$30</f>
        <v>8.1967213114754092</v>
      </c>
      <c r="T64" s="75">
        <f>10^(-S64)</f>
        <v>6.3573875711648393E-9</v>
      </c>
      <c r="U64" s="74">
        <f>($C$7*$C$15*$F$8*($F$9+$F$10*$F$11)/$D64^2*T64*10^6)</f>
        <v>1.5257730170795616E-4</v>
      </c>
      <c r="V64" s="74">
        <f>$F64/$G$27+$G64/$G$28+$H64/$G$29+$I64/$G$30</f>
        <v>7.0224719101123592</v>
      </c>
      <c r="W64" s="75">
        <f>10^(-V64)</f>
        <v>9.4957241494880226E-8</v>
      </c>
      <c r="X64" s="76">
        <f>($C$7*$C$15*$G$8*($G$9+$G$10*$G$11)/$D64^2*W64*10^6)</f>
        <v>2.278973795877126E-3</v>
      </c>
      <c r="Y64" s="339">
        <f>SUM(L64,O64,R64,U64,X64)</f>
        <v>5.9757939131184837E-2</v>
      </c>
      <c r="Z64" s="333">
        <f>SUM(Y62:Y65)</f>
        <v>0.52249470541710541</v>
      </c>
      <c r="AA64" s="334">
        <f>Z64*52/10^3</f>
        <v>2.7169724681689482E-2</v>
      </c>
      <c r="AG64" s="328"/>
      <c r="AH64" s="328"/>
      <c r="AI64" s="328"/>
      <c r="AJ64" s="328"/>
      <c r="AK64" s="328"/>
      <c r="AL64" s="328"/>
      <c r="AP64" s="222"/>
      <c r="AQ64" s="211"/>
      <c r="AR64" s="222"/>
      <c r="AS64" s="222"/>
      <c r="AT64" s="225"/>
      <c r="AU64" s="225"/>
      <c r="AV64" s="225"/>
      <c r="AW64" s="225"/>
      <c r="AX64" s="225"/>
      <c r="AY64" s="300"/>
      <c r="AZ64" s="300"/>
    </row>
    <row r="65" spans="1:52" s="212" customFormat="1" ht="30" hidden="1" customHeight="1" thickBot="1" x14ac:dyDescent="0.3">
      <c r="A65" s="317"/>
      <c r="B65" s="317"/>
      <c r="C65" s="318"/>
      <c r="D65" s="1838"/>
      <c r="E65" s="1839"/>
      <c r="F65" s="1839"/>
      <c r="G65" s="1839"/>
      <c r="H65" s="1839"/>
      <c r="I65" s="1839"/>
      <c r="J65" s="77"/>
      <c r="K65" s="77"/>
      <c r="L65" s="78"/>
      <c r="M65" s="77"/>
      <c r="N65" s="77"/>
      <c r="O65" s="78"/>
      <c r="P65" s="77"/>
      <c r="Q65" s="77"/>
      <c r="R65" s="78"/>
      <c r="S65" s="77"/>
      <c r="T65" s="77"/>
      <c r="U65" s="78"/>
      <c r="V65" s="77"/>
      <c r="W65" s="77"/>
      <c r="X65" s="79"/>
      <c r="Y65" s="316"/>
      <c r="Z65" s="344"/>
      <c r="AA65" s="345"/>
      <c r="AG65" s="310"/>
      <c r="AH65" s="310"/>
      <c r="AI65" s="310"/>
      <c r="AJ65" s="310"/>
      <c r="AK65" s="310"/>
      <c r="AL65" s="310"/>
      <c r="AP65" s="222"/>
      <c r="AQ65" s="211"/>
      <c r="AR65" s="222"/>
      <c r="AS65" s="222"/>
      <c r="AT65" s="225"/>
      <c r="AU65" s="225"/>
      <c r="AV65" s="225"/>
      <c r="AW65" s="225"/>
      <c r="AX65" s="225"/>
      <c r="AY65" s="300"/>
      <c r="AZ65" s="300"/>
    </row>
    <row r="66" spans="1:52" s="212" customFormat="1" ht="30" customHeight="1" x14ac:dyDescent="0.25">
      <c r="A66" s="322"/>
      <c r="B66" s="322"/>
      <c r="C66" s="323" t="s">
        <v>569</v>
      </c>
      <c r="D66" s="1840">
        <v>6</v>
      </c>
      <c r="E66" s="1840">
        <v>1</v>
      </c>
      <c r="F66" s="1834">
        <v>250</v>
      </c>
      <c r="G66" s="1834">
        <v>0</v>
      </c>
      <c r="H66" s="1834">
        <v>0</v>
      </c>
      <c r="I66" s="1835">
        <v>0</v>
      </c>
      <c r="J66" s="71">
        <f>IF($F66=0,0,1+($F66-$C$21)/$C$22)+$G66/$C$23+$H66/$C$24+$I66/$C$25</f>
        <v>7.4545454545454541</v>
      </c>
      <c r="K66" s="72">
        <f>10^(-J66)</f>
        <v>3.5111917342151263E-8</v>
      </c>
      <c r="L66" s="71">
        <f>($C$7*$C$14*$C$8*$E66/$D66^2*K66*10^6)</f>
        <v>7.8026482982558355E-3</v>
      </c>
      <c r="M66" s="71">
        <f>IF($F66=0,0,1+($F66-$D$21)/$D$22)+$G66/$D$23+$H66/$D$24+$I66/$D$25</f>
        <v>6.6486486486486482</v>
      </c>
      <c r="N66" s="72">
        <f>10^(-M66)</f>
        <v>2.2456979955397711E-7</v>
      </c>
      <c r="O66" s="71">
        <f>($C$7*$D$14*$D$8*$E66/$D66^2*N66*10^6)</f>
        <v>4.99043999008838E-2</v>
      </c>
      <c r="P66" s="71">
        <f>IF($F66=0,0,1+($F66-$E$21)/$E$22)+$G66/$E$23+$H66/$E$24+$I66/$E$25</f>
        <v>5.7674418604651159</v>
      </c>
      <c r="Q66" s="72">
        <f>10^(-P66)</f>
        <v>1.7082763938087111E-6</v>
      </c>
      <c r="R66" s="71">
        <f>($C$7*$E$14*$E$8*$E66/$D66^2*Q66*10^6)</f>
        <v>0.37961697640193576</v>
      </c>
      <c r="S66" s="71">
        <f>IF($F66=0,0,1+($F66-$F$21)/$F$22)+$G66/$F$23+$H66/$F$24+$I66/$F$25</f>
        <v>9.1481481481481488</v>
      </c>
      <c r="T66" s="72">
        <f>10^(-S66)</f>
        <v>7.1097094323124171E-10</v>
      </c>
      <c r="U66" s="71">
        <f>($C$7*$F$14*$F$8*$E66/$D66^2*T66*10^6)</f>
        <v>1.5799354294027593E-4</v>
      </c>
      <c r="V66" s="71">
        <f>IF($F66=0,0,1+($F66-$G$21)/$G$22)+$G66/$G$23+$H66/$G$24+$I66/$G$25</f>
        <v>6.9444444444444446</v>
      </c>
      <c r="W66" s="72">
        <f>10^(-V66)</f>
        <v>1.136463666385722E-7</v>
      </c>
      <c r="X66" s="73">
        <f>($C$7*$G$14*$G$8*$E66/$D66^2*W66*10^6)</f>
        <v>2.5254748141904933E-2</v>
      </c>
      <c r="Y66" s="324">
        <f>SUM(L66,O66,R66,U66,X66)</f>
        <v>0.46273676628592059</v>
      </c>
      <c r="Z66" s="325"/>
      <c r="AA66" s="326"/>
      <c r="AG66" s="328"/>
      <c r="AI66" s="328"/>
      <c r="AJ66" s="328"/>
      <c r="AK66" s="328"/>
      <c r="AL66" s="328"/>
      <c r="AP66" s="222"/>
      <c r="AQ66" s="211"/>
      <c r="AR66" s="222"/>
      <c r="AS66" s="222"/>
      <c r="AT66" s="225"/>
      <c r="AU66" s="225"/>
      <c r="AV66" s="225"/>
      <c r="AW66" s="225"/>
      <c r="AX66" s="225"/>
      <c r="AY66" s="300"/>
      <c r="AZ66" s="300"/>
    </row>
    <row r="67" spans="1:52" s="212" customFormat="1" ht="30" customHeight="1" thickBot="1" x14ac:dyDescent="0.3">
      <c r="A67" s="343" t="str">
        <f>Samenvatting!A121</f>
        <v>B10</v>
      </c>
      <c r="B67" s="346" t="str">
        <f>Samenvatting!B121</f>
        <v>bedieningsruimte Linac 10</v>
      </c>
      <c r="C67" s="331" t="s">
        <v>568</v>
      </c>
      <c r="D67" s="1836">
        <v>5</v>
      </c>
      <c r="E67" s="89"/>
      <c r="F67" s="1834">
        <v>250</v>
      </c>
      <c r="G67" s="1834">
        <v>0</v>
      </c>
      <c r="H67" s="1834">
        <v>0</v>
      </c>
      <c r="I67" s="1835">
        <v>0</v>
      </c>
      <c r="J67" s="74">
        <f>$F67/$C$27+$G67/$C$28+$H67/$C$29+$I67/$C$30</f>
        <v>7.3529411764705879</v>
      </c>
      <c r="K67" s="75">
        <f>10^(-J67)</f>
        <v>4.4366873309786093E-8</v>
      </c>
      <c r="L67" s="74">
        <f>($C$7*$C$15*$C$8*($C$9+$C$10*$C$11)/$D67^2*K67*10^6)</f>
        <v>1.0648049594348663E-3</v>
      </c>
      <c r="M67" s="74">
        <f>$F67/$D$27+$G67/$D$28+$H67/$D$29+$I67/$D$30</f>
        <v>6.5789473684210522</v>
      </c>
      <c r="N67" s="75">
        <f>10^(-M67)</f>
        <v>2.636650898730358E-7</v>
      </c>
      <c r="O67" s="74">
        <f>($C$7*$C$15*$D$8*($D$9+$D$10*$D$11)/$D67^2*N67*10^6)</f>
        <v>6.3279621569528599E-3</v>
      </c>
      <c r="P67" s="74">
        <f>$F67/$E$27+$G67/$E$28+$H67/$E$29+$I67/$E$30</f>
        <v>5.6818181818181817</v>
      </c>
      <c r="Q67" s="75">
        <f>10^(-P67)</f>
        <v>2.0805675382171676E-6</v>
      </c>
      <c r="R67" s="74">
        <f>($C$7*$C$15*$E$8*($E$9+$E$10*$E$11)/$D67^2*Q67*10^6)</f>
        <v>4.9933620917212027E-2</v>
      </c>
      <c r="S67" s="74">
        <f>$F67/$F$27+$G67/$F$28+$H67/$F$29+$I67/$F$30</f>
        <v>8.1967213114754092</v>
      </c>
      <c r="T67" s="75">
        <f>10^(-S67)</f>
        <v>6.3573875711648393E-9</v>
      </c>
      <c r="U67" s="74">
        <f>($C$7*$C$15*$F$8*($F$9+$F$10*$F$11)/$D67^2*T67*10^6)</f>
        <v>1.5257730170795616E-4</v>
      </c>
      <c r="V67" s="74">
        <f>$F67/$G$27+$G67/$G$28+$H67/$G$29+$I67/$G$30</f>
        <v>7.0224719101123592</v>
      </c>
      <c r="W67" s="75">
        <f>10^(-V67)</f>
        <v>9.4957241494880226E-8</v>
      </c>
      <c r="X67" s="76">
        <f>($C$7*$C$15*$G$8*($G$9+$G$10*$G$11)/$D67^2*W67*10^6)</f>
        <v>2.278973795877126E-3</v>
      </c>
      <c r="Y67" s="339">
        <f>SUM(L67,O67,R67,U67,X67)</f>
        <v>5.9757939131184837E-2</v>
      </c>
      <c r="Z67" s="333">
        <f>SUM(Y65:Y68)</f>
        <v>0.52249470541710541</v>
      </c>
      <c r="AA67" s="334">
        <f>Z67*52/10^3</f>
        <v>2.7169724681689482E-2</v>
      </c>
      <c r="AG67" s="328"/>
      <c r="AH67" s="328"/>
      <c r="AI67" s="328"/>
      <c r="AJ67" s="328"/>
      <c r="AK67" s="328"/>
      <c r="AL67" s="328"/>
      <c r="AP67" s="222"/>
      <c r="AQ67" s="211"/>
      <c r="AR67" s="222"/>
      <c r="AS67" s="222"/>
      <c r="AT67" s="225"/>
      <c r="AU67" s="225"/>
      <c r="AV67" s="225"/>
      <c r="AW67" s="225"/>
      <c r="AX67" s="225"/>
      <c r="AY67" s="300"/>
      <c r="AZ67" s="300"/>
    </row>
    <row r="68" spans="1:52" s="212" customFormat="1" ht="30" hidden="1" customHeight="1" thickBot="1" x14ac:dyDescent="0.3">
      <c r="A68" s="317"/>
      <c r="B68" s="317"/>
      <c r="C68" s="318"/>
      <c r="D68" s="1838"/>
      <c r="E68" s="1839"/>
      <c r="F68" s="1839"/>
      <c r="G68" s="1839"/>
      <c r="H68" s="1839"/>
      <c r="I68" s="1839"/>
      <c r="J68" s="77"/>
      <c r="K68" s="77"/>
      <c r="L68" s="78"/>
      <c r="M68" s="77"/>
      <c r="N68" s="77"/>
      <c r="O68" s="78"/>
      <c r="P68" s="77"/>
      <c r="Q68" s="77"/>
      <c r="R68" s="78"/>
      <c r="S68" s="77"/>
      <c r="T68" s="77"/>
      <c r="U68" s="78"/>
      <c r="V68" s="77"/>
      <c r="W68" s="77"/>
      <c r="X68" s="79"/>
      <c r="Y68" s="316"/>
      <c r="Z68" s="344"/>
      <c r="AA68" s="345"/>
      <c r="AG68" s="310"/>
      <c r="AH68" s="310"/>
      <c r="AI68" s="310"/>
      <c r="AJ68" s="310"/>
      <c r="AK68" s="310"/>
      <c r="AL68" s="310"/>
      <c r="AP68" s="222"/>
      <c r="AQ68" s="211"/>
      <c r="AR68" s="222"/>
      <c r="AS68" s="222"/>
      <c r="AT68" s="225"/>
      <c r="AU68" s="225"/>
      <c r="AV68" s="225"/>
      <c r="AW68" s="225"/>
      <c r="AX68" s="225"/>
      <c r="AY68" s="300"/>
      <c r="AZ68" s="300"/>
    </row>
    <row r="69" spans="1:52" s="212" customFormat="1" ht="30" customHeight="1" x14ac:dyDescent="0.25">
      <c r="A69" s="322"/>
      <c r="B69" s="322"/>
      <c r="C69" s="348" t="s">
        <v>209</v>
      </c>
      <c r="D69" s="1844">
        <v>6</v>
      </c>
      <c r="E69" s="1844">
        <v>1</v>
      </c>
      <c r="F69" s="1834">
        <v>250</v>
      </c>
      <c r="G69" s="1834">
        <v>0</v>
      </c>
      <c r="H69" s="1834">
        <v>0</v>
      </c>
      <c r="I69" s="1835">
        <v>0</v>
      </c>
      <c r="J69" s="71">
        <f>IF($F69=0,0,1+($F69-$C$21)/$C$22)+$G69/$C$23+$H69/$C$24+$I69/$C$25</f>
        <v>7.4545454545454541</v>
      </c>
      <c r="K69" s="72">
        <f>10^(-J69)</f>
        <v>3.5111917342151263E-8</v>
      </c>
      <c r="L69" s="71">
        <f>($C$7*$C$14*$C$8*$E69/$D69^2*K69*10^6)</f>
        <v>7.8026482982558355E-3</v>
      </c>
      <c r="M69" s="71">
        <f>IF($F69=0,0,1+($F69-$D$21)/$D$22)+$G69/$D$23+$H69/$D$24+$I69/$D$25</f>
        <v>6.6486486486486482</v>
      </c>
      <c r="N69" s="72">
        <f>10^(-M69)</f>
        <v>2.2456979955397711E-7</v>
      </c>
      <c r="O69" s="71">
        <f>($C$7*$D$14*$D$8*$E69/$D69^2*N69*10^6)</f>
        <v>4.99043999008838E-2</v>
      </c>
      <c r="P69" s="71">
        <f>IF($F69=0,0,1+($F69-$E$21)/$E$22)+$G69/$E$23+$H69/$E$24+$I69/$E$25</f>
        <v>5.7674418604651159</v>
      </c>
      <c r="Q69" s="72">
        <f>10^(-P69)</f>
        <v>1.7082763938087111E-6</v>
      </c>
      <c r="R69" s="71">
        <f>($C$7*$D$14*$E$8*$E69/$D69^2*Q69*10^6)</f>
        <v>0.37961697640193576</v>
      </c>
      <c r="S69" s="71">
        <f>IF($F69=0,0,1+($F69-$F$21)/$F$22)+$G69/$F$23+$H69/$F$24+$I69/$F$25</f>
        <v>9.1481481481481488</v>
      </c>
      <c r="T69" s="72">
        <f>10^(-S69)</f>
        <v>7.1097094323124171E-10</v>
      </c>
      <c r="U69" s="71">
        <f>($C$7*$F$14*$F$8*$E69/$D69^2*T69*10^6)</f>
        <v>1.5799354294027593E-4</v>
      </c>
      <c r="V69" s="71">
        <f>IF($F69=0,0,1+($F69-$G$21)/$G$22)+$G69/$G$23+$H69/$G$24+$I69/$G$25</f>
        <v>6.9444444444444446</v>
      </c>
      <c r="W69" s="72">
        <f>10^(-V69)</f>
        <v>1.136463666385722E-7</v>
      </c>
      <c r="X69" s="73">
        <f>($C$7*$G$14*$G$8*$E69/$D69^2*W69*10^6)</f>
        <v>2.5254748141904933E-2</v>
      </c>
      <c r="Y69" s="324">
        <f>SUM(L69,O69,R69,U69,X69)</f>
        <v>0.46273676628592059</v>
      </c>
      <c r="Z69" s="349"/>
      <c r="AA69" s="350"/>
      <c r="AG69" s="328"/>
      <c r="AI69" s="328"/>
      <c r="AJ69" s="328"/>
      <c r="AK69" s="328"/>
      <c r="AL69" s="328"/>
      <c r="AP69" s="222"/>
      <c r="AQ69" s="211"/>
      <c r="AR69" s="222"/>
      <c r="AS69" s="222"/>
      <c r="AT69" s="225"/>
      <c r="AU69" s="225"/>
      <c r="AV69" s="225"/>
      <c r="AW69" s="225"/>
      <c r="AX69" s="225"/>
      <c r="AY69" s="300"/>
      <c r="AZ69" s="300"/>
    </row>
    <row r="70" spans="1:52" s="212" customFormat="1" ht="30" customHeight="1" x14ac:dyDescent="0.25">
      <c r="A70" s="351" t="str">
        <f>Samenvatting!A123</f>
        <v>L1</v>
      </c>
      <c r="B70" s="352" t="str">
        <f>Samenvatting!B123</f>
        <v>ingang labyrint linac 1</v>
      </c>
      <c r="C70" s="353" t="s">
        <v>361</v>
      </c>
      <c r="D70" s="1840">
        <v>5</v>
      </c>
      <c r="E70" s="354"/>
      <c r="F70" s="1834">
        <v>250</v>
      </c>
      <c r="G70" s="1834">
        <v>0</v>
      </c>
      <c r="H70" s="1834">
        <v>0</v>
      </c>
      <c r="I70" s="1835">
        <v>0</v>
      </c>
      <c r="J70" s="74">
        <f>$F70/$C$27+$G70/$C$28+$H70/$C$29+$I70/$C$30</f>
        <v>7.3529411764705879</v>
      </c>
      <c r="K70" s="75">
        <f>10^(-J70)</f>
        <v>4.4366873309786093E-8</v>
      </c>
      <c r="L70" s="74">
        <f>($C$7*$C$15*$C$8*($C$9+$C$10*$C$11)/$D70^2*K70*10^6)</f>
        <v>1.0648049594348663E-3</v>
      </c>
      <c r="M70" s="74">
        <f>$F70/$D$27+$G70/$D$28+$H70/$D$29+$I70/$D$30</f>
        <v>6.5789473684210522</v>
      </c>
      <c r="N70" s="75">
        <f>10^(-M70)</f>
        <v>2.636650898730358E-7</v>
      </c>
      <c r="O70" s="74">
        <f>($C$7*$C$15*$D$8*($D$9+$D$10*$D$11)/$D70^2*N70*10^6)</f>
        <v>6.3279621569528599E-3</v>
      </c>
      <c r="P70" s="74">
        <f>$F70/$E$27+$G70/$E$28+$H70/$E$29+$I70/$E$30</f>
        <v>5.6818181818181817</v>
      </c>
      <c r="Q70" s="75">
        <f>10^(-P70)</f>
        <v>2.0805675382171676E-6</v>
      </c>
      <c r="R70" s="74">
        <f>($C$7*$C$15*$E$8*($E$9+$E$10*$E$11)/$D70^2*Q70*10^6)</f>
        <v>4.9933620917212027E-2</v>
      </c>
      <c r="S70" s="74">
        <f>$F70/$F$27+$G70/$F$28+$H70/$F$29+$I70/$F$30</f>
        <v>8.1967213114754092</v>
      </c>
      <c r="T70" s="75">
        <f>10^(-S70)</f>
        <v>6.3573875711648393E-9</v>
      </c>
      <c r="U70" s="74">
        <f>($C$7*$C$15*$F$8*($F$9+$F$10*$F$11)/$D70^2*T70*10^6)</f>
        <v>1.5257730170795616E-4</v>
      </c>
      <c r="V70" s="74">
        <f>$F70/$G$27+$G70/$G$28+$H70/$G$29+$I70/$G$30</f>
        <v>7.0224719101123592</v>
      </c>
      <c r="W70" s="75">
        <f>10^(-V70)</f>
        <v>9.4957241494880226E-8</v>
      </c>
      <c r="X70" s="76">
        <f>($C$7*$C$15*$G$8*($G$9+$G$10*$G$11)/$D70^2*W70*10^6)</f>
        <v>2.278973795877126E-3</v>
      </c>
      <c r="Y70" s="355">
        <f>SUM(L70,O70,R70,U70,X70)</f>
        <v>5.9757939131184837E-2</v>
      </c>
      <c r="Z70" s="356">
        <f>SUM(Y68:Y72)</f>
        <v>298.71327202141981</v>
      </c>
      <c r="AA70" s="357">
        <f>Z70*52/10^3</f>
        <v>15.53309014511383</v>
      </c>
      <c r="AG70" s="328"/>
      <c r="AH70" s="328"/>
      <c r="AI70" s="328"/>
      <c r="AJ70" s="328"/>
      <c r="AK70" s="328"/>
      <c r="AL70" s="328"/>
      <c r="AP70" s="222"/>
      <c r="AQ70" s="211"/>
      <c r="AR70" s="222"/>
      <c r="AS70" s="222"/>
      <c r="AT70" s="225"/>
      <c r="AU70" s="225"/>
      <c r="AV70" s="225"/>
      <c r="AW70" s="225"/>
      <c r="AX70" s="225"/>
      <c r="AY70" s="300"/>
      <c r="AZ70" s="300"/>
    </row>
    <row r="71" spans="1:52" s="212" customFormat="1" ht="30" customHeight="1" thickBot="1" x14ac:dyDescent="0.3">
      <c r="A71" s="358"/>
      <c r="B71" s="359"/>
      <c r="C71" s="360" t="s">
        <v>360</v>
      </c>
      <c r="D71" s="361" t="s">
        <v>362</v>
      </c>
      <c r="E71" s="362"/>
      <c r="F71" s="362"/>
      <c r="G71" s="362"/>
      <c r="H71" s="362"/>
      <c r="I71" s="362"/>
      <c r="J71" s="84"/>
      <c r="K71" s="85"/>
      <c r="L71" s="84"/>
      <c r="M71" s="86"/>
      <c r="N71" s="87"/>
      <c r="O71" s="88"/>
      <c r="P71" s="88"/>
      <c r="Q71" s="87"/>
      <c r="R71" s="88"/>
      <c r="S71" s="88"/>
      <c r="T71" s="87"/>
      <c r="U71" s="88"/>
      <c r="V71" s="88"/>
      <c r="W71" s="87"/>
      <c r="X71" s="88"/>
      <c r="Y71" s="339">
        <f>SUM(AT130:AT135)</f>
        <v>298.19077731600271</v>
      </c>
      <c r="Z71" s="363"/>
      <c r="AA71" s="364"/>
      <c r="AG71" s="328"/>
      <c r="AH71" s="328"/>
      <c r="AI71" s="328"/>
      <c r="AJ71" s="328"/>
      <c r="AK71" s="328"/>
      <c r="AL71" s="328"/>
      <c r="AP71" s="222"/>
      <c r="AQ71" s="211"/>
      <c r="AR71" s="222"/>
      <c r="AS71" s="222"/>
      <c r="AT71" s="225"/>
      <c r="AU71" s="225"/>
      <c r="AV71" s="225"/>
      <c r="AW71" s="225"/>
      <c r="AX71" s="225"/>
      <c r="AY71" s="300"/>
      <c r="AZ71" s="300"/>
    </row>
    <row r="72" spans="1:52" s="212" customFormat="1" ht="30" hidden="1" customHeight="1" thickBot="1" x14ac:dyDescent="0.3">
      <c r="A72" s="317"/>
      <c r="B72" s="317"/>
      <c r="C72" s="318"/>
      <c r="D72" s="1838"/>
      <c r="E72" s="1839"/>
      <c r="F72" s="1839"/>
      <c r="G72" s="1839"/>
      <c r="H72" s="1839"/>
      <c r="I72" s="1839"/>
      <c r="J72" s="77"/>
      <c r="K72" s="77"/>
      <c r="L72" s="78"/>
      <c r="M72" s="77"/>
      <c r="N72" s="77"/>
      <c r="O72" s="78"/>
      <c r="P72" s="77"/>
      <c r="Q72" s="77"/>
      <c r="R72" s="78"/>
      <c r="S72" s="77"/>
      <c r="T72" s="77"/>
      <c r="U72" s="78"/>
      <c r="V72" s="77"/>
      <c r="W72" s="77"/>
      <c r="X72" s="79"/>
      <c r="Y72" s="335"/>
      <c r="Z72" s="344"/>
      <c r="AA72" s="345"/>
      <c r="AG72" s="310"/>
      <c r="AH72" s="310"/>
      <c r="AI72" s="310"/>
      <c r="AJ72" s="310"/>
      <c r="AK72" s="310"/>
      <c r="AL72" s="310"/>
      <c r="AP72" s="222"/>
      <c r="AQ72" s="211"/>
      <c r="AR72" s="222"/>
      <c r="AS72" s="222"/>
      <c r="AT72" s="225"/>
      <c r="AU72" s="225"/>
      <c r="AV72" s="225"/>
      <c r="AW72" s="225"/>
      <c r="AX72" s="225"/>
      <c r="AY72" s="300"/>
      <c r="AZ72" s="300"/>
    </row>
    <row r="73" spans="1:52" s="212" customFormat="1" ht="30" customHeight="1" x14ac:dyDescent="0.25">
      <c r="A73" s="322"/>
      <c r="B73" s="322"/>
      <c r="C73" s="323" t="s">
        <v>569</v>
      </c>
      <c r="D73" s="1844">
        <v>6</v>
      </c>
      <c r="E73" s="1844">
        <v>1</v>
      </c>
      <c r="F73" s="1834">
        <v>250</v>
      </c>
      <c r="G73" s="1834">
        <v>0</v>
      </c>
      <c r="H73" s="1834">
        <v>0</v>
      </c>
      <c r="I73" s="1835">
        <v>0</v>
      </c>
      <c r="J73" s="71">
        <f>IF($F73=0,0,1+($F73-$C$21)/$C$22)+$G73/$C$23+$H73/$C$24+$I73/$C$25</f>
        <v>7.4545454545454541</v>
      </c>
      <c r="K73" s="72">
        <f>10^(-J73)</f>
        <v>3.5111917342151263E-8</v>
      </c>
      <c r="L73" s="71">
        <f>($C$7*$C$14*$C$8*$E73/$D73^2*K73*10^6)</f>
        <v>7.8026482982558355E-3</v>
      </c>
      <c r="M73" s="71">
        <f>IF($F73=0,0,1+($F73-$D$21)/$D$22)+$G73/$D$23+$H73/$D$24+$I73/$D$25</f>
        <v>6.6486486486486482</v>
      </c>
      <c r="N73" s="72">
        <f>10^(-M73)</f>
        <v>2.2456979955397711E-7</v>
      </c>
      <c r="O73" s="71">
        <f>($C$7*$D$14*$D$8*$E73/$D73^2*N73*10^6)</f>
        <v>4.99043999008838E-2</v>
      </c>
      <c r="P73" s="71">
        <f>IF($F73=0,0,1+($F73-$E$21)/$E$22)+$G73/$E$23+$H73/$E$24+$I73/$E$25</f>
        <v>5.7674418604651159</v>
      </c>
      <c r="Q73" s="72">
        <f>10^(-P73)</f>
        <v>1.7082763938087111E-6</v>
      </c>
      <c r="R73" s="71">
        <f>($C$7*$E$14*$E$8*$E73/$D73^2*Q73*10^6)</f>
        <v>0.37961697640193576</v>
      </c>
      <c r="S73" s="71">
        <f>IF($F73=0,0,1+($F73-$F$21)/$F$22)+$G73/$F$23+$H73/$F$24+$I73/$F$25</f>
        <v>9.1481481481481488</v>
      </c>
      <c r="T73" s="72">
        <f>10^(-S73)</f>
        <v>7.1097094323124171E-10</v>
      </c>
      <c r="U73" s="71">
        <f>($C$7*$F$14*$F$8*$E73/$D73^2*T73*10^6)</f>
        <v>1.5799354294027593E-4</v>
      </c>
      <c r="V73" s="71">
        <f>IF($F73=0,0,1+($F73-$G$21)/$G$22)+$G73/$G$23+$H73/$G$24+$I73/$G$25</f>
        <v>6.9444444444444446</v>
      </c>
      <c r="W73" s="72">
        <f>10^(-V73)</f>
        <v>1.136463666385722E-7</v>
      </c>
      <c r="X73" s="73">
        <f>($C$7*$G$14*$G$8*$E73/$D73^2*W73*10^6)</f>
        <v>2.5254748141904933E-2</v>
      </c>
      <c r="Y73" s="324">
        <f>SUM(L73,O73,R73,U73,X73)</f>
        <v>0.46273676628592059</v>
      </c>
      <c r="Z73" s="325"/>
      <c r="AA73" s="326"/>
      <c r="AG73" s="328"/>
      <c r="AI73" s="328"/>
      <c r="AJ73" s="328"/>
      <c r="AK73" s="328"/>
      <c r="AL73" s="328"/>
      <c r="AP73" s="222"/>
      <c r="AQ73" s="211"/>
      <c r="AR73" s="222"/>
      <c r="AS73" s="222"/>
      <c r="AT73" s="225"/>
      <c r="AU73" s="225"/>
      <c r="AV73" s="225"/>
      <c r="AW73" s="225"/>
      <c r="AX73" s="225"/>
      <c r="AY73" s="300"/>
      <c r="AZ73" s="300"/>
    </row>
    <row r="74" spans="1:52" s="212" customFormat="1" ht="30" customHeight="1" thickBot="1" x14ac:dyDescent="0.3">
      <c r="A74" s="343" t="str">
        <f>Samenvatting!A135</f>
        <v>L2</v>
      </c>
      <c r="B74" s="346" t="str">
        <f>Samenvatting!B135</f>
        <v>ingang labyrint linac 2</v>
      </c>
      <c r="C74" s="331" t="s">
        <v>568</v>
      </c>
      <c r="D74" s="1836">
        <v>5</v>
      </c>
      <c r="E74" s="89"/>
      <c r="F74" s="1834">
        <v>250</v>
      </c>
      <c r="G74" s="1834">
        <v>0</v>
      </c>
      <c r="H74" s="1834">
        <v>0</v>
      </c>
      <c r="I74" s="1835">
        <v>0</v>
      </c>
      <c r="J74" s="74">
        <f>$F74/$C$27+$G74/$C$28+$H74/$C$29+$I74/$C$30</f>
        <v>7.3529411764705879</v>
      </c>
      <c r="K74" s="75">
        <f>10^(-J74)</f>
        <v>4.4366873309786093E-8</v>
      </c>
      <c r="L74" s="74">
        <f>($C$7*$C$15*$C$8*($C$9+$C$10*$C$11)/$D74^2*K74*10^6)</f>
        <v>1.0648049594348663E-3</v>
      </c>
      <c r="M74" s="74">
        <f>$F74/$D$27+$G74/$D$28+$H74/$D$29+$I74/$D$30</f>
        <v>6.5789473684210522</v>
      </c>
      <c r="N74" s="75">
        <f>10^(-M74)</f>
        <v>2.636650898730358E-7</v>
      </c>
      <c r="O74" s="74">
        <f>($C$7*$C$15*$D$8*($D$9+$D$10*$D$11)/$D74^2*N74*10^6)</f>
        <v>6.3279621569528599E-3</v>
      </c>
      <c r="P74" s="74">
        <f>$F74/$E$27+$G74/$E$28+$H74/$E$29+$I74/$E$30</f>
        <v>5.6818181818181817</v>
      </c>
      <c r="Q74" s="75">
        <f>10^(-P74)</f>
        <v>2.0805675382171676E-6</v>
      </c>
      <c r="R74" s="74">
        <f>($C$7*$C$15*$E$8*($E$9+$E$10*$E$11)/$D74^2*Q74*10^6)</f>
        <v>4.9933620917212027E-2</v>
      </c>
      <c r="S74" s="74">
        <f>$F74/$F$27+$G74/$F$28+$H74/$F$29+$I74/$F$30</f>
        <v>8.1967213114754092</v>
      </c>
      <c r="T74" s="75">
        <f>10^(-S74)</f>
        <v>6.3573875711648393E-9</v>
      </c>
      <c r="U74" s="74">
        <f>($C$7*$C$15*$F$8*($F$9+$F$10*$F$11)/$D74^2*T74*10^6)</f>
        <v>1.5257730170795616E-4</v>
      </c>
      <c r="V74" s="74">
        <f>$F74/$G$27+$G74/$G$28+$H74/$G$29+$I74/$G$30</f>
        <v>7.0224719101123592</v>
      </c>
      <c r="W74" s="75">
        <f>10^(-V74)</f>
        <v>9.4957241494880226E-8</v>
      </c>
      <c r="X74" s="76">
        <f>($C$7*$C$15*$G$8*($G$9+$G$10*$G$11)/$D74^2*W74*10^6)</f>
        <v>2.278973795877126E-3</v>
      </c>
      <c r="Y74" s="339">
        <f>SUM(L74,O74,R74,U74,X74)</f>
        <v>5.9757939131184837E-2</v>
      </c>
      <c r="Z74" s="333">
        <f>SUM(Y72:Y75)</f>
        <v>0.52249470541710541</v>
      </c>
      <c r="AA74" s="334">
        <f>Z74*52/10^3</f>
        <v>2.7169724681689482E-2</v>
      </c>
      <c r="AG74" s="328"/>
      <c r="AH74" s="328"/>
      <c r="AI74" s="328"/>
      <c r="AJ74" s="328"/>
      <c r="AK74" s="328"/>
      <c r="AL74" s="328"/>
      <c r="AP74" s="222"/>
      <c r="AQ74" s="211"/>
      <c r="AR74" s="222"/>
      <c r="AS74" s="222"/>
      <c r="AT74" s="225"/>
      <c r="AU74" s="225"/>
      <c r="AV74" s="225"/>
      <c r="AW74" s="225"/>
      <c r="AX74" s="225"/>
      <c r="AY74" s="300"/>
      <c r="AZ74" s="300"/>
    </row>
    <row r="75" spans="1:52" s="212" customFormat="1" ht="30" hidden="1" customHeight="1" thickBot="1" x14ac:dyDescent="0.3">
      <c r="A75" s="317"/>
      <c r="B75" s="317"/>
      <c r="C75" s="318"/>
      <c r="D75" s="1838"/>
      <c r="E75" s="1839"/>
      <c r="F75" s="1839"/>
      <c r="G75" s="1839"/>
      <c r="H75" s="1839"/>
      <c r="I75" s="1839"/>
      <c r="J75" s="77"/>
      <c r="K75" s="77"/>
      <c r="L75" s="78"/>
      <c r="M75" s="77"/>
      <c r="N75" s="77"/>
      <c r="O75" s="78"/>
      <c r="P75" s="77"/>
      <c r="Q75" s="77"/>
      <c r="R75" s="78"/>
      <c r="S75" s="77"/>
      <c r="T75" s="77"/>
      <c r="U75" s="78"/>
      <c r="V75" s="77"/>
      <c r="W75" s="77"/>
      <c r="X75" s="79"/>
      <c r="Y75" s="316"/>
      <c r="Z75" s="344"/>
      <c r="AA75" s="345"/>
      <c r="AG75" s="310"/>
      <c r="AH75" s="310"/>
      <c r="AI75" s="310"/>
      <c r="AJ75" s="310"/>
      <c r="AK75" s="310"/>
      <c r="AL75" s="310"/>
      <c r="AP75" s="222"/>
      <c r="AQ75" s="211"/>
      <c r="AR75" s="222"/>
      <c r="AS75" s="222"/>
      <c r="AT75" s="225"/>
      <c r="AU75" s="225"/>
      <c r="AV75" s="225"/>
      <c r="AW75" s="225"/>
      <c r="AX75" s="225"/>
      <c r="AY75" s="300"/>
      <c r="AZ75" s="300"/>
    </row>
    <row r="76" spans="1:52" s="212" customFormat="1" ht="30" customHeight="1" x14ac:dyDescent="0.25">
      <c r="A76" s="322"/>
      <c r="B76" s="322"/>
      <c r="C76" s="323" t="s">
        <v>569</v>
      </c>
      <c r="D76" s="1840">
        <v>6</v>
      </c>
      <c r="E76" s="1840">
        <v>1</v>
      </c>
      <c r="F76" s="1834">
        <v>250</v>
      </c>
      <c r="G76" s="1834">
        <v>0</v>
      </c>
      <c r="H76" s="1834">
        <v>0</v>
      </c>
      <c r="I76" s="1835">
        <v>0</v>
      </c>
      <c r="J76" s="71">
        <f>IF($F76=0,0,1+($F76-$C$21)/$C$22)+$G76/$C$23+$H76/$C$24+$I76/$C$25</f>
        <v>7.4545454545454541</v>
      </c>
      <c r="K76" s="72">
        <f>10^(-J76)</f>
        <v>3.5111917342151263E-8</v>
      </c>
      <c r="L76" s="71">
        <f>($C$7*$C$14*$C$8*$E76/$D76^2*K76*10^6)</f>
        <v>7.8026482982558355E-3</v>
      </c>
      <c r="M76" s="71">
        <f>IF($F76=0,0,1+($F76-$D$21)/$D$22)+$G76/$D$23+$H76/$D$24+$I76/$D$25</f>
        <v>6.6486486486486482</v>
      </c>
      <c r="N76" s="72">
        <f>10^(-M76)</f>
        <v>2.2456979955397711E-7</v>
      </c>
      <c r="O76" s="71">
        <f>($C$7*$D$14*$D$8*$E76/$D76^2*N76*10^6)</f>
        <v>4.99043999008838E-2</v>
      </c>
      <c r="P76" s="71">
        <f>IF($F76=0,0,1+($F76-$E$21)/$E$22)+$G76/$E$23+$H76/$E$24+$I76/$E$25</f>
        <v>5.7674418604651159</v>
      </c>
      <c r="Q76" s="72">
        <f>10^(-P76)</f>
        <v>1.7082763938087111E-6</v>
      </c>
      <c r="R76" s="71">
        <f>($C$7*$E$14*$E$8*$E76/$D76^2*Q76*10^6)</f>
        <v>0.37961697640193576</v>
      </c>
      <c r="S76" s="71">
        <f>IF($F76=0,0,1+($F76-$F$21)/$F$22)+$G76/$F$23+$H76/$F$24+$I76/$F$25</f>
        <v>9.1481481481481488</v>
      </c>
      <c r="T76" s="72">
        <f>10^(-S76)</f>
        <v>7.1097094323124171E-10</v>
      </c>
      <c r="U76" s="71">
        <f>($C$7*$F$14*$F$8*$E76/$D76^2*T76*10^6)</f>
        <v>1.5799354294027593E-4</v>
      </c>
      <c r="V76" s="71">
        <f>IF($F76=0,0,1+($F76-$G$21)/$G$22)+$G76/$G$23+$H76/$G$24+$I76/$G$25</f>
        <v>6.9444444444444446</v>
      </c>
      <c r="W76" s="72">
        <f>10^(-V76)</f>
        <v>1.136463666385722E-7</v>
      </c>
      <c r="X76" s="73">
        <f>($C$7*$G$14*$G$8*$E76/$D76^2*W76*10^6)</f>
        <v>2.5254748141904933E-2</v>
      </c>
      <c r="Y76" s="324">
        <f>SUM(L76,O76,R76,U76,X76)</f>
        <v>0.46273676628592059</v>
      </c>
      <c r="Z76" s="325"/>
      <c r="AA76" s="326"/>
      <c r="AG76" s="328"/>
      <c r="AI76" s="328"/>
      <c r="AJ76" s="328"/>
      <c r="AK76" s="328"/>
      <c r="AL76" s="328"/>
      <c r="AP76" s="222"/>
      <c r="AQ76" s="211"/>
      <c r="AR76" s="222"/>
      <c r="AS76" s="222"/>
      <c r="AT76" s="225"/>
      <c r="AU76" s="225"/>
      <c r="AV76" s="225"/>
      <c r="AW76" s="225"/>
      <c r="AX76" s="225"/>
      <c r="AY76" s="300"/>
      <c r="AZ76" s="300"/>
    </row>
    <row r="77" spans="1:52" s="212" customFormat="1" ht="30" customHeight="1" thickBot="1" x14ac:dyDescent="0.3">
      <c r="A77" s="343" t="str">
        <f>Samenvatting!A147</f>
        <v>L3</v>
      </c>
      <c r="B77" s="338" t="str">
        <f>Samenvatting!B147</f>
        <v>ingang labyrint linac 3</v>
      </c>
      <c r="C77" s="331" t="s">
        <v>568</v>
      </c>
      <c r="D77" s="1836">
        <v>5</v>
      </c>
      <c r="E77" s="89"/>
      <c r="F77" s="1834">
        <v>250</v>
      </c>
      <c r="G77" s="1834">
        <v>0</v>
      </c>
      <c r="H77" s="1834">
        <v>0</v>
      </c>
      <c r="I77" s="1835">
        <v>0</v>
      </c>
      <c r="J77" s="74">
        <f>$F77/$C$27+$G77/$C$28+$H77/$C$29+$I77/$C$30</f>
        <v>7.3529411764705879</v>
      </c>
      <c r="K77" s="75">
        <f>10^(-J77)</f>
        <v>4.4366873309786093E-8</v>
      </c>
      <c r="L77" s="74">
        <f>($C$7*$C$15*$C$8*($C$9+$C$10*$C$11)/$D77^2*K77*10^6)</f>
        <v>1.0648049594348663E-3</v>
      </c>
      <c r="M77" s="74">
        <f>$F77/$D$27+$G77/$D$28+$H77/$D$29+$I77/$D$30</f>
        <v>6.5789473684210522</v>
      </c>
      <c r="N77" s="75">
        <f>10^(-M77)</f>
        <v>2.636650898730358E-7</v>
      </c>
      <c r="O77" s="74">
        <f>($C$7*$C$15*$D$8*($D$9+$D$10*$D$11)/$D77^2*N77*10^6)</f>
        <v>6.3279621569528599E-3</v>
      </c>
      <c r="P77" s="74">
        <f>$F77/$E$27+$G77/$E$28+$H77/$E$29+$I77/$E$30</f>
        <v>5.6818181818181817</v>
      </c>
      <c r="Q77" s="75">
        <f>10^(-P77)</f>
        <v>2.0805675382171676E-6</v>
      </c>
      <c r="R77" s="74">
        <f>($C$7*$C$15*$E$8*($E$9+$E$10*$E$11)/$D77^2*Q77*10^6)</f>
        <v>4.9933620917212027E-2</v>
      </c>
      <c r="S77" s="74">
        <f>$F77/$F$27+$G77/$F$28+$H77/$F$29+$I77/$F$30</f>
        <v>8.1967213114754092</v>
      </c>
      <c r="T77" s="75">
        <f>10^(-S77)</f>
        <v>6.3573875711648393E-9</v>
      </c>
      <c r="U77" s="74">
        <f>($C$7*$C$15*$F$8*($F$9+$F$10*$F$11)/$D77^2*T77*10^6)</f>
        <v>1.5257730170795616E-4</v>
      </c>
      <c r="V77" s="74">
        <f>$F77/$G$27+$G77/$G$28+$H77/$G$29+$I77/$G$30</f>
        <v>7.0224719101123592</v>
      </c>
      <c r="W77" s="75">
        <f>10^(-V77)</f>
        <v>9.4957241494880226E-8</v>
      </c>
      <c r="X77" s="76">
        <f>($C$7*$C$15*$G$8*($G$9+$G$10*$G$11)/$D77^2*W77*10^6)</f>
        <v>2.278973795877126E-3</v>
      </c>
      <c r="Y77" s="339">
        <f>SUM(L77,O77,R77,U77,X77)</f>
        <v>5.9757939131184837E-2</v>
      </c>
      <c r="Z77" s="333">
        <f>SUM(Y75:Y78)</f>
        <v>0.52249470541710541</v>
      </c>
      <c r="AA77" s="334">
        <f>Z77*52/10^3</f>
        <v>2.7169724681689482E-2</v>
      </c>
      <c r="AG77" s="328"/>
      <c r="AH77" s="328"/>
      <c r="AI77" s="328"/>
      <c r="AJ77" s="328"/>
      <c r="AK77" s="328"/>
      <c r="AL77" s="328"/>
      <c r="AP77" s="222"/>
      <c r="AQ77" s="211"/>
      <c r="AR77" s="222"/>
      <c r="AS77" s="222"/>
      <c r="AT77" s="225"/>
      <c r="AU77" s="225"/>
      <c r="AV77" s="225"/>
      <c r="AW77" s="225"/>
      <c r="AX77" s="225"/>
      <c r="AY77" s="300"/>
      <c r="AZ77" s="300"/>
    </row>
    <row r="78" spans="1:52" s="212" customFormat="1" ht="30" hidden="1" customHeight="1" thickBot="1" x14ac:dyDescent="0.3">
      <c r="A78" s="317"/>
      <c r="B78" s="317"/>
      <c r="C78" s="318"/>
      <c r="D78" s="1838"/>
      <c r="E78" s="1839"/>
      <c r="F78" s="1839"/>
      <c r="G78" s="1839"/>
      <c r="H78" s="1839"/>
      <c r="I78" s="1839"/>
      <c r="J78" s="77"/>
      <c r="K78" s="77"/>
      <c r="L78" s="78"/>
      <c r="M78" s="77"/>
      <c r="N78" s="77"/>
      <c r="O78" s="78"/>
      <c r="P78" s="77"/>
      <c r="Q78" s="77"/>
      <c r="R78" s="78"/>
      <c r="S78" s="77"/>
      <c r="T78" s="77"/>
      <c r="U78" s="78"/>
      <c r="V78" s="77"/>
      <c r="W78" s="77"/>
      <c r="X78" s="79"/>
      <c r="Y78" s="316"/>
      <c r="Z78" s="344"/>
      <c r="AA78" s="345"/>
      <c r="AG78" s="310"/>
      <c r="AH78" s="310"/>
      <c r="AI78" s="310"/>
      <c r="AJ78" s="310"/>
      <c r="AK78" s="310"/>
      <c r="AL78" s="310"/>
      <c r="AP78" s="222"/>
      <c r="AQ78" s="211"/>
      <c r="AR78" s="222"/>
      <c r="AS78" s="222"/>
      <c r="AT78" s="225"/>
      <c r="AU78" s="225"/>
      <c r="AV78" s="225"/>
      <c r="AW78" s="225"/>
      <c r="AX78" s="225"/>
      <c r="AY78" s="300"/>
      <c r="AZ78" s="300"/>
    </row>
    <row r="79" spans="1:52" s="212" customFormat="1" ht="30" customHeight="1" x14ac:dyDescent="0.25">
      <c r="A79" s="322"/>
      <c r="B79" s="322"/>
      <c r="C79" s="323" t="s">
        <v>569</v>
      </c>
      <c r="D79" s="1836">
        <v>6</v>
      </c>
      <c r="E79" s="1840">
        <v>1</v>
      </c>
      <c r="F79" s="1834">
        <v>250</v>
      </c>
      <c r="G79" s="1834">
        <v>0</v>
      </c>
      <c r="H79" s="1834">
        <v>0</v>
      </c>
      <c r="I79" s="1835">
        <v>0</v>
      </c>
      <c r="J79" s="71">
        <f>IF($F79=0,0,1+($F79-$C$21)/$C$22)+$G79/$C$23+$H79/$C$24+$I79/$C$25</f>
        <v>7.4545454545454541</v>
      </c>
      <c r="K79" s="72">
        <f>10^(-J79)</f>
        <v>3.5111917342151263E-8</v>
      </c>
      <c r="L79" s="71">
        <f>($C$7*$C$14*$C$8*$E79/$D79^2*K79*10^6)</f>
        <v>7.8026482982558355E-3</v>
      </c>
      <c r="M79" s="71">
        <f>IF($F79=0,0,1+($F79-$D$21)/$D$22)+$G79/$D$23+$H79/$D$24+$I79/$D$25</f>
        <v>6.6486486486486482</v>
      </c>
      <c r="N79" s="72">
        <f>10^(-M79)</f>
        <v>2.2456979955397711E-7</v>
      </c>
      <c r="O79" s="71">
        <f>($C$7*$D$14*$D$8*$E79/$D79^2*N79*10^6)</f>
        <v>4.99043999008838E-2</v>
      </c>
      <c r="P79" s="71">
        <f>IF($F79=0,0,1+($F79-$E$21)/$E$22)+$G79/$E$23+$H79/$E$24+$I79/$E$25</f>
        <v>5.7674418604651159</v>
      </c>
      <c r="Q79" s="72">
        <f>10^(-P79)</f>
        <v>1.7082763938087111E-6</v>
      </c>
      <c r="R79" s="71">
        <f>($C$7*$E$14*$E$8*$E79/$D79^2*Q79*10^6)</f>
        <v>0.37961697640193576</v>
      </c>
      <c r="S79" s="71">
        <f>IF($F79=0,0,1+($F79-$F$21)/$F$22)+$G79/$F$23+$H79/$F$24+$I79/$F$25</f>
        <v>9.1481481481481488</v>
      </c>
      <c r="T79" s="72">
        <f>10^(-S79)</f>
        <v>7.1097094323124171E-10</v>
      </c>
      <c r="U79" s="71">
        <f>($C$7*$F$14*F$8*$E79/$D79^2*T79*10^6)</f>
        <v>1.5799354294027593E-4</v>
      </c>
      <c r="V79" s="71">
        <f>IF($F79=0,0,1+($F79-$G$21)/$G$22)+$G79/$G$23+$H79/$G$24+$I79/$G$25</f>
        <v>6.9444444444444446</v>
      </c>
      <c r="W79" s="72">
        <f>10^(-V79)</f>
        <v>1.136463666385722E-7</v>
      </c>
      <c r="X79" s="73">
        <f>($C$7*$G$14*$G$8*$E79/$D79^2*W79*10^6)</f>
        <v>2.5254748141904933E-2</v>
      </c>
      <c r="Y79" s="324">
        <f>SUM(L79,O79,R79,U79,X79)</f>
        <v>0.46273676628592059</v>
      </c>
      <c r="Z79" s="325"/>
      <c r="AA79" s="326"/>
      <c r="AG79" s="328"/>
      <c r="AI79" s="328"/>
      <c r="AJ79" s="328"/>
      <c r="AK79" s="328"/>
      <c r="AL79" s="328"/>
      <c r="AP79" s="222"/>
      <c r="AQ79" s="211"/>
      <c r="AR79" s="222"/>
      <c r="AS79" s="222"/>
      <c r="AT79" s="225"/>
      <c r="AU79" s="225"/>
      <c r="AV79" s="225"/>
      <c r="AW79" s="225"/>
      <c r="AX79" s="225"/>
      <c r="AY79" s="300"/>
      <c r="AZ79" s="300"/>
    </row>
    <row r="80" spans="1:52" s="212" customFormat="1" ht="30" customHeight="1" thickBot="1" x14ac:dyDescent="0.3">
      <c r="A80" s="343" t="str">
        <f>Samenvatting!A159</f>
        <v>L4</v>
      </c>
      <c r="B80" s="346" t="str">
        <f>Samenvatting!B159</f>
        <v>ingang labyrint linac 4</v>
      </c>
      <c r="C80" s="331" t="s">
        <v>568</v>
      </c>
      <c r="D80" s="1843">
        <v>5</v>
      </c>
      <c r="E80" s="347"/>
      <c r="F80" s="1834">
        <v>250</v>
      </c>
      <c r="G80" s="1834">
        <v>0</v>
      </c>
      <c r="H80" s="1834">
        <v>0</v>
      </c>
      <c r="I80" s="1835">
        <v>0</v>
      </c>
      <c r="J80" s="74">
        <f>$F80/$C$27+$G80/$C$28+$H80/$C$29+$I80/$C$30</f>
        <v>7.3529411764705879</v>
      </c>
      <c r="K80" s="75">
        <f>10^(-J80)</f>
        <v>4.4366873309786093E-8</v>
      </c>
      <c r="L80" s="74">
        <f>($C$7*$C$15*$C$8*($C$9+$C$10*$C$11)/$D80^2*K80*10^6)</f>
        <v>1.0648049594348663E-3</v>
      </c>
      <c r="M80" s="74">
        <f>$F80/$D$27+$G80/$D$28+$H80/$D$29+$I80/$D$30</f>
        <v>6.5789473684210522</v>
      </c>
      <c r="N80" s="75">
        <f>10^(-M80)</f>
        <v>2.636650898730358E-7</v>
      </c>
      <c r="O80" s="74">
        <f>($C$7*$C$15*$D$8*($D$9+$D$10*$D$11)/$D80^2*N80*10^6)</f>
        <v>6.3279621569528599E-3</v>
      </c>
      <c r="P80" s="74">
        <f>$F80/$E$27+$G80/$E$28+$H80/$E$29+$I80/$E$30</f>
        <v>5.6818181818181817</v>
      </c>
      <c r="Q80" s="75">
        <f>10^(-P80)</f>
        <v>2.0805675382171676E-6</v>
      </c>
      <c r="R80" s="74">
        <f>($C$7*$C$15*$E$8*($E$9+$E$10*$E$11)/$D80^2*Q80*10^6)</f>
        <v>4.9933620917212027E-2</v>
      </c>
      <c r="S80" s="74">
        <f>$F80/$F$27+$G80/$F$28+$H80/$F$29+$I80/$F$30</f>
        <v>8.1967213114754092</v>
      </c>
      <c r="T80" s="75">
        <f>10^(-S80)</f>
        <v>6.3573875711648393E-9</v>
      </c>
      <c r="U80" s="74">
        <f>($C$7*$C$15*$F$8*($F$9+$F$10*$F$11)/$D80^2*T80*10^6)</f>
        <v>1.5257730170795616E-4</v>
      </c>
      <c r="V80" s="74">
        <f>$F80/$G$27+$G80/$G$28+$H80/$G$29+$I80/$G$30</f>
        <v>7.0224719101123592</v>
      </c>
      <c r="W80" s="75">
        <f>10^(-V80)</f>
        <v>9.4957241494880226E-8</v>
      </c>
      <c r="X80" s="76">
        <f>($C$7*$C$15*$G$8*($G$9+$G$10*$G$11)/$D80^2*W80*10^6)</f>
        <v>2.278973795877126E-3</v>
      </c>
      <c r="Y80" s="339">
        <f>SUM(L80,O80,R80,U80,X80)</f>
        <v>5.9757939131184837E-2</v>
      </c>
      <c r="Z80" s="333">
        <f>SUM(Y78:Y81)</f>
        <v>0.52249470541710541</v>
      </c>
      <c r="AA80" s="334">
        <f>Z80*52/10^3</f>
        <v>2.7169724681689482E-2</v>
      </c>
      <c r="AG80" s="328"/>
      <c r="AH80" s="328"/>
      <c r="AI80" s="328"/>
      <c r="AJ80" s="328"/>
      <c r="AK80" s="328"/>
      <c r="AL80" s="328"/>
      <c r="AP80" s="222"/>
      <c r="AQ80" s="211"/>
      <c r="AR80" s="222"/>
      <c r="AS80" s="222"/>
      <c r="AT80" s="225"/>
      <c r="AU80" s="225"/>
      <c r="AV80" s="225"/>
      <c r="AW80" s="225"/>
      <c r="AX80" s="225"/>
      <c r="AY80" s="300"/>
      <c r="AZ80" s="300"/>
    </row>
    <row r="81" spans="1:52" s="212" customFormat="1" ht="30" hidden="1" customHeight="1" thickBot="1" x14ac:dyDescent="0.3">
      <c r="A81" s="317"/>
      <c r="B81" s="317"/>
      <c r="C81" s="318"/>
      <c r="D81" s="1838"/>
      <c r="E81" s="1839"/>
      <c r="F81" s="1839"/>
      <c r="G81" s="1839"/>
      <c r="H81" s="1839"/>
      <c r="I81" s="1839"/>
      <c r="J81" s="77"/>
      <c r="K81" s="77"/>
      <c r="L81" s="78"/>
      <c r="M81" s="77"/>
      <c r="N81" s="77"/>
      <c r="O81" s="78"/>
      <c r="P81" s="77"/>
      <c r="Q81" s="77"/>
      <c r="R81" s="78"/>
      <c r="S81" s="77"/>
      <c r="T81" s="77"/>
      <c r="U81" s="78"/>
      <c r="V81" s="77"/>
      <c r="W81" s="77"/>
      <c r="X81" s="79"/>
      <c r="Y81" s="316"/>
      <c r="Z81" s="344"/>
      <c r="AA81" s="345"/>
      <c r="AG81" s="310"/>
      <c r="AH81" s="310"/>
      <c r="AI81" s="310"/>
      <c r="AJ81" s="310"/>
      <c r="AK81" s="310"/>
      <c r="AL81" s="310"/>
      <c r="AP81" s="222"/>
      <c r="AQ81" s="211"/>
      <c r="AR81" s="222"/>
      <c r="AS81" s="222"/>
      <c r="AT81" s="225"/>
      <c r="AU81" s="225"/>
      <c r="AV81" s="225"/>
      <c r="AW81" s="225"/>
      <c r="AX81" s="225"/>
      <c r="AY81" s="300"/>
      <c r="AZ81" s="300"/>
    </row>
    <row r="82" spans="1:52" s="212" customFormat="1" ht="30" customHeight="1" x14ac:dyDescent="0.25">
      <c r="A82" s="322"/>
      <c r="B82" s="322"/>
      <c r="C82" s="323" t="s">
        <v>569</v>
      </c>
      <c r="D82" s="1844">
        <v>6</v>
      </c>
      <c r="E82" s="1844">
        <v>1</v>
      </c>
      <c r="F82" s="1834">
        <v>250</v>
      </c>
      <c r="G82" s="1834">
        <v>0</v>
      </c>
      <c r="H82" s="1834">
        <v>0</v>
      </c>
      <c r="I82" s="1835">
        <v>0</v>
      </c>
      <c r="J82" s="71">
        <f>IF($F82=0,0,1+($F82-$C$21)/$C$22)+$G82/$C$23+$H82/$C$24+$I82/$C$25</f>
        <v>7.4545454545454541</v>
      </c>
      <c r="K82" s="72">
        <f t="shared" ref="K82:K98" si="6">10^(-J82)</f>
        <v>3.5111917342151263E-8</v>
      </c>
      <c r="L82" s="71">
        <f>($C$7*$C$14*$C$8*$E82/$D82^2*K82*10^6)</f>
        <v>7.8026482982558355E-3</v>
      </c>
      <c r="M82" s="71">
        <f>IF($F82=0,0,1+($F82-$D$21)/$D$22)+$G82/$D$23+$H82/$D$24+$I82/$D$25</f>
        <v>6.6486486486486482</v>
      </c>
      <c r="N82" s="72">
        <f t="shared" ref="N82:N98" si="7">10^(-M82)</f>
        <v>2.2456979955397711E-7</v>
      </c>
      <c r="O82" s="71">
        <f>($C$7*$D$14*$D$8*$E82/$D82^2*N82*10^6)</f>
        <v>4.99043999008838E-2</v>
      </c>
      <c r="P82" s="71">
        <f>IF($F82=0,0,1+($F82-$E$21)/$E$22)+$G82/$E$23+$H82/$E$24+$I82/$E$25</f>
        <v>5.7674418604651159</v>
      </c>
      <c r="Q82" s="72">
        <f t="shared" ref="Q82:Q98" si="8">10^(-P82)</f>
        <v>1.7082763938087111E-6</v>
      </c>
      <c r="R82" s="71">
        <f>($C$7*$E$14*$E$8*$E82/$D82^2*Q82*10^6)</f>
        <v>0.37961697640193576</v>
      </c>
      <c r="S82" s="71">
        <f>IF($F82=0,0,1+($F82-$F$21)/$F$22)+$G82/$F$23+$H82/$F$24+$I82/$F$25</f>
        <v>9.1481481481481488</v>
      </c>
      <c r="T82" s="72">
        <f t="shared" ref="T82:T98" si="9">10^(-S82)</f>
        <v>7.1097094323124171E-10</v>
      </c>
      <c r="U82" s="71">
        <f>($C$7*$F$14*F$8*$E82/$D82^2*T82*10^6)</f>
        <v>1.5799354294027593E-4</v>
      </c>
      <c r="V82" s="71">
        <f>IF($F82=0,0,1+($F82-$G$21)/$G$22)+$G82/$G$23+$H82/$G$24+$I82/$G$25</f>
        <v>6.9444444444444446</v>
      </c>
      <c r="W82" s="72">
        <f t="shared" ref="W82:W98" si="10">10^(-V82)</f>
        <v>1.136463666385722E-7</v>
      </c>
      <c r="X82" s="73">
        <f>($C$7*$G$14*$G$8*$E82/$D82^2*W82*10^6)</f>
        <v>2.5254748141904933E-2</v>
      </c>
      <c r="Y82" s="324">
        <f t="shared" ref="Y82:Y98" si="11">SUM(L82,O82,R82,U82,X82)</f>
        <v>0.46273676628592059</v>
      </c>
      <c r="Z82" s="325"/>
      <c r="AA82" s="326"/>
      <c r="AG82" s="328"/>
      <c r="AI82" s="328"/>
      <c r="AJ82" s="328"/>
      <c r="AK82" s="328"/>
      <c r="AL82" s="328"/>
      <c r="AP82" s="222"/>
      <c r="AQ82" s="211"/>
      <c r="AR82" s="222"/>
      <c r="AS82" s="222"/>
      <c r="AT82" s="225"/>
      <c r="AU82" s="225"/>
      <c r="AV82" s="225"/>
      <c r="AW82" s="225"/>
      <c r="AX82" s="225"/>
      <c r="AY82" s="300"/>
      <c r="AZ82" s="300"/>
    </row>
    <row r="83" spans="1:52" s="212" customFormat="1" ht="30" customHeight="1" thickBot="1" x14ac:dyDescent="0.3">
      <c r="A83" s="343" t="str">
        <f>Samenvatting!A171</f>
        <v>L5</v>
      </c>
      <c r="B83" s="352" t="str">
        <f>Samenvatting!B171</f>
        <v>ingang labyrint linac 5</v>
      </c>
      <c r="C83" s="331" t="s">
        <v>568</v>
      </c>
      <c r="D83" s="1836">
        <v>5</v>
      </c>
      <c r="E83" s="89"/>
      <c r="F83" s="1834">
        <v>250</v>
      </c>
      <c r="G83" s="1834">
        <v>0</v>
      </c>
      <c r="H83" s="1834">
        <v>0</v>
      </c>
      <c r="I83" s="1835">
        <v>0</v>
      </c>
      <c r="J83" s="74">
        <f>$F83/$C$27+$G83/$C$28+$H83/$C$29+$I83/$C$30</f>
        <v>7.3529411764705879</v>
      </c>
      <c r="K83" s="75">
        <f t="shared" si="6"/>
        <v>4.4366873309786093E-8</v>
      </c>
      <c r="L83" s="74">
        <f>($C$7*$C$15*$C$8*($C$9+$C$10*$C$11)/$D83^2*K83*10^6)</f>
        <v>1.0648049594348663E-3</v>
      </c>
      <c r="M83" s="74">
        <f>$F83/$D$27+$G83/$D$28+$H83/$D$29+$I83/$D$30</f>
        <v>6.5789473684210522</v>
      </c>
      <c r="N83" s="75">
        <f t="shared" si="7"/>
        <v>2.636650898730358E-7</v>
      </c>
      <c r="O83" s="74">
        <f>($C$7*$C$15*$D$8*($D$9+$D$10*$D$11)/$D83^2*N83*10^6)</f>
        <v>6.3279621569528599E-3</v>
      </c>
      <c r="P83" s="74">
        <f>$F83/$E$27+$G83/$E$28+$H83/$E$29+$I83/$E$30</f>
        <v>5.6818181818181817</v>
      </c>
      <c r="Q83" s="75">
        <f t="shared" si="8"/>
        <v>2.0805675382171676E-6</v>
      </c>
      <c r="R83" s="74">
        <f>($C$7*$C$15*$E$8*($E$9+$E$10*$E$11)/$D83^2*Q83*10^6)</f>
        <v>4.9933620917212027E-2</v>
      </c>
      <c r="S83" s="74">
        <f>$F83/$F$27+$G83/$F$28+$H83/$F$29+$I83/$F$30</f>
        <v>8.1967213114754092</v>
      </c>
      <c r="T83" s="75">
        <f t="shared" si="9"/>
        <v>6.3573875711648393E-9</v>
      </c>
      <c r="U83" s="74">
        <f>($C$7*$C$15*$F$8*($F$9+$F$10*$F$11)/$D83^2*T83*10^6)</f>
        <v>1.5257730170795616E-4</v>
      </c>
      <c r="V83" s="74">
        <f>$F83/$G$27+$G83/$G$28+$H83/$G$29+$I83/$G$30</f>
        <v>7.0224719101123592</v>
      </c>
      <c r="W83" s="75">
        <f t="shared" si="10"/>
        <v>9.4957241494880226E-8</v>
      </c>
      <c r="X83" s="76">
        <f>($C$7*$C$15*$G$8*($G$9+$G$10*$G$11)/$D83^2*W83*10^6)</f>
        <v>2.278973795877126E-3</v>
      </c>
      <c r="Y83" s="339">
        <f t="shared" si="11"/>
        <v>5.9757939131184837E-2</v>
      </c>
      <c r="Z83" s="333">
        <f>SUM(Y81:Y84)</f>
        <v>0.52249470541710541</v>
      </c>
      <c r="AA83" s="334">
        <f>Z83*52/10^3</f>
        <v>2.7169724681689482E-2</v>
      </c>
      <c r="AG83" s="328"/>
      <c r="AH83" s="328"/>
      <c r="AI83" s="328"/>
      <c r="AJ83" s="328"/>
      <c r="AK83" s="328"/>
      <c r="AL83" s="328"/>
      <c r="AP83" s="222"/>
      <c r="AQ83" s="211"/>
      <c r="AR83" s="222"/>
      <c r="AS83" s="222"/>
      <c r="AT83" s="225"/>
      <c r="AU83" s="225"/>
      <c r="AV83" s="225"/>
      <c r="AW83" s="225"/>
      <c r="AX83" s="225"/>
      <c r="AY83" s="300"/>
      <c r="AZ83" s="300"/>
    </row>
    <row r="84" spans="1:52" s="212" customFormat="1" ht="30" hidden="1" customHeight="1" thickBot="1" x14ac:dyDescent="0.3">
      <c r="A84" s="317"/>
      <c r="B84" s="317"/>
      <c r="C84" s="318"/>
      <c r="D84" s="1838"/>
      <c r="E84" s="1839"/>
      <c r="F84" s="1839"/>
      <c r="G84" s="1839"/>
      <c r="H84" s="1839"/>
      <c r="I84" s="1839"/>
      <c r="J84" s="75"/>
      <c r="K84" s="75"/>
      <c r="L84" s="89"/>
      <c r="M84" s="75"/>
      <c r="N84" s="75"/>
      <c r="O84" s="89"/>
      <c r="P84" s="75"/>
      <c r="Q84" s="75"/>
      <c r="R84" s="89"/>
      <c r="S84" s="75"/>
      <c r="T84" s="75"/>
      <c r="U84" s="89"/>
      <c r="V84" s="75"/>
      <c r="W84" s="75"/>
      <c r="X84" s="90"/>
      <c r="Y84" s="316"/>
      <c r="Z84" s="344"/>
      <c r="AA84" s="345"/>
      <c r="AG84" s="310"/>
      <c r="AH84" s="310"/>
      <c r="AI84" s="310"/>
      <c r="AJ84" s="310"/>
      <c r="AK84" s="310"/>
      <c r="AL84" s="310"/>
      <c r="AP84" s="222"/>
      <c r="AQ84" s="211"/>
      <c r="AR84" s="222"/>
      <c r="AS84" s="222"/>
      <c r="AT84" s="225"/>
      <c r="AU84" s="225"/>
      <c r="AV84" s="225"/>
      <c r="AW84" s="225"/>
      <c r="AX84" s="225"/>
      <c r="AY84" s="300"/>
      <c r="AZ84" s="300"/>
    </row>
    <row r="85" spans="1:52" s="212" customFormat="1" ht="30" customHeight="1" x14ac:dyDescent="0.25">
      <c r="A85" s="322"/>
      <c r="B85" s="322"/>
      <c r="C85" s="323" t="s">
        <v>209</v>
      </c>
      <c r="D85" s="1840">
        <v>6</v>
      </c>
      <c r="E85" s="1840">
        <v>1</v>
      </c>
      <c r="F85" s="1834">
        <v>250</v>
      </c>
      <c r="G85" s="1834">
        <v>0</v>
      </c>
      <c r="H85" s="1834">
        <v>0</v>
      </c>
      <c r="I85" s="1835">
        <v>0</v>
      </c>
      <c r="J85" s="74">
        <f>IF($F85=0,0,1+($F85-$C$21)/$C$22)+$G85/$C$23+$H85/$C$24+$I85/$C$25</f>
        <v>7.4545454545454541</v>
      </c>
      <c r="K85" s="75">
        <f t="shared" si="6"/>
        <v>3.5111917342151263E-8</v>
      </c>
      <c r="L85" s="74">
        <f>($C$7*$C$14*$C$8*$E85/$D85^2*K85*10^6)</f>
        <v>7.8026482982558355E-3</v>
      </c>
      <c r="M85" s="74">
        <f>IF($F85=0,0,1+($F85-$D$21)/$D$22)+$G85/$D$23+$H85/$D$24+$I85/$D$25</f>
        <v>6.6486486486486482</v>
      </c>
      <c r="N85" s="75">
        <f t="shared" si="7"/>
        <v>2.2456979955397711E-7</v>
      </c>
      <c r="O85" s="74">
        <f>($C$7*$D$14*$D$8*$E85/$D85^2*N85*10^6)</f>
        <v>4.99043999008838E-2</v>
      </c>
      <c r="P85" s="74">
        <f>IF($F85=0,0,1+($F85-$E$21)/$E$22)+$G85/$E$23+$H85/$E$24+$I85/$E$25</f>
        <v>5.7674418604651159</v>
      </c>
      <c r="Q85" s="75">
        <f t="shared" si="8"/>
        <v>1.7082763938087111E-6</v>
      </c>
      <c r="R85" s="74">
        <f>($C$7*$E$14*$E$8*$E85/$D85^2*Q85*10^6)</f>
        <v>0.37961697640193576</v>
      </c>
      <c r="S85" s="74">
        <f>IF($F85=0,0,1+($F85-$F$21)/$F$22)+$G85/$F$23+$H85/$F$24+$I85/$F$25</f>
        <v>9.1481481481481488</v>
      </c>
      <c r="T85" s="75">
        <f t="shared" si="9"/>
        <v>7.1097094323124171E-10</v>
      </c>
      <c r="U85" s="74">
        <f>($C$7*$F$14*F$8*$E85/$D85^2*T85*10^6)</f>
        <v>1.5799354294027593E-4</v>
      </c>
      <c r="V85" s="74">
        <f>IF($F85=0,0,1+($F85-$G$21)/$G$22)+$G85/$G$23+$H85/$G$24+$I85/$G$25</f>
        <v>6.9444444444444446</v>
      </c>
      <c r="W85" s="75">
        <f t="shared" si="10"/>
        <v>1.136463666385722E-7</v>
      </c>
      <c r="X85" s="76">
        <f>($C$7*$G$14*$G$8*$E85/$D85^2*W85*10^6)</f>
        <v>2.5254748141904933E-2</v>
      </c>
      <c r="Y85" s="324">
        <f t="shared" si="11"/>
        <v>0.46273676628592059</v>
      </c>
      <c r="Z85" s="325"/>
      <c r="AA85" s="326"/>
      <c r="AG85" s="328"/>
      <c r="AI85" s="328"/>
      <c r="AJ85" s="328"/>
      <c r="AK85" s="328"/>
      <c r="AL85" s="328"/>
      <c r="AP85" s="222"/>
      <c r="AQ85" s="211"/>
      <c r="AR85" s="222"/>
      <c r="AS85" s="222"/>
      <c r="AT85" s="225"/>
      <c r="AU85" s="225"/>
      <c r="AV85" s="225"/>
      <c r="AW85" s="225"/>
      <c r="AX85" s="225"/>
      <c r="AY85" s="300"/>
      <c r="AZ85" s="300"/>
    </row>
    <row r="86" spans="1:52" s="212" customFormat="1" ht="31.5" customHeight="1" thickBot="1" x14ac:dyDescent="0.3">
      <c r="A86" s="343" t="str">
        <f>Samenvatting!A183</f>
        <v>L6</v>
      </c>
      <c r="B86" s="352" t="str">
        <f>Samenvatting!B183</f>
        <v>ingang labyrint linac 6</v>
      </c>
      <c r="C86" s="331" t="s">
        <v>361</v>
      </c>
      <c r="D86" s="1836">
        <v>5</v>
      </c>
      <c r="E86" s="89"/>
      <c r="F86" s="1834">
        <v>250</v>
      </c>
      <c r="G86" s="1834">
        <v>0</v>
      </c>
      <c r="H86" s="1834">
        <v>0</v>
      </c>
      <c r="I86" s="1835">
        <v>0</v>
      </c>
      <c r="J86" s="74">
        <f>$F86/$C$27+$G86/$C$28+$H86/$C$29+$I86/$C$30</f>
        <v>7.3529411764705879</v>
      </c>
      <c r="K86" s="75">
        <f t="shared" si="6"/>
        <v>4.4366873309786093E-8</v>
      </c>
      <c r="L86" s="74">
        <f>($C$7*$C$15*$C$8*($C$9+$C$10*$C$11)/$D86^2*K86*10^6)</f>
        <v>1.0648049594348663E-3</v>
      </c>
      <c r="M86" s="74">
        <f>$F86/$D$27+$G86/$D$28+$H86/$D$29+$I86/$D$30</f>
        <v>6.5789473684210522</v>
      </c>
      <c r="N86" s="75">
        <f t="shared" si="7"/>
        <v>2.636650898730358E-7</v>
      </c>
      <c r="O86" s="74">
        <f>($C$7*$C$15*$D$8*($D$9+$D$10*$D$11)/$D86^2*N86*10^6)</f>
        <v>6.3279621569528599E-3</v>
      </c>
      <c r="P86" s="74">
        <f>$F86/$E$27+$G86/$E$28+$H86/$E$29+$I86/$E$30</f>
        <v>5.6818181818181817</v>
      </c>
      <c r="Q86" s="75">
        <f t="shared" si="8"/>
        <v>2.0805675382171676E-6</v>
      </c>
      <c r="R86" s="74">
        <f>($C$7*$C$15*$E$8*($E$9+$E$10*$E$11)/$D86^2*Q86*10^6)</f>
        <v>4.9933620917212027E-2</v>
      </c>
      <c r="S86" s="74">
        <f>$F86/$F$27+$G86/$F$28+$H86/$F$29+$I86/$F$30</f>
        <v>8.1967213114754092</v>
      </c>
      <c r="T86" s="75">
        <f t="shared" si="9"/>
        <v>6.3573875711648393E-9</v>
      </c>
      <c r="U86" s="74">
        <f>($C$7*$C$15*$F$8*($F$9+$F$10*$F$11)/$D86^2*T86*10^6)</f>
        <v>1.5257730170795616E-4</v>
      </c>
      <c r="V86" s="74">
        <f>$F86/$G$27+$G86/$G$28+$H86/$G$29+$I86/$G$30</f>
        <v>7.0224719101123592</v>
      </c>
      <c r="W86" s="75">
        <f t="shared" si="10"/>
        <v>9.4957241494880226E-8</v>
      </c>
      <c r="X86" s="76">
        <f>($C$7*$C$15*$G$8*($G$9+$G$10*$G$11)/$D86^2*W86*10^6)</f>
        <v>2.278973795877126E-3</v>
      </c>
      <c r="Y86" s="355">
        <f t="shared" si="11"/>
        <v>5.9757939131184837E-2</v>
      </c>
      <c r="Z86" s="333">
        <f>SUM(Y84:Y87)</f>
        <v>0.52249470541710541</v>
      </c>
      <c r="AA86" s="334">
        <f>Z86*52/10^3</f>
        <v>2.7169724681689482E-2</v>
      </c>
      <c r="AG86" s="328"/>
      <c r="AH86" s="328"/>
      <c r="AI86" s="328"/>
      <c r="AJ86" s="328"/>
      <c r="AK86" s="328"/>
      <c r="AL86" s="328"/>
      <c r="AP86" s="222"/>
      <c r="AQ86" s="211"/>
      <c r="AR86" s="222"/>
      <c r="AS86" s="222"/>
      <c r="AT86" s="225"/>
      <c r="AU86" s="225"/>
      <c r="AV86" s="225"/>
      <c r="AW86" s="225"/>
      <c r="AX86" s="225"/>
      <c r="AY86" s="300"/>
      <c r="AZ86" s="300"/>
    </row>
    <row r="87" spans="1:52" s="212" customFormat="1" ht="30" hidden="1" customHeight="1" thickBot="1" x14ac:dyDescent="0.3">
      <c r="A87" s="317"/>
      <c r="B87" s="317"/>
      <c r="C87" s="318"/>
      <c r="D87" s="1838"/>
      <c r="E87" s="1839"/>
      <c r="F87" s="1839"/>
      <c r="G87" s="1839"/>
      <c r="H87" s="1839"/>
      <c r="I87" s="1839"/>
      <c r="J87" s="75"/>
      <c r="K87" s="75"/>
      <c r="L87" s="89"/>
      <c r="M87" s="75"/>
      <c r="N87" s="75"/>
      <c r="O87" s="89"/>
      <c r="P87" s="75"/>
      <c r="Q87" s="75"/>
      <c r="R87" s="89"/>
      <c r="S87" s="75"/>
      <c r="T87" s="75"/>
      <c r="U87" s="89"/>
      <c r="V87" s="75"/>
      <c r="W87" s="75"/>
      <c r="X87" s="90"/>
      <c r="Y87" s="365"/>
      <c r="Z87" s="344"/>
      <c r="AA87" s="345"/>
      <c r="AG87" s="310"/>
      <c r="AH87" s="310"/>
      <c r="AI87" s="310"/>
      <c r="AJ87" s="310"/>
      <c r="AK87" s="310"/>
      <c r="AL87" s="310"/>
      <c r="AP87" s="222"/>
      <c r="AQ87" s="211"/>
      <c r="AR87" s="222"/>
      <c r="AS87" s="222"/>
      <c r="AT87" s="225"/>
      <c r="AU87" s="225"/>
      <c r="AV87" s="225"/>
      <c r="AW87" s="225"/>
      <c r="AX87" s="225"/>
      <c r="AY87" s="300"/>
      <c r="AZ87" s="300"/>
    </row>
    <row r="88" spans="1:52" s="212" customFormat="1" ht="30" customHeight="1" x14ac:dyDescent="0.25">
      <c r="A88" s="322"/>
      <c r="B88" s="322"/>
      <c r="C88" s="323" t="s">
        <v>569</v>
      </c>
      <c r="D88" s="1840">
        <v>6</v>
      </c>
      <c r="E88" s="1840">
        <v>1</v>
      </c>
      <c r="F88" s="1834">
        <v>250</v>
      </c>
      <c r="G88" s="1834">
        <v>0</v>
      </c>
      <c r="H88" s="1834">
        <v>0</v>
      </c>
      <c r="I88" s="1835">
        <v>0</v>
      </c>
      <c r="J88" s="74">
        <f>IF($F88=0,0,1+($F88-$C$21)/$C$22)+$G88/$C$23+$H88/$C$24+$I88/$C$25</f>
        <v>7.4545454545454541</v>
      </c>
      <c r="K88" s="75">
        <f t="shared" si="6"/>
        <v>3.5111917342151263E-8</v>
      </c>
      <c r="L88" s="74">
        <f>($C$7*$C$14*$C$8*$E88/$D88^2*K88*10^6)</f>
        <v>7.8026482982558355E-3</v>
      </c>
      <c r="M88" s="74">
        <f>IF($F88=0,0,1+($F88-$D$21)/$D$22)+$G88/$D$23+$H88/$D$24+$I88/$D$25</f>
        <v>6.6486486486486482</v>
      </c>
      <c r="N88" s="75">
        <f t="shared" si="7"/>
        <v>2.2456979955397711E-7</v>
      </c>
      <c r="O88" s="74">
        <f>($C$7*$C$14*$C$8*$E88/$D88^2*N88*10^6)</f>
        <v>4.99043999008838E-2</v>
      </c>
      <c r="P88" s="74">
        <f>IF($F88=0,0,1+($F88-$E$21)/$E$22)+$G88/$E$23+$H88/$E$24+$I88/$E$25</f>
        <v>5.7674418604651159</v>
      </c>
      <c r="Q88" s="75">
        <f t="shared" si="8"/>
        <v>1.7082763938087111E-6</v>
      </c>
      <c r="R88" s="74">
        <f>($C$7*$E$14*$E$8*$E88/$D88^2*Q88*10^6)</f>
        <v>0.37961697640193576</v>
      </c>
      <c r="S88" s="74">
        <f>IF($F88=0,0,1+($F88-$F$21)/$F$22)+$G88/$F$23+$H88/$F$24+$I88/$F$25</f>
        <v>9.1481481481481488</v>
      </c>
      <c r="T88" s="75">
        <f t="shared" si="9"/>
        <v>7.1097094323124171E-10</v>
      </c>
      <c r="U88" s="74">
        <f>($C$7*$F$14*F$8*$E88/$D88^2*T88*10^6)</f>
        <v>1.5799354294027593E-4</v>
      </c>
      <c r="V88" s="74">
        <f>IF($F88=0,0,1+($F88-$G$21)/$G$22)+$G88/$G$23+$H88/$G$24+$I88/$G$25</f>
        <v>6.9444444444444446</v>
      </c>
      <c r="W88" s="75">
        <f t="shared" si="10"/>
        <v>1.136463666385722E-7</v>
      </c>
      <c r="X88" s="76">
        <f>($C$7*$G$14*$G$8*$E88/$D88^2*W88*10^6)</f>
        <v>2.5254748141904933E-2</v>
      </c>
      <c r="Y88" s="324">
        <f t="shared" si="11"/>
        <v>0.46273676628592059</v>
      </c>
      <c r="Z88" s="325"/>
      <c r="AA88" s="326"/>
      <c r="AG88" s="328"/>
      <c r="AI88" s="328"/>
      <c r="AJ88" s="328"/>
      <c r="AK88" s="328"/>
      <c r="AL88" s="328"/>
      <c r="AP88" s="222"/>
      <c r="AQ88" s="211"/>
      <c r="AR88" s="222"/>
      <c r="AS88" s="222"/>
      <c r="AT88" s="225"/>
      <c r="AU88" s="225"/>
      <c r="AV88" s="225"/>
      <c r="AW88" s="225"/>
      <c r="AX88" s="225"/>
      <c r="AY88" s="300"/>
      <c r="AZ88" s="300"/>
    </row>
    <row r="89" spans="1:52" s="212" customFormat="1" ht="30" customHeight="1" thickBot="1" x14ac:dyDescent="0.3">
      <c r="A89" s="343" t="str">
        <f>Samenvatting!A195</f>
        <v>L7</v>
      </c>
      <c r="B89" s="352" t="str">
        <f>Samenvatting!B195</f>
        <v>ingang labyrint linac 7</v>
      </c>
      <c r="C89" s="331" t="s">
        <v>568</v>
      </c>
      <c r="D89" s="1836">
        <v>5</v>
      </c>
      <c r="E89" s="89"/>
      <c r="F89" s="1834">
        <v>250</v>
      </c>
      <c r="G89" s="1834">
        <v>0</v>
      </c>
      <c r="H89" s="1834">
        <v>0</v>
      </c>
      <c r="I89" s="1835">
        <v>0</v>
      </c>
      <c r="J89" s="74">
        <f>$F89/$C$27+$G89/$C$28+$H89/$C$29+$I89/$C$30</f>
        <v>7.3529411764705879</v>
      </c>
      <c r="K89" s="75">
        <f t="shared" si="6"/>
        <v>4.4366873309786093E-8</v>
      </c>
      <c r="L89" s="74">
        <f>($C$7*$C$15*$C$8*($C$9+$C$10*$C$11)/$D89^2*K89*10^6)</f>
        <v>1.0648049594348663E-3</v>
      </c>
      <c r="M89" s="74">
        <f>$F89/$D$27+$G89/$D$28+$H89/$D$29+$I89/$D$30</f>
        <v>6.5789473684210522</v>
      </c>
      <c r="N89" s="75">
        <f t="shared" si="7"/>
        <v>2.636650898730358E-7</v>
      </c>
      <c r="O89" s="74">
        <f>($C$7*$C$15*$D$8*($D$9+$D$10*$D$11)/$D89^2*N89*10^6)</f>
        <v>6.3279621569528599E-3</v>
      </c>
      <c r="P89" s="74">
        <f>$F89/$E$27+$G89/$E$28+$H89/$E$29+$I89/$E$30</f>
        <v>5.6818181818181817</v>
      </c>
      <c r="Q89" s="75">
        <f t="shared" si="8"/>
        <v>2.0805675382171676E-6</v>
      </c>
      <c r="R89" s="74">
        <f>($C$7*$C$15*$E$8*($E$9+$E$10*$E$11)/$D89^2*Q89*10^6)</f>
        <v>4.9933620917212027E-2</v>
      </c>
      <c r="S89" s="74">
        <f>$F89/$F$27+$G89/$F$28+$H89/$F$29+$I89/$F$30</f>
        <v>8.1967213114754092</v>
      </c>
      <c r="T89" s="75">
        <f t="shared" si="9"/>
        <v>6.3573875711648393E-9</v>
      </c>
      <c r="U89" s="74">
        <f>($C$7*$C$15*$F$8*($F$9+$F$10*$F$11)/$D89^2*T89*10^6)</f>
        <v>1.5257730170795616E-4</v>
      </c>
      <c r="V89" s="74">
        <f>$F89/$G$27+$G89/$G$28+$H89/$G$29+$I89/$G$30</f>
        <v>7.0224719101123592</v>
      </c>
      <c r="W89" s="75">
        <f t="shared" si="10"/>
        <v>9.4957241494880226E-8</v>
      </c>
      <c r="X89" s="76">
        <f>($C$7*$C$15*$G$8*($G$9+$G$10*$G$11)/$D89^2*W89*10^6)</f>
        <v>2.278973795877126E-3</v>
      </c>
      <c r="Y89" s="339">
        <f t="shared" si="11"/>
        <v>5.9757939131184837E-2</v>
      </c>
      <c r="Z89" s="333">
        <f>SUM(Y87:Y90)</f>
        <v>0.52249470541710541</v>
      </c>
      <c r="AA89" s="334">
        <f>Z89*52/10^3</f>
        <v>2.7169724681689482E-2</v>
      </c>
      <c r="AG89" s="328"/>
      <c r="AH89" s="328"/>
      <c r="AI89" s="328"/>
      <c r="AJ89" s="328"/>
      <c r="AK89" s="328"/>
      <c r="AL89" s="328"/>
      <c r="AP89" s="222"/>
      <c r="AQ89" s="211"/>
      <c r="AR89" s="222"/>
      <c r="AS89" s="222"/>
      <c r="AT89" s="225"/>
      <c r="AU89" s="225"/>
      <c r="AV89" s="225"/>
      <c r="AW89" s="225"/>
      <c r="AX89" s="225"/>
      <c r="AY89" s="300"/>
      <c r="AZ89" s="300"/>
    </row>
    <row r="90" spans="1:52" s="212" customFormat="1" ht="30" hidden="1" customHeight="1" thickBot="1" x14ac:dyDescent="0.3">
      <c r="A90" s="317"/>
      <c r="B90" s="317"/>
      <c r="C90" s="318"/>
      <c r="D90" s="1838"/>
      <c r="E90" s="1839"/>
      <c r="F90" s="1839"/>
      <c r="G90" s="1839"/>
      <c r="H90" s="1839"/>
      <c r="I90" s="1839"/>
      <c r="J90" s="75"/>
      <c r="K90" s="75"/>
      <c r="L90" s="89"/>
      <c r="M90" s="75"/>
      <c r="N90" s="75"/>
      <c r="O90" s="89"/>
      <c r="P90" s="75"/>
      <c r="Q90" s="75"/>
      <c r="R90" s="89"/>
      <c r="S90" s="75"/>
      <c r="T90" s="75"/>
      <c r="U90" s="89"/>
      <c r="V90" s="75"/>
      <c r="W90" s="75"/>
      <c r="X90" s="90"/>
      <c r="Y90" s="366"/>
      <c r="Z90" s="344"/>
      <c r="AA90" s="345"/>
      <c r="AG90" s="310"/>
      <c r="AH90" s="310"/>
      <c r="AI90" s="310"/>
      <c r="AJ90" s="310"/>
      <c r="AK90" s="310"/>
      <c r="AL90" s="310"/>
      <c r="AP90" s="222"/>
      <c r="AQ90" s="211"/>
      <c r="AR90" s="222"/>
      <c r="AS90" s="222"/>
      <c r="AT90" s="225"/>
      <c r="AU90" s="225"/>
      <c r="AV90" s="225"/>
      <c r="AW90" s="225"/>
      <c r="AX90" s="225"/>
      <c r="AY90" s="300"/>
      <c r="AZ90" s="300"/>
    </row>
    <row r="91" spans="1:52" s="212" customFormat="1" ht="30" customHeight="1" x14ac:dyDescent="0.25">
      <c r="A91" s="322"/>
      <c r="B91" s="322"/>
      <c r="C91" s="323" t="s">
        <v>569</v>
      </c>
      <c r="D91" s="1840">
        <v>6</v>
      </c>
      <c r="E91" s="1840">
        <v>1</v>
      </c>
      <c r="F91" s="1834">
        <v>250</v>
      </c>
      <c r="G91" s="1834">
        <v>0</v>
      </c>
      <c r="H91" s="1834">
        <v>0</v>
      </c>
      <c r="I91" s="1835">
        <v>0</v>
      </c>
      <c r="J91" s="74">
        <f>IF($F91=0,0,1+($F91-$C$21)/$C$22)+$G91/$C$23+$H91/$C$24+$I91/$C$25</f>
        <v>7.4545454545454541</v>
      </c>
      <c r="K91" s="75">
        <f t="shared" si="6"/>
        <v>3.5111917342151263E-8</v>
      </c>
      <c r="L91" s="74">
        <f>($C$7*$C$14*$C$8*$E91/$D91^2*K91*10^6)</f>
        <v>7.8026482982558355E-3</v>
      </c>
      <c r="M91" s="74">
        <f>IF($F91=0,0,1+($F91-$D$21)/$D$22)+$G91/$D$23+$H91/$D$24+$I91/$D$25</f>
        <v>6.6486486486486482</v>
      </c>
      <c r="N91" s="75">
        <f t="shared" si="7"/>
        <v>2.2456979955397711E-7</v>
      </c>
      <c r="O91" s="74">
        <f>($C$7*$C$14*$C$8*$E91/$D91^2*N91*10^6)</f>
        <v>4.99043999008838E-2</v>
      </c>
      <c r="P91" s="74">
        <f>IF($F91=0,0,1+($F91-$E$21)/$E$22)+$G91/$E$23+$H91/$E$24+$I91/$E$25</f>
        <v>5.7674418604651159</v>
      </c>
      <c r="Q91" s="75">
        <f t="shared" si="8"/>
        <v>1.7082763938087111E-6</v>
      </c>
      <c r="R91" s="74">
        <f>($C$7*$E$14*$E$8*$E91/$D91^2*Q91*10^6)</f>
        <v>0.37961697640193576</v>
      </c>
      <c r="S91" s="74">
        <f>IF($F91=0,0,1+($F91-$F$21)/$F$22)+$G91/$F$23+$H91/$F$24+$I91/$F$25</f>
        <v>9.1481481481481488</v>
      </c>
      <c r="T91" s="75">
        <f t="shared" si="9"/>
        <v>7.1097094323124171E-10</v>
      </c>
      <c r="U91" s="74">
        <f>($C$7*$F$14*F$8*$E91/$D91^2*T91*10^6)</f>
        <v>1.5799354294027593E-4</v>
      </c>
      <c r="V91" s="74">
        <f>IF($F91=0,0,1+($F91-$G$21)/$G$22)+$G91/$G$23+$H91/$G$24+$I91/$G$25</f>
        <v>6.9444444444444446</v>
      </c>
      <c r="W91" s="75">
        <f t="shared" si="10"/>
        <v>1.136463666385722E-7</v>
      </c>
      <c r="X91" s="76">
        <f>($C$7*$G$14*$G$8*$E91/$D91^2*W91*10^6)</f>
        <v>2.5254748141904933E-2</v>
      </c>
      <c r="Y91" s="324">
        <f t="shared" si="11"/>
        <v>0.46273676628592059</v>
      </c>
      <c r="Z91" s="325"/>
      <c r="AA91" s="326"/>
      <c r="AG91" s="328"/>
      <c r="AI91" s="328"/>
      <c r="AJ91" s="328"/>
      <c r="AK91" s="328"/>
      <c r="AL91" s="328"/>
      <c r="AP91" s="222"/>
      <c r="AQ91" s="211"/>
      <c r="AR91" s="222"/>
      <c r="AS91" s="222"/>
      <c r="AT91" s="225"/>
      <c r="AU91" s="225"/>
      <c r="AV91" s="225"/>
      <c r="AW91" s="225"/>
      <c r="AX91" s="225"/>
      <c r="AY91" s="300"/>
      <c r="AZ91" s="300"/>
    </row>
    <row r="92" spans="1:52" s="212" customFormat="1" ht="30" customHeight="1" thickBot="1" x14ac:dyDescent="0.3">
      <c r="A92" s="351" t="str">
        <f>Samenvatting!A207</f>
        <v>L8</v>
      </c>
      <c r="B92" s="346" t="str">
        <f>Samenvatting!B207</f>
        <v>ingang labyrint linac 8</v>
      </c>
      <c r="C92" s="331" t="s">
        <v>568</v>
      </c>
      <c r="D92" s="1836">
        <v>5</v>
      </c>
      <c r="E92" s="89"/>
      <c r="F92" s="1834">
        <v>250</v>
      </c>
      <c r="G92" s="1834">
        <v>0</v>
      </c>
      <c r="H92" s="1834">
        <v>0</v>
      </c>
      <c r="I92" s="1835">
        <v>0</v>
      </c>
      <c r="J92" s="74">
        <f>$F92/$C$27+$G92/$C$28+$H92/$C$29+$I92/$C$30</f>
        <v>7.3529411764705879</v>
      </c>
      <c r="K92" s="75">
        <f t="shared" si="6"/>
        <v>4.4366873309786093E-8</v>
      </c>
      <c r="L92" s="74">
        <f>($C$7*$C$15*$C$8*($C$9+$C$10*$C$11)/$D92^2*K92*10^6)</f>
        <v>1.0648049594348663E-3</v>
      </c>
      <c r="M92" s="74">
        <f>$F92/$D$27+$G92/$D$28+$H92/$D$29+$I92/$D$30</f>
        <v>6.5789473684210522</v>
      </c>
      <c r="N92" s="75">
        <f t="shared" si="7"/>
        <v>2.636650898730358E-7</v>
      </c>
      <c r="O92" s="74">
        <f>($C$7*$C$15*$D$8*($D$9+$D$10*$D$11)/$D92^2*N92*10^6)</f>
        <v>6.3279621569528599E-3</v>
      </c>
      <c r="P92" s="74">
        <f>$F92/$E$27+$G92/$E$28+$H92/$E$29+$I92/$E$30</f>
        <v>5.6818181818181817</v>
      </c>
      <c r="Q92" s="75">
        <f t="shared" si="8"/>
        <v>2.0805675382171676E-6</v>
      </c>
      <c r="R92" s="74">
        <f>($C$7*$C$15*$E$8*($E$9+$E$10*$E$11)/$D92^2*Q92*10^6)</f>
        <v>4.9933620917212027E-2</v>
      </c>
      <c r="S92" s="74">
        <f>$F92/$F$27+$G92/$F$28+$H92/$F$29+$I92/$F$30</f>
        <v>8.1967213114754092</v>
      </c>
      <c r="T92" s="75">
        <f t="shared" si="9"/>
        <v>6.3573875711648393E-9</v>
      </c>
      <c r="U92" s="74">
        <f>($C$7*$C$15*$F$8*($F$9+$F$10*$F$11)/$D92^2*T92*10^6)</f>
        <v>1.5257730170795616E-4</v>
      </c>
      <c r="V92" s="74">
        <f>$F92/$G$27+$G92/$G$28+$H92/$G$29+$I92/$G$30</f>
        <v>7.0224719101123592</v>
      </c>
      <c r="W92" s="75">
        <f t="shared" si="10"/>
        <v>9.4957241494880226E-8</v>
      </c>
      <c r="X92" s="76">
        <f>($C$7*$C$15*$G$8*($G$9+$G$10*$G$11)/$D92^2*W92*10^6)</f>
        <v>2.278973795877126E-3</v>
      </c>
      <c r="Y92" s="339">
        <f t="shared" si="11"/>
        <v>5.9757939131184837E-2</v>
      </c>
      <c r="Z92" s="333">
        <f>SUM(Y90:Y93)</f>
        <v>0.52249470541710541</v>
      </c>
      <c r="AA92" s="334">
        <f>Z92*52/10^3</f>
        <v>2.7169724681689482E-2</v>
      </c>
      <c r="AG92" s="328"/>
      <c r="AH92" s="328"/>
      <c r="AI92" s="328"/>
      <c r="AJ92" s="328"/>
      <c r="AK92" s="328"/>
      <c r="AL92" s="328"/>
      <c r="AP92" s="222"/>
      <c r="AQ92" s="211"/>
      <c r="AR92" s="222"/>
      <c r="AS92" s="222"/>
      <c r="AT92" s="225"/>
      <c r="AU92" s="225"/>
      <c r="AV92" s="225"/>
      <c r="AW92" s="225"/>
      <c r="AX92" s="225"/>
      <c r="AY92" s="300"/>
      <c r="AZ92" s="300"/>
    </row>
    <row r="93" spans="1:52" s="212" customFormat="1" ht="30" hidden="1" customHeight="1" thickBot="1" x14ac:dyDescent="0.3">
      <c r="A93" s="317"/>
      <c r="B93" s="317"/>
      <c r="C93" s="318"/>
      <c r="D93" s="1838"/>
      <c r="E93" s="1839"/>
      <c r="F93" s="1839"/>
      <c r="G93" s="1839"/>
      <c r="H93" s="1839"/>
      <c r="I93" s="1839"/>
      <c r="J93" s="75"/>
      <c r="K93" s="75"/>
      <c r="L93" s="89"/>
      <c r="M93" s="75"/>
      <c r="N93" s="75"/>
      <c r="O93" s="89"/>
      <c r="P93" s="75"/>
      <c r="Q93" s="75"/>
      <c r="R93" s="89"/>
      <c r="S93" s="75"/>
      <c r="T93" s="75"/>
      <c r="U93" s="89"/>
      <c r="V93" s="75"/>
      <c r="W93" s="75"/>
      <c r="X93" s="90"/>
      <c r="Y93" s="316"/>
      <c r="Z93" s="344"/>
      <c r="AA93" s="345"/>
      <c r="AG93" s="310"/>
      <c r="AH93" s="310"/>
      <c r="AI93" s="310"/>
      <c r="AJ93" s="310"/>
      <c r="AK93" s="310"/>
      <c r="AL93" s="310"/>
      <c r="AP93" s="222"/>
      <c r="AQ93" s="211"/>
      <c r="AR93" s="222"/>
      <c r="AS93" s="222"/>
      <c r="AT93" s="225"/>
      <c r="AU93" s="225"/>
      <c r="AV93" s="225"/>
      <c r="AW93" s="225"/>
      <c r="AX93" s="225"/>
      <c r="AY93" s="300"/>
      <c r="AZ93" s="300"/>
    </row>
    <row r="94" spans="1:52" s="212" customFormat="1" ht="30" customHeight="1" x14ac:dyDescent="0.25">
      <c r="A94" s="322"/>
      <c r="B94" s="322"/>
      <c r="C94" s="323" t="s">
        <v>569</v>
      </c>
      <c r="D94" s="1840">
        <v>6</v>
      </c>
      <c r="E94" s="1840">
        <v>1</v>
      </c>
      <c r="F94" s="1834">
        <v>250</v>
      </c>
      <c r="G94" s="1834">
        <v>0</v>
      </c>
      <c r="H94" s="1834">
        <v>0</v>
      </c>
      <c r="I94" s="1835">
        <v>0</v>
      </c>
      <c r="J94" s="74">
        <f>IF($F94=0,0,1+($F94-$C$21)/$C$22)+$G94/$C$23+$H94/$C$24+$I94/$C$25</f>
        <v>7.4545454545454541</v>
      </c>
      <c r="K94" s="75">
        <f t="shared" si="6"/>
        <v>3.5111917342151263E-8</v>
      </c>
      <c r="L94" s="74">
        <f>($C$7*$C$14*$C$8*$E94/$D94^2*K94*10^6)</f>
        <v>7.8026482982558355E-3</v>
      </c>
      <c r="M94" s="74">
        <f>IF($F94=0,0,1+($F94-$D$21)/$D$22)+$G94/$D$23+$H94/$D$24+$I94/$D$25</f>
        <v>6.6486486486486482</v>
      </c>
      <c r="N94" s="75">
        <f t="shared" si="7"/>
        <v>2.2456979955397711E-7</v>
      </c>
      <c r="O94" s="74">
        <f>($C$7*$C$14*$C$8*$E94/$D94^2*N94*10^6)</f>
        <v>4.99043999008838E-2</v>
      </c>
      <c r="P94" s="74">
        <f>IF($F94=0,0,1+($F94-$E$21)/$E$22)+$G94/$E$23+$H94/$E$24+$I94/$E$25</f>
        <v>5.7674418604651159</v>
      </c>
      <c r="Q94" s="75">
        <f t="shared" si="8"/>
        <v>1.7082763938087111E-6</v>
      </c>
      <c r="R94" s="74">
        <f>($C$7*$E$14*$E$8*$E94/$D94^2*Q94*10^6)</f>
        <v>0.37961697640193576</v>
      </c>
      <c r="S94" s="74">
        <f>IF($F94=0,0,1+($F94-$F$21)/$F$22)+$G94/$F$23+$H94/$F$24+$I94/$F$25</f>
        <v>9.1481481481481488</v>
      </c>
      <c r="T94" s="75">
        <f t="shared" si="9"/>
        <v>7.1097094323124171E-10</v>
      </c>
      <c r="U94" s="74">
        <f>($C$7*$F$14*F$8*$E94/$D94^2*T94*10^6)</f>
        <v>1.5799354294027593E-4</v>
      </c>
      <c r="V94" s="74">
        <f>IF($F94=0,0,1+($F94-$G$21)/$G$22)+$G94/$G$23+$H94/$G$24+$I94/$G$25</f>
        <v>6.9444444444444446</v>
      </c>
      <c r="W94" s="75">
        <f t="shared" si="10"/>
        <v>1.136463666385722E-7</v>
      </c>
      <c r="X94" s="76">
        <f>($C$7*$G$14*$G$8*$E94/$D94^2*W94*10^6)</f>
        <v>2.5254748141904933E-2</v>
      </c>
      <c r="Y94" s="324">
        <f t="shared" si="11"/>
        <v>0.46273676628592059</v>
      </c>
      <c r="Z94" s="325"/>
      <c r="AA94" s="326"/>
      <c r="AG94" s="328"/>
      <c r="AI94" s="328"/>
      <c r="AJ94" s="328"/>
      <c r="AK94" s="328"/>
      <c r="AL94" s="328"/>
      <c r="AP94" s="222"/>
      <c r="AQ94" s="211"/>
      <c r="AR94" s="222"/>
      <c r="AS94" s="222"/>
      <c r="AT94" s="225"/>
      <c r="AU94" s="225"/>
      <c r="AV94" s="225"/>
      <c r="AW94" s="225"/>
      <c r="AX94" s="225"/>
      <c r="AY94" s="300"/>
      <c r="AZ94" s="300"/>
    </row>
    <row r="95" spans="1:52" s="212" customFormat="1" ht="30" customHeight="1" thickBot="1" x14ac:dyDescent="0.3">
      <c r="A95" s="351" t="str">
        <f>Samenvatting!A219</f>
        <v>L9</v>
      </c>
      <c r="B95" s="352" t="str">
        <f>Samenvatting!B219</f>
        <v>ingang labyrint linac 9</v>
      </c>
      <c r="C95" s="331" t="s">
        <v>568</v>
      </c>
      <c r="D95" s="1836">
        <v>5</v>
      </c>
      <c r="E95" s="89"/>
      <c r="F95" s="1834">
        <v>250</v>
      </c>
      <c r="G95" s="1834">
        <v>0</v>
      </c>
      <c r="H95" s="1834">
        <v>0</v>
      </c>
      <c r="I95" s="1835">
        <v>0</v>
      </c>
      <c r="J95" s="74">
        <f>$F95/$C$27+$G95/$C$28+$H95/$C$29+$I95/$C$30</f>
        <v>7.3529411764705879</v>
      </c>
      <c r="K95" s="75">
        <f t="shared" si="6"/>
        <v>4.4366873309786093E-8</v>
      </c>
      <c r="L95" s="74">
        <f>($C$7*$C$15*$C$8*($C$9+$C$10*$C$11)/$D95^2*K95*10^6)</f>
        <v>1.0648049594348663E-3</v>
      </c>
      <c r="M95" s="74">
        <f>$F95/$D$27+$G95/$D$28+$H95/$D$29+$I95/$D$30</f>
        <v>6.5789473684210522</v>
      </c>
      <c r="N95" s="75">
        <f t="shared" si="7"/>
        <v>2.636650898730358E-7</v>
      </c>
      <c r="O95" s="74">
        <f>($C$7*$C$15*$D$8*($D$9+$D$10*$D$11)/$D95^2*N95*10^6)</f>
        <v>6.3279621569528599E-3</v>
      </c>
      <c r="P95" s="74">
        <f>$F95/$E$27+$G95/$E$28+$H95/$E$29+$I95/$E$30</f>
        <v>5.6818181818181817</v>
      </c>
      <c r="Q95" s="75">
        <f t="shared" si="8"/>
        <v>2.0805675382171676E-6</v>
      </c>
      <c r="R95" s="74">
        <f>($C$7*$C$15*$E$8*($E$9+$E$10*$E$11)/$D95^2*Q95*10^6)</f>
        <v>4.9933620917212027E-2</v>
      </c>
      <c r="S95" s="74">
        <f>$F95/$F$27+$G95/$F$28+$H95/$F$29+$I95/$F$30</f>
        <v>8.1967213114754092</v>
      </c>
      <c r="T95" s="75">
        <f t="shared" si="9"/>
        <v>6.3573875711648393E-9</v>
      </c>
      <c r="U95" s="74">
        <f>($C$7*$C$15*$F$8*($F$9+$F$10*$F$11)/$D95^2*T95*10^6)</f>
        <v>1.5257730170795616E-4</v>
      </c>
      <c r="V95" s="74">
        <f>$F95/$G$27+$G95/$G$28+$H95/$G$29+$I95/$G$30</f>
        <v>7.0224719101123592</v>
      </c>
      <c r="W95" s="75">
        <f t="shared" si="10"/>
        <v>9.4957241494880226E-8</v>
      </c>
      <c r="X95" s="76">
        <f>($C$7*$C$15*$G$8*($G$9+$G$10*$G$11)/$D95^2*W95*10^6)</f>
        <v>2.278973795877126E-3</v>
      </c>
      <c r="Y95" s="355">
        <f t="shared" si="11"/>
        <v>5.9757939131184837E-2</v>
      </c>
      <c r="Z95" s="333">
        <f>SUM(Y93:Y96)</f>
        <v>0.52249470541710541</v>
      </c>
      <c r="AA95" s="334">
        <f>Z95*52/10^3</f>
        <v>2.7169724681689482E-2</v>
      </c>
      <c r="AG95" s="328"/>
      <c r="AH95" s="328"/>
      <c r="AI95" s="328"/>
      <c r="AJ95" s="328"/>
      <c r="AK95" s="328"/>
      <c r="AL95" s="328"/>
      <c r="AP95" s="222"/>
      <c r="AQ95" s="211"/>
      <c r="AR95" s="222"/>
      <c r="AS95" s="222"/>
      <c r="AT95" s="225"/>
      <c r="AU95" s="225"/>
      <c r="AV95" s="225"/>
      <c r="AW95" s="225"/>
      <c r="AX95" s="225"/>
      <c r="AY95" s="300"/>
      <c r="AZ95" s="300"/>
    </row>
    <row r="96" spans="1:52" s="212" customFormat="1" ht="30" hidden="1" customHeight="1" thickBot="1" x14ac:dyDescent="0.3">
      <c r="A96" s="317"/>
      <c r="B96" s="317"/>
      <c r="C96" s="318"/>
      <c r="D96" s="1838"/>
      <c r="E96" s="1839"/>
      <c r="F96" s="1839"/>
      <c r="G96" s="1839"/>
      <c r="H96" s="1839"/>
      <c r="I96" s="1839"/>
      <c r="J96" s="75"/>
      <c r="K96" s="75"/>
      <c r="L96" s="89"/>
      <c r="M96" s="75"/>
      <c r="N96" s="75"/>
      <c r="O96" s="89"/>
      <c r="P96" s="75"/>
      <c r="Q96" s="75"/>
      <c r="R96" s="89"/>
      <c r="S96" s="75"/>
      <c r="T96" s="75"/>
      <c r="U96" s="89"/>
      <c r="V96" s="75"/>
      <c r="W96" s="75"/>
      <c r="X96" s="90"/>
      <c r="Y96" s="365"/>
      <c r="Z96" s="344"/>
      <c r="AA96" s="345"/>
      <c r="AG96" s="310"/>
      <c r="AH96" s="310"/>
      <c r="AI96" s="310"/>
      <c r="AJ96" s="310"/>
      <c r="AK96" s="310"/>
      <c r="AL96" s="310"/>
      <c r="AP96" s="222"/>
      <c r="AQ96" s="211"/>
      <c r="AR96" s="222"/>
      <c r="AS96" s="222"/>
      <c r="AT96" s="225"/>
      <c r="AU96" s="225"/>
      <c r="AV96" s="225"/>
      <c r="AW96" s="225"/>
      <c r="AX96" s="225"/>
      <c r="AY96" s="300"/>
      <c r="AZ96" s="300"/>
    </row>
    <row r="97" spans="1:54" s="212" customFormat="1" ht="30" customHeight="1" x14ac:dyDescent="0.25">
      <c r="A97" s="322"/>
      <c r="B97" s="322"/>
      <c r="C97" s="323" t="s">
        <v>569</v>
      </c>
      <c r="D97" s="1840">
        <v>6</v>
      </c>
      <c r="E97" s="1840">
        <v>1</v>
      </c>
      <c r="F97" s="1834">
        <v>250</v>
      </c>
      <c r="G97" s="1834">
        <v>0</v>
      </c>
      <c r="H97" s="1834">
        <v>0</v>
      </c>
      <c r="I97" s="1835">
        <v>0</v>
      </c>
      <c r="J97" s="74">
        <f>IF($F97=0,0,1+($F97-$C$21)/$C$22)+$G97/$C$23+$H97/$C$24+$I97/$C$25</f>
        <v>7.4545454545454541</v>
      </c>
      <c r="K97" s="75">
        <f t="shared" si="6"/>
        <v>3.5111917342151263E-8</v>
      </c>
      <c r="L97" s="74">
        <f>($C$7*$C$14*$C$8*$E97/$D97^2*K97*10^6)</f>
        <v>7.8026482982558355E-3</v>
      </c>
      <c r="M97" s="74">
        <f>IF($F97=0,0,1+($F97-$D$21)/$D$22)+$G97/$D$23+$H97/$D$24+$I97/$D$25</f>
        <v>6.6486486486486482</v>
      </c>
      <c r="N97" s="75">
        <f t="shared" si="7"/>
        <v>2.2456979955397711E-7</v>
      </c>
      <c r="O97" s="74">
        <f>($C$7*$C$14*$C$8*$E97/$D97^2*N97*10^6)</f>
        <v>4.99043999008838E-2</v>
      </c>
      <c r="P97" s="74">
        <f>IF($F97=0,0,1+($F97-$E$21)/$E$22)+$G97/$E$23+$H97/$E$24+$I97/$E$25</f>
        <v>5.7674418604651159</v>
      </c>
      <c r="Q97" s="75">
        <f t="shared" si="8"/>
        <v>1.7082763938087111E-6</v>
      </c>
      <c r="R97" s="74">
        <f>($C$7*$E$14*$E$8*$E97/$D97^2*Q97*10^6)</f>
        <v>0.37961697640193576</v>
      </c>
      <c r="S97" s="74">
        <f>IF($F97=0,0,1+($F97-$F$21)/$F$22)+$G97/$F$23+$H97/$F$24+$I97/$F$25</f>
        <v>9.1481481481481488</v>
      </c>
      <c r="T97" s="75">
        <f t="shared" si="9"/>
        <v>7.1097094323124171E-10</v>
      </c>
      <c r="U97" s="74">
        <f>($C$7*$F$14*F$8*$E97/$D97^2*T97*10^6)</f>
        <v>1.5799354294027593E-4</v>
      </c>
      <c r="V97" s="74">
        <f>IF($F97=0,0,1+($F97-$G$21)/$G$22)+$G97/$G$23+$H97/$G$24+$I97/$G$25</f>
        <v>6.9444444444444446</v>
      </c>
      <c r="W97" s="75">
        <f t="shared" si="10"/>
        <v>1.136463666385722E-7</v>
      </c>
      <c r="X97" s="76">
        <f>($C$7*$G$14*$G$8*$E97/$D97^2*W97*10^6)</f>
        <v>2.5254748141904933E-2</v>
      </c>
      <c r="Y97" s="324">
        <f t="shared" si="11"/>
        <v>0.46273676628592059</v>
      </c>
      <c r="Z97" s="325"/>
      <c r="AA97" s="326"/>
      <c r="AG97" s="328"/>
      <c r="AI97" s="328"/>
      <c r="AJ97" s="328"/>
      <c r="AK97" s="328"/>
      <c r="AL97" s="328"/>
      <c r="AP97" s="222"/>
      <c r="AQ97" s="211"/>
      <c r="AR97" s="222"/>
      <c r="AS97" s="222"/>
      <c r="AT97" s="225"/>
      <c r="AU97" s="225"/>
      <c r="AV97" s="225"/>
      <c r="AW97" s="225"/>
      <c r="AX97" s="225"/>
      <c r="AY97" s="300"/>
      <c r="AZ97" s="300"/>
    </row>
    <row r="98" spans="1:54" s="212" customFormat="1" ht="30" customHeight="1" thickBot="1" x14ac:dyDescent="0.3">
      <c r="A98" s="351" t="str">
        <f>Samenvatting!A231</f>
        <v>L10</v>
      </c>
      <c r="B98" s="352" t="str">
        <f>Samenvatting!B231</f>
        <v>ingang labyrint linac 10</v>
      </c>
      <c r="C98" s="331" t="s">
        <v>568</v>
      </c>
      <c r="D98" s="1836">
        <v>5</v>
      </c>
      <c r="E98" s="89"/>
      <c r="F98" s="1834">
        <v>250</v>
      </c>
      <c r="G98" s="1834">
        <v>0</v>
      </c>
      <c r="H98" s="1834">
        <v>0</v>
      </c>
      <c r="I98" s="1835">
        <v>0</v>
      </c>
      <c r="J98" s="74">
        <f>$F98/$C$27+$G98/$C$28+$H98/$C$29+$I98/$C$30</f>
        <v>7.3529411764705879</v>
      </c>
      <c r="K98" s="75">
        <f t="shared" si="6"/>
        <v>4.4366873309786093E-8</v>
      </c>
      <c r="L98" s="74">
        <f>($C$7*$C$15*$C$8*($C$9+$C$10*$C$11)/$D98^2*K98*10^6)</f>
        <v>1.0648049594348663E-3</v>
      </c>
      <c r="M98" s="74">
        <f>$F98/$D$27+$G98/$D$28+$H98/$D$29+$I98/$D$30</f>
        <v>6.5789473684210522</v>
      </c>
      <c r="N98" s="75">
        <f t="shared" si="7"/>
        <v>2.636650898730358E-7</v>
      </c>
      <c r="O98" s="74">
        <f>($C$7*$C$15*$D$8*($D$9+$D$10*$D$11)/$D98^2*N98*10^6)</f>
        <v>6.3279621569528599E-3</v>
      </c>
      <c r="P98" s="74">
        <f>$F98/$E$27+$G98/$E$28+$H98/$E$29+$I98/$E$30</f>
        <v>5.6818181818181817</v>
      </c>
      <c r="Q98" s="75">
        <f t="shared" si="8"/>
        <v>2.0805675382171676E-6</v>
      </c>
      <c r="R98" s="74">
        <f>($C$7*$C$15*$E$8*($E$9+$E$10*$E$11)/$D98^2*Q98*10^6)</f>
        <v>4.9933620917212027E-2</v>
      </c>
      <c r="S98" s="74">
        <f>$F98/$F$27+$G98/$F$28+$H98/$F$29+$I98/$F$30</f>
        <v>8.1967213114754092</v>
      </c>
      <c r="T98" s="75">
        <f t="shared" si="9"/>
        <v>6.3573875711648393E-9</v>
      </c>
      <c r="U98" s="74">
        <f>($C$7*$C$15*$F$8*($F$9+$F$10*$F$11)/$D98^2*T98*10^6)</f>
        <v>1.5257730170795616E-4</v>
      </c>
      <c r="V98" s="74">
        <f>$F98/$G$27+$G98/$G$28+$H98/$G$29+$I98/$G$30</f>
        <v>7.0224719101123592</v>
      </c>
      <c r="W98" s="75">
        <f t="shared" si="10"/>
        <v>9.4957241494880226E-8</v>
      </c>
      <c r="X98" s="76">
        <f>($C$7*$C$15*$G$8*($G$9+$G$10*$G$11)/$D98^2*W98*10^6)</f>
        <v>2.278973795877126E-3</v>
      </c>
      <c r="Y98" s="339">
        <f t="shared" si="11"/>
        <v>5.9757939131184837E-2</v>
      </c>
      <c r="Z98" s="333">
        <f>SUM(Y96:Y99)</f>
        <v>0.52249470541710541</v>
      </c>
      <c r="AA98" s="334">
        <f>Z98*52/10^3</f>
        <v>2.7169724681689482E-2</v>
      </c>
      <c r="AG98" s="328"/>
      <c r="AH98" s="328"/>
      <c r="AI98" s="328"/>
      <c r="AJ98" s="328"/>
      <c r="AK98" s="328"/>
      <c r="AL98" s="328"/>
      <c r="AP98" s="222"/>
      <c r="AQ98" s="211"/>
      <c r="AR98" s="222"/>
      <c r="AS98" s="222"/>
      <c r="AT98" s="225"/>
      <c r="AU98" s="225"/>
      <c r="AV98" s="225"/>
      <c r="AW98" s="225"/>
      <c r="AX98" s="225"/>
      <c r="AY98" s="300"/>
      <c r="AZ98" s="300"/>
    </row>
    <row r="99" spans="1:54" s="212" customFormat="1" ht="30" hidden="1" customHeight="1" thickBot="1" x14ac:dyDescent="0.3">
      <c r="A99" s="317"/>
      <c r="B99" s="367"/>
      <c r="C99" s="318"/>
      <c r="D99" s="1838"/>
      <c r="E99" s="1839"/>
      <c r="F99" s="1839"/>
      <c r="G99" s="1839"/>
      <c r="H99" s="1839"/>
      <c r="I99" s="1839"/>
      <c r="J99" s="75"/>
      <c r="K99" s="75"/>
      <c r="L99" s="89"/>
      <c r="M99" s="75"/>
      <c r="N99" s="75"/>
      <c r="O99" s="89"/>
      <c r="P99" s="75"/>
      <c r="Q99" s="75"/>
      <c r="R99" s="89"/>
      <c r="S99" s="75"/>
      <c r="T99" s="75"/>
      <c r="U99" s="89"/>
      <c r="V99" s="75"/>
      <c r="W99" s="75"/>
      <c r="X99" s="90"/>
      <c r="Y99" s="316"/>
      <c r="Z99" s="344"/>
      <c r="AA99" s="345"/>
      <c r="AG99" s="310"/>
      <c r="AH99" s="310"/>
      <c r="AI99" s="310"/>
      <c r="AJ99" s="310"/>
      <c r="AK99" s="310"/>
      <c r="AL99" s="310"/>
      <c r="AP99" s="222"/>
      <c r="AQ99" s="211"/>
      <c r="AR99" s="222"/>
      <c r="AS99" s="222"/>
      <c r="AT99" s="225"/>
      <c r="AU99" s="225"/>
      <c r="AV99" s="225"/>
      <c r="AW99" s="225"/>
      <c r="AX99" s="225"/>
      <c r="AY99" s="300"/>
      <c r="AZ99" s="300"/>
    </row>
    <row r="100" spans="1:54" s="212" customFormat="1" ht="30" customHeight="1" x14ac:dyDescent="0.25">
      <c r="A100" s="322"/>
      <c r="B100" s="322"/>
      <c r="C100" s="323" t="s">
        <v>569</v>
      </c>
      <c r="D100" s="1844">
        <v>6</v>
      </c>
      <c r="E100" s="1844">
        <v>1</v>
      </c>
      <c r="F100" s="1844">
        <v>250</v>
      </c>
      <c r="G100" s="1844">
        <v>0</v>
      </c>
      <c r="H100" s="1844">
        <v>0</v>
      </c>
      <c r="I100" s="1844">
        <v>0</v>
      </c>
      <c r="J100" s="74">
        <f>IF($F100=0,0,1+($F100-$C$21)/$C$22)+$G100/$C$23+$H100/$C$24+$I100/$C$25</f>
        <v>7.4545454545454541</v>
      </c>
      <c r="K100" s="75">
        <f>10^(-J100)</f>
        <v>3.5111917342151263E-8</v>
      </c>
      <c r="L100" s="74">
        <f>($C$7*$C$14*$C$8*$E100/$D100^2*K100*10^6)</f>
        <v>7.8026482982558355E-3</v>
      </c>
      <c r="M100" s="74">
        <f>IF($F100=0,0,1+($F100-$D$21)/$D$22)+$G100/$D$23+$H100/$D$24+$I100/$D$25</f>
        <v>6.6486486486486482</v>
      </c>
      <c r="N100" s="75">
        <f>10^(-M100)</f>
        <v>2.2456979955397711E-7</v>
      </c>
      <c r="O100" s="74">
        <f>($C$7*$C$14*$C$8*$E100/$D100^2*N100*10^6)</f>
        <v>4.99043999008838E-2</v>
      </c>
      <c r="P100" s="74">
        <f>IF($F100=0,0,1+($F100-$E$21)/$E$22)+$G100/$E$23+$H100/$E$24+$I100/$E$25</f>
        <v>5.7674418604651159</v>
      </c>
      <c r="Q100" s="75">
        <f>10^(-P100)</f>
        <v>1.7082763938087111E-6</v>
      </c>
      <c r="R100" s="74">
        <f>($C$7*$E$14*$E$8*$E100/$D100^2*Q100*10^6)</f>
        <v>0.37961697640193576</v>
      </c>
      <c r="S100" s="74">
        <f>IF($F100=0,0,1+($F100-$F$21)/$F$22)+$G100/$F$23+$H100/$F$24+$I100/$F$25</f>
        <v>9.1481481481481488</v>
      </c>
      <c r="T100" s="75">
        <f>10^(-S100)</f>
        <v>7.1097094323124171E-10</v>
      </c>
      <c r="U100" s="74">
        <f>($C$7*$F$14*$F$8*$E100/$D100^2*T100*10^6)</f>
        <v>1.5799354294027593E-4</v>
      </c>
      <c r="V100" s="74">
        <f>IF($F100=0,0,1+($F100-$G$21)/$G$22)+$G100/$G$23+$H100/$G$24+$I100/$G$25</f>
        <v>6.9444444444444446</v>
      </c>
      <c r="W100" s="75">
        <f>10^(-V100)</f>
        <v>1.136463666385722E-7</v>
      </c>
      <c r="X100" s="76">
        <f>($C$7*$G$14*$G$8*$E100/$D100/$D100*W100*10^6)</f>
        <v>2.5254748141904933E-2</v>
      </c>
      <c r="Y100" s="324">
        <f>SUM(L100,O100,R100,U100,X100)</f>
        <v>0.46273676628592059</v>
      </c>
      <c r="Z100" s="325"/>
      <c r="AA100" s="326"/>
      <c r="AG100" s="328"/>
      <c r="AI100" s="328"/>
      <c r="AJ100" s="328"/>
      <c r="AK100" s="328"/>
      <c r="AL100" s="328"/>
      <c r="AP100" s="222"/>
      <c r="AQ100" s="211"/>
      <c r="AR100" s="222"/>
      <c r="AS100" s="222"/>
      <c r="AT100" s="225"/>
      <c r="AU100" s="225"/>
      <c r="AV100" s="225"/>
      <c r="AW100" s="225"/>
      <c r="AX100" s="225"/>
      <c r="AY100" s="300"/>
      <c r="AZ100" s="300"/>
    </row>
    <row r="101" spans="1:54" s="212" customFormat="1" ht="30" customHeight="1" thickBot="1" x14ac:dyDescent="0.3">
      <c r="A101" s="343" t="str">
        <f>Samenvatting!A233</f>
        <v>vrij</v>
      </c>
      <c r="B101" s="338" t="str">
        <f>Samenvatting!B233</f>
        <v>vrij te kiezen</v>
      </c>
      <c r="C101" s="331" t="s">
        <v>568</v>
      </c>
      <c r="D101" s="1836">
        <v>5</v>
      </c>
      <c r="E101" s="89"/>
      <c r="F101" s="1836">
        <v>250</v>
      </c>
      <c r="G101" s="1836">
        <v>0</v>
      </c>
      <c r="H101" s="1836">
        <v>0</v>
      </c>
      <c r="I101" s="1836">
        <v>0</v>
      </c>
      <c r="J101" s="74">
        <f>$F101/$C$27+$G101/$C$28+$H101/$C$29+$I101/$C$30</f>
        <v>7.3529411764705879</v>
      </c>
      <c r="K101" s="75">
        <f>10^(-J101)</f>
        <v>4.4366873309786093E-8</v>
      </c>
      <c r="L101" s="74">
        <f>($C$7*$C$15*$C$8*($C$9+$C$10*$C$11)/$D101^2*K101*10^6)</f>
        <v>1.0648049594348663E-3</v>
      </c>
      <c r="M101" s="74">
        <f>$F101/$D$27+$G101/$D$28+$H101/$D$29+$I101/$D$30</f>
        <v>6.5789473684210522</v>
      </c>
      <c r="N101" s="75">
        <f>10^(-M101)</f>
        <v>2.636650898730358E-7</v>
      </c>
      <c r="O101" s="74">
        <f>($C$7*$C$15*$D$8*($D$9+$D$10*$D$11)/$D101^2*N101*10^6)</f>
        <v>6.3279621569528599E-3</v>
      </c>
      <c r="P101" s="74">
        <f>$F101/$E$27+$G101/$E$28+$H101/$E$29+$I101/$E$30</f>
        <v>5.6818181818181817</v>
      </c>
      <c r="Q101" s="75">
        <f>10^(-P101)</f>
        <v>2.0805675382171676E-6</v>
      </c>
      <c r="R101" s="74">
        <f>($C$7*$C$15*$E$8*($E$9+$E$10*$E$11)/$D101^2*Q101*10^6)</f>
        <v>4.9933620917212027E-2</v>
      </c>
      <c r="S101" s="74">
        <f>$F101/$F$27+$G101/$F$28+$H101/$F$29+$I101/$F$30</f>
        <v>8.1967213114754092</v>
      </c>
      <c r="T101" s="75">
        <f>10^(-S101)</f>
        <v>6.3573875711648393E-9</v>
      </c>
      <c r="U101" s="74">
        <f>($C$7*$C$15*$F$8*($F$9+$F$10*$F$11)/$D101^2*T101*10^6)</f>
        <v>1.5257730170795616E-4</v>
      </c>
      <c r="V101" s="74">
        <f>$F101/$G$27+$G101/$G$28+$H101/$G$29+$I101/$G$30</f>
        <v>7.0224719101123592</v>
      </c>
      <c r="W101" s="75">
        <f>10^(-V101)</f>
        <v>9.4957241494880226E-8</v>
      </c>
      <c r="X101" s="76">
        <f>($C$7*$C$15*$G$8*($G$9+$G$10*$G$11)/$D101^2*W101*10^6)</f>
        <v>2.278973795877126E-3</v>
      </c>
      <c r="Y101" s="355">
        <f>SUM(L101,O101,R101,U101,X101)</f>
        <v>5.9757939131184837E-2</v>
      </c>
      <c r="Z101" s="333">
        <f>SUM(Y99:Y102)</f>
        <v>0.52249470541710541</v>
      </c>
      <c r="AA101" s="334">
        <f>Z101*52/10^3</f>
        <v>2.7169724681689482E-2</v>
      </c>
      <c r="AG101" s="328"/>
      <c r="AH101" s="328"/>
      <c r="AI101" s="328"/>
      <c r="AJ101" s="328"/>
      <c r="AK101" s="328"/>
      <c r="AL101" s="328"/>
      <c r="AP101" s="222"/>
      <c r="AQ101" s="211"/>
      <c r="AR101" s="222"/>
      <c r="AS101" s="222"/>
      <c r="AT101" s="225"/>
      <c r="AU101" s="225"/>
      <c r="AV101" s="225"/>
      <c r="AW101" s="225"/>
      <c r="AX101" s="225"/>
      <c r="AY101" s="300"/>
      <c r="AZ101" s="300"/>
    </row>
    <row r="102" spans="1:54" s="225" customFormat="1" ht="30" hidden="1" customHeight="1" x14ac:dyDescent="0.25">
      <c r="A102" s="222"/>
      <c r="B102" s="222"/>
      <c r="C102" s="368"/>
      <c r="D102" s="57"/>
      <c r="E102" s="57"/>
      <c r="F102" s="57"/>
      <c r="G102" s="57"/>
      <c r="H102" s="57"/>
      <c r="I102" s="369"/>
      <c r="J102" s="328"/>
      <c r="K102" s="369"/>
      <c r="L102" s="369"/>
      <c r="M102" s="328"/>
      <c r="N102" s="369"/>
      <c r="O102" s="369"/>
      <c r="P102" s="328"/>
      <c r="Q102" s="369"/>
      <c r="R102" s="369"/>
      <c r="S102" s="328"/>
      <c r="T102" s="369"/>
      <c r="U102" s="369"/>
      <c r="V102" s="328"/>
      <c r="W102" s="369"/>
      <c r="X102" s="369"/>
      <c r="Y102" s="370"/>
      <c r="Z102" s="370"/>
      <c r="AF102" s="328"/>
      <c r="AG102" s="328"/>
      <c r="AH102" s="328"/>
      <c r="AI102" s="328"/>
      <c r="AJ102" s="328"/>
      <c r="AK102" s="328"/>
      <c r="AO102" s="222"/>
      <c r="AP102" s="211"/>
      <c r="AQ102" s="222"/>
      <c r="AR102" s="222"/>
      <c r="AX102" s="300"/>
      <c r="AY102" s="300"/>
    </row>
    <row r="103" spans="1:54" s="225" customFormat="1" ht="19.5" customHeight="1" thickBot="1" x14ac:dyDescent="0.3">
      <c r="A103" s="222"/>
      <c r="B103" s="222"/>
      <c r="C103" s="368"/>
      <c r="D103" s="57"/>
      <c r="E103" s="57"/>
      <c r="F103" s="57"/>
      <c r="G103" s="57"/>
      <c r="H103" s="57"/>
      <c r="I103" s="57"/>
      <c r="J103" s="369"/>
      <c r="K103" s="328"/>
      <c r="L103" s="369"/>
      <c r="M103" s="369"/>
      <c r="N103" s="328"/>
      <c r="O103" s="369"/>
      <c r="P103" s="369"/>
      <c r="Q103" s="328"/>
      <c r="R103" s="369"/>
      <c r="S103" s="369"/>
      <c r="T103" s="328"/>
      <c r="U103" s="369"/>
      <c r="V103" s="369"/>
      <c r="W103" s="328"/>
      <c r="X103" s="369"/>
      <c r="Y103" s="371"/>
      <c r="Z103" s="372"/>
      <c r="AA103" s="372"/>
      <c r="AG103" s="328"/>
      <c r="AH103" s="328"/>
      <c r="AI103" s="328"/>
      <c r="AJ103" s="328"/>
      <c r="AK103" s="328"/>
      <c r="AL103" s="328"/>
      <c r="AP103" s="222"/>
      <c r="AQ103" s="211"/>
      <c r="AR103" s="222"/>
      <c r="AS103" s="222"/>
      <c r="AY103" s="300"/>
      <c r="AZ103" s="300"/>
    </row>
    <row r="104" spans="1:54" ht="19.5" customHeight="1" x14ac:dyDescent="0.25">
      <c r="A104" s="373" t="s">
        <v>363</v>
      </c>
      <c r="B104" s="374"/>
      <c r="C104" s="375"/>
      <c r="D104" s="376"/>
      <c r="E104" s="377"/>
      <c r="F104" s="378"/>
      <c r="G104" s="379"/>
      <c r="H104" s="379"/>
      <c r="I104" s="379"/>
      <c r="J104" s="379"/>
      <c r="K104" s="379"/>
      <c r="L104" s="380"/>
      <c r="M104" s="380"/>
      <c r="N104" s="379"/>
      <c r="O104" s="379"/>
      <c r="P104" s="379"/>
      <c r="Q104" s="379"/>
      <c r="R104" s="379"/>
      <c r="S104" s="381"/>
      <c r="T104" s="379"/>
      <c r="U104" s="379"/>
      <c r="V104" s="379"/>
      <c r="W104" s="379"/>
      <c r="X104" s="379"/>
      <c r="Y104" s="379"/>
      <c r="Z104" s="379"/>
      <c r="AA104" s="216"/>
      <c r="AB104" s="297"/>
      <c r="AC104" s="216"/>
      <c r="AD104" s="216"/>
      <c r="AE104" s="216"/>
      <c r="AF104" s="216"/>
      <c r="AG104" s="382"/>
      <c r="AH104" s="382"/>
      <c r="AI104" s="382"/>
      <c r="AJ104" s="383"/>
      <c r="AK104" s="383"/>
      <c r="AL104" s="383"/>
      <c r="AM104" s="383"/>
      <c r="AN104" s="383"/>
      <c r="AO104" s="383"/>
      <c r="AP104" s="383"/>
      <c r="AQ104" s="383"/>
      <c r="AR104" s="382"/>
      <c r="AS104" s="382"/>
      <c r="AT104" s="382"/>
      <c r="AU104" s="382"/>
      <c r="AV104" s="186"/>
    </row>
    <row r="105" spans="1:54" ht="19.5" customHeight="1" thickBot="1" x14ac:dyDescent="0.3">
      <c r="A105" s="384"/>
      <c r="B105" s="385"/>
      <c r="C105" s="386"/>
      <c r="D105" s="387"/>
      <c r="E105" s="388"/>
      <c r="F105" s="388"/>
      <c r="G105" s="388"/>
      <c r="H105" s="288"/>
      <c r="I105" s="288"/>
      <c r="J105" s="288"/>
      <c r="K105" s="288"/>
      <c r="L105" s="299"/>
      <c r="M105" s="299"/>
      <c r="N105" s="288"/>
      <c r="O105" s="288"/>
      <c r="P105" s="288"/>
      <c r="Q105" s="288"/>
      <c r="R105" s="288"/>
      <c r="S105" s="289"/>
      <c r="T105" s="288"/>
      <c r="U105" s="288"/>
      <c r="V105" s="288"/>
      <c r="W105" s="288"/>
      <c r="X105" s="288"/>
      <c r="Y105" s="288"/>
      <c r="Z105" s="288"/>
      <c r="AA105" s="222"/>
      <c r="AB105" s="211"/>
      <c r="AC105" s="222"/>
      <c r="AD105" s="222"/>
      <c r="AE105" s="222"/>
      <c r="AF105" s="222"/>
      <c r="AG105" s="187"/>
      <c r="AH105" s="187"/>
      <c r="AI105" s="187"/>
      <c r="AJ105" s="282"/>
      <c r="AK105" s="282"/>
      <c r="AL105" s="282"/>
      <c r="AM105" s="282"/>
      <c r="AN105" s="282"/>
      <c r="AO105" s="282"/>
      <c r="AP105" s="282"/>
      <c r="AQ105" s="282"/>
      <c r="AR105" s="187"/>
      <c r="AS105" s="187"/>
      <c r="AT105" s="187"/>
      <c r="AU105" s="187"/>
      <c r="AV105" s="186"/>
    </row>
    <row r="106" spans="1:54" ht="19.5" customHeight="1" x14ac:dyDescent="0.25">
      <c r="A106" s="215" t="s">
        <v>247</v>
      </c>
      <c r="B106" s="389"/>
      <c r="C106" s="389"/>
      <c r="D106" s="389"/>
      <c r="E106" s="389"/>
      <c r="F106" s="389"/>
      <c r="G106" s="1845" t="s">
        <v>387</v>
      </c>
      <c r="H106" s="288"/>
      <c r="I106" s="288"/>
      <c r="J106" s="288"/>
      <c r="K106" s="288"/>
      <c r="L106" s="299"/>
      <c r="M106" s="299"/>
      <c r="N106" s="288"/>
      <c r="O106" s="288"/>
      <c r="P106" s="288"/>
      <c r="Q106" s="288"/>
      <c r="R106" s="288"/>
      <c r="S106" s="289"/>
      <c r="T106" s="288"/>
      <c r="U106" s="288"/>
      <c r="V106" s="288"/>
      <c r="W106" s="288"/>
      <c r="X106" s="288"/>
      <c r="Y106" s="288"/>
      <c r="Z106" s="288"/>
      <c r="AA106" s="222"/>
      <c r="AB106" s="211"/>
      <c r="AC106" s="222"/>
      <c r="AD106" s="222"/>
      <c r="AE106" s="222"/>
      <c r="AF106" s="222"/>
      <c r="AG106" s="187"/>
      <c r="AH106" s="187"/>
      <c r="AI106" s="187"/>
      <c r="AJ106" s="282"/>
      <c r="AK106" s="282"/>
      <c r="AL106" s="282"/>
      <c r="AM106" s="282"/>
      <c r="AN106" s="282"/>
      <c r="AO106" s="282"/>
      <c r="AP106" s="282"/>
      <c r="AQ106" s="282"/>
      <c r="AR106" s="187"/>
      <c r="AS106" s="187"/>
      <c r="AT106" s="187"/>
      <c r="AU106" s="187"/>
      <c r="AV106" s="186"/>
    </row>
    <row r="107" spans="1:54" ht="19.5" customHeight="1" thickBot="1" x14ac:dyDescent="0.3">
      <c r="A107" s="226" t="s">
        <v>246</v>
      </c>
      <c r="B107" s="390"/>
      <c r="C107" s="390"/>
      <c r="D107" s="390"/>
      <c r="E107" s="390"/>
      <c r="F107" s="390"/>
      <c r="G107" s="1846">
        <v>1</v>
      </c>
      <c r="H107" s="288"/>
      <c r="I107" s="288"/>
      <c r="J107" s="288"/>
      <c r="K107" s="288"/>
      <c r="L107" s="299"/>
      <c r="M107" s="299"/>
      <c r="N107" s="288"/>
      <c r="O107" s="288"/>
      <c r="P107" s="288"/>
      <c r="Q107" s="288"/>
      <c r="R107" s="288"/>
      <c r="S107" s="289"/>
      <c r="T107" s="288"/>
      <c r="U107" s="288"/>
      <c r="V107" s="288"/>
      <c r="W107" s="288"/>
      <c r="X107" s="288"/>
      <c r="Y107" s="288"/>
      <c r="Z107" s="288"/>
      <c r="AA107" s="222"/>
      <c r="AB107" s="211"/>
      <c r="AC107" s="222"/>
      <c r="AD107" s="222"/>
      <c r="AE107" s="222"/>
      <c r="AF107" s="222"/>
      <c r="AG107" s="187"/>
      <c r="AH107" s="187"/>
      <c r="AI107" s="187"/>
      <c r="AJ107" s="282"/>
      <c r="AK107" s="282"/>
      <c r="AL107" s="282"/>
      <c r="AM107" s="282"/>
      <c r="AN107" s="282"/>
      <c r="AO107" s="282"/>
      <c r="AP107" s="282"/>
      <c r="AQ107" s="282"/>
      <c r="AR107" s="187"/>
      <c r="AS107" s="187"/>
      <c r="AT107" s="187"/>
      <c r="AU107" s="187"/>
      <c r="AV107" s="186"/>
    </row>
    <row r="108" spans="1:54" ht="19.5" customHeight="1" thickBot="1" x14ac:dyDescent="0.3">
      <c r="A108" s="221"/>
      <c r="B108" s="225"/>
      <c r="C108" s="225"/>
      <c r="D108" s="225"/>
      <c r="E108" s="225"/>
      <c r="F108" s="225"/>
      <c r="G108" s="57"/>
      <c r="H108" s="288"/>
      <c r="I108" s="288"/>
      <c r="J108" s="288"/>
      <c r="K108" s="288"/>
      <c r="L108" s="225"/>
      <c r="M108" s="187"/>
      <c r="N108" s="187"/>
      <c r="O108" s="187"/>
      <c r="P108" s="187"/>
      <c r="Q108" s="187"/>
      <c r="R108" s="288"/>
      <c r="Y108" s="288"/>
      <c r="Z108" s="288"/>
      <c r="AA108" s="222"/>
      <c r="AB108" s="211"/>
      <c r="AC108" s="222"/>
      <c r="AD108" s="222"/>
      <c r="AE108" s="222"/>
      <c r="AF108" s="222"/>
      <c r="AG108" s="187"/>
      <c r="AH108" s="187"/>
      <c r="AI108" s="187"/>
      <c r="AJ108" s="282"/>
      <c r="AK108" s="282"/>
      <c r="AL108" s="282"/>
      <c r="AM108" s="282"/>
      <c r="AN108" s="282"/>
      <c r="AO108" s="282"/>
      <c r="AP108" s="282"/>
      <c r="AQ108" s="282"/>
      <c r="AR108" s="187"/>
      <c r="AS108" s="187"/>
      <c r="AT108" s="187"/>
      <c r="AU108" s="187"/>
      <c r="AV108" s="186"/>
    </row>
    <row r="109" spans="1:54" s="212" customFormat="1" ht="19.5" customHeight="1" thickBot="1" x14ac:dyDescent="0.3">
      <c r="A109" s="391" t="s">
        <v>243</v>
      </c>
      <c r="B109" s="392"/>
      <c r="C109" s="216"/>
      <c r="D109" s="216"/>
      <c r="E109" s="393"/>
      <c r="F109" s="216"/>
      <c r="G109" s="389"/>
      <c r="H109" s="216"/>
      <c r="I109" s="297"/>
      <c r="J109" s="394"/>
      <c r="K109" s="395"/>
      <c r="L109" s="396" t="s">
        <v>163</v>
      </c>
      <c r="M109" s="379"/>
      <c r="N109" s="379"/>
      <c r="O109" s="397"/>
      <c r="Q109" s="396" t="s">
        <v>581</v>
      </c>
      <c r="R109" s="398"/>
      <c r="S109" s="389"/>
      <c r="T109" s="389"/>
      <c r="U109" s="399"/>
      <c r="Y109" s="400"/>
      <c r="Z109" s="400"/>
      <c r="AA109" s="400"/>
      <c r="AB109" s="400"/>
      <c r="AC109" s="400"/>
      <c r="AD109" s="400"/>
      <c r="AE109" s="225"/>
      <c r="AF109" s="299"/>
      <c r="AG109" s="299"/>
      <c r="AH109" s="225"/>
      <c r="AI109" s="299"/>
      <c r="AJ109" s="299"/>
      <c r="AK109" s="225"/>
      <c r="AL109" s="299"/>
      <c r="AM109" s="299"/>
      <c r="AN109" s="225"/>
      <c r="AO109" s="299"/>
      <c r="AP109" s="299"/>
      <c r="AQ109" s="225"/>
      <c r="AR109" s="299"/>
      <c r="AS109" s="299"/>
      <c r="AT109" s="220"/>
      <c r="AU109" s="211"/>
      <c r="AV109" s="221"/>
      <c r="AW109" s="222"/>
      <c r="AX109" s="225"/>
      <c r="AY109" s="225"/>
      <c r="AZ109" s="225"/>
      <c r="BA109" s="225"/>
      <c r="BB109" s="225"/>
    </row>
    <row r="110" spans="1:54" s="212" customFormat="1" ht="19.5" customHeight="1" thickBot="1" x14ac:dyDescent="0.3">
      <c r="A110" s="401"/>
      <c r="B110" s="222"/>
      <c r="C110" s="225"/>
      <c r="D110" s="240"/>
      <c r="E110" s="402"/>
      <c r="F110" s="403" t="s">
        <v>55</v>
      </c>
      <c r="G110" s="211"/>
      <c r="H110" s="222"/>
      <c r="I110" s="211"/>
      <c r="J110" s="404"/>
      <c r="K110" s="395"/>
      <c r="L110" s="405" t="s">
        <v>577</v>
      </c>
      <c r="M110" s="406"/>
      <c r="N110" s="406"/>
      <c r="O110" s="407"/>
      <c r="Q110" s="408" t="s">
        <v>579</v>
      </c>
      <c r="R110" s="398"/>
      <c r="S110" s="389"/>
      <c r="T110" s="389"/>
      <c r="U110" s="399"/>
      <c r="Y110" s="400"/>
      <c r="Z110" s="400"/>
      <c r="AA110" s="400"/>
      <c r="AB110" s="400"/>
      <c r="AC110" s="400"/>
      <c r="AD110" s="400"/>
      <c r="AE110" s="225"/>
      <c r="AF110" s="299"/>
      <c r="AG110" s="299"/>
      <c r="AH110" s="225"/>
      <c r="AI110" s="299"/>
      <c r="AJ110" s="299"/>
      <c r="AK110" s="225"/>
      <c r="AL110" s="299"/>
      <c r="AM110" s="299"/>
      <c r="AN110" s="225"/>
      <c r="AO110" s="299"/>
      <c r="AP110" s="299"/>
      <c r="AQ110" s="225"/>
      <c r="AR110" s="299"/>
      <c r="AS110" s="299"/>
      <c r="AT110" s="220"/>
      <c r="AU110" s="211"/>
      <c r="AV110" s="221"/>
      <c r="AW110" s="222"/>
      <c r="AX110" s="225"/>
      <c r="AY110" s="225"/>
      <c r="AZ110" s="225"/>
      <c r="BA110" s="225"/>
      <c r="BB110" s="225"/>
    </row>
    <row r="111" spans="1:54" s="212" customFormat="1" ht="19.5" customHeight="1" thickBot="1" x14ac:dyDescent="0.3">
      <c r="A111" s="221"/>
      <c r="B111" s="308" t="s">
        <v>68</v>
      </c>
      <c r="C111" s="409" t="s">
        <v>81</v>
      </c>
      <c r="D111" s="410"/>
      <c r="E111" s="58">
        <v>0.5</v>
      </c>
      <c r="F111" s="411">
        <f>$C$4</f>
        <v>6</v>
      </c>
      <c r="G111" s="411">
        <f>$D$4</f>
        <v>10</v>
      </c>
      <c r="H111" s="411">
        <f>$E$4</f>
        <v>18</v>
      </c>
      <c r="I111" s="411" t="str">
        <f>$F$4</f>
        <v>6 FFF</v>
      </c>
      <c r="J111" s="412" t="str">
        <f>$G$4</f>
        <v>10 FFF</v>
      </c>
      <c r="K111" s="395"/>
      <c r="L111" s="413"/>
      <c r="M111" s="414" t="s">
        <v>38</v>
      </c>
      <c r="N111" s="415"/>
      <c r="O111" s="416" t="s">
        <v>156</v>
      </c>
      <c r="Q111" s="1847">
        <v>5.6999999999999999E-16</v>
      </c>
      <c r="R111" s="390"/>
      <c r="S111" s="390"/>
      <c r="T111" s="390"/>
      <c r="U111" s="417"/>
      <c r="Y111" s="400"/>
      <c r="Z111" s="400"/>
      <c r="AA111" s="400"/>
      <c r="AB111" s="400"/>
      <c r="AC111" s="400"/>
      <c r="AD111" s="400"/>
      <c r="AE111" s="225"/>
      <c r="AF111" s="299"/>
      <c r="AG111" s="299"/>
      <c r="AH111" s="225"/>
      <c r="AI111" s="299"/>
      <c r="AJ111" s="299"/>
      <c r="AK111" s="225"/>
      <c r="AL111" s="299"/>
      <c r="AM111" s="299"/>
      <c r="AN111" s="225"/>
      <c r="AO111" s="299"/>
      <c r="AP111" s="299"/>
      <c r="AQ111" s="225"/>
      <c r="AR111" s="299"/>
      <c r="AS111" s="299"/>
      <c r="AT111" s="220"/>
      <c r="AU111" s="211"/>
      <c r="AV111" s="221"/>
      <c r="AW111" s="222"/>
      <c r="AX111" s="225"/>
      <c r="AY111" s="225"/>
      <c r="AZ111" s="225"/>
      <c r="BA111" s="225"/>
      <c r="BB111" s="225"/>
    </row>
    <row r="112" spans="1:54" s="212" customFormat="1" ht="19.5" customHeight="1" thickBot="1" x14ac:dyDescent="0.3">
      <c r="A112" s="418" t="s">
        <v>293</v>
      </c>
      <c r="B112" s="419" t="s">
        <v>282</v>
      </c>
      <c r="C112" s="420">
        <f>IF($G$106="parallel",75,30)</f>
        <v>75</v>
      </c>
      <c r="D112" s="421"/>
      <c r="E112" s="422"/>
      <c r="F112" s="423">
        <f>IF($G$106="parallel",VLOOKUP($F$111,reflectiecoefficienten!$A$11:$F$20,2),VLOOKUP($F$111,reflectiecoefficienten!$A$28:$F$37,2))</f>
        <v>2.7000000000000001E-3</v>
      </c>
      <c r="G112" s="423">
        <f>IF($G$106="parallel",VLOOKUP($G$111,reflectiecoefficienten!$A$11:$F$20,2),VLOOKUP($G$111,reflectiecoefficienten!$A$28:$F$37,2))</f>
        <v>2.0999999999999999E-3</v>
      </c>
      <c r="H112" s="423">
        <f>IF($G$106="parallel",VLOOKUP($H$111,reflectiecoefficienten!$A$11:$F$20,2),VLOOKUP($H$111,reflectiecoefficienten!$A$28:$F$37,2))</f>
        <v>1.6000000000000001E-3</v>
      </c>
      <c r="I112" s="424">
        <f>IF($G$106="parallel",VLOOKUP($I$111,reflectiecoefficienten!$A$11:$F$20,2),VLOOKUP($I$111,reflectiecoefficienten!$A$28:$F$37,2))</f>
        <v>3.5000000000000001E-3</v>
      </c>
      <c r="J112" s="425">
        <f>IF($G$106="parallel",VLOOKUP($J$111,reflectiecoefficienten!$A$11:$F$20,2),VLOOKUP($J$111,reflectiecoefficienten!$A$28:$F$37,2))</f>
        <v>3.3E-3</v>
      </c>
      <c r="K112" s="395"/>
      <c r="L112" s="257"/>
      <c r="M112" s="312" t="s">
        <v>578</v>
      </c>
      <c r="N112" s="308" t="s">
        <v>33</v>
      </c>
      <c r="O112" s="309" t="s">
        <v>245</v>
      </c>
      <c r="Q112" s="426" t="s">
        <v>580</v>
      </c>
      <c r="R112" s="400"/>
      <c r="S112" s="225"/>
      <c r="T112" s="225"/>
      <c r="U112" s="427"/>
      <c r="Y112" s="400"/>
      <c r="Z112" s="400"/>
      <c r="AA112" s="400"/>
      <c r="AB112" s="400"/>
      <c r="AC112" s="400"/>
      <c r="AD112" s="400"/>
      <c r="AE112" s="225"/>
      <c r="AF112" s="299"/>
      <c r="AG112" s="299"/>
      <c r="AH112" s="225"/>
      <c r="AI112" s="299"/>
      <c r="AJ112" s="299"/>
      <c r="AK112" s="225"/>
      <c r="AL112" s="299"/>
      <c r="AM112" s="299"/>
      <c r="AN112" s="225"/>
      <c r="AO112" s="299"/>
      <c r="AP112" s="299"/>
      <c r="AQ112" s="225"/>
      <c r="AR112" s="299"/>
      <c r="AS112" s="299"/>
      <c r="AT112" s="220"/>
      <c r="AU112" s="211"/>
      <c r="AV112" s="221"/>
      <c r="AW112" s="222"/>
      <c r="AX112" s="225"/>
      <c r="AY112" s="225"/>
      <c r="AZ112" s="225"/>
      <c r="BA112" s="225"/>
      <c r="BB112" s="225"/>
    </row>
    <row r="113" spans="1:54" s="212" customFormat="1" ht="19.5" customHeight="1" thickBot="1" x14ac:dyDescent="0.3">
      <c r="A113" s="428" t="s">
        <v>294</v>
      </c>
      <c r="B113" s="179" t="s">
        <v>282</v>
      </c>
      <c r="C113" s="308">
        <v>75</v>
      </c>
      <c r="D113" s="421"/>
      <c r="E113" s="429"/>
      <c r="F113" s="423">
        <f>IF($G$106="parallel",VLOOKUP($F$111,reflectiecoefficienten!$A$11:$F$20,3),VLOOKUP($F$111,reflectiecoefficienten!$A$28:$F$37,3))</f>
        <v>2.7000000000000001E-3</v>
      </c>
      <c r="G113" s="423">
        <f>IF($G$106="parallel",VLOOKUP($G$111,reflectiecoefficienten!$A$11:$F$20,3),VLOOKUP($G$111,reflectiecoefficienten!$A$28:$F$37,3))</f>
        <v>2.0999999999999999E-3</v>
      </c>
      <c r="H113" s="423">
        <f>IF($G$106="parallel",VLOOKUP($H$111,reflectiecoefficienten!$A$11:$F$20,3),VLOOKUP($H$111,reflectiecoefficienten!$A$28:$F$37,3))</f>
        <v>1.6000000000000001E-3</v>
      </c>
      <c r="I113" s="424">
        <f>IF($G$106="parallel",VLOOKUP($I$111,reflectiecoefficienten!$A$11:$F$20,3),VLOOKUP($I$111,reflectiecoefficienten!$A$28:$F$37,3))</f>
        <v>3.5000000000000001E-3</v>
      </c>
      <c r="J113" s="425">
        <f>IF($G$106="parallel",VLOOKUP($J$111,reflectiecoefficienten!$A$11:$F$20,3),VLOOKUP($J$111,reflectiecoefficienten!$A$28:$F$37,3))</f>
        <v>3.3E-3</v>
      </c>
      <c r="K113" s="395"/>
      <c r="L113" s="307" t="s">
        <v>55</v>
      </c>
      <c r="M113" s="430">
        <v>0.5</v>
      </c>
      <c r="N113" s="415">
        <v>0.1</v>
      </c>
      <c r="O113" s="416">
        <v>3.6</v>
      </c>
      <c r="Q113" s="1848">
        <v>6.2</v>
      </c>
      <c r="R113" s="431"/>
      <c r="S113" s="390"/>
      <c r="T113" s="390"/>
      <c r="U113" s="417"/>
      <c r="Y113" s="400"/>
      <c r="Z113" s="400"/>
      <c r="AA113" s="400"/>
      <c r="AB113" s="400"/>
      <c r="AC113" s="400"/>
      <c r="AD113" s="400"/>
      <c r="AE113" s="225"/>
      <c r="AF113" s="299"/>
      <c r="AG113" s="299"/>
      <c r="AH113" s="225"/>
      <c r="AI113" s="299"/>
      <c r="AJ113" s="299"/>
      <c r="AK113" s="225"/>
      <c r="AL113" s="299"/>
      <c r="AM113" s="299"/>
      <c r="AN113" s="225"/>
      <c r="AO113" s="299"/>
      <c r="AP113" s="299"/>
      <c r="AQ113" s="225"/>
      <c r="AR113" s="299"/>
      <c r="AS113" s="299"/>
      <c r="AT113" s="220"/>
      <c r="AU113" s="211"/>
      <c r="AV113" s="221"/>
      <c r="AW113" s="222"/>
      <c r="AX113" s="225"/>
      <c r="AY113" s="225"/>
      <c r="AZ113" s="225"/>
      <c r="BA113" s="225"/>
      <c r="BB113" s="225"/>
    </row>
    <row r="114" spans="1:54" s="212" customFormat="1" ht="19.5" customHeight="1" thickBot="1" x14ac:dyDescent="0.3">
      <c r="A114" s="428" t="s">
        <v>295</v>
      </c>
      <c r="B114" s="308" t="str">
        <f>IF($G$106="parallel","loodrecht",45)</f>
        <v>loodrecht</v>
      </c>
      <c r="C114" s="308">
        <f>IF($G$106="parallel",75,0)</f>
        <v>75</v>
      </c>
      <c r="D114" s="421"/>
      <c r="E114" s="432">
        <f>IF($G$106="parallel",VLOOKUP($E$111,reflectiecoefficienten!$A$11:$F$20,4),VLOOKUP($E$111,reflectiecoefficienten!$A$28:$F$37,4))</f>
        <v>8.0000000000000002E-3</v>
      </c>
      <c r="F114" s="433"/>
      <c r="G114" s="423"/>
      <c r="H114" s="423"/>
      <c r="I114" s="424"/>
      <c r="J114" s="425"/>
      <c r="K114" s="395"/>
      <c r="L114" s="434" t="s">
        <v>3</v>
      </c>
      <c r="M114" s="263">
        <f>VLOOKUP($M$113,'TVT''s afscherming'!$A$10:$J$23,5)</f>
        <v>5.5</v>
      </c>
      <c r="N114" s="435">
        <f>VLOOKUP($N$113,'TVT''s afscherming'!$A$45:$J$45,3)</f>
        <v>37</v>
      </c>
      <c r="O114" s="436">
        <f>VLOOKUP($O$113,'TVT''s afscherming'!$A$47:$J$47,3)</f>
        <v>13.5</v>
      </c>
      <c r="Y114" s="400"/>
      <c r="Z114" s="400"/>
      <c r="AA114" s="400"/>
      <c r="AB114" s="400"/>
      <c r="AC114" s="400"/>
      <c r="AD114" s="400"/>
      <c r="AE114" s="225"/>
      <c r="AF114" s="299"/>
      <c r="AG114" s="299"/>
      <c r="AH114" s="225"/>
      <c r="AI114" s="299"/>
      <c r="AJ114" s="299"/>
      <c r="AK114" s="225"/>
      <c r="AL114" s="299"/>
      <c r="AM114" s="299"/>
      <c r="AN114" s="225"/>
      <c r="AO114" s="299"/>
      <c r="AP114" s="299"/>
      <c r="AQ114" s="225"/>
      <c r="AR114" s="299"/>
      <c r="AS114" s="299"/>
      <c r="AT114" s="220"/>
      <c r="AU114" s="211"/>
      <c r="AV114" s="221"/>
      <c r="AW114" s="222"/>
      <c r="AX114" s="225"/>
      <c r="AY114" s="225"/>
      <c r="AZ114" s="225"/>
      <c r="BA114" s="225"/>
      <c r="BB114" s="225"/>
    </row>
    <row r="115" spans="1:54" s="212" customFormat="1" ht="19.5" customHeight="1" thickBot="1" x14ac:dyDescent="0.3">
      <c r="A115" s="428" t="s">
        <v>296</v>
      </c>
      <c r="B115" s="308">
        <v>45</v>
      </c>
      <c r="C115" s="308">
        <v>0</v>
      </c>
      <c r="D115" s="421"/>
      <c r="E115" s="432">
        <f>IF($G$106="parallel",VLOOKUP($E$111,reflectiecoefficienten!$A$11:$F$20,5),VLOOKUP($E$111,reflectiecoefficienten!$A$28:$F$37,5))</f>
        <v>2.1999999999999999E-2</v>
      </c>
      <c r="F115" s="423">
        <f>IF($G$106="parallel",VLOOKUP($F$111,reflectiecoefficienten!$A$11:$F$20,5),VLOOKUP($F$111,reflectiecoefficienten!$A$28:$F$37,5))</f>
        <v>6.4000000000000003E-3</v>
      </c>
      <c r="G115" s="423">
        <f>IF($G$106="parallel",VLOOKUP($G$111,reflectiecoefficienten!$A$11:$F$20,5),VLOOKUP($G$111,reflectiecoefficienten!$A$28:$F$37,5))</f>
        <v>5.1000000000000004E-3</v>
      </c>
      <c r="H115" s="423">
        <f>IF($G$106="parallel",VLOOKUP($H$111,reflectiecoefficienten!$A$11:$F$20,5),VLOOKUP($H$111,reflectiecoefficienten!$A$28:$F$37,5))</f>
        <v>4.4999999999999997E-3</v>
      </c>
      <c r="I115" s="424">
        <f>IF($G$106="parallel",VLOOKUP($I$111,reflectiecoefficienten!$A$11:$F$20,5),VLOOKUP($I$111,reflectiecoefficienten!$A$28:$F$37,5))</f>
        <v>8.3000000000000001E-3</v>
      </c>
      <c r="J115" s="425">
        <f>IF($G$106="parallel",VLOOKUP($J$111,reflectiecoefficienten!$A$11:$F$20,5),VLOOKUP($J$111,reflectiecoefficienten!$A$28:$F$37,5))</f>
        <v>7.3000000000000001E-3</v>
      </c>
      <c r="K115" s="395"/>
      <c r="L115" s="307" t="s">
        <v>22</v>
      </c>
      <c r="M115" s="263">
        <f>VLOOKUP($M$113,'TVT''s afscherming'!$A$10:$J$23,6)</f>
        <v>1.6</v>
      </c>
      <c r="N115" s="263">
        <f>VLOOKUP($N$113,'TVT''s afscherming'!$A$45:$J$45,4)</f>
        <v>37</v>
      </c>
      <c r="O115" s="437">
        <f>IF(M134&gt;5,'TVT''s afscherming'!$D$48,'TVT''s afscherming'!$D$47)</f>
        <v>0.6</v>
      </c>
      <c r="Y115" s="400"/>
      <c r="Z115" s="400"/>
      <c r="AA115" s="400"/>
      <c r="AB115" s="400"/>
      <c r="AC115" s="400"/>
      <c r="AD115" s="400"/>
      <c r="AE115" s="225"/>
      <c r="AF115" s="299"/>
      <c r="AG115" s="299"/>
      <c r="AH115" s="225"/>
      <c r="AI115" s="299"/>
      <c r="AJ115" s="299"/>
      <c r="AK115" s="225"/>
      <c r="AL115" s="299"/>
      <c r="AM115" s="299"/>
      <c r="AN115" s="225"/>
      <c r="AO115" s="299"/>
      <c r="AP115" s="299"/>
      <c r="AQ115" s="225"/>
      <c r="AR115" s="299"/>
      <c r="AS115" s="299"/>
      <c r="AT115" s="220"/>
      <c r="AU115" s="211"/>
      <c r="AV115" s="221"/>
      <c r="AW115" s="222"/>
      <c r="AX115" s="225"/>
      <c r="AY115" s="225"/>
      <c r="AZ115" s="225"/>
      <c r="BA115" s="225"/>
      <c r="BB115" s="225"/>
    </row>
    <row r="116" spans="1:54" s="212" customFormat="1" ht="19.5" customHeight="1" thickBot="1" x14ac:dyDescent="0.3">
      <c r="A116" s="428" t="s">
        <v>297</v>
      </c>
      <c r="B116" s="179" t="s">
        <v>282</v>
      </c>
      <c r="C116" s="308">
        <v>75</v>
      </c>
      <c r="D116" s="222"/>
      <c r="E116" s="424">
        <f>IF(G107=1,1,(IF($G$106="parallel",VLOOKUP($E$111,reflectiecoefficienten!$A$11:$F$20,6),VLOOKUP($E$111,reflectiecoefficienten!$A$28:$F$37,6))))</f>
        <v>1</v>
      </c>
      <c r="F116" s="429"/>
      <c r="G116" s="423"/>
      <c r="H116" s="424"/>
      <c r="I116" s="424"/>
      <c r="J116" s="425"/>
      <c r="K116" s="395"/>
      <c r="L116" s="438" t="s">
        <v>39</v>
      </c>
      <c r="M116" s="439"/>
      <c r="N116" s="276">
        <f>VLOOKUP($N$113,'TVT''s afscherming'!$A$45:$J$45,5)</f>
        <v>4.5</v>
      </c>
      <c r="O116" s="440"/>
      <c r="R116" s="400"/>
      <c r="Y116" s="400"/>
      <c r="Z116" s="400"/>
      <c r="AA116" s="400"/>
      <c r="AB116" s="400"/>
      <c r="AC116" s="400"/>
      <c r="AD116" s="400"/>
      <c r="AE116" s="225"/>
      <c r="AF116" s="299"/>
      <c r="AG116" s="299"/>
      <c r="AH116" s="225"/>
      <c r="AI116" s="299"/>
      <c r="AJ116" s="299"/>
      <c r="AK116" s="225"/>
      <c r="AL116" s="299"/>
      <c r="AM116" s="299"/>
      <c r="AN116" s="225"/>
      <c r="AO116" s="299"/>
      <c r="AP116" s="299"/>
      <c r="AQ116" s="225"/>
      <c r="AR116" s="299"/>
      <c r="AS116" s="299"/>
      <c r="AT116" s="220"/>
      <c r="AU116" s="211"/>
      <c r="AV116" s="221"/>
      <c r="AW116" s="222"/>
      <c r="AX116" s="225"/>
      <c r="AY116" s="225"/>
      <c r="AZ116" s="225"/>
      <c r="BA116" s="225"/>
      <c r="BB116" s="225"/>
    </row>
    <row r="117" spans="1:54" s="212" customFormat="1" ht="19.5" customHeight="1" thickBot="1" x14ac:dyDescent="0.3">
      <c r="A117" s="441"/>
      <c r="B117" s="442"/>
      <c r="C117" s="443"/>
      <c r="D117" s="444"/>
      <c r="E117" s="445"/>
      <c r="F117" s="446"/>
      <c r="G117" s="445"/>
      <c r="H117" s="445"/>
      <c r="I117" s="445"/>
      <c r="J117" s="445"/>
      <c r="K117" s="395"/>
      <c r="R117" s="400"/>
      <c r="Y117" s="400"/>
      <c r="Z117" s="400"/>
      <c r="AA117" s="400"/>
      <c r="AB117" s="400"/>
      <c r="AC117" s="400"/>
      <c r="AD117" s="400"/>
      <c r="AE117" s="225"/>
      <c r="AF117" s="299"/>
      <c r="AG117" s="299"/>
      <c r="AH117" s="225"/>
      <c r="AI117" s="299"/>
      <c r="AJ117" s="299"/>
      <c r="AK117" s="225"/>
      <c r="AL117" s="299"/>
      <c r="AM117" s="299"/>
      <c r="AN117" s="225"/>
      <c r="AO117" s="299"/>
      <c r="AP117" s="299"/>
      <c r="AQ117" s="225"/>
      <c r="AR117" s="299"/>
      <c r="AS117" s="299"/>
      <c r="AT117" s="220"/>
      <c r="AU117" s="211"/>
      <c r="AV117" s="221"/>
      <c r="AW117" s="222"/>
      <c r="AX117" s="225"/>
      <c r="AY117" s="225"/>
      <c r="AZ117" s="225"/>
      <c r="BA117" s="225"/>
      <c r="BB117" s="225"/>
    </row>
    <row r="118" spans="1:54" s="212" customFormat="1" ht="19.5" customHeight="1" x14ac:dyDescent="0.25">
      <c r="A118" s="447" t="s">
        <v>280</v>
      </c>
      <c r="B118" s="272"/>
      <c r="C118" s="222"/>
      <c r="D118" s="222"/>
      <c r="E118" s="310"/>
      <c r="F118" s="448" t="s">
        <v>55</v>
      </c>
      <c r="J118" s="449"/>
      <c r="K118" s="395"/>
      <c r="R118" s="400"/>
      <c r="S118" s="400"/>
      <c r="T118" s="400"/>
      <c r="U118" s="400"/>
      <c r="V118" s="400"/>
      <c r="W118" s="400"/>
      <c r="X118" s="400"/>
      <c r="Y118" s="400"/>
      <c r="Z118" s="400"/>
      <c r="AA118" s="400"/>
      <c r="AB118" s="400"/>
      <c r="AC118" s="400"/>
      <c r="AD118" s="400"/>
      <c r="AE118" s="225"/>
      <c r="AF118" s="299"/>
      <c r="AG118" s="299"/>
      <c r="AH118" s="225"/>
      <c r="AI118" s="299"/>
      <c r="AJ118" s="299"/>
      <c r="AK118" s="225"/>
      <c r="AL118" s="299"/>
      <c r="AM118" s="299"/>
      <c r="AN118" s="225"/>
      <c r="AO118" s="299"/>
      <c r="AP118" s="299"/>
      <c r="AQ118" s="225"/>
      <c r="AR118" s="299"/>
      <c r="AS118" s="299"/>
      <c r="AT118" s="220"/>
      <c r="AU118" s="211"/>
      <c r="AV118" s="221"/>
      <c r="AW118" s="222"/>
      <c r="AX118" s="225"/>
      <c r="AY118" s="225"/>
      <c r="AZ118" s="225"/>
      <c r="BA118" s="225"/>
      <c r="BB118" s="225"/>
    </row>
    <row r="119" spans="1:54" s="212" customFormat="1" ht="19.5" customHeight="1" x14ac:dyDescent="0.25">
      <c r="A119" s="221" t="s">
        <v>291</v>
      </c>
      <c r="B119" s="220"/>
      <c r="C119" s="450" t="s">
        <v>289</v>
      </c>
      <c r="D119" s="266"/>
      <c r="E119" s="451"/>
      <c r="F119" s="411">
        <f>$C$4</f>
        <v>6</v>
      </c>
      <c r="G119" s="269">
        <f>$D$4</f>
        <v>10</v>
      </c>
      <c r="H119" s="269">
        <f>$E$4</f>
        <v>18</v>
      </c>
      <c r="I119" s="411" t="str">
        <f>$F$4</f>
        <v>6 FFF</v>
      </c>
      <c r="J119" s="412" t="str">
        <f>$G$4</f>
        <v>10 FFF</v>
      </c>
      <c r="K119" s="395"/>
      <c r="L119" s="211"/>
      <c r="M119" s="452"/>
      <c r="N119" s="453"/>
      <c r="O119" s="453"/>
      <c r="P119" s="453"/>
      <c r="Q119" s="453"/>
      <c r="R119" s="400"/>
      <c r="S119" s="400"/>
      <c r="T119" s="400"/>
      <c r="U119" s="400"/>
      <c r="V119" s="400"/>
      <c r="W119" s="400"/>
      <c r="X119" s="400"/>
      <c r="Y119" s="400"/>
      <c r="Z119" s="400"/>
      <c r="AA119" s="400"/>
      <c r="AB119" s="400"/>
      <c r="AC119" s="400"/>
      <c r="AD119" s="400"/>
      <c r="AE119" s="225"/>
      <c r="AF119" s="299"/>
      <c r="AG119" s="299"/>
      <c r="AH119" s="225"/>
      <c r="AI119" s="299"/>
      <c r="AJ119" s="299"/>
      <c r="AK119" s="225"/>
      <c r="AL119" s="299"/>
      <c r="AM119" s="299"/>
      <c r="AN119" s="225"/>
      <c r="AO119" s="299"/>
      <c r="AP119" s="299"/>
      <c r="AQ119" s="225"/>
      <c r="AR119" s="299"/>
      <c r="AS119" s="299"/>
      <c r="AT119" s="220"/>
      <c r="AU119" s="211"/>
      <c r="AV119" s="221"/>
      <c r="AW119" s="222"/>
      <c r="AX119" s="225"/>
      <c r="AY119" s="225"/>
      <c r="AZ119" s="225"/>
      <c r="BA119" s="225"/>
      <c r="BB119" s="225"/>
    </row>
    <row r="120" spans="1:54" s="212" customFormat="1" ht="19.5" customHeight="1" x14ac:dyDescent="0.25">
      <c r="A120" s="454" t="s">
        <v>281</v>
      </c>
      <c r="B120" s="455"/>
      <c r="C120" s="456" t="s">
        <v>287</v>
      </c>
      <c r="D120" s="457"/>
      <c r="E120" s="458"/>
      <c r="F120" s="423">
        <f>VLOOKUP($F$119,patientscatterfactoren!$A$18:$I$29,5)</f>
        <v>1.39E-3</v>
      </c>
      <c r="G120" s="423">
        <f>VLOOKUP($G$119,patientscatterfactoren!$A$18:$I$29,5)</f>
        <v>1.3500000000000001E-3</v>
      </c>
      <c r="H120" s="423">
        <f>VLOOKUP($H$119,patientscatterfactoren!$A$18:$I$29,5)</f>
        <v>8.6399999999999997E-4</v>
      </c>
      <c r="I120" s="423">
        <f>VLOOKUP($I$119,patientscatterfactoren!$A$18:$I$29,5)</f>
        <v>1.2999999999999999E-3</v>
      </c>
      <c r="J120" s="425">
        <f>VLOOKUP($J$119,patientscatterfactoren!$A$18:$I$29,5)</f>
        <v>1.1999999999999999E-3</v>
      </c>
      <c r="K120" s="395"/>
      <c r="L120" s="211"/>
      <c r="M120" s="453"/>
      <c r="N120" s="453"/>
      <c r="O120" s="453"/>
      <c r="P120" s="453"/>
      <c r="Q120" s="453"/>
      <c r="R120" s="400"/>
      <c r="S120" s="400"/>
      <c r="T120" s="400"/>
      <c r="U120" s="400"/>
      <c r="V120" s="400"/>
      <c r="W120" s="400"/>
      <c r="X120" s="400"/>
      <c r="Y120" s="400"/>
      <c r="Z120" s="400"/>
      <c r="AA120" s="400"/>
      <c r="AB120" s="400"/>
      <c r="AC120" s="400"/>
      <c r="AD120" s="400"/>
      <c r="AE120" s="225"/>
      <c r="AF120" s="299"/>
      <c r="AG120" s="299"/>
      <c r="AH120" s="225"/>
      <c r="AI120" s="299"/>
      <c r="AJ120" s="299"/>
      <c r="AK120" s="225"/>
      <c r="AL120" s="299"/>
      <c r="AM120" s="299"/>
      <c r="AN120" s="225"/>
      <c r="AO120" s="299"/>
      <c r="AP120" s="299"/>
      <c r="AQ120" s="225"/>
      <c r="AR120" s="299"/>
      <c r="AS120" s="299"/>
      <c r="AT120" s="220"/>
      <c r="AU120" s="211"/>
      <c r="AV120" s="221"/>
      <c r="AW120" s="222"/>
      <c r="AX120" s="225"/>
      <c r="AY120" s="225"/>
      <c r="AZ120" s="225"/>
      <c r="BA120" s="225"/>
      <c r="BB120" s="225"/>
    </row>
    <row r="121" spans="1:54" s="212" customFormat="1" ht="19.5" customHeight="1" x14ac:dyDescent="0.25">
      <c r="A121" s="459" t="s">
        <v>284</v>
      </c>
      <c r="B121" s="272"/>
      <c r="C121" s="460" t="s">
        <v>285</v>
      </c>
      <c r="D121" s="222"/>
      <c r="E121" s="461"/>
      <c r="F121" s="423">
        <f>VLOOKUP($F$119,patientscatterfactoren!$A$18:$I$29,7)</f>
        <v>4.26E-4</v>
      </c>
      <c r="G121" s="423">
        <f>VLOOKUP($G$119,patientscatterfactoren!$A$18:$I$29,7)</f>
        <v>3.8099999999999999E-4</v>
      </c>
      <c r="H121" s="423">
        <f>VLOOKUP($H$119,patientscatterfactoren!$A$18:$I$29,7)</f>
        <v>1.8900000000000001E-4</v>
      </c>
      <c r="I121" s="423">
        <f>VLOOKUP($I$119,patientscatterfactoren!$A$18:$I$29,7)</f>
        <v>4.46E-4</v>
      </c>
      <c r="J121" s="425">
        <f>VLOOKUP($J$119,patientscatterfactoren!$A$18:$I$29,7)</f>
        <v>4.0299999999999998E-4</v>
      </c>
      <c r="K121" s="395"/>
      <c r="L121" s="211"/>
      <c r="M121" s="453"/>
      <c r="N121" s="453"/>
      <c r="O121" s="453"/>
      <c r="P121" s="453"/>
      <c r="Q121" s="453"/>
      <c r="R121" s="400"/>
      <c r="S121" s="400"/>
      <c r="T121" s="400"/>
      <c r="U121" s="400"/>
      <c r="V121" s="400"/>
      <c r="W121" s="400"/>
      <c r="X121" s="400"/>
      <c r="Y121" s="400"/>
      <c r="Z121" s="400"/>
      <c r="AA121" s="400"/>
      <c r="AB121" s="400"/>
      <c r="AC121" s="400"/>
      <c r="AD121" s="400"/>
      <c r="AE121" s="225"/>
      <c r="AF121" s="299"/>
      <c r="AG121" s="299"/>
      <c r="AH121" s="225"/>
      <c r="AI121" s="299"/>
      <c r="AJ121" s="299"/>
      <c r="AK121" s="225"/>
      <c r="AL121" s="299"/>
      <c r="AM121" s="299"/>
      <c r="AN121" s="225"/>
      <c r="AO121" s="299"/>
      <c r="AP121" s="299"/>
      <c r="AQ121" s="225"/>
      <c r="AR121" s="299"/>
      <c r="AS121" s="299"/>
      <c r="AT121" s="220"/>
      <c r="AU121" s="211"/>
      <c r="AV121" s="221"/>
      <c r="AW121" s="222"/>
      <c r="AX121" s="225"/>
      <c r="AY121" s="225"/>
      <c r="AZ121" s="225"/>
      <c r="BA121" s="225"/>
      <c r="BB121" s="225"/>
    </row>
    <row r="122" spans="1:54" s="212" customFormat="1" ht="19.5" customHeight="1" thickBot="1" x14ac:dyDescent="0.3">
      <c r="A122" s="459" t="s">
        <v>286</v>
      </c>
      <c r="B122" s="272"/>
      <c r="C122" s="460" t="s">
        <v>288</v>
      </c>
      <c r="D122" s="222"/>
      <c r="E122" s="462"/>
      <c r="F122" s="423">
        <f>VLOOKUP($F$119,patientscatterfactoren!$A$18:$I$29,8)</f>
        <v>2.9999999999999997E-4</v>
      </c>
      <c r="G122" s="423">
        <f>VLOOKUP($G$119,patientscatterfactoren!$A$18:$I$29,8)</f>
        <v>3.0200000000000002E-4</v>
      </c>
      <c r="H122" s="463">
        <f>VLOOKUP($H$119,patientscatterfactoren!$A$18:$I$29,8)</f>
        <v>1.2400000000000001E-4</v>
      </c>
      <c r="I122" s="463">
        <f>VLOOKUP($I$119,patientscatterfactoren!$A$18:$I$29,8)</f>
        <v>3.4200000000000002E-4</v>
      </c>
      <c r="J122" s="464">
        <f>VLOOKUP($J$119,patientscatterfactoren!$A$18:$I$29,8)</f>
        <v>3.8200000000000002E-4</v>
      </c>
      <c r="K122" s="395"/>
      <c r="L122" s="211"/>
      <c r="M122" s="453"/>
      <c r="N122" s="453"/>
      <c r="O122" s="453"/>
      <c r="P122" s="453"/>
      <c r="Q122" s="453"/>
      <c r="R122" s="400"/>
      <c r="S122" s="400"/>
      <c r="T122" s="400"/>
      <c r="U122" s="400"/>
      <c r="V122" s="400"/>
      <c r="W122" s="400"/>
      <c r="X122" s="400"/>
      <c r="Y122" s="400"/>
      <c r="Z122" s="400"/>
      <c r="AA122" s="400"/>
      <c r="AB122" s="400"/>
      <c r="AC122" s="400"/>
      <c r="AD122" s="400"/>
      <c r="AE122" s="225"/>
      <c r="AF122" s="299"/>
      <c r="AG122" s="299"/>
      <c r="AH122" s="225"/>
      <c r="AI122" s="299"/>
      <c r="AJ122" s="299"/>
      <c r="AK122" s="225"/>
      <c r="AL122" s="299"/>
      <c r="AM122" s="299"/>
      <c r="AN122" s="225"/>
      <c r="AO122" s="299"/>
      <c r="AP122" s="299"/>
      <c r="AQ122" s="225"/>
      <c r="AR122" s="299"/>
      <c r="AS122" s="299"/>
      <c r="AT122" s="220"/>
      <c r="AU122" s="211"/>
      <c r="AV122" s="221"/>
      <c r="AW122" s="222"/>
      <c r="AX122" s="225"/>
      <c r="AY122" s="225"/>
      <c r="AZ122" s="225"/>
      <c r="BA122" s="225"/>
      <c r="BB122" s="225"/>
    </row>
    <row r="123" spans="1:54" s="212" customFormat="1" ht="19.5" customHeight="1" thickBot="1" x14ac:dyDescent="0.3">
      <c r="A123" s="465"/>
      <c r="B123" s="466"/>
      <c r="C123" s="466"/>
      <c r="D123" s="444"/>
      <c r="E123" s="445"/>
      <c r="F123" s="445"/>
      <c r="G123" s="445"/>
      <c r="H123" s="467"/>
      <c r="I123" s="467"/>
      <c r="J123" s="467"/>
      <c r="K123" s="395"/>
      <c r="L123" s="395"/>
      <c r="M123" s="400"/>
      <c r="N123" s="400"/>
      <c r="O123" s="400"/>
      <c r="P123" s="400"/>
      <c r="Q123" s="400"/>
      <c r="R123" s="400"/>
      <c r="S123" s="400"/>
      <c r="T123" s="400"/>
      <c r="U123" s="400"/>
      <c r="V123" s="400"/>
      <c r="W123" s="400"/>
      <c r="X123" s="400"/>
      <c r="Y123" s="400"/>
      <c r="Z123" s="400"/>
      <c r="AA123" s="400"/>
      <c r="AB123" s="400"/>
      <c r="AC123" s="400"/>
      <c r="AD123" s="400"/>
      <c r="AE123" s="225"/>
      <c r="AF123" s="299"/>
      <c r="AG123" s="299"/>
      <c r="AH123" s="225"/>
      <c r="AI123" s="299"/>
      <c r="AJ123" s="299"/>
      <c r="AK123" s="225"/>
      <c r="AL123" s="299"/>
      <c r="AM123" s="299"/>
      <c r="AN123" s="225"/>
      <c r="AO123" s="299"/>
      <c r="AP123" s="299"/>
      <c r="AQ123" s="225"/>
      <c r="AR123" s="299"/>
      <c r="AS123" s="299"/>
      <c r="AT123" s="220"/>
      <c r="AU123" s="211"/>
      <c r="AV123" s="221"/>
      <c r="AW123" s="222"/>
      <c r="AX123" s="225"/>
      <c r="AY123" s="225"/>
      <c r="AZ123" s="225"/>
      <c r="BA123" s="225"/>
      <c r="BB123" s="225"/>
    </row>
    <row r="124" spans="1:54" s="212" customFormat="1" ht="19.5" customHeight="1" x14ac:dyDescent="0.25">
      <c r="A124" s="428" t="s">
        <v>244</v>
      </c>
      <c r="B124" s="225"/>
      <c r="C124" s="225"/>
      <c r="D124" s="211"/>
      <c r="E124" s="211"/>
      <c r="F124" s="225"/>
      <c r="G124" s="427"/>
      <c r="H124" s="225"/>
      <c r="I124" s="225"/>
      <c r="J124" s="222"/>
      <c r="K124" s="395"/>
      <c r="L124" s="395"/>
      <c r="M124" s="400"/>
      <c r="N124" s="400"/>
      <c r="O124" s="400"/>
      <c r="P124" s="400"/>
      <c r="Q124" s="400"/>
      <c r="R124" s="400"/>
      <c r="S124" s="400"/>
      <c r="T124" s="400"/>
      <c r="U124" s="400"/>
      <c r="V124" s="400"/>
      <c r="W124" s="400"/>
      <c r="X124" s="400"/>
      <c r="Y124" s="400"/>
      <c r="Z124" s="400"/>
      <c r="AA124" s="400"/>
      <c r="AB124" s="400"/>
      <c r="AC124" s="400"/>
      <c r="AD124" s="400"/>
      <c r="AE124" s="225"/>
      <c r="AF124" s="299"/>
      <c r="AG124" s="299"/>
      <c r="AH124" s="225"/>
      <c r="AI124" s="299"/>
      <c r="AJ124" s="299"/>
      <c r="AK124" s="225"/>
      <c r="AL124" s="299"/>
      <c r="AM124" s="299"/>
      <c r="AN124" s="225"/>
      <c r="AO124" s="299"/>
      <c r="AP124" s="299"/>
      <c r="AQ124" s="225"/>
      <c r="AR124" s="299"/>
      <c r="AS124" s="299"/>
      <c r="AT124" s="220"/>
      <c r="AU124" s="211"/>
      <c r="AV124" s="221"/>
      <c r="AW124" s="222"/>
      <c r="AX124" s="225"/>
      <c r="AY124" s="225"/>
      <c r="AZ124" s="225"/>
      <c r="BA124" s="225"/>
      <c r="BB124" s="225"/>
    </row>
    <row r="125" spans="1:54" s="212" customFormat="1" ht="19.5" customHeight="1" x14ac:dyDescent="0.25">
      <c r="A125" s="401" t="s">
        <v>241</v>
      </c>
      <c r="B125" s="267"/>
      <c r="C125" s="222"/>
      <c r="D125" s="222"/>
      <c r="E125" s="222"/>
      <c r="F125" s="222"/>
      <c r="G125" s="1849">
        <v>0.5</v>
      </c>
      <c r="H125" s="225"/>
      <c r="I125" s="225"/>
      <c r="J125" s="222"/>
      <c r="K125" s="395"/>
      <c r="L125" s="395"/>
      <c r="M125" s="400"/>
      <c r="N125" s="400"/>
      <c r="O125" s="400"/>
      <c r="P125" s="400"/>
      <c r="Q125" s="400"/>
      <c r="R125" s="400"/>
      <c r="S125" s="400"/>
      <c r="T125" s="400"/>
      <c r="U125" s="400"/>
      <c r="V125" s="400"/>
      <c r="W125" s="400"/>
      <c r="X125" s="400"/>
      <c r="Y125" s="400"/>
      <c r="Z125" s="400"/>
      <c r="AA125" s="400"/>
      <c r="AB125" s="400"/>
      <c r="AC125" s="400"/>
      <c r="AD125" s="225"/>
      <c r="AE125" s="299"/>
      <c r="AF125" s="299"/>
      <c r="AG125" s="225"/>
      <c r="AH125" s="299"/>
      <c r="AI125" s="299"/>
      <c r="AJ125" s="225"/>
      <c r="AK125" s="299"/>
      <c r="AL125" s="299"/>
      <c r="AM125" s="225"/>
      <c r="AN125" s="299"/>
      <c r="AO125" s="299"/>
      <c r="AP125" s="225"/>
      <c r="AQ125" s="299"/>
      <c r="AR125" s="299"/>
      <c r="AS125" s="220"/>
      <c r="AT125" s="211"/>
      <c r="AU125" s="404"/>
      <c r="AV125" s="222"/>
      <c r="AW125" s="225"/>
      <c r="AX125" s="225"/>
      <c r="AY125" s="225"/>
      <c r="AZ125" s="225"/>
      <c r="BA125" s="225"/>
    </row>
    <row r="126" spans="1:54" s="212" customFormat="1" ht="19.5" customHeight="1" thickBot="1" x14ac:dyDescent="0.3">
      <c r="A126" s="468" t="s">
        <v>242</v>
      </c>
      <c r="B126" s="388"/>
      <c r="C126" s="388"/>
      <c r="D126" s="388"/>
      <c r="E126" s="388"/>
      <c r="F126" s="388"/>
      <c r="G126" s="1850">
        <v>0.32</v>
      </c>
      <c r="H126" s="225"/>
      <c r="I126" s="225"/>
      <c r="J126" s="222"/>
      <c r="K126" s="395"/>
      <c r="L126" s="395"/>
      <c r="M126" s="400"/>
      <c r="N126" s="400"/>
      <c r="O126" s="400"/>
      <c r="P126" s="400"/>
      <c r="Q126" s="400"/>
      <c r="R126" s="400"/>
      <c r="S126" s="400"/>
      <c r="T126" s="400"/>
      <c r="U126" s="400"/>
      <c r="V126" s="400"/>
      <c r="W126" s="400"/>
      <c r="X126" s="400"/>
      <c r="Y126" s="400"/>
      <c r="Z126" s="400"/>
      <c r="AA126" s="400"/>
      <c r="AB126" s="400"/>
      <c r="AC126" s="400"/>
      <c r="AD126" s="225"/>
      <c r="AE126" s="299"/>
      <c r="AF126" s="299"/>
      <c r="AG126" s="225"/>
      <c r="AH126" s="299"/>
      <c r="AI126" s="299"/>
      <c r="AJ126" s="225"/>
      <c r="AK126" s="299"/>
      <c r="AL126" s="299"/>
      <c r="AM126" s="225"/>
      <c r="AN126" s="299"/>
      <c r="AO126" s="299"/>
      <c r="AP126" s="225"/>
      <c r="AQ126" s="299"/>
      <c r="AR126" s="299"/>
      <c r="AS126" s="220"/>
      <c r="AT126" s="211"/>
      <c r="AU126" s="404"/>
      <c r="AV126" s="222"/>
      <c r="AW126" s="225"/>
      <c r="AX126" s="225"/>
      <c r="AY126" s="225"/>
      <c r="AZ126" s="225"/>
      <c r="BA126" s="225"/>
    </row>
    <row r="127" spans="1:54" s="212" customFormat="1" ht="19.5" customHeight="1" x14ac:dyDescent="0.25">
      <c r="A127" s="469"/>
      <c r="B127" s="400"/>
      <c r="C127" s="400"/>
      <c r="D127" s="400"/>
      <c r="E127" s="400"/>
      <c r="F127" s="400"/>
      <c r="G127" s="395"/>
      <c r="H127" s="395"/>
      <c r="I127" s="395"/>
      <c r="J127" s="395"/>
      <c r="K127" s="395"/>
      <c r="L127" s="395"/>
      <c r="M127" s="400"/>
      <c r="N127" s="470"/>
      <c r="O127" s="471"/>
      <c r="P127" s="470"/>
      <c r="Q127" s="400"/>
      <c r="R127" s="400"/>
      <c r="S127" s="400"/>
      <c r="T127" s="400"/>
      <c r="U127" s="400"/>
      <c r="V127" s="400"/>
      <c r="W127" s="400"/>
      <c r="X127" s="400"/>
      <c r="Y127" s="400"/>
      <c r="Z127" s="400"/>
      <c r="AA127" s="400"/>
      <c r="AB127" s="400"/>
      <c r="AC127" s="400"/>
      <c r="AD127" s="400"/>
      <c r="AE127" s="472"/>
      <c r="AF127" s="473">
        <f>$C$4</f>
        <v>6</v>
      </c>
      <c r="AG127" s="474"/>
      <c r="AH127" s="475"/>
      <c r="AI127" s="473">
        <f>$D$4</f>
        <v>10</v>
      </c>
      <c r="AJ127" s="474"/>
      <c r="AK127" s="476"/>
      <c r="AL127" s="473">
        <f>$E$4</f>
        <v>18</v>
      </c>
      <c r="AM127" s="474"/>
      <c r="AN127" s="476"/>
      <c r="AO127" s="473" t="str">
        <f>$F$4</f>
        <v>6 FFF</v>
      </c>
      <c r="AP127" s="474"/>
      <c r="AQ127" s="476"/>
      <c r="AR127" s="473" t="str">
        <f>$G$4</f>
        <v>10 FFF</v>
      </c>
      <c r="AS127" s="473"/>
      <c r="AT127" s="477" t="s">
        <v>16</v>
      </c>
      <c r="AU127" s="478"/>
      <c r="AV127" s="222"/>
      <c r="AW127" s="222"/>
      <c r="AX127" s="225"/>
      <c r="AY127" s="225"/>
      <c r="AZ127" s="225"/>
      <c r="BA127" s="225"/>
      <c r="BB127" s="225"/>
    </row>
    <row r="128" spans="1:54" s="212" customFormat="1" ht="19.5" customHeight="1" x14ac:dyDescent="0.2">
      <c r="A128" s="479" t="s">
        <v>50</v>
      </c>
      <c r="B128" s="480" t="s">
        <v>15</v>
      </c>
      <c r="C128" s="481" t="s">
        <v>25</v>
      </c>
      <c r="D128" s="482" t="s">
        <v>158</v>
      </c>
      <c r="E128" s="483"/>
      <c r="F128" s="484" t="s">
        <v>386</v>
      </c>
      <c r="G128" s="485"/>
      <c r="H128" s="482"/>
      <c r="I128" s="482"/>
      <c r="J128" s="482"/>
      <c r="K128" s="482"/>
      <c r="L128" s="482"/>
      <c r="M128" s="486"/>
      <c r="N128" s="487" t="s">
        <v>381</v>
      </c>
      <c r="O128" s="484"/>
      <c r="P128" s="484" t="s">
        <v>386</v>
      </c>
      <c r="Q128" s="488"/>
      <c r="R128" s="488"/>
      <c r="S128" s="482"/>
      <c r="T128" s="482"/>
      <c r="U128" s="486"/>
      <c r="V128" s="489" t="s">
        <v>525</v>
      </c>
      <c r="W128" s="301" t="s">
        <v>524</v>
      </c>
      <c r="X128" s="1990" t="s">
        <v>77</v>
      </c>
      <c r="Y128" s="1991"/>
      <c r="Z128" s="1992"/>
      <c r="AA128" s="490"/>
      <c r="AB128" s="491"/>
      <c r="AC128" s="492" t="s">
        <v>334</v>
      </c>
      <c r="AD128" s="485"/>
      <c r="AE128" s="493"/>
      <c r="AF128" s="420" t="s">
        <v>206</v>
      </c>
      <c r="AG128" s="420" t="s">
        <v>16</v>
      </c>
      <c r="AH128" s="420" t="s">
        <v>86</v>
      </c>
      <c r="AI128" s="420" t="s">
        <v>206</v>
      </c>
      <c r="AJ128" s="420" t="s">
        <v>16</v>
      </c>
      <c r="AK128" s="420" t="s">
        <v>86</v>
      </c>
      <c r="AL128" s="420" t="s">
        <v>206</v>
      </c>
      <c r="AM128" s="420" t="s">
        <v>16</v>
      </c>
      <c r="AN128" s="420" t="s">
        <v>86</v>
      </c>
      <c r="AO128" s="420" t="s">
        <v>206</v>
      </c>
      <c r="AP128" s="420" t="s">
        <v>16</v>
      </c>
      <c r="AQ128" s="420" t="s">
        <v>86</v>
      </c>
      <c r="AR128" s="420" t="s">
        <v>206</v>
      </c>
      <c r="AS128" s="420" t="s">
        <v>16</v>
      </c>
      <c r="AT128" s="494"/>
      <c r="AU128" s="495" t="s">
        <v>11</v>
      </c>
      <c r="AV128" s="222"/>
      <c r="AW128" s="222"/>
      <c r="AX128" s="225"/>
      <c r="AY128" s="225"/>
      <c r="AZ128" s="225"/>
      <c r="BA128" s="225"/>
      <c r="BB128" s="225"/>
    </row>
    <row r="129" spans="1:90" s="212" customFormat="1" ht="19.5" customHeight="1" thickBot="1" x14ac:dyDescent="0.25">
      <c r="A129" s="496"/>
      <c r="B129" s="497"/>
      <c r="C129" s="498"/>
      <c r="D129" s="499" t="s">
        <v>367</v>
      </c>
      <c r="E129" s="498" t="s">
        <v>364</v>
      </c>
      <c r="F129" s="498" t="s">
        <v>370</v>
      </c>
      <c r="G129" s="499" t="s">
        <v>368</v>
      </c>
      <c r="H129" s="498" t="s">
        <v>365</v>
      </c>
      <c r="I129" s="499" t="s">
        <v>369</v>
      </c>
      <c r="J129" s="498" t="s">
        <v>371</v>
      </c>
      <c r="K129" s="498" t="s">
        <v>366</v>
      </c>
      <c r="L129" s="498" t="s">
        <v>373</v>
      </c>
      <c r="M129" s="498" t="s">
        <v>372</v>
      </c>
      <c r="N129" s="498" t="s">
        <v>374</v>
      </c>
      <c r="O129" s="498" t="s">
        <v>375</v>
      </c>
      <c r="P129" s="498" t="s">
        <v>376</v>
      </c>
      <c r="Q129" s="498" t="s">
        <v>377</v>
      </c>
      <c r="R129" s="498" t="s">
        <v>378</v>
      </c>
      <c r="S129" s="498" t="s">
        <v>382</v>
      </c>
      <c r="T129" s="498" t="s">
        <v>379</v>
      </c>
      <c r="U129" s="498" t="s">
        <v>380</v>
      </c>
      <c r="V129" s="498" t="s">
        <v>526</v>
      </c>
      <c r="W129" s="308" t="s">
        <v>528</v>
      </c>
      <c r="X129" s="500" t="s">
        <v>1</v>
      </c>
      <c r="Y129" s="501" t="s">
        <v>61</v>
      </c>
      <c r="Z129" s="502" t="s">
        <v>3</v>
      </c>
      <c r="AA129" s="502" t="s">
        <v>22</v>
      </c>
      <c r="AB129" s="502" t="s">
        <v>3</v>
      </c>
      <c r="AC129" s="503" t="s">
        <v>22</v>
      </c>
      <c r="AD129" s="504" t="s">
        <v>39</v>
      </c>
      <c r="AE129" s="505" t="s">
        <v>208</v>
      </c>
      <c r="AF129" s="505" t="s">
        <v>207</v>
      </c>
      <c r="AG129" s="506" t="s">
        <v>174</v>
      </c>
      <c r="AH129" s="505" t="s">
        <v>208</v>
      </c>
      <c r="AI129" s="505" t="s">
        <v>207</v>
      </c>
      <c r="AJ129" s="506" t="s">
        <v>174</v>
      </c>
      <c r="AK129" s="507" t="s">
        <v>208</v>
      </c>
      <c r="AL129" s="507" t="s">
        <v>207</v>
      </c>
      <c r="AM129" s="179" t="s">
        <v>174</v>
      </c>
      <c r="AN129" s="507" t="s">
        <v>208</v>
      </c>
      <c r="AO129" s="507" t="s">
        <v>207</v>
      </c>
      <c r="AP129" s="179" t="s">
        <v>174</v>
      </c>
      <c r="AQ129" s="507" t="s">
        <v>208</v>
      </c>
      <c r="AR129" s="507" t="s">
        <v>207</v>
      </c>
      <c r="AS129" s="179" t="s">
        <v>174</v>
      </c>
      <c r="AT129" s="508" t="s">
        <v>174</v>
      </c>
      <c r="AU129" s="509" t="s">
        <v>166</v>
      </c>
      <c r="AV129" s="211"/>
      <c r="AW129" s="222"/>
      <c r="AX129" s="225"/>
      <c r="AY129" s="225"/>
      <c r="AZ129" s="225"/>
      <c r="BA129" s="225"/>
      <c r="BB129" s="225"/>
    </row>
    <row r="130" spans="1:90" s="212" customFormat="1" ht="30" customHeight="1" thickBot="1" x14ac:dyDescent="0.3">
      <c r="A130" s="510" t="str">
        <f>A70</f>
        <v>L1</v>
      </c>
      <c r="B130" s="511" t="str">
        <f>B70</f>
        <v>ingang labyrint linac 1</v>
      </c>
      <c r="C130" s="512" t="s">
        <v>200</v>
      </c>
      <c r="D130" s="1851">
        <v>5</v>
      </c>
      <c r="E130" s="111"/>
      <c r="F130" s="116"/>
      <c r="G130" s="1851">
        <v>10</v>
      </c>
      <c r="H130" s="120"/>
      <c r="I130" s="1853">
        <v>10</v>
      </c>
      <c r="J130" s="123"/>
      <c r="K130" s="1982">
        <v>1</v>
      </c>
      <c r="L130" s="114"/>
      <c r="M130" s="113"/>
      <c r="N130" s="1851">
        <v>4</v>
      </c>
      <c r="O130" s="120"/>
      <c r="P130" s="1851">
        <v>5</v>
      </c>
      <c r="Q130" s="134"/>
      <c r="R130" s="1828">
        <v>2</v>
      </c>
      <c r="S130" s="137"/>
      <c r="T130" s="114"/>
      <c r="U130" s="138"/>
      <c r="V130" s="141"/>
      <c r="W130" s="1828">
        <v>0.25</v>
      </c>
      <c r="X130" s="149"/>
      <c r="Y130" s="150"/>
      <c r="Z130" s="151"/>
      <c r="AA130" s="152"/>
      <c r="AB130" s="1984">
        <v>0</v>
      </c>
      <c r="AC130" s="1987">
        <v>0</v>
      </c>
      <c r="AD130" s="168"/>
      <c r="AE130" s="171">
        <f>$AB130/$M$114+$AC130/$M$115</f>
        <v>0</v>
      </c>
      <c r="AF130" s="97">
        <f t="shared" ref="AF130:AF135" si="12">10^(-AE130)</f>
        <v>1</v>
      </c>
      <c r="AG130" s="91">
        <f>$C$7*$C$14*$C$8*$W$130/$D$130^2*$N$130*$F$112/$G$130^2*$P$130*$E$114/$I$130^2*$R$130*$E$116/$K$130^2*AF130*10^6</f>
        <v>6.9119999999999997E-3</v>
      </c>
      <c r="AH130" s="91">
        <f>$AB130/$M$114+$AC130/$M$115</f>
        <v>0</v>
      </c>
      <c r="AI130" s="97">
        <f t="shared" ref="AI130:AI135" si="13">10^(-AH130)</f>
        <v>1</v>
      </c>
      <c r="AJ130" s="91">
        <f>$C$7*$D$14*$D$8*$W$130/$D$130^2*$N$130*$G$112/$G$130^2*$P$130*$E$114/$I$130^2*$R$130*$E$116/$K$130^2*AI130*10^6</f>
        <v>5.3760000000000006E-3</v>
      </c>
      <c r="AK130" s="91">
        <f>$AB130/$M$114+$AC130/$M$115</f>
        <v>0</v>
      </c>
      <c r="AL130" s="97">
        <f t="shared" ref="AL130:AL135" si="14">10^(-AK130)</f>
        <v>1</v>
      </c>
      <c r="AM130" s="91">
        <f>$C$7*$E$14*$E$8*$W$130/$D$130^2*$N$130*$H$112/$G$130^2*$P$130*$E$114/$I$130^2*$R$130*$E$116/$K$130^2*AL130*10^6</f>
        <v>4.0960000000000015E-3</v>
      </c>
      <c r="AN130" s="91">
        <f>$AB130/$M$114+$AC130/$M$115</f>
        <v>0</v>
      </c>
      <c r="AO130" s="97">
        <f t="shared" ref="AO130:AO135" si="15">10^(-AN130)</f>
        <v>1</v>
      </c>
      <c r="AP130" s="91">
        <f>$C$7*$F$14*$F$8*$W$130/$D$130^2*$N$130*$I$112/$G$130^2*$P$130*$E$114/$I$130^2*$R$130*$E$116/$K$130^2*AO130*10^6</f>
        <v>8.9600000000000009E-3</v>
      </c>
      <c r="AQ130" s="91">
        <f>$AB130/$M$114+$AC130/$M$115</f>
        <v>0</v>
      </c>
      <c r="AR130" s="97">
        <f t="shared" ref="AR130:AR135" si="16">10^(-AQ130)</f>
        <v>1</v>
      </c>
      <c r="AS130" s="76">
        <f>$C$7*$G$14*$G$8*$W$130/$D$130^2*$N$130*$J$112/$G$130^2*$P$130*$E$114/$I$130^2*$R$130*$E$116/$K$130^2*AR130*10^6</f>
        <v>8.4480000000000006E-3</v>
      </c>
      <c r="AT130" s="513">
        <f t="shared" ref="AT130:AT135" si="17">SUM(AG130,AJ130,AM130,AP130,AS130)</f>
        <v>3.3792000000000003E-2</v>
      </c>
      <c r="AU130" s="514">
        <f>SUM(AT130:AT136)*52/10^3</f>
        <v>15.505920420432142</v>
      </c>
      <c r="AV130" s="222"/>
      <c r="AW130" s="222"/>
      <c r="AX130" s="225"/>
      <c r="AY130" s="225"/>
      <c r="AZ130" s="225"/>
      <c r="BA130" s="225"/>
      <c r="BB130" s="225"/>
    </row>
    <row r="131" spans="1:90" s="212" customFormat="1" ht="30" customHeight="1" thickBot="1" x14ac:dyDescent="0.3">
      <c r="A131" s="447"/>
      <c r="B131" s="460"/>
      <c r="C131" s="515" t="s">
        <v>536</v>
      </c>
      <c r="D131" s="107"/>
      <c r="E131" s="1852">
        <v>1</v>
      </c>
      <c r="F131" s="117"/>
      <c r="G131" s="118"/>
      <c r="H131" s="1828">
        <v>5</v>
      </c>
      <c r="I131" s="122"/>
      <c r="J131" s="124"/>
      <c r="K131" s="2030"/>
      <c r="L131" s="127"/>
      <c r="M131" s="128"/>
      <c r="N131" s="129"/>
      <c r="O131" s="1828">
        <v>5</v>
      </c>
      <c r="P131" s="133"/>
      <c r="Q131" s="133"/>
      <c r="R131" s="1828">
        <v>2</v>
      </c>
      <c r="S131" s="139"/>
      <c r="T131" s="132"/>
      <c r="U131" s="140"/>
      <c r="V131" s="142"/>
      <c r="W131" s="1828">
        <v>0.25</v>
      </c>
      <c r="X131" s="1856">
        <v>200</v>
      </c>
      <c r="Y131" s="1856">
        <v>0</v>
      </c>
      <c r="Z131" s="1857">
        <v>0</v>
      </c>
      <c r="AA131" s="1857">
        <v>0</v>
      </c>
      <c r="AB131" s="1985"/>
      <c r="AC131" s="1988"/>
      <c r="AD131" s="169"/>
      <c r="AE131" s="171">
        <f>IF($X131=0,0,1+($X131-$C$21)/$C$22)+$Y131/$C$23+$Z131/$C$24+$AA131/$C$25+$AB130/$M$114+$AC130/$M$115</f>
        <v>5.9393939393939394</v>
      </c>
      <c r="AF131" s="97">
        <f t="shared" si="12"/>
        <v>1.1497569953977332E-6</v>
      </c>
      <c r="AG131" s="91">
        <f>$C$7*$C$14*$C$8*$W$131/$E$131^2*$O$131*$F$113/$H$131^2*$R$131*$E$116/$K$130^2*AF131*10^6</f>
        <v>2.4834751100591044E-3</v>
      </c>
      <c r="AH131" s="91">
        <f>IF($X131=0,0,1+($X131-$D$21)/$D$22)+$Y131/$D$23+$Z131/$D$24+$AB130/$M$114+$AC130/$M$115</f>
        <v>5.2972972972972974</v>
      </c>
      <c r="AI131" s="97">
        <f t="shared" si="13"/>
        <v>5.0431594871713543E-6</v>
      </c>
      <c r="AJ131" s="91">
        <f>$C$7*$D$14*$D$8*$W$131/$E$131^2*$O$131*$G$113/$H$131^2*$R$131*$E$116/$K$130^2*AI131*10^6</f>
        <v>8.4725079384478739E-3</v>
      </c>
      <c r="AK131" s="91">
        <f>IF($X131=0,0,1+($X131-$E$21)/$E$22)+$Y131/$E$23+$Z131/$E$24+$AB130/$M$114+$AC130/$M$115</f>
        <v>4.6046511627906979</v>
      </c>
      <c r="AL131" s="97">
        <f t="shared" si="14"/>
        <v>2.485128426980553E-5</v>
      </c>
      <c r="AM131" s="91">
        <f>$C$7*$E$14*$E$8*$W$131/$E$131^2*$O$131*$H$113/$H$131^2*$R$131*$E$116/$K$130^2*AL131*10^6</f>
        <v>3.1809643865351081E-2</v>
      </c>
      <c r="AN131" s="91">
        <f>IF($X131=0,0,1+($X131-$F$21)/$F$22)+$Y131/$F$23+$Z131/$E$24+$AB130/$M$114+$AC130/$M$115</f>
        <v>7.2962962962962967</v>
      </c>
      <c r="AO131" s="97">
        <f t="shared" si="15"/>
        <v>5.0547968211912231E-8</v>
      </c>
      <c r="AP131" s="91">
        <f>$C$7*$F$14*$F$8*$W$131/$E$131^2*$O$131*$I$113/$H$131^2*$R$131*$E$116/$K$130^2*AO131*10^6</f>
        <v>1.4153431099335427E-4</v>
      </c>
      <c r="AQ131" s="91">
        <f>IF($X131=0,0,1+($X131-$G$21)/$G$22)+$Y131/$G$23+$Z131/$G$24+$AB130/$M$114+$AC130/$M$115</f>
        <v>5.5555555555555554</v>
      </c>
      <c r="AR131" s="97">
        <f t="shared" si="16"/>
        <v>2.782559402207123E-6</v>
      </c>
      <c r="AS131" s="76">
        <f>$C$7*$G$14*$G$8*$W$131/$E$131^2*$O$131*$J$113/$H$131^2*$R$131*$E$116/$K$130^2*AR131*10^6</f>
        <v>7.3459568218268044E-3</v>
      </c>
      <c r="AT131" s="513">
        <f t="shared" si="17"/>
        <v>5.0253118046678216E-2</v>
      </c>
      <c r="AU131" s="516"/>
      <c r="AV131" s="222"/>
      <c r="AW131" s="222"/>
      <c r="AX131" s="225"/>
      <c r="AY131" s="225"/>
      <c r="AZ131" s="225"/>
      <c r="BA131" s="225"/>
      <c r="BB131" s="225"/>
    </row>
    <row r="132" spans="1:90" s="212" customFormat="1" ht="30" customHeight="1" thickBot="1" x14ac:dyDescent="0.3">
      <c r="A132" s="221"/>
      <c r="B132" s="517"/>
      <c r="C132" s="518" t="s">
        <v>537</v>
      </c>
      <c r="D132" s="108"/>
      <c r="E132" s="112"/>
      <c r="F132" s="1987">
        <v>5</v>
      </c>
      <c r="G132" s="119"/>
      <c r="H132" s="121"/>
      <c r="I132" s="113"/>
      <c r="J132" s="1980">
        <v>10</v>
      </c>
      <c r="K132" s="2030"/>
      <c r="L132" s="114"/>
      <c r="M132" s="113"/>
      <c r="N132" s="119"/>
      <c r="O132" s="121"/>
      <c r="P132" s="113"/>
      <c r="Q132" s="1980">
        <v>5</v>
      </c>
      <c r="R132" s="1982">
        <v>2</v>
      </c>
      <c r="S132" s="137"/>
      <c r="T132" s="114"/>
      <c r="U132" s="138"/>
      <c r="V132" s="143"/>
      <c r="W132" s="144">
        <v>1</v>
      </c>
      <c r="X132" s="153"/>
      <c r="Y132" s="154"/>
      <c r="Z132" s="155"/>
      <c r="AA132" s="156"/>
      <c r="AB132" s="1985"/>
      <c r="AC132" s="1988"/>
      <c r="AD132" s="168"/>
      <c r="AE132" s="91">
        <f>$AB130/$M$114+$AC130/$M$115</f>
        <v>0</v>
      </c>
      <c r="AF132" s="97">
        <f t="shared" si="12"/>
        <v>1</v>
      </c>
      <c r="AG132" s="91">
        <f>$C$7*$C$15*$C$8*($C$9+$C$10*$C$11)*$W$132/$F$132^2*$Q$132*$F$115/$J$132^2*$R$132*$E$116/$K$130^2*AF132*10^6</f>
        <v>15.360000000000005</v>
      </c>
      <c r="AH132" s="91">
        <f>$AB130/$M$114+$AC130/$M$115</f>
        <v>0</v>
      </c>
      <c r="AI132" s="97">
        <f t="shared" si="13"/>
        <v>1</v>
      </c>
      <c r="AJ132" s="91">
        <f>$C$7*$C$15*$D$8*($D$9+$D$10*$D$11)*$W$132/$F$132^2*$Q$132*$G$115/$J$132^2*$R$132*$E$116/$K$130^2*AI132*10^6</f>
        <v>12.240000000000004</v>
      </c>
      <c r="AK132" s="91">
        <f>$AB130/$M$114+$AC130/$M$115</f>
        <v>0</v>
      </c>
      <c r="AL132" s="97">
        <f t="shared" si="14"/>
        <v>1</v>
      </c>
      <c r="AM132" s="91">
        <f>$C$7*$C$15*$E$8*($E$9+$E$10*$E$11)*$W$132/$F$132^2*$Q$132*$H$115/$J$132^2*$R$132*$E$116/$K$130^2*AL132*10^6</f>
        <v>10.800000000000002</v>
      </c>
      <c r="AN132" s="91">
        <f>$AB130/$M$114+$AC130/$M$115</f>
        <v>0</v>
      </c>
      <c r="AO132" s="97">
        <f t="shared" si="15"/>
        <v>1</v>
      </c>
      <c r="AP132" s="91">
        <f>$C$7*$C$15*$F$8*($F$9+$F$10*$F$11)*$W$132/$F$132^2*$Q$132*$I$115/$J$132^2*$R$132*$E$116/$K$130^2*AO132*10^6</f>
        <v>19.920000000000002</v>
      </c>
      <c r="AQ132" s="91">
        <f>$AB130/$M$114+$AC130/$M$115</f>
        <v>0</v>
      </c>
      <c r="AR132" s="97">
        <f t="shared" si="16"/>
        <v>1</v>
      </c>
      <c r="AS132" s="76">
        <f>$C$7*$C$15*$G$8*($G$9+$G$10*$G$11)*$W$132/$F$132^2*$Q$132*$J$115/$J$132^2*$R$132*$E$116/$K$130^2*AR132*10^6</f>
        <v>17.520000000000003</v>
      </c>
      <c r="AT132" s="519">
        <f t="shared" si="17"/>
        <v>75.840000000000018</v>
      </c>
      <c r="AU132" s="516"/>
      <c r="AV132" s="222"/>
      <c r="AW132" s="520"/>
      <c r="AX132" s="222"/>
      <c r="AY132" s="211"/>
      <c r="AZ132" s="222"/>
      <c r="BA132" s="222"/>
      <c r="BB132" s="225"/>
    </row>
    <row r="133" spans="1:90" s="212" customFormat="1" ht="30" customHeight="1" thickBot="1" x14ac:dyDescent="0.3">
      <c r="A133" s="221"/>
      <c r="B133" s="517"/>
      <c r="C133" s="521" t="s">
        <v>523</v>
      </c>
      <c r="D133" s="108"/>
      <c r="E133" s="113"/>
      <c r="F133" s="2029"/>
      <c r="G133" s="119"/>
      <c r="H133" s="114"/>
      <c r="I133" s="113"/>
      <c r="J133" s="1981"/>
      <c r="K133" s="1983"/>
      <c r="L133" s="114"/>
      <c r="M133" s="113"/>
      <c r="N133" s="119"/>
      <c r="O133" s="114"/>
      <c r="P133" s="113"/>
      <c r="Q133" s="1981"/>
      <c r="R133" s="1983"/>
      <c r="S133" s="137"/>
      <c r="T133" s="114"/>
      <c r="U133" s="113"/>
      <c r="V133" s="1855">
        <f>20*20</f>
        <v>400</v>
      </c>
      <c r="W133" s="1828">
        <v>0.25</v>
      </c>
      <c r="X133" s="157"/>
      <c r="Y133" s="158"/>
      <c r="Z133" s="159"/>
      <c r="AA133" s="160"/>
      <c r="AB133" s="1985"/>
      <c r="AC133" s="1988"/>
      <c r="AD133" s="168"/>
      <c r="AE133" s="98">
        <f>$AB130/$M$114+$AC130/$M$115</f>
        <v>0</v>
      </c>
      <c r="AF133" s="97">
        <f t="shared" si="12"/>
        <v>1</v>
      </c>
      <c r="AG133" s="91">
        <f>$C$7*$C$8*$W$133*$F$120*$V$133/400*$E$115*$E$116*$Q$132*$R$132/1/1/$F$132^2/$J$132^2/$K$130^2*AF133*10^6</f>
        <v>6.1159999999999988</v>
      </c>
      <c r="AH133" s="98">
        <f>$AB130/$M$114+$AC130/$M$115</f>
        <v>0</v>
      </c>
      <c r="AI133" s="97">
        <f t="shared" si="13"/>
        <v>1</v>
      </c>
      <c r="AJ133" s="91">
        <f>$C$7*$D$8*$W$133*$G$120*$V$133/400*$E$115*$E$116*$Q$132*$R$132/1/1/$F$132^2/$J$132^2/$K$130^2*AI133*10^6</f>
        <v>5.9399999999999995</v>
      </c>
      <c r="AK133" s="98">
        <f>$AB130/$M$114+$AC130/$M$115</f>
        <v>0</v>
      </c>
      <c r="AL133" s="97">
        <f t="shared" si="14"/>
        <v>1</v>
      </c>
      <c r="AM133" s="91">
        <f>$C$7*$E$8*$W$133*$H$120*$V$133/400*$E$115*$E$116*$Q$132*$R$132/1/1/$F$132^2/$J$132^2/$K$130^2*AL133*10^6</f>
        <v>3.8015999999999992</v>
      </c>
      <c r="AN133" s="98">
        <f>$AB130/$M$114+$AC130/$M$115</f>
        <v>0</v>
      </c>
      <c r="AO133" s="97">
        <f t="shared" si="15"/>
        <v>1</v>
      </c>
      <c r="AP133" s="91">
        <f>$C$7*$F$8*$W$133*$I$120*$V$133/400*$E$115*$E$116*$R$132*$Q$132/1/1/$F$132^2/$J$132^2/$K$130^2*AO133*10^6</f>
        <v>5.7200000000000006</v>
      </c>
      <c r="AQ133" s="98">
        <f>$AB130/$M$114+$AC130/$M$115</f>
        <v>0</v>
      </c>
      <c r="AR133" s="97">
        <f t="shared" si="16"/>
        <v>1</v>
      </c>
      <c r="AS133" s="76">
        <f>$C$7*$G$8*$W$133*$J$120*$V$133/400*$E$115*$E$116*$Q$132*$R$132/1/1/$F$132^2/$J$132^2/$K$130^2*AR133*10^6</f>
        <v>5.2799999999999994</v>
      </c>
      <c r="AT133" s="513">
        <f t="shared" si="17"/>
        <v>26.857599999999998</v>
      </c>
      <c r="AU133" s="516"/>
      <c r="AV133" s="222"/>
      <c r="AW133" s="520"/>
      <c r="AX133" s="222"/>
      <c r="AY133" s="211"/>
      <c r="AZ133" s="222"/>
      <c r="BA133" s="222"/>
      <c r="BB133" s="225"/>
      <c r="BC133" s="225"/>
      <c r="BD133" s="225"/>
      <c r="BE133" s="225"/>
      <c r="BF133" s="225"/>
      <c r="BG133" s="300"/>
      <c r="BH133" s="300"/>
      <c r="BI133" s="300"/>
      <c r="BJ133" s="522"/>
      <c r="BK133" s="522"/>
      <c r="BL133" s="522"/>
    </row>
    <row r="134" spans="1:90" s="212" customFormat="1" ht="30" customHeight="1" x14ac:dyDescent="0.25">
      <c r="A134" s="221"/>
      <c r="B134" s="517"/>
      <c r="C134" s="523" t="s">
        <v>33</v>
      </c>
      <c r="D134" s="109"/>
      <c r="E134" s="114"/>
      <c r="F134" s="114"/>
      <c r="G134" s="114"/>
      <c r="H134" s="114"/>
      <c r="I134" s="114"/>
      <c r="J134" s="114"/>
      <c r="K134" s="125"/>
      <c r="L134" s="2028">
        <v>5</v>
      </c>
      <c r="M134" s="2028">
        <v>10</v>
      </c>
      <c r="N134" s="130"/>
      <c r="O134" s="132"/>
      <c r="P134" s="132"/>
      <c r="Q134" s="132"/>
      <c r="R134" s="135"/>
      <c r="S134" s="1851">
        <v>225</v>
      </c>
      <c r="T134" s="1854">
        <v>1</v>
      </c>
      <c r="U134" s="1851">
        <v>1</v>
      </c>
      <c r="V134" s="145"/>
      <c r="W134" s="146"/>
      <c r="X134" s="161"/>
      <c r="Y134" s="162"/>
      <c r="Z134" s="122"/>
      <c r="AA134" s="163"/>
      <c r="AB134" s="1985"/>
      <c r="AC134" s="1988"/>
      <c r="AD134" s="1858">
        <v>0</v>
      </c>
      <c r="AE134" s="91">
        <f>$AB130/$N$114+$AC130/$N$115+$AD134/$N$116</f>
        <v>0</v>
      </c>
      <c r="AF134" s="97">
        <f t="shared" si="12"/>
        <v>1</v>
      </c>
      <c r="AG134" s="91">
        <f>$C$7*$C$8*($C$9+$C$10*$C$11)*0.0000000000000024*($C$16*$C$17*10^12/(4*PI()*$L$134^2)+5.4*$C$16*$C$17*10^12/(2*PI()*$S$134)+1.3*$C$17*10^12/(2*PI()*$S$134))*(SQRT($T$134/$U$134)*((1.64*10^(-$M$134/1.9)+10^(-$M$134/(2.06*SQRT($U$134))))*(1-$G$125)*$AF$134*10^6))</f>
        <v>0.11345901793121269</v>
      </c>
      <c r="AH134" s="91">
        <f>$AB130/$N$114+$AC130/$N$115+$AD134/$N$116</f>
        <v>0</v>
      </c>
      <c r="AI134" s="97">
        <f t="shared" si="13"/>
        <v>1</v>
      </c>
      <c r="AJ134" s="91">
        <f>$C$7*$D$8*($D$9+$D$10*$D$11)*0.0000000000000024*($C$16*$D$17*10^12/(4*PI()*$L$134^2)+5.4*$C$16*$D$17*10^12/(2*PI()*$S$134)+1.3*$D$17*10^12/(2*PI()*$S$134))*(SQRT($T$134/$U$134)*((1.64*10^(-$M$134/1.9)+10^(-$M$134/(2.06*SQRT($U$134))))*(1-$G$125)*$AI$134*10^6))</f>
        <v>0.11345901793121269</v>
      </c>
      <c r="AK134" s="91">
        <f>$AB130/$N$114+$AC130/$N$115+$AD134/$N$116</f>
        <v>0</v>
      </c>
      <c r="AL134" s="97">
        <f t="shared" si="14"/>
        <v>1</v>
      </c>
      <c r="AM134" s="91">
        <f>$C$7*$E$8*($E$9+$E$10*$E$11)*0.0000000000000024*($C$16*$E$17*10^12/(4*PI()*$L$134^2)+5.4*$C$16*$E$17*10^12/(2*PI()*$S$134)+1.3*$E$17*10^12/(2*PI()*$S$134))*(SQRT($T$134/$U$134)*((1.64*10^(-$M$134/1.9)+10^(-$M$134/(2.06*SQRT($U$134))))*(1-$G$125)*$AL$134*10^6))</f>
        <v>0.11345901793121269</v>
      </c>
      <c r="AN134" s="91">
        <f>$AB130/$N$114+$AC130/$N$115+$AD134/$N$116</f>
        <v>0</v>
      </c>
      <c r="AO134" s="97">
        <f t="shared" si="15"/>
        <v>1</v>
      </c>
      <c r="AP134" s="91">
        <f>$C$7*$F$8*($F$9+$F$10*$F$11)*0.0000000000000024*($C$16*$F$17*10^12/(4*PI()*$L$134^2)+5.4*$C$16*$F$17*10^12/(2*PI()*$S$134)+1.3*$F$17*10^12/(2*PI()*$S$134))*(SQRT($T$134/$U$134)*((1.64*10^(-$M$134/1.9)+10^(-$M$134/(2.06*SQRT($U$134))))*(1-$G$125)*$AO$134*10^6))</f>
        <v>0.11345901793121269</v>
      </c>
      <c r="AQ134" s="91">
        <f>$AB130/$N$114+$AC130/$N$115+$AD134/$N$116</f>
        <v>0</v>
      </c>
      <c r="AR134" s="97">
        <f t="shared" si="16"/>
        <v>1</v>
      </c>
      <c r="AS134" s="76">
        <f>$C$7*$G$8*($G$9+$G$10*$G$11)*0.0000000000000024*($C$16*$G$17*10^12/(4*PI()*$L$134^2)+5.4*$C$16*$G$17*10^12/(2*PI()*$S$134)+1.3*$G$17*10^12/(2*PI()*$S$134))*(SQRT($T$134/$U$134)*((1.64*10^(-$M$134/1.9)+10^(-$M$134/(2.06*SQRT($U$134))))*(1-$G$125)*$AR$134*10^6))</f>
        <v>0.11345901793121269</v>
      </c>
      <c r="AT134" s="513">
        <f t="shared" si="17"/>
        <v>0.56729508965606346</v>
      </c>
      <c r="AU134" s="516"/>
      <c r="AV134" s="222"/>
      <c r="AW134" s="189"/>
      <c r="AX134" s="222"/>
      <c r="AY134" s="211"/>
      <c r="AZ134" s="222"/>
      <c r="BA134" s="222"/>
      <c r="BB134" s="225"/>
      <c r="BC134" s="225"/>
      <c r="BD134" s="225"/>
      <c r="BE134" s="225"/>
      <c r="BF134" s="225"/>
      <c r="BG134" s="300"/>
      <c r="BH134" s="300"/>
      <c r="BI134" s="300"/>
      <c r="BJ134" s="522"/>
      <c r="BK134" s="522"/>
      <c r="BL134" s="522"/>
    </row>
    <row r="135" spans="1:90" s="212" customFormat="1" ht="30" customHeight="1" thickBot="1" x14ac:dyDescent="0.3">
      <c r="A135" s="226"/>
      <c r="B135" s="524"/>
      <c r="C135" s="525" t="s">
        <v>157</v>
      </c>
      <c r="D135" s="110"/>
      <c r="E135" s="115"/>
      <c r="F135" s="115"/>
      <c r="G135" s="115"/>
      <c r="H135" s="115"/>
      <c r="I135" s="115"/>
      <c r="J135" s="115"/>
      <c r="K135" s="126"/>
      <c r="L135" s="1989"/>
      <c r="M135" s="1989"/>
      <c r="N135" s="131"/>
      <c r="O135" s="115"/>
      <c r="P135" s="115"/>
      <c r="Q135" s="136"/>
      <c r="R135" s="136"/>
      <c r="S135" s="115"/>
      <c r="T135" s="115"/>
      <c r="U135" s="126"/>
      <c r="V135" s="147"/>
      <c r="W135" s="148"/>
      <c r="X135" s="164"/>
      <c r="Y135" s="165"/>
      <c r="Z135" s="166"/>
      <c r="AA135" s="167"/>
      <c r="AB135" s="1986"/>
      <c r="AC135" s="1989"/>
      <c r="AD135" s="170"/>
      <c r="AE135" s="172">
        <f>$AB130/$O$114+$AC130/$O$115</f>
        <v>0</v>
      </c>
      <c r="AF135" s="173">
        <f t="shared" si="12"/>
        <v>1</v>
      </c>
      <c r="AG135" s="174">
        <f>$C$7*$C$8*($C$9+$C$10*$C$11)*$Q$111*($C$16*$C$17*10^12/(4*PI()*$L$134^2)+5.4*$C$16*$C$17*10^12/(2*PI()*$S$134)+1.3*$C$17*10^12/(2*PI()*$S$134))*10^-($M$134/$Q$113)*(1-$G$126)*AF135*10^6</f>
        <v>38.968367421659991</v>
      </c>
      <c r="AH135" s="172">
        <f>$AB130/$O$114+$AC130/$O$115</f>
        <v>0</v>
      </c>
      <c r="AI135" s="173">
        <f t="shared" si="13"/>
        <v>1</v>
      </c>
      <c r="AJ135" s="175">
        <f>$C$7*$D$8*($D$9+$D$10*$D$11)*$Q$111*($C$16*$D$17*10^12/(4*PI()*$L$134^2)+5.4*$C$16*$D$17*10^12/(2*PI()*$S$134)+1.3*$D$17*10^12/(2*PI()*$S$134))*10^-($M$134/$Q$113)*(1-$G$126)*AI135*10^6</f>
        <v>38.968367421659991</v>
      </c>
      <c r="AK135" s="176">
        <f>$AB130/$O$114+$AC130/$O$115</f>
        <v>0</v>
      </c>
      <c r="AL135" s="173">
        <f t="shared" si="14"/>
        <v>1</v>
      </c>
      <c r="AM135" s="175">
        <f>$C$7*$E$8*($E$9+$E$10*$E$11)*$Q$111*($C$16*$E$17*10^12/(4*PI()*$L$134^2)+5.4*$C$16*$E$17*10^12/(2*PI()*$S$134)+1.3*$E$17*10^12/(2*PI()*$S$134))*10^-($M$134/$Q$113)*(1-$G$126)*AL135*10^6</f>
        <v>38.968367421659991</v>
      </c>
      <c r="AN135" s="172">
        <f>$AB130/$O$114+$AC130/$O$115</f>
        <v>0</v>
      </c>
      <c r="AO135" s="173">
        <f t="shared" si="15"/>
        <v>1</v>
      </c>
      <c r="AP135" s="175">
        <f>$C$7*$F$8*($F$9+$F$10*$F$11)*$Q$111*($C$16*$F$17*10^12/(4*PI()*$L$134^2)+5.4*$C$16*$F$17*10^12/(2*PI()*$S$134)+1.3*$F$17*10^12/(2*PI()*$S$134))*10^-($M$134/$Q$113)*(1-$G$126)*AO135*10^6</f>
        <v>38.968367421659991</v>
      </c>
      <c r="AQ135" s="172">
        <f>$AB130/$O$114+$AC130/$O$115</f>
        <v>0</v>
      </c>
      <c r="AR135" s="173">
        <f t="shared" si="16"/>
        <v>1</v>
      </c>
      <c r="AS135" s="177">
        <f>$C$7*$G$8*($G$9+$G$10*$G$11)*$Q$111*($C$16*$G$17*10^12/(4*PI()*$L$134^2)+5.4*$C$16*$G$17*10^12/(2*PI()*$S$134)+1.3*$G$17*10^12/(2*PI()*$S$134))*10^-($M$134/$Q$113)*(1-$G$126)*AR135*10^6</f>
        <v>38.968367421659991</v>
      </c>
      <c r="AT135" s="526">
        <f t="shared" si="17"/>
        <v>194.84183710829996</v>
      </c>
      <c r="AU135" s="527"/>
      <c r="AV135" s="222"/>
      <c r="AW135" s="189"/>
      <c r="AX135" s="222"/>
      <c r="AY135" s="211"/>
      <c r="AZ135" s="222"/>
      <c r="BA135" s="222"/>
      <c r="BB135" s="225"/>
      <c r="BC135" s="225"/>
      <c r="BD135" s="225"/>
      <c r="BE135" s="225"/>
      <c r="BF135" s="225"/>
      <c r="BG135" s="300"/>
      <c r="BH135" s="300"/>
      <c r="BI135" s="300"/>
      <c r="BJ135" s="522"/>
      <c r="BK135" s="522"/>
      <c r="BL135" s="522"/>
    </row>
    <row r="136" spans="1:90" s="212" customFormat="1" ht="30" hidden="1" customHeight="1" x14ac:dyDescent="0.25">
      <c r="A136" s="222"/>
      <c r="B136" s="222"/>
      <c r="C136" s="282"/>
      <c r="D136" s="282"/>
      <c r="E136" s="211"/>
      <c r="F136" s="211"/>
      <c r="G136" s="211"/>
      <c r="H136" s="211"/>
      <c r="I136" s="211"/>
      <c r="J136" s="211"/>
      <c r="K136" s="211"/>
      <c r="L136" s="57"/>
      <c r="M136" s="57"/>
      <c r="N136" s="211"/>
      <c r="O136" s="211"/>
      <c r="P136" s="211"/>
      <c r="Q136" s="211"/>
      <c r="R136" s="211"/>
      <c r="S136" s="211"/>
      <c r="T136" s="211"/>
      <c r="U136" s="211"/>
      <c r="V136" s="211"/>
      <c r="W136" s="211"/>
      <c r="X136" s="453"/>
      <c r="Y136" s="528"/>
      <c r="Z136" s="57"/>
      <c r="AA136" s="57"/>
      <c r="AB136" s="57"/>
      <c r="AC136" s="57"/>
      <c r="AD136" s="529"/>
      <c r="AE136" s="369"/>
      <c r="AF136" s="328"/>
      <c r="AG136" s="530"/>
      <c r="AH136" s="369"/>
      <c r="AI136" s="328"/>
      <c r="AJ136" s="530"/>
      <c r="AK136" s="369"/>
      <c r="AL136" s="328"/>
      <c r="AM136" s="530"/>
      <c r="AN136" s="369"/>
      <c r="AO136" s="328"/>
      <c r="AP136" s="530"/>
      <c r="AQ136" s="369"/>
      <c r="AR136" s="328"/>
      <c r="AS136" s="530"/>
      <c r="AT136" s="531"/>
      <c r="AU136" s="233"/>
      <c r="AV136" s="222"/>
      <c r="AW136" s="189"/>
      <c r="AX136" s="222"/>
      <c r="AY136" s="211"/>
      <c r="AZ136" s="222"/>
      <c r="BA136" s="222"/>
      <c r="BB136" s="225"/>
      <c r="BC136" s="225"/>
      <c r="BD136" s="225"/>
      <c r="BE136" s="225"/>
      <c r="BF136" s="225"/>
      <c r="BG136" s="300"/>
      <c r="BH136" s="300"/>
      <c r="BI136" s="300"/>
      <c r="BJ136" s="522"/>
      <c r="BK136" s="522"/>
      <c r="BL136" s="522"/>
    </row>
    <row r="137" spans="1:90" s="212" customFormat="1" ht="19.5" customHeight="1" x14ac:dyDescent="0.25">
      <c r="A137" s="222"/>
      <c r="B137" s="222"/>
      <c r="C137" s="282"/>
      <c r="D137" s="282"/>
      <c r="E137" s="211"/>
      <c r="F137" s="211"/>
      <c r="G137" s="211"/>
      <c r="H137" s="211"/>
      <c r="I137" s="211"/>
      <c r="J137" s="211"/>
      <c r="K137" s="211"/>
      <c r="L137" s="211"/>
      <c r="M137" s="211"/>
      <c r="N137" s="211"/>
      <c r="O137" s="211"/>
      <c r="P137" s="211"/>
      <c r="Q137" s="211"/>
      <c r="R137" s="211"/>
      <c r="S137" s="211"/>
      <c r="T137" s="211"/>
      <c r="U137" s="211"/>
      <c r="V137" s="211"/>
      <c r="W137" s="211"/>
      <c r="X137" s="453"/>
      <c r="Y137" s="528"/>
      <c r="Z137" s="57"/>
      <c r="AA137" s="57"/>
      <c r="AB137" s="57"/>
      <c r="AC137" s="57"/>
      <c r="AD137" s="529"/>
      <c r="AE137" s="369"/>
      <c r="AF137" s="328"/>
      <c r="AG137" s="530"/>
      <c r="AH137" s="369"/>
      <c r="AI137" s="328"/>
      <c r="AJ137" s="530"/>
      <c r="AK137" s="369"/>
      <c r="AL137" s="328"/>
      <c r="AM137" s="530"/>
      <c r="AN137" s="369"/>
      <c r="AO137" s="328"/>
      <c r="AP137" s="530"/>
      <c r="AQ137" s="369"/>
      <c r="AR137" s="328"/>
      <c r="AS137" s="530"/>
      <c r="AT137" s="369"/>
      <c r="AU137" s="233"/>
      <c r="AV137" s="222"/>
      <c r="AW137" s="189"/>
      <c r="AX137" s="222"/>
      <c r="AY137" s="211"/>
      <c r="AZ137" s="222"/>
      <c r="BA137" s="222"/>
      <c r="BB137" s="225"/>
      <c r="BC137" s="225"/>
      <c r="BD137" s="225"/>
      <c r="BE137" s="225"/>
      <c r="BF137" s="225"/>
      <c r="BG137" s="300"/>
      <c r="BH137" s="300"/>
      <c r="BI137" s="300"/>
      <c r="BJ137" s="522"/>
      <c r="BK137" s="522"/>
      <c r="BL137" s="522"/>
    </row>
    <row r="138" spans="1:90" s="212" customFormat="1" ht="19.5" customHeight="1" x14ac:dyDescent="0.25">
      <c r="A138" s="222"/>
      <c r="B138" s="222"/>
      <c r="C138" s="282"/>
      <c r="D138" s="282"/>
      <c r="E138" s="211"/>
      <c r="F138" s="211"/>
      <c r="G138" s="211"/>
      <c r="H138" s="211"/>
      <c r="I138" s="211"/>
      <c r="J138" s="211"/>
      <c r="K138" s="211"/>
      <c r="L138" s="211"/>
      <c r="M138" s="211"/>
      <c r="N138" s="211"/>
      <c r="O138" s="211"/>
      <c r="P138" s="211"/>
      <c r="Q138" s="211"/>
      <c r="R138" s="211"/>
      <c r="S138" s="211"/>
      <c r="T138" s="211"/>
      <c r="U138" s="211"/>
      <c r="V138" s="211"/>
      <c r="W138" s="57"/>
      <c r="X138" s="453"/>
      <c r="Y138" s="528"/>
      <c r="Z138" s="57"/>
      <c r="AA138" s="57"/>
      <c r="AB138" s="57"/>
      <c r="AC138" s="529"/>
      <c r="AD138" s="369"/>
      <c r="AE138" s="328"/>
      <c r="AF138" s="530"/>
      <c r="AG138" s="369"/>
      <c r="AH138" s="328"/>
      <c r="AI138" s="530"/>
      <c r="AJ138" s="369"/>
      <c r="AK138" s="328"/>
      <c r="AL138" s="530"/>
      <c r="AM138" s="369"/>
      <c r="AN138" s="328"/>
      <c r="AO138" s="530"/>
      <c r="AP138" s="369"/>
      <c r="AQ138" s="328"/>
      <c r="AR138" s="530"/>
      <c r="AS138" s="369"/>
      <c r="AT138" s="233"/>
      <c r="AU138" s="222"/>
      <c r="AV138" s="189"/>
      <c r="AW138" s="222"/>
      <c r="AX138" s="211"/>
      <c r="AY138" s="222"/>
      <c r="AZ138" s="222"/>
      <c r="BA138" s="225"/>
      <c r="BB138" s="225"/>
      <c r="BC138" s="225"/>
      <c r="BD138" s="225"/>
      <c r="BE138" s="225"/>
      <c r="BF138" s="300"/>
      <c r="BG138" s="300"/>
      <c r="BH138" s="300"/>
      <c r="BI138" s="522"/>
      <c r="BJ138" s="522"/>
      <c r="BK138" s="522"/>
    </row>
    <row r="139" spans="1:90" s="212" customFormat="1" ht="19.5" customHeight="1" thickBot="1" x14ac:dyDescent="0.3">
      <c r="A139" s="532" t="s">
        <v>645</v>
      </c>
      <c r="B139" s="533"/>
      <c r="C139" s="310"/>
      <c r="D139" s="57"/>
      <c r="E139" s="57"/>
      <c r="F139" s="57"/>
      <c r="G139" s="57"/>
      <c r="H139" s="57"/>
      <c r="I139" s="57"/>
      <c r="J139" s="57"/>
      <c r="K139" s="57"/>
      <c r="L139" s="529"/>
      <c r="M139" s="529"/>
      <c r="N139" s="529"/>
      <c r="O139" s="530"/>
      <c r="P139" s="328"/>
      <c r="Q139" s="369"/>
      <c r="R139" s="369"/>
      <c r="S139" s="328"/>
      <c r="T139" s="369"/>
      <c r="U139" s="369"/>
      <c r="V139" s="328"/>
      <c r="W139" s="369"/>
      <c r="X139" s="369"/>
      <c r="Y139" s="328"/>
      <c r="Z139" s="369"/>
      <c r="AA139" s="369"/>
      <c r="AB139" s="328"/>
      <c r="AC139" s="369"/>
      <c r="AD139" s="369"/>
      <c r="AE139" s="328"/>
      <c r="AF139" s="233"/>
      <c r="AG139" s="222"/>
      <c r="AH139" s="189"/>
      <c r="AI139" s="222"/>
      <c r="AJ139" s="211"/>
      <c r="AK139" s="222"/>
      <c r="AL139" s="222"/>
      <c r="AM139" s="225"/>
      <c r="AN139" s="225"/>
      <c r="AO139" s="225"/>
      <c r="AP139" s="225"/>
      <c r="AQ139" s="225"/>
      <c r="AR139" s="300"/>
      <c r="AS139" s="300"/>
      <c r="AT139" s="300"/>
      <c r="AU139" s="300"/>
      <c r="AV139" s="300"/>
      <c r="AW139" s="300"/>
      <c r="AX139" s="225"/>
      <c r="AY139" s="225"/>
      <c r="AZ139" s="225"/>
      <c r="BA139" s="225"/>
      <c r="BB139" s="225"/>
      <c r="BC139" s="225"/>
      <c r="BD139" s="225"/>
      <c r="BE139" s="225"/>
      <c r="BF139" s="225"/>
      <c r="BG139" s="225"/>
      <c r="BH139" s="225"/>
      <c r="BI139" s="225"/>
      <c r="BJ139" s="225"/>
      <c r="BK139" s="225"/>
      <c r="BL139" s="225"/>
    </row>
    <row r="140" spans="1:90" ht="19.5" customHeight="1" x14ac:dyDescent="0.25">
      <c r="C140" s="534"/>
      <c r="D140" s="535"/>
      <c r="E140" s="535"/>
      <c r="F140" s="535"/>
      <c r="G140" s="535"/>
      <c r="H140" s="536"/>
      <c r="I140" s="536"/>
      <c r="J140" s="536"/>
      <c r="K140" s="536"/>
      <c r="L140" s="536"/>
      <c r="M140" s="537"/>
      <c r="N140" s="473">
        <f>$C$4</f>
        <v>6</v>
      </c>
      <c r="O140" s="293"/>
      <c r="P140" s="2005">
        <f>$D$4</f>
        <v>10</v>
      </c>
      <c r="Q140" s="2006"/>
      <c r="R140" s="2007"/>
      <c r="S140" s="2005">
        <f>$E$4</f>
        <v>18</v>
      </c>
      <c r="T140" s="2006"/>
      <c r="U140" s="2007"/>
      <c r="V140" s="2005" t="str">
        <f>$F$4</f>
        <v>6 FFF</v>
      </c>
      <c r="W140" s="2006"/>
      <c r="X140" s="2007"/>
      <c r="Y140" s="2000" t="str">
        <f>$G$4</f>
        <v>10 FFF</v>
      </c>
      <c r="Z140" s="2001"/>
      <c r="AA140" s="2002"/>
      <c r="AB140" s="1995" t="s">
        <v>16</v>
      </c>
      <c r="AC140" s="1996"/>
      <c r="AD140" s="1997"/>
      <c r="AE140" s="538"/>
      <c r="AF140" s="538"/>
      <c r="AG140" s="538"/>
      <c r="AH140" s="538"/>
    </row>
    <row r="141" spans="1:90" s="212" customFormat="1" ht="19.5" customHeight="1" x14ac:dyDescent="0.25">
      <c r="A141" s="415" t="s">
        <v>50</v>
      </c>
      <c r="B141" s="415" t="s">
        <v>15</v>
      </c>
      <c r="C141" s="539" t="s">
        <v>25</v>
      </c>
      <c r="D141" s="402" t="s">
        <v>158</v>
      </c>
      <c r="E141" s="310"/>
      <c r="F141" s="540"/>
      <c r="G141" s="541" t="s">
        <v>529</v>
      </c>
      <c r="H141" s="301" t="s">
        <v>524</v>
      </c>
      <c r="I141" s="542"/>
      <c r="J141" s="541" t="s">
        <v>77</v>
      </c>
      <c r="K141" s="541"/>
      <c r="L141" s="543"/>
      <c r="M141" s="1998" t="s">
        <v>216</v>
      </c>
      <c r="N141" s="301" t="s">
        <v>206</v>
      </c>
      <c r="O141" s="301" t="s">
        <v>16</v>
      </c>
      <c r="P141" s="1998" t="s">
        <v>216</v>
      </c>
      <c r="Q141" s="301" t="s">
        <v>206</v>
      </c>
      <c r="R141" s="301" t="s">
        <v>16</v>
      </c>
      <c r="S141" s="1998" t="s">
        <v>216</v>
      </c>
      <c r="T141" s="301" t="s">
        <v>206</v>
      </c>
      <c r="U141" s="301" t="s">
        <v>16</v>
      </c>
      <c r="V141" s="1998" t="s">
        <v>216</v>
      </c>
      <c r="W141" s="301" t="s">
        <v>206</v>
      </c>
      <c r="X141" s="301" t="s">
        <v>16</v>
      </c>
      <c r="Y141" s="1998" t="s">
        <v>216</v>
      </c>
      <c r="Z141" s="301" t="s">
        <v>206</v>
      </c>
      <c r="AA141" s="304" t="s">
        <v>16</v>
      </c>
      <c r="AB141" s="544" t="s">
        <v>23</v>
      </c>
      <c r="AC141" s="1993" t="s">
        <v>178</v>
      </c>
      <c r="AD141" s="1994"/>
      <c r="AE141" s="538"/>
      <c r="AF141" s="538"/>
      <c r="AG141" s="538"/>
      <c r="AH141" s="538"/>
      <c r="AI141" s="538"/>
      <c r="AJ141" s="538"/>
      <c r="AK141" s="538"/>
      <c r="AL141" s="538"/>
      <c r="AM141" s="538"/>
      <c r="AN141" s="538"/>
      <c r="AO141" s="538"/>
      <c r="AP141" s="538"/>
      <c r="AQ141" s="538"/>
      <c r="AR141" s="538"/>
      <c r="AS141" s="545"/>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69"/>
      <c r="BO141" s="233"/>
      <c r="BP141" s="233"/>
      <c r="BQ141" s="222"/>
      <c r="BR141" s="233"/>
      <c r="BS141" s="222"/>
      <c r="BT141" s="211"/>
      <c r="BU141" s="222"/>
      <c r="BV141" s="222"/>
      <c r="BW141" s="225"/>
      <c r="BX141" s="225"/>
      <c r="BY141" s="225"/>
      <c r="BZ141" s="225"/>
      <c r="CA141" s="225"/>
      <c r="CB141" s="300"/>
      <c r="CC141" s="300"/>
      <c r="CD141" s="300"/>
      <c r="CE141" s="522"/>
      <c r="CF141" s="522"/>
      <c r="CG141" s="522"/>
    </row>
    <row r="142" spans="1:90" s="212" customFormat="1" ht="19.5" customHeight="1" thickBot="1" x14ac:dyDescent="0.3">
      <c r="A142" s="312"/>
      <c r="B142" s="312"/>
      <c r="C142" s="546"/>
      <c r="D142" s="313" t="s">
        <v>383</v>
      </c>
      <c r="E142" s="313" t="s">
        <v>384</v>
      </c>
      <c r="F142" s="313" t="s">
        <v>385</v>
      </c>
      <c r="G142" s="541" t="s">
        <v>28</v>
      </c>
      <c r="H142" s="312" t="s">
        <v>528</v>
      </c>
      <c r="I142" s="542" t="s">
        <v>2</v>
      </c>
      <c r="J142" s="547" t="s">
        <v>61</v>
      </c>
      <c r="K142" s="541" t="s">
        <v>3</v>
      </c>
      <c r="L142" s="547" t="s">
        <v>22</v>
      </c>
      <c r="M142" s="1999"/>
      <c r="N142" s="314" t="s">
        <v>207</v>
      </c>
      <c r="O142" s="315" t="s">
        <v>174</v>
      </c>
      <c r="P142" s="1999"/>
      <c r="Q142" s="314" t="s">
        <v>207</v>
      </c>
      <c r="R142" s="315" t="s">
        <v>174</v>
      </c>
      <c r="S142" s="1999"/>
      <c r="T142" s="314" t="s">
        <v>207</v>
      </c>
      <c r="U142" s="315" t="s">
        <v>174</v>
      </c>
      <c r="V142" s="1999"/>
      <c r="W142" s="314" t="s">
        <v>207</v>
      </c>
      <c r="X142" s="315" t="s">
        <v>174</v>
      </c>
      <c r="Y142" s="1999"/>
      <c r="Z142" s="314" t="s">
        <v>207</v>
      </c>
      <c r="AA142" s="178" t="s">
        <v>174</v>
      </c>
      <c r="AB142" s="548" t="s">
        <v>173</v>
      </c>
      <c r="AC142" s="549" t="s">
        <v>173</v>
      </c>
      <c r="AD142" s="550" t="s">
        <v>166</v>
      </c>
      <c r="AE142" s="538"/>
      <c r="AF142" s="538"/>
      <c r="AG142" s="538"/>
      <c r="AH142" s="538"/>
      <c r="AI142" s="551"/>
      <c r="AJ142" s="538"/>
      <c r="AK142" s="538"/>
      <c r="AL142" s="538"/>
      <c r="AM142" s="538"/>
      <c r="AN142" s="538"/>
      <c r="AO142" s="538"/>
      <c r="AP142" s="538"/>
      <c r="AQ142" s="538"/>
      <c r="AR142" s="538"/>
      <c r="AS142" s="538"/>
      <c r="AT142" s="538"/>
      <c r="AU142" s="538"/>
      <c r="AV142" s="538"/>
      <c r="AW142" s="538"/>
      <c r="AX142" s="545"/>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69"/>
      <c r="BT142" s="233"/>
      <c r="BU142" s="233"/>
      <c r="BV142" s="222"/>
      <c r="BW142" s="233"/>
      <c r="BX142" s="222"/>
      <c r="BY142" s="211"/>
      <c r="BZ142" s="222"/>
      <c r="CA142" s="222"/>
      <c r="CB142" s="225"/>
      <c r="CC142" s="225"/>
      <c r="CD142" s="225"/>
      <c r="CE142" s="225"/>
      <c r="CF142" s="225"/>
      <c r="CG142" s="300"/>
      <c r="CH142" s="300"/>
      <c r="CI142" s="300"/>
      <c r="CJ142" s="522"/>
      <c r="CK142" s="522"/>
      <c r="CL142" s="522"/>
    </row>
    <row r="143" spans="1:90" s="212" customFormat="1" ht="19.5" hidden="1" customHeight="1" thickBot="1" x14ac:dyDescent="0.3">
      <c r="A143" s="414"/>
      <c r="B143" s="317"/>
      <c r="C143" s="318"/>
      <c r="D143" s="318"/>
      <c r="E143" s="318"/>
      <c r="F143" s="318"/>
      <c r="G143" s="340"/>
      <c r="H143" s="317"/>
      <c r="I143" s="414"/>
      <c r="J143" s="317"/>
      <c r="K143" s="340"/>
      <c r="L143" s="317"/>
      <c r="M143" s="318"/>
      <c r="N143" s="77"/>
      <c r="O143" s="78"/>
      <c r="P143" s="318"/>
      <c r="Q143" s="77"/>
      <c r="R143" s="78"/>
      <c r="S143" s="318"/>
      <c r="T143" s="77"/>
      <c r="U143" s="78"/>
      <c r="V143" s="318"/>
      <c r="W143" s="77"/>
      <c r="X143" s="78"/>
      <c r="Y143" s="318"/>
      <c r="Z143" s="77"/>
      <c r="AA143" s="79"/>
      <c r="AB143" s="335"/>
      <c r="AC143" s="79"/>
      <c r="AD143" s="345"/>
      <c r="AE143" s="538"/>
      <c r="AF143" s="538"/>
      <c r="AG143" s="538"/>
      <c r="AH143" s="538"/>
      <c r="AI143" s="551"/>
      <c r="AJ143" s="538"/>
      <c r="AK143" s="538"/>
      <c r="AL143" s="538"/>
      <c r="AM143" s="538"/>
      <c r="AN143" s="538"/>
      <c r="AO143" s="538"/>
      <c r="AP143" s="538"/>
      <c r="AQ143" s="538"/>
      <c r="AR143" s="538"/>
      <c r="AS143" s="538"/>
      <c r="AT143" s="538"/>
      <c r="AU143" s="538"/>
      <c r="AV143" s="538"/>
      <c r="AW143" s="538"/>
      <c r="AX143" s="545"/>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69"/>
      <c r="BT143" s="233"/>
      <c r="BU143" s="233"/>
      <c r="BV143" s="222"/>
      <c r="BW143" s="233"/>
      <c r="BX143" s="222"/>
      <c r="BY143" s="211"/>
      <c r="BZ143" s="222"/>
      <c r="CA143" s="222"/>
      <c r="CB143" s="225"/>
      <c r="CC143" s="225"/>
      <c r="CD143" s="225"/>
      <c r="CE143" s="225"/>
      <c r="CF143" s="225"/>
      <c r="CG143" s="300"/>
      <c r="CH143" s="300"/>
      <c r="CI143" s="300"/>
      <c r="CJ143" s="522"/>
      <c r="CK143" s="522"/>
      <c r="CL143" s="522"/>
    </row>
    <row r="144" spans="1:90" s="212" customFormat="1" ht="30" customHeight="1" x14ac:dyDescent="0.25">
      <c r="A144" s="552"/>
      <c r="B144" s="322"/>
      <c r="C144" s="323" t="s">
        <v>569</v>
      </c>
      <c r="D144" s="1836">
        <v>1</v>
      </c>
      <c r="E144" s="89"/>
      <c r="F144" s="89"/>
      <c r="G144" s="89"/>
      <c r="H144" s="1836">
        <v>0.25</v>
      </c>
      <c r="I144" s="1836">
        <v>250</v>
      </c>
      <c r="J144" s="1836">
        <v>0</v>
      </c>
      <c r="K144" s="1836">
        <v>0</v>
      </c>
      <c r="L144" s="1836">
        <v>0</v>
      </c>
      <c r="M144" s="91">
        <f>IF($I144=0,0,1+($I144-$C$21)/$C$22)+$J144/$C$23+$K144/$C$24+$L144/$C$25</f>
        <v>7.4545454545454541</v>
      </c>
      <c r="N144" s="92">
        <f t="shared" ref="N144:N162" si="18">10^(-M144)</f>
        <v>3.5111917342151263E-8</v>
      </c>
      <c r="O144" s="93">
        <f>$C$7*$C$14*$C$8*$H144/$D144^2*N144*10^6</f>
        <v>7.022383468430253E-2</v>
      </c>
      <c r="P144" s="91">
        <f>IF($I144=0,0,1+($I144-$D$21)/$D$22)+$J144/$D$23+$K144/$D$24+$L144/$D$25</f>
        <v>6.6486486486486482</v>
      </c>
      <c r="Q144" s="92">
        <f t="shared" ref="Q144:Q162" si="19">10^(-P144)</f>
        <v>2.2456979955397711E-7</v>
      </c>
      <c r="R144" s="93">
        <f>$C$7*$D$14*$D$8*$H144/$D144^2*$Q144*10^6</f>
        <v>0.4491395991079542</v>
      </c>
      <c r="S144" s="93">
        <f>IF($I144=0,0,1+(I144-$E$21)/$E$22)+$J144/$E$23+K144/$E$24+$L144/$E$25</f>
        <v>5.7674418604651159</v>
      </c>
      <c r="T144" s="92">
        <f t="shared" ref="T144:T162" si="20">10^(-S144)</f>
        <v>1.7082763938087111E-6</v>
      </c>
      <c r="U144" s="93">
        <f>$C$7*$E$14*$E$8*$H144/$D144^2*$T144*10^6</f>
        <v>3.4165527876174222</v>
      </c>
      <c r="V144" s="93">
        <f>IF($I144=0,0,1+(I144-$F$21)/$F$22)+$J144/$F$23+K144/$F$24+$L144/$F$25</f>
        <v>9.1481481481481488</v>
      </c>
      <c r="W144" s="92">
        <f t="shared" ref="W144:W162" si="21">10^(-V144)</f>
        <v>7.1097094323124171E-10</v>
      </c>
      <c r="X144" s="93">
        <f>$C$7*$F$14*$F$8*$H144/$D144^2*$W144*10^6</f>
        <v>1.4219418864624834E-3</v>
      </c>
      <c r="Y144" s="93">
        <f>IF($I144=0,0,1+(I144-$G$21)/$G$22)+$J144/$G$23+K144/$G$24+$L144/$G$25</f>
        <v>6.9444444444444446</v>
      </c>
      <c r="Z144" s="92">
        <f t="shared" ref="Z144:Z162" si="22">10^(-Y144)</f>
        <v>1.136463666385722E-7</v>
      </c>
      <c r="AA144" s="94">
        <f>$C$7*$G$14*$G$8*$H144/$D144^2*$Z144*10^6</f>
        <v>0.22729273327714439</v>
      </c>
      <c r="AB144" s="553">
        <f>SUM(O144,R144,U144,X144,AA144)</f>
        <v>4.1646308965732857</v>
      </c>
      <c r="AC144" s="554"/>
      <c r="AD144" s="555"/>
      <c r="AE144" s="538"/>
      <c r="AF144" s="538"/>
      <c r="AG144" s="538"/>
      <c r="AH144" s="556"/>
      <c r="AI144" s="551"/>
      <c r="AJ144" s="551"/>
      <c r="AK144" s="551"/>
      <c r="AL144" s="538"/>
      <c r="AM144" s="538"/>
      <c r="AN144" s="538"/>
      <c r="AO144" s="538"/>
      <c r="AP144" s="538"/>
      <c r="AQ144" s="538"/>
      <c r="AR144" s="538"/>
      <c r="AS144" s="538"/>
      <c r="AT144" s="538"/>
      <c r="AU144" s="538"/>
      <c r="AV144" s="538"/>
      <c r="AW144" s="538"/>
      <c r="AX144" s="545"/>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69"/>
      <c r="BT144" s="233"/>
      <c r="BU144" s="233"/>
      <c r="BV144" s="222"/>
      <c r="BW144" s="222"/>
      <c r="BX144" s="222"/>
      <c r="BY144" s="211"/>
      <c r="BZ144" s="222"/>
      <c r="CA144" s="222"/>
      <c r="CB144" s="225"/>
      <c r="CC144" s="225"/>
      <c r="CD144" s="225"/>
      <c r="CE144" s="225"/>
      <c r="CF144" s="225"/>
      <c r="CG144" s="300"/>
      <c r="CH144" s="300"/>
      <c r="CI144" s="300"/>
      <c r="CJ144" s="522"/>
      <c r="CK144" s="522"/>
      <c r="CL144" s="522"/>
    </row>
    <row r="145" spans="1:90" s="212" customFormat="1" ht="30" customHeight="1" x14ac:dyDescent="0.25">
      <c r="A145" s="557" t="str">
        <f>Samenvatting!A332</f>
        <v>T1</v>
      </c>
      <c r="B145" s="558" t="str">
        <f>Samenvatting!B332</f>
        <v>terreingrens 1</v>
      </c>
      <c r="C145" s="331" t="s">
        <v>568</v>
      </c>
      <c r="D145" s="1836">
        <v>25</v>
      </c>
      <c r="E145" s="89"/>
      <c r="F145" s="89"/>
      <c r="G145" s="89"/>
      <c r="H145" s="559"/>
      <c r="I145" s="1836">
        <v>250</v>
      </c>
      <c r="J145" s="1836">
        <v>0</v>
      </c>
      <c r="K145" s="1836">
        <v>0</v>
      </c>
      <c r="L145" s="1836">
        <v>0</v>
      </c>
      <c r="M145" s="93">
        <f>$I145/$C$27+$J145/$C$28+K145/$C$29+$L145/$C$30</f>
        <v>7.3529411764705879</v>
      </c>
      <c r="N145" s="92">
        <f t="shared" si="18"/>
        <v>4.4366873309786093E-8</v>
      </c>
      <c r="O145" s="93">
        <f>$C$7*$C$15*$C$8*($C$9+$C$10*$C$11)/$D145^2*$N145*10^6</f>
        <v>4.2592198377394652E-5</v>
      </c>
      <c r="P145" s="93">
        <f>$I145/$D$27+$J145/$D$28+K145/$D$29+$L145/$D$30</f>
        <v>6.5789473684210522</v>
      </c>
      <c r="Q145" s="92">
        <f t="shared" si="19"/>
        <v>2.636650898730358E-7</v>
      </c>
      <c r="R145" s="93">
        <f>$C$7*$C$15*$D$8*($D$9+$D$10*$D$11)/$D145^2*$Q145*10^6</f>
        <v>2.5311848627811444E-4</v>
      </c>
      <c r="S145" s="93">
        <f>$I145/$E$27+$J145/$E$28+K145/$E$29+$L145/$E$30</f>
        <v>5.6818181818181817</v>
      </c>
      <c r="T145" s="92">
        <f t="shared" si="20"/>
        <v>2.0805675382171676E-6</v>
      </c>
      <c r="U145" s="93">
        <f>$C$7*$C$15*$E$8*($E$9+$E$10*$E$11)/$D145^2*$T145*10^6</f>
        <v>1.9973448366884814E-3</v>
      </c>
      <c r="V145" s="93">
        <f>$I145/$F$27+$J145/$F$28+K145/$F$29+$L145/$F$30</f>
        <v>8.1967213114754092</v>
      </c>
      <c r="W145" s="92">
        <f t="shared" si="21"/>
        <v>6.3573875711648393E-9</v>
      </c>
      <c r="X145" s="93">
        <f>$C$7*$C$15*$F$8*($F$9+$F$10*$F$11)/$D145^2*$W145*10^6</f>
        <v>6.1030920683182469E-6</v>
      </c>
      <c r="Y145" s="93">
        <f>$I145/$G$27+$J145/$G$28+K145/$G$29+$L145/$G$30</f>
        <v>7.0224719101123592</v>
      </c>
      <c r="Z145" s="92">
        <f t="shared" si="22"/>
        <v>9.4957241494880226E-8</v>
      </c>
      <c r="AA145" s="94">
        <f>$C$7*$C$15*$G$8*($G$9+$G$10*$G$11)/$D145^2*$Z145*10^6</f>
        <v>9.1158951835085031E-5</v>
      </c>
      <c r="AB145" s="560">
        <f>SUM(O145,R145,U145,X145,AA145)</f>
        <v>2.3903175652473939E-3</v>
      </c>
      <c r="AC145" s="561">
        <f>SUM(AB143:AB148)</f>
        <v>4.1670929152189826</v>
      </c>
      <c r="AD145" s="562">
        <f>AC145*52/10^3</f>
        <v>0.2166888315913871</v>
      </c>
      <c r="AE145" s="538"/>
      <c r="AF145" s="538"/>
      <c r="AG145" s="538"/>
      <c r="AH145" s="556"/>
      <c r="AI145" s="563"/>
      <c r="AJ145" s="551"/>
      <c r="AK145" s="551"/>
      <c r="AL145" s="538"/>
      <c r="AM145" s="538"/>
      <c r="AN145" s="538"/>
      <c r="AO145" s="538"/>
      <c r="AP145" s="538"/>
      <c r="AQ145" s="538"/>
      <c r="AR145" s="538"/>
      <c r="AS145" s="538"/>
      <c r="AT145" s="538"/>
      <c r="AU145" s="538"/>
      <c r="AV145" s="538"/>
      <c r="AW145" s="538"/>
      <c r="AX145" s="545"/>
      <c r="AY145" s="545"/>
      <c r="AZ145" s="545"/>
      <c r="BA145" s="545"/>
      <c r="BB145" s="328"/>
      <c r="BC145" s="328"/>
      <c r="BD145" s="328"/>
      <c r="BE145" s="328"/>
      <c r="BF145" s="328"/>
      <c r="BG145" s="328"/>
      <c r="BH145" s="328"/>
      <c r="BI145" s="328"/>
      <c r="BJ145" s="328"/>
      <c r="BK145" s="328"/>
      <c r="BL145" s="328"/>
      <c r="BM145" s="328"/>
      <c r="BN145" s="328"/>
      <c r="BO145" s="328"/>
      <c r="BP145" s="328"/>
      <c r="BQ145" s="328"/>
      <c r="BR145" s="328"/>
      <c r="BS145" s="369"/>
      <c r="BT145" s="233"/>
      <c r="BU145" s="233"/>
      <c r="BV145" s="222"/>
      <c r="BW145" s="222"/>
      <c r="BX145" s="222"/>
      <c r="BY145" s="211"/>
      <c r="BZ145" s="222"/>
      <c r="CA145" s="222"/>
      <c r="CB145" s="225"/>
      <c r="CC145" s="225"/>
      <c r="CD145" s="225"/>
      <c r="CE145" s="225"/>
      <c r="CF145" s="225"/>
      <c r="CG145" s="300"/>
      <c r="CH145" s="300"/>
      <c r="CI145" s="300"/>
      <c r="CJ145" s="522"/>
      <c r="CK145" s="522"/>
      <c r="CL145" s="522"/>
    </row>
    <row r="146" spans="1:90" s="212" customFormat="1" ht="30" customHeight="1" x14ac:dyDescent="0.25">
      <c r="A146" s="557"/>
      <c r="B146" s="558"/>
      <c r="C146" s="331" t="s">
        <v>26</v>
      </c>
      <c r="D146" s="564"/>
      <c r="E146" s="1836">
        <v>11</v>
      </c>
      <c r="F146" s="89">
        <f>D145</f>
        <v>25</v>
      </c>
      <c r="G146" s="1836">
        <v>15</v>
      </c>
      <c r="H146" s="1836">
        <v>0.25</v>
      </c>
      <c r="I146" s="1836">
        <v>210</v>
      </c>
      <c r="J146" s="1836">
        <v>0</v>
      </c>
      <c r="K146" s="1836">
        <v>0</v>
      </c>
      <c r="L146" s="1836">
        <v>0</v>
      </c>
      <c r="M146" s="93">
        <f>IF($I146=0,0,1+(I146-$C$21)/$C$22)+$J146/$C$23+K146/$C$24+$L146/$C$25</f>
        <v>6.2424242424242422</v>
      </c>
      <c r="N146" s="92">
        <f t="shared" si="18"/>
        <v>5.722367659350211E-7</v>
      </c>
      <c r="O146" s="95">
        <f>2.5*0.01*$C$7*$C$14*$C$8*$H146*(2*PI()*(1-COS($G146/180*PI())))^1.3/$E146^2/$F146^2*N146*10^6</f>
        <v>5.101138747051231E-8</v>
      </c>
      <c r="P146" s="91">
        <f>IF($I146=0,0,1+($I146-$D$21)/$D$22)+$J146/$D$23+$K146/$D$24+$L146/$D$25</f>
        <v>5.5675675675675675</v>
      </c>
      <c r="Q146" s="92">
        <f t="shared" si="19"/>
        <v>2.7066520700332395E-6</v>
      </c>
      <c r="R146" s="95">
        <f>2.5*0.01*$C$7*$D$14*$D$8*$H146*(2*PI()*(1-COS($G146/180*PI())))^1.3/$E146^2/$F146^2*Q146*10^6</f>
        <v>2.4128138160910826E-7</v>
      </c>
      <c r="S146" s="93">
        <f>IF($I146=0,0,1+(I146-$E$21)/$E$22)+$J146/$E$23+K146/$E$24+$L146/$E$25</f>
        <v>4.8372093023255811</v>
      </c>
      <c r="T146" s="92">
        <f t="shared" si="20"/>
        <v>1.4547578108480478E-5</v>
      </c>
      <c r="U146" s="95">
        <f>2.5*0.01*$C$7*$E$14*$E$8*$H146*(2*PI()*(1-COS($G146/180*PI())))^1.3/$E146^2/$F146^2*T146*10^6</f>
        <v>1.2968270964496306E-6</v>
      </c>
      <c r="V146" s="93">
        <f>IF($I146=0,0,1+(I146-$F$21)/$F$22)+$J146/$F$23+K146/$F$24+$L146/$F$25</f>
        <v>7.666666666666667</v>
      </c>
      <c r="W146" s="92">
        <f t="shared" si="21"/>
        <v>2.1544346900318783E-8</v>
      </c>
      <c r="X146" s="95">
        <f>2.5*0.01*$C$7*$F$14*$F$8*$H146*(2*PI()*(1-COS($G146/180*PI())))^1.3/$E146^2/$F146^2*W146*10^6</f>
        <v>1.920545992418962E-9</v>
      </c>
      <c r="Y146" s="93">
        <f>IF($I146=0,0,1+(I146-$G$21)/$G$22)+$J146/$G$23+K146/$G$24+$L146/$G$25</f>
        <v>5.833333333333333</v>
      </c>
      <c r="Z146" s="92">
        <f t="shared" si="22"/>
        <v>1.4677992676220696E-6</v>
      </c>
      <c r="AA146" s="96">
        <f>2.5*0.01*$C$7*$G$14*$G$8*$H146*(2*PI()*(1-COS($G146/180*PI())))^1.3/$E146^2/$F146^2*Z146*10^6</f>
        <v>1.3084527528960935E-7</v>
      </c>
      <c r="AB146" s="560">
        <f>SUM(O146,R146,U146,X146,AA146)</f>
        <v>1.7218856868112794E-6</v>
      </c>
      <c r="AC146" s="565"/>
      <c r="AD146" s="566"/>
      <c r="AE146" s="538"/>
      <c r="AF146" s="538"/>
      <c r="AG146" s="567"/>
      <c r="AH146" s="538"/>
      <c r="AI146" s="563"/>
      <c r="AJ146" s="545"/>
      <c r="AK146" s="545"/>
      <c r="AL146" s="538"/>
      <c r="AM146" s="538"/>
      <c r="AN146" s="538"/>
      <c r="AO146" s="538"/>
      <c r="AP146" s="538"/>
      <c r="AQ146" s="538"/>
      <c r="AR146" s="538"/>
      <c r="AS146" s="538"/>
      <c r="AT146" s="538"/>
      <c r="AU146" s="538"/>
      <c r="AV146" s="538"/>
      <c r="AW146" s="538"/>
      <c r="AX146" s="545"/>
      <c r="AY146" s="545"/>
      <c r="AZ146" s="545"/>
      <c r="BA146" s="545"/>
      <c r="BB146" s="328"/>
      <c r="BC146" s="328"/>
      <c r="BD146" s="328"/>
      <c r="BE146" s="328"/>
      <c r="BF146" s="328"/>
      <c r="BG146" s="328"/>
      <c r="BH146" s="328"/>
      <c r="BI146" s="328"/>
      <c r="BJ146" s="328"/>
      <c r="BK146" s="328"/>
      <c r="BL146" s="328"/>
      <c r="BM146" s="328"/>
      <c r="BN146" s="328"/>
      <c r="BO146" s="328"/>
      <c r="BP146" s="328"/>
      <c r="BQ146" s="328"/>
      <c r="BR146" s="328"/>
      <c r="BS146" s="369"/>
      <c r="BT146" s="233"/>
      <c r="BU146" s="233"/>
      <c r="BV146" s="222"/>
      <c r="BW146" s="222"/>
      <c r="BX146" s="222"/>
      <c r="BY146" s="211"/>
      <c r="BZ146" s="222"/>
      <c r="CA146" s="222"/>
      <c r="CB146" s="225"/>
      <c r="CC146" s="225"/>
      <c r="CD146" s="225"/>
      <c r="CE146" s="225"/>
      <c r="CF146" s="225"/>
      <c r="CG146" s="300"/>
      <c r="CH146" s="300"/>
      <c r="CI146" s="300"/>
      <c r="CJ146" s="522"/>
      <c r="CK146" s="522"/>
      <c r="CL146" s="522"/>
    </row>
    <row r="147" spans="1:90" s="538" customFormat="1" ht="30" customHeight="1" thickBot="1" x14ac:dyDescent="0.3">
      <c r="A147" s="557"/>
      <c r="B147" s="558"/>
      <c r="C147" s="331" t="s">
        <v>27</v>
      </c>
      <c r="D147" s="89"/>
      <c r="E147" s="1836">
        <v>10</v>
      </c>
      <c r="F147" s="89"/>
      <c r="G147" s="1836">
        <v>60</v>
      </c>
      <c r="H147" s="568"/>
      <c r="I147" s="1836">
        <v>190</v>
      </c>
      <c r="J147" s="1836">
        <v>0</v>
      </c>
      <c r="K147" s="1836">
        <v>0</v>
      </c>
      <c r="L147" s="1836">
        <v>0</v>
      </c>
      <c r="M147" s="93">
        <f>$I147/$C$27+$J147/$C$28+K147/$C$29+$L147/$C$30</f>
        <v>5.5882352941176467</v>
      </c>
      <c r="N147" s="92">
        <f t="shared" si="18"/>
        <v>2.580861540418073E-6</v>
      </c>
      <c r="O147" s="95">
        <f>2.5*0.01*$C$7*$C$15*$C$8*($C$9+$C$10*$C$11)*(2*PI()*(1-COS($G147/180*PI())))^1.3/E$147^2/$F146^2*N147*10^6</f>
        <v>2.7432840731901286E-6</v>
      </c>
      <c r="P147" s="93">
        <f>$I147/$D$27+$J147/$D$28+K147/$D$29+$L147/$D$30</f>
        <v>5</v>
      </c>
      <c r="Q147" s="92">
        <f t="shared" si="19"/>
        <v>1.0000000000000001E-5</v>
      </c>
      <c r="R147" s="95">
        <f>2.5*0.01*$C$7*$C$15*$D$8*($D$9+$D$10*$D$11)*(2*PI()*(1-COS($G147/180*PI())))^1.3/$E147^2/$F146^2*Q147*10^6</f>
        <v>1.0629334546733355E-5</v>
      </c>
      <c r="S147" s="93">
        <f>$I147/$E$27+$J147/$E$28+K147/$E$29+$L147/$E$30</f>
        <v>4.3181818181818183</v>
      </c>
      <c r="T147" s="92">
        <f t="shared" si="20"/>
        <v>4.8063808630643867E-5</v>
      </c>
      <c r="U147" s="95">
        <f>2.5*0.01*$C$7*$C$15*$E$8*($E$9+$E$10*$E$11)*(2*PI()*(1-COS($G147/180*PI())))^1.3/$E147^2/$F146^2*T147*10^6</f>
        <v>5.1088630152528366E-5</v>
      </c>
      <c r="V147" s="93">
        <f>$I147/$F$27+$J147/$F$28+K147/$F$29+$L147/$F$30</f>
        <v>6.2295081967213113</v>
      </c>
      <c r="W147" s="92">
        <f t="shared" si="21"/>
        <v>5.8951085074002664E-7</v>
      </c>
      <c r="X147" s="95">
        <f>2.5*0.01*$C$7*$C$15*$F$8*($F$9+$F$10*$F$11)*(2*PI()*(1-COS($G147/180*PI())))^1.3/$E147^2/$F146^2*W147*10^6</f>
        <v>6.2661080514451354E-7</v>
      </c>
      <c r="Y147" s="93">
        <f>$I147/$G$27+$J147/$G$28+K147/$G$29+$L147/$G$30</f>
        <v>5.3370786516853927</v>
      </c>
      <c r="Z147" s="92">
        <f t="shared" si="22"/>
        <v>4.6017322765137984E-6</v>
      </c>
      <c r="AA147" s="96">
        <f>2.5*0.01*$C$7*$C$15*$G$8*($G$9+$G$10*$G$11)*(2*PI()*(1-COS($G147/180*PI())))^1.3/$E147^2/$F146^2*Z147*10^6</f>
        <v>4.891335186156605E-6</v>
      </c>
      <c r="AB147" s="569">
        <f>SUM(O147,R147,U147,X147,AA147)</f>
        <v>6.9979194763752965E-5</v>
      </c>
      <c r="AC147" s="570"/>
      <c r="AD147" s="571"/>
      <c r="AH147" s="572"/>
      <c r="AI147" s="573"/>
      <c r="AJ147" s="563"/>
      <c r="AK147" s="551"/>
      <c r="AX147" s="545"/>
      <c r="AY147" s="545"/>
      <c r="AZ147" s="545"/>
      <c r="BA147" s="545"/>
      <c r="BB147" s="545"/>
      <c r="BC147" s="545"/>
      <c r="BD147" s="545"/>
      <c r="BE147" s="545"/>
      <c r="BF147" s="545"/>
      <c r="BG147" s="545"/>
      <c r="BH147" s="545"/>
      <c r="BI147" s="545"/>
      <c r="BJ147" s="545"/>
      <c r="BK147" s="545"/>
      <c r="BL147" s="545"/>
      <c r="BM147" s="545"/>
      <c r="BN147" s="545"/>
      <c r="BO147" s="545"/>
      <c r="BP147" s="545"/>
      <c r="BQ147" s="545"/>
      <c r="BR147" s="545"/>
      <c r="BS147" s="545"/>
      <c r="BT147" s="545"/>
      <c r="BU147" s="545"/>
      <c r="BV147" s="545"/>
      <c r="BW147" s="545"/>
      <c r="BX147" s="545"/>
      <c r="BY147" s="545"/>
      <c r="BZ147" s="545"/>
    </row>
    <row r="148" spans="1:90" s="212" customFormat="1" ht="30" hidden="1" customHeight="1" thickBot="1" x14ac:dyDescent="0.3">
      <c r="A148" s="574"/>
      <c r="B148" s="575"/>
      <c r="C148" s="576"/>
      <c r="D148" s="89"/>
      <c r="E148" s="89"/>
      <c r="F148" s="89"/>
      <c r="G148" s="89"/>
      <c r="H148" s="1837"/>
      <c r="I148" s="1837"/>
      <c r="J148" s="1837"/>
      <c r="K148" s="1837"/>
      <c r="L148" s="1837"/>
      <c r="M148" s="91"/>
      <c r="N148" s="97"/>
      <c r="O148" s="98"/>
      <c r="P148" s="91"/>
      <c r="Q148" s="97"/>
      <c r="R148" s="98"/>
      <c r="S148" s="91"/>
      <c r="T148" s="97"/>
      <c r="U148" s="98"/>
      <c r="V148" s="91"/>
      <c r="W148" s="97"/>
      <c r="X148" s="98"/>
      <c r="Y148" s="91"/>
      <c r="Z148" s="97"/>
      <c r="AA148" s="99"/>
      <c r="AB148" s="577"/>
      <c r="AC148" s="578"/>
      <c r="AD148" s="579"/>
      <c r="AH148" s="580"/>
      <c r="AI148" s="581"/>
      <c r="AJ148" s="282"/>
      <c r="AK148" s="300"/>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row>
    <row r="149" spans="1:90" s="212" customFormat="1" ht="30" customHeight="1" x14ac:dyDescent="0.25">
      <c r="A149" s="552"/>
      <c r="B149" s="322"/>
      <c r="C149" s="323" t="s">
        <v>569</v>
      </c>
      <c r="D149" s="1836">
        <v>1</v>
      </c>
      <c r="E149" s="89"/>
      <c r="F149" s="89"/>
      <c r="G149" s="89"/>
      <c r="H149" s="1836">
        <v>0.25</v>
      </c>
      <c r="I149" s="1836">
        <v>250</v>
      </c>
      <c r="J149" s="1836">
        <v>0</v>
      </c>
      <c r="K149" s="1836">
        <v>0</v>
      </c>
      <c r="L149" s="1836">
        <v>0</v>
      </c>
      <c r="M149" s="91">
        <f>IF($I149=0,0,1+($I149-$C$21)/$C$22)+$J149/$C$23+$K149/$C$24+$L149/$C$25</f>
        <v>7.4545454545454541</v>
      </c>
      <c r="N149" s="92">
        <f t="shared" si="18"/>
        <v>3.5111917342151263E-8</v>
      </c>
      <c r="O149" s="93">
        <f>$C$7*$C$14*$C$8*$H149/$D149^2*N149*10^6</f>
        <v>7.022383468430253E-2</v>
      </c>
      <c r="P149" s="91">
        <f>IF($I149=0,0,1+($I149-$D$21)/$D$22)+$J149/$D$23+$K149/$D$24+$L149/$D$25</f>
        <v>6.6486486486486482</v>
      </c>
      <c r="Q149" s="92">
        <f t="shared" si="19"/>
        <v>2.2456979955397711E-7</v>
      </c>
      <c r="R149" s="93">
        <f>$C$7*$D$14*$D$8*$H149/$D149^2*$Q149*10^6</f>
        <v>0.4491395991079542</v>
      </c>
      <c r="S149" s="93">
        <f>IF($I149=0,0,1+(I149-$E$21)/$E$22)+$J149/$E$23+K149/$E$24+$L149/$E$25</f>
        <v>5.7674418604651159</v>
      </c>
      <c r="T149" s="92">
        <f t="shared" si="20"/>
        <v>1.7082763938087111E-6</v>
      </c>
      <c r="U149" s="93">
        <f>$C$7*$E$14*$E$8*$H149/$D149^2*$T149*10^6</f>
        <v>3.4165527876174222</v>
      </c>
      <c r="V149" s="93">
        <f>IF($I149=0,0,1+(I149-$F$21)/$F$22)+$J149/$F$23+K149/$F$24+$L149/$F$25</f>
        <v>9.1481481481481488</v>
      </c>
      <c r="W149" s="92">
        <f t="shared" si="21"/>
        <v>7.1097094323124171E-10</v>
      </c>
      <c r="X149" s="93">
        <f>$C$7*$F$14*$F$8*$H149/$D149^2*$W149*10^6</f>
        <v>1.4219418864624834E-3</v>
      </c>
      <c r="Y149" s="93">
        <f>IF($I149=0,0,1+(I149-$G$21)/$G$22)+$J149/$G$23+K149/$G$24+$L149/$G$25</f>
        <v>6.9444444444444446</v>
      </c>
      <c r="Z149" s="92">
        <f t="shared" si="22"/>
        <v>1.136463666385722E-7</v>
      </c>
      <c r="AA149" s="94">
        <f>$C$7*$G$14*$G$8*$H149/$D149^2*$Z149*10^6</f>
        <v>0.22729273327714439</v>
      </c>
      <c r="AB149" s="553">
        <f>SUM(O149,R149,U149,X149,AA149)</f>
        <v>4.1646308965732857</v>
      </c>
      <c r="AC149" s="554"/>
      <c r="AD149" s="555"/>
      <c r="AE149" s="538"/>
      <c r="AF149" s="538"/>
      <c r="AG149" s="538"/>
      <c r="AH149" s="556"/>
      <c r="AI149" s="551"/>
      <c r="AJ149" s="551"/>
      <c r="AK149" s="551"/>
      <c r="AL149" s="538"/>
      <c r="AM149" s="538"/>
      <c r="AN149" s="538"/>
      <c r="AO149" s="538"/>
      <c r="AP149" s="538"/>
      <c r="AQ149" s="538"/>
      <c r="AR149" s="538"/>
      <c r="AS149" s="538"/>
      <c r="AT149" s="538"/>
      <c r="AU149" s="538"/>
      <c r="AV149" s="538"/>
      <c r="AW149" s="538"/>
      <c r="AX149" s="545"/>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69"/>
      <c r="BT149" s="233"/>
      <c r="BU149" s="233"/>
      <c r="BV149" s="222"/>
      <c r="BW149" s="222"/>
      <c r="BX149" s="222"/>
      <c r="BY149" s="211"/>
      <c r="BZ149" s="222"/>
      <c r="CA149" s="222"/>
      <c r="CB149" s="225"/>
      <c r="CC149" s="225"/>
      <c r="CD149" s="225"/>
      <c r="CE149" s="225"/>
      <c r="CF149" s="225"/>
      <c r="CG149" s="300"/>
      <c r="CH149" s="300"/>
      <c r="CI149" s="300"/>
      <c r="CJ149" s="522"/>
      <c r="CK149" s="522"/>
      <c r="CL149" s="522"/>
    </row>
    <row r="150" spans="1:90" s="212" customFormat="1" ht="30" customHeight="1" x14ac:dyDescent="0.25">
      <c r="A150" s="557" t="str">
        <f>Samenvatting!A343</f>
        <v>T2</v>
      </c>
      <c r="B150" s="558" t="str">
        <f>Samenvatting!B343</f>
        <v>terreingrens 2</v>
      </c>
      <c r="C150" s="331" t="s">
        <v>568</v>
      </c>
      <c r="D150" s="1836">
        <v>25</v>
      </c>
      <c r="E150" s="89"/>
      <c r="F150" s="89"/>
      <c r="G150" s="89"/>
      <c r="H150" s="559"/>
      <c r="I150" s="1836">
        <v>250</v>
      </c>
      <c r="J150" s="1836">
        <v>0</v>
      </c>
      <c r="K150" s="1836">
        <v>0</v>
      </c>
      <c r="L150" s="1836">
        <v>0</v>
      </c>
      <c r="M150" s="93">
        <f>$I150/$C$27+$J150/$C$28+K150/$C$29+$L150/$C$30</f>
        <v>7.3529411764705879</v>
      </c>
      <c r="N150" s="92">
        <f t="shared" si="18"/>
        <v>4.4366873309786093E-8</v>
      </c>
      <c r="O150" s="93">
        <f>$C$7*$C$15*$C$8*($C$9+$C$10*$C$11)/$D150^2*$N150*10^6</f>
        <v>4.2592198377394652E-5</v>
      </c>
      <c r="P150" s="93">
        <f>$I150/$D$27+$J150/$D$28+K150/$D$29+$L150/$D$30</f>
        <v>6.5789473684210522</v>
      </c>
      <c r="Q150" s="92">
        <f t="shared" si="19"/>
        <v>2.636650898730358E-7</v>
      </c>
      <c r="R150" s="93">
        <f>$C$7*$C$15*$D$8*($D$9+$D$10*$D$11)/$D150^2*$Q150*10^6</f>
        <v>2.5311848627811444E-4</v>
      </c>
      <c r="S150" s="93">
        <f>$I150/$E$27+$J150/$E$28+K150/$E$29+$L150/$E$30</f>
        <v>5.6818181818181817</v>
      </c>
      <c r="T150" s="92">
        <f t="shared" si="20"/>
        <v>2.0805675382171676E-6</v>
      </c>
      <c r="U150" s="93">
        <f>$C$7*$C$15*$E$8*($E$9+$E$10*$E$11)/$D150^2*$T150*10^6</f>
        <v>1.9973448366884814E-3</v>
      </c>
      <c r="V150" s="93">
        <f>$I150/$F$27+$J150/$F$28+K150/$F$29+$L150/$F$30</f>
        <v>8.1967213114754092</v>
      </c>
      <c r="W150" s="92">
        <f t="shared" si="21"/>
        <v>6.3573875711648393E-9</v>
      </c>
      <c r="X150" s="93">
        <f>$C$7*$C$15*$F$8*($F$9+$F$10*$F$11)/$D150^2*$W150*10^6</f>
        <v>6.1030920683182469E-6</v>
      </c>
      <c r="Y150" s="93">
        <f>$I150/$G$27+$J150/$G$28+K150/$G$29+$L150/$G$30</f>
        <v>7.0224719101123592</v>
      </c>
      <c r="Z150" s="92">
        <f t="shared" si="22"/>
        <v>9.4957241494880226E-8</v>
      </c>
      <c r="AA150" s="94">
        <f>$C$7*$C$15*$G$8*($G$9+$G$10*$G$11)/$D150^2*$Z150*10^6</f>
        <v>9.1158951835085031E-5</v>
      </c>
      <c r="AB150" s="560">
        <f>SUM(O150,R150,U150,X150,AA150)</f>
        <v>2.3903175652473939E-3</v>
      </c>
      <c r="AC150" s="561">
        <f>SUM(AB148:AB153)</f>
        <v>4.1670929152189826</v>
      </c>
      <c r="AD150" s="562">
        <f>AC150*52/10^3</f>
        <v>0.2166888315913871</v>
      </c>
      <c r="AE150" s="538"/>
      <c r="AF150" s="538"/>
      <c r="AG150" s="538"/>
      <c r="AH150" s="556"/>
      <c r="AI150" s="563"/>
      <c r="AJ150" s="551"/>
      <c r="AK150" s="551"/>
      <c r="AL150" s="538"/>
      <c r="AM150" s="538"/>
      <c r="AN150" s="538"/>
      <c r="AO150" s="538"/>
      <c r="AP150" s="538"/>
      <c r="AQ150" s="538"/>
      <c r="AR150" s="538"/>
      <c r="AS150" s="538"/>
      <c r="AT150" s="538"/>
      <c r="AU150" s="538"/>
      <c r="AV150" s="538"/>
      <c r="AW150" s="538"/>
      <c r="AX150" s="545"/>
      <c r="AY150" s="545"/>
      <c r="AZ150" s="545"/>
      <c r="BA150" s="545"/>
      <c r="BB150" s="328"/>
      <c r="BC150" s="328"/>
      <c r="BD150" s="328"/>
      <c r="BE150" s="328"/>
      <c r="BF150" s="328"/>
      <c r="BG150" s="328"/>
      <c r="BH150" s="328"/>
      <c r="BI150" s="328"/>
      <c r="BJ150" s="328"/>
      <c r="BK150" s="328"/>
      <c r="BL150" s="328"/>
      <c r="BM150" s="328"/>
      <c r="BN150" s="328"/>
      <c r="BO150" s="328"/>
      <c r="BP150" s="328"/>
      <c r="BQ150" s="328"/>
      <c r="BR150" s="328"/>
      <c r="BS150" s="369"/>
      <c r="BT150" s="233"/>
      <c r="BU150" s="233"/>
      <c r="BV150" s="222"/>
      <c r="BW150" s="222"/>
      <c r="BX150" s="222"/>
      <c r="BY150" s="211"/>
      <c r="BZ150" s="222"/>
      <c r="CA150" s="222"/>
      <c r="CB150" s="225"/>
      <c r="CC150" s="225"/>
      <c r="CD150" s="225"/>
      <c r="CE150" s="225"/>
      <c r="CF150" s="225"/>
      <c r="CG150" s="300"/>
      <c r="CH150" s="300"/>
      <c r="CI150" s="300"/>
      <c r="CJ150" s="522"/>
      <c r="CK150" s="522"/>
      <c r="CL150" s="522"/>
    </row>
    <row r="151" spans="1:90" s="212" customFormat="1" ht="30" customHeight="1" x14ac:dyDescent="0.25">
      <c r="A151" s="557"/>
      <c r="B151" s="558"/>
      <c r="C151" s="331" t="s">
        <v>26</v>
      </c>
      <c r="D151" s="564"/>
      <c r="E151" s="89">
        <f>E146</f>
        <v>11</v>
      </c>
      <c r="F151" s="89">
        <f>D150</f>
        <v>25</v>
      </c>
      <c r="G151" s="1836">
        <v>15</v>
      </c>
      <c r="H151" s="1836">
        <v>0.25</v>
      </c>
      <c r="I151" s="1836">
        <v>210</v>
      </c>
      <c r="J151" s="1836">
        <v>0</v>
      </c>
      <c r="K151" s="1836">
        <v>0</v>
      </c>
      <c r="L151" s="1836">
        <v>0</v>
      </c>
      <c r="M151" s="93">
        <f>IF($I151=0,0,1+(I151-$C$21)/$C$22)+$J151/$C$23+K151/$C$24+$L151/$C$25</f>
        <v>6.2424242424242422</v>
      </c>
      <c r="N151" s="92">
        <f t="shared" si="18"/>
        <v>5.722367659350211E-7</v>
      </c>
      <c r="O151" s="95">
        <f>2.5*0.01*$C$7*$C$14*$C$8*$H151*(2*PI()*(1-COS($G151/180*PI())))^1.3/$E151^2/$F151^2*N151*10^6</f>
        <v>5.101138747051231E-8</v>
      </c>
      <c r="P151" s="91">
        <f>IF($I151=0,0,1+($I151-$D$21)/$D$22)+$J151/$D$23+$K151/$D$24+$L151/$D$25</f>
        <v>5.5675675675675675</v>
      </c>
      <c r="Q151" s="92">
        <f t="shared" si="19"/>
        <v>2.7066520700332395E-6</v>
      </c>
      <c r="R151" s="95">
        <f>2.5*0.01*$C$7*$D$14*$D$8*$H151*(2*PI()*(1-COS($G151/180*PI())))^1.3/$E151^2/$F151^2*Q151*10^6</f>
        <v>2.4128138160910826E-7</v>
      </c>
      <c r="S151" s="93">
        <f>IF($I151=0,0,1+(I151-$E$21)/$E$22)+$J151/$E$23+K151/$E$24+$L151/$E$25</f>
        <v>4.8372093023255811</v>
      </c>
      <c r="T151" s="92">
        <f t="shared" si="20"/>
        <v>1.4547578108480478E-5</v>
      </c>
      <c r="U151" s="95">
        <f>2.5*0.01*$C$7*$E$14*$E$8*$H151*(2*PI()*(1-COS($G151/180*PI())))^1.3/$E151^2/$F151^2*T151*10^6</f>
        <v>1.2968270964496306E-6</v>
      </c>
      <c r="V151" s="93">
        <f>IF($I151=0,0,1+(I151-$F$21)/$F$22)+$J151/$F$23+K151/$F$24+$L151/$F$25</f>
        <v>7.666666666666667</v>
      </c>
      <c r="W151" s="92">
        <f t="shared" si="21"/>
        <v>2.1544346900318783E-8</v>
      </c>
      <c r="X151" s="95">
        <f>2.5*0.01*$C$7*$F$14*$F$8*$H151*(2*PI()*(1-COS($G151/180*PI())))^1.3/$E151^2/$F151^2*W151*10^6</f>
        <v>1.920545992418962E-9</v>
      </c>
      <c r="Y151" s="93">
        <f>IF($I151=0,0,1+(I151-$G$21)/$G$22)+$J151/$G$23+K151/$G$24+$L151/$G$25</f>
        <v>5.833333333333333</v>
      </c>
      <c r="Z151" s="92">
        <f t="shared" si="22"/>
        <v>1.4677992676220696E-6</v>
      </c>
      <c r="AA151" s="96">
        <f>2.5*0.01*$C$7*$G$14*$G$8*$H151*(2*PI()*(1-COS($G151/180*PI())))^1.3/$E151^2/$F151^2*Z151*10^6</f>
        <v>1.3084527528960935E-7</v>
      </c>
      <c r="AB151" s="560">
        <f>SUM(O151,R151,U151,X151,AA151)</f>
        <v>1.7218856868112794E-6</v>
      </c>
      <c r="AC151" s="565"/>
      <c r="AD151" s="566"/>
      <c r="AE151" s="538"/>
      <c r="AF151" s="538"/>
      <c r="AG151" s="567"/>
      <c r="AH151" s="538"/>
      <c r="AI151" s="563"/>
      <c r="AJ151" s="545"/>
      <c r="AK151" s="545"/>
      <c r="AL151" s="538"/>
      <c r="AM151" s="538"/>
      <c r="AN151" s="538"/>
      <c r="AO151" s="538"/>
      <c r="AP151" s="538"/>
      <c r="AQ151" s="538"/>
      <c r="AR151" s="538"/>
      <c r="AS151" s="538"/>
      <c r="AT151" s="538"/>
      <c r="AU151" s="538"/>
      <c r="AV151" s="538"/>
      <c r="AW151" s="538"/>
      <c r="AX151" s="545"/>
      <c r="AY151" s="545"/>
      <c r="AZ151" s="545"/>
      <c r="BA151" s="545"/>
      <c r="BB151" s="328"/>
      <c r="BC151" s="328"/>
      <c r="BD151" s="328"/>
      <c r="BE151" s="328"/>
      <c r="BF151" s="328"/>
      <c r="BG151" s="328"/>
      <c r="BH151" s="328"/>
      <c r="BI151" s="328"/>
      <c r="BJ151" s="328"/>
      <c r="BK151" s="328"/>
      <c r="BL151" s="328"/>
      <c r="BM151" s="328"/>
      <c r="BN151" s="328"/>
      <c r="BO151" s="328"/>
      <c r="BP151" s="328"/>
      <c r="BQ151" s="328"/>
      <c r="BR151" s="328"/>
      <c r="BS151" s="369"/>
      <c r="BT151" s="233"/>
      <c r="BU151" s="233"/>
      <c r="BV151" s="222"/>
      <c r="BW151" s="222"/>
      <c r="BX151" s="222"/>
      <c r="BY151" s="211"/>
      <c r="BZ151" s="222"/>
      <c r="CA151" s="222"/>
      <c r="CB151" s="225"/>
      <c r="CC151" s="225"/>
      <c r="CD151" s="225"/>
      <c r="CE151" s="225"/>
      <c r="CF151" s="225"/>
      <c r="CG151" s="300"/>
      <c r="CH151" s="300"/>
      <c r="CI151" s="300"/>
      <c r="CJ151" s="522"/>
      <c r="CK151" s="522"/>
      <c r="CL151" s="522"/>
    </row>
    <row r="152" spans="1:90" s="538" customFormat="1" ht="30" customHeight="1" thickBot="1" x14ac:dyDescent="0.3">
      <c r="A152" s="557"/>
      <c r="B152" s="558"/>
      <c r="C152" s="331" t="s">
        <v>27</v>
      </c>
      <c r="D152" s="89"/>
      <c r="E152" s="89">
        <f>E147</f>
        <v>10</v>
      </c>
      <c r="F152" s="89"/>
      <c r="G152" s="1836">
        <v>60</v>
      </c>
      <c r="H152" s="568"/>
      <c r="I152" s="1836">
        <v>190</v>
      </c>
      <c r="J152" s="1836">
        <v>0</v>
      </c>
      <c r="K152" s="1836">
        <v>0</v>
      </c>
      <c r="L152" s="1836">
        <v>0</v>
      </c>
      <c r="M152" s="93">
        <f>$I152/$C$27+$J152/$C$28+K152/$C$29+$L152/$C$30</f>
        <v>5.5882352941176467</v>
      </c>
      <c r="N152" s="92">
        <f t="shared" si="18"/>
        <v>2.580861540418073E-6</v>
      </c>
      <c r="O152" s="95">
        <f>2.5*0.01*$C$7*$C$15*$C$8*($C$9+$C$10*$C$11)*(2*PI()*(1-COS($G152/180*PI())))^1.3/E$147^2/$F151^2*N152*10^6</f>
        <v>2.7432840731901286E-6</v>
      </c>
      <c r="P152" s="93">
        <f>$I152/$D$27+$J152/$D$28+K152/$D$29+$L152/$D$30</f>
        <v>5</v>
      </c>
      <c r="Q152" s="92">
        <f t="shared" si="19"/>
        <v>1.0000000000000001E-5</v>
      </c>
      <c r="R152" s="95">
        <f>2.5*0.01*$C$7*$C$15*$D$8*($D$9+$D$10*$D$11)*(2*PI()*(1-COS($G152/180*PI())))^1.3/$E152^2/$F151^2*Q152*10^6</f>
        <v>1.0629334546733355E-5</v>
      </c>
      <c r="S152" s="93">
        <f>$I152/$E$27+$J152/$E$28+K152/$E$29+$L152/$E$30</f>
        <v>4.3181818181818183</v>
      </c>
      <c r="T152" s="92">
        <f t="shared" si="20"/>
        <v>4.8063808630643867E-5</v>
      </c>
      <c r="U152" s="95">
        <f>2.5*0.01*$C$7*$C$15*$E$8*($E$9+$E$10*$E$11)*(2*PI()*(1-COS($G152/180*PI())))^1.3/$E152^2/$F151^2*T152*10^6</f>
        <v>5.1088630152528366E-5</v>
      </c>
      <c r="V152" s="93">
        <f>$I152/$F$27+$J152/$F$28+K152/$F$29+$L152/$F$30</f>
        <v>6.2295081967213113</v>
      </c>
      <c r="W152" s="92">
        <f t="shared" si="21"/>
        <v>5.8951085074002664E-7</v>
      </c>
      <c r="X152" s="95">
        <f>2.5*0.01*$C$7*$C$15*$F$8*($F$9+$F$10*$F$11)*(2*PI()*(1-COS($G152/180*PI())))^1.3/$E152^2/$F151^2*W152*10^6</f>
        <v>6.2661080514451354E-7</v>
      </c>
      <c r="Y152" s="93">
        <f>$I152/$G$27+$J152/$G$28+K152/$G$29+$L152/$G$30</f>
        <v>5.3370786516853927</v>
      </c>
      <c r="Z152" s="92">
        <f t="shared" si="22"/>
        <v>4.6017322765137984E-6</v>
      </c>
      <c r="AA152" s="96">
        <f>2.5*0.01*$C$7*$C$15*$G$8*($G$9+$G$10*$G$11)*(2*PI()*(1-COS($G152/180*PI())))^1.3/$E152^2/$F151^2*Z152*10^6</f>
        <v>4.891335186156605E-6</v>
      </c>
      <c r="AB152" s="569">
        <f>SUM(O152,R152,U152,X152,AA152)</f>
        <v>6.9979194763752965E-5</v>
      </c>
      <c r="AC152" s="570"/>
      <c r="AD152" s="571"/>
      <c r="AH152" s="572"/>
      <c r="AI152" s="573"/>
      <c r="AJ152" s="563"/>
      <c r="AK152" s="551"/>
      <c r="AX152" s="545"/>
      <c r="AY152" s="545"/>
      <c r="AZ152" s="545"/>
      <c r="BA152" s="545"/>
      <c r="BB152" s="545"/>
      <c r="BC152" s="545"/>
      <c r="BD152" s="545"/>
      <c r="BE152" s="545"/>
      <c r="BF152" s="545"/>
      <c r="BG152" s="545"/>
      <c r="BH152" s="545"/>
      <c r="BI152" s="545"/>
      <c r="BJ152" s="545"/>
      <c r="BK152" s="545"/>
      <c r="BL152" s="545"/>
      <c r="BM152" s="545"/>
      <c r="BN152" s="545"/>
      <c r="BO152" s="545"/>
      <c r="BP152" s="545"/>
      <c r="BQ152" s="545"/>
      <c r="BR152" s="545"/>
      <c r="BS152" s="545"/>
      <c r="BT152" s="545"/>
      <c r="BU152" s="545"/>
      <c r="BV152" s="545"/>
      <c r="BW152" s="545"/>
      <c r="BX152" s="545"/>
      <c r="BY152" s="545"/>
      <c r="BZ152" s="545"/>
    </row>
    <row r="153" spans="1:90" s="212" customFormat="1" ht="30" hidden="1" customHeight="1" thickBot="1" x14ac:dyDescent="0.3">
      <c r="A153" s="574"/>
      <c r="B153" s="575"/>
      <c r="C153" s="576"/>
      <c r="D153" s="89"/>
      <c r="E153" s="89"/>
      <c r="F153" s="89"/>
      <c r="G153" s="89"/>
      <c r="H153" s="1837"/>
      <c r="I153" s="1837"/>
      <c r="J153" s="1837"/>
      <c r="K153" s="1837"/>
      <c r="L153" s="1837"/>
      <c r="M153" s="91"/>
      <c r="N153" s="97"/>
      <c r="O153" s="98"/>
      <c r="P153" s="91"/>
      <c r="Q153" s="97"/>
      <c r="R153" s="98"/>
      <c r="S153" s="91"/>
      <c r="T153" s="97"/>
      <c r="U153" s="98"/>
      <c r="V153" s="91"/>
      <c r="W153" s="97"/>
      <c r="X153" s="98"/>
      <c r="Y153" s="91"/>
      <c r="Z153" s="97"/>
      <c r="AA153" s="99"/>
      <c r="AB153" s="577"/>
      <c r="AC153" s="578"/>
      <c r="AD153" s="579"/>
      <c r="AH153" s="580"/>
      <c r="AI153" s="581"/>
      <c r="AJ153" s="282"/>
      <c r="AK153" s="300"/>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row>
    <row r="154" spans="1:90" s="212" customFormat="1" ht="30" customHeight="1" x14ac:dyDescent="0.25">
      <c r="A154" s="552"/>
      <c r="B154" s="322"/>
      <c r="C154" s="323" t="s">
        <v>569</v>
      </c>
      <c r="D154" s="1836">
        <v>1</v>
      </c>
      <c r="E154" s="89"/>
      <c r="F154" s="89"/>
      <c r="G154" s="89"/>
      <c r="H154" s="1836">
        <v>0.25</v>
      </c>
      <c r="I154" s="1836">
        <v>250</v>
      </c>
      <c r="J154" s="1836">
        <v>0</v>
      </c>
      <c r="K154" s="1836">
        <v>0</v>
      </c>
      <c r="L154" s="1836">
        <v>0</v>
      </c>
      <c r="M154" s="91">
        <f>IF($I154=0,0,1+($I154-$C$21)/$C$22)+$J154/$C$23+$K154/$C$24+$L154/$C$25</f>
        <v>7.4545454545454541</v>
      </c>
      <c r="N154" s="92">
        <f t="shared" si="18"/>
        <v>3.5111917342151263E-8</v>
      </c>
      <c r="O154" s="93">
        <f>$C$7*$C$14*$C$8*$H154/$D154^2*N154*10^6</f>
        <v>7.022383468430253E-2</v>
      </c>
      <c r="P154" s="91">
        <f>IF($I154=0,0,1+($I154-$D$21)/$D$22)+$J154/$D$23+$K154/$D$24+$L154/$D$25</f>
        <v>6.6486486486486482</v>
      </c>
      <c r="Q154" s="92">
        <f t="shared" si="19"/>
        <v>2.2456979955397711E-7</v>
      </c>
      <c r="R154" s="93">
        <f>$C$7*$D$14*$D$8*$H154/$D154^2*$Q154*10^6</f>
        <v>0.4491395991079542</v>
      </c>
      <c r="S154" s="93">
        <f>IF($I154=0,0,1+(I154-$E$21)/$E$22)+$J154/$E$23+K154/$E$24+$L154/$E$25</f>
        <v>5.7674418604651159</v>
      </c>
      <c r="T154" s="92">
        <f t="shared" si="20"/>
        <v>1.7082763938087111E-6</v>
      </c>
      <c r="U154" s="93">
        <f>$C$7*$E$14*$E$8*$H154/$D154^2*$T154*10^6</f>
        <v>3.4165527876174222</v>
      </c>
      <c r="V154" s="93">
        <f>IF($I154=0,0,1+(I154-$F$21)/$F$22)+$J154/$F$23+K154/$F$24+$L154/$F$25</f>
        <v>9.1481481481481488</v>
      </c>
      <c r="W154" s="92">
        <f t="shared" si="21"/>
        <v>7.1097094323124171E-10</v>
      </c>
      <c r="X154" s="93">
        <f>$C$7*$F$14*$F$8*$H154/$D154^2*$W154*10^6</f>
        <v>1.4219418864624834E-3</v>
      </c>
      <c r="Y154" s="93">
        <f>IF($I154=0,0,1+(I154-$G$21)/$G$22)+$J154/$G$23+K154/$G$24+$L154/$G$25</f>
        <v>6.9444444444444446</v>
      </c>
      <c r="Z154" s="92">
        <f t="shared" si="22"/>
        <v>1.136463666385722E-7</v>
      </c>
      <c r="AA154" s="94">
        <f>$C$7*$G$14*$G$8*$H154/$D154^2*$Z154*10^6</f>
        <v>0.22729273327714439</v>
      </c>
      <c r="AB154" s="553">
        <f>SUM(O154,R154,U154,X154,AA154)</f>
        <v>4.1646308965732857</v>
      </c>
      <c r="AC154" s="554"/>
      <c r="AD154" s="555"/>
      <c r="AE154" s="538"/>
      <c r="AF154" s="538"/>
      <c r="AG154" s="538"/>
      <c r="AH154" s="556"/>
      <c r="AI154" s="551"/>
      <c r="AJ154" s="551"/>
      <c r="AK154" s="551"/>
      <c r="AL154" s="538"/>
      <c r="AM154" s="538"/>
      <c r="AN154" s="538"/>
      <c r="AO154" s="538"/>
      <c r="AP154" s="538"/>
      <c r="AQ154" s="538"/>
      <c r="AR154" s="538"/>
      <c r="AS154" s="538"/>
      <c r="AT154" s="538"/>
      <c r="AU154" s="538"/>
      <c r="AV154" s="538"/>
      <c r="AW154" s="538"/>
      <c r="AX154" s="545"/>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69"/>
      <c r="BT154" s="233"/>
      <c r="BU154" s="233"/>
      <c r="BV154" s="222"/>
      <c r="BW154" s="222"/>
      <c r="BX154" s="222"/>
      <c r="BY154" s="211"/>
      <c r="BZ154" s="222"/>
      <c r="CA154" s="222"/>
      <c r="CB154" s="225"/>
      <c r="CC154" s="225"/>
      <c r="CD154" s="225"/>
      <c r="CE154" s="225"/>
      <c r="CF154" s="225"/>
      <c r="CG154" s="300"/>
      <c r="CH154" s="300"/>
      <c r="CI154" s="300"/>
      <c r="CJ154" s="522"/>
      <c r="CK154" s="522"/>
      <c r="CL154" s="522"/>
    </row>
    <row r="155" spans="1:90" s="212" customFormat="1" ht="30" customHeight="1" x14ac:dyDescent="0.25">
      <c r="A155" s="557" t="str">
        <f>Samenvatting!A354</f>
        <v>T3</v>
      </c>
      <c r="B155" s="558" t="str">
        <f>Samenvatting!B354</f>
        <v>terreingrens 3</v>
      </c>
      <c r="C155" s="331" t="s">
        <v>568</v>
      </c>
      <c r="D155" s="1836">
        <v>25</v>
      </c>
      <c r="E155" s="89"/>
      <c r="F155" s="89"/>
      <c r="G155" s="89"/>
      <c r="H155" s="559"/>
      <c r="I155" s="1836">
        <v>250</v>
      </c>
      <c r="J155" s="1836">
        <v>0</v>
      </c>
      <c r="K155" s="1836">
        <v>0</v>
      </c>
      <c r="L155" s="1836">
        <v>0</v>
      </c>
      <c r="M155" s="93">
        <f>$I155/$C$27+$J155/$C$28+K155/$C$29+$L155/$C$30</f>
        <v>7.3529411764705879</v>
      </c>
      <c r="N155" s="92">
        <f t="shared" si="18"/>
        <v>4.4366873309786093E-8</v>
      </c>
      <c r="O155" s="93">
        <f>$C$7*$C$15*$C$8*($C$9+$C$10*$C$11)/$D155^2*$N155*10^6</f>
        <v>4.2592198377394652E-5</v>
      </c>
      <c r="P155" s="93">
        <f>$I155/$D$27+$J155/$D$28+K155/$D$29+$L155/$D$30</f>
        <v>6.5789473684210522</v>
      </c>
      <c r="Q155" s="92">
        <f t="shared" si="19"/>
        <v>2.636650898730358E-7</v>
      </c>
      <c r="R155" s="93">
        <f>$C$7*$C$15*$D$8*($D$9+$D$10*$D$11)/$D155^2*$Q155*10^6</f>
        <v>2.5311848627811444E-4</v>
      </c>
      <c r="S155" s="93">
        <f>$I155/$E$27+$J155/$E$28+K155/$E$29+$L155/$E$30</f>
        <v>5.6818181818181817</v>
      </c>
      <c r="T155" s="92">
        <f t="shared" si="20"/>
        <v>2.0805675382171676E-6</v>
      </c>
      <c r="U155" s="93">
        <f>$C$7*$C$15*$E$8*($E$9+$E$10*$E$11)/$D155^2*$T155*10^6</f>
        <v>1.9973448366884814E-3</v>
      </c>
      <c r="V155" s="93">
        <f>$I155/$F$27+$J155/$F$28+K155/$F$29+$L155/$F$30</f>
        <v>8.1967213114754092</v>
      </c>
      <c r="W155" s="92">
        <f t="shared" si="21"/>
        <v>6.3573875711648393E-9</v>
      </c>
      <c r="X155" s="93">
        <f>$C$7*$C$15*$F$8*($F$9+$F$10*$F$11)/$D155^2*$W155*10^6</f>
        <v>6.1030920683182469E-6</v>
      </c>
      <c r="Y155" s="93">
        <f>$I155/$G$27+$J155/$G$28+K155/$G$29+$L155/$G$30</f>
        <v>7.0224719101123592</v>
      </c>
      <c r="Z155" s="92">
        <f t="shared" si="22"/>
        <v>9.4957241494880226E-8</v>
      </c>
      <c r="AA155" s="94">
        <f>$C$7*$C$15*$G$8*($G$9+$G$10*$G$11)/$D155^2*$Z155*10^6</f>
        <v>9.1158951835085031E-5</v>
      </c>
      <c r="AB155" s="560">
        <f>SUM(O155,R155,U155,X155,AA155)</f>
        <v>2.3903175652473939E-3</v>
      </c>
      <c r="AC155" s="561">
        <f>SUM(AB153:AB158)</f>
        <v>4.1670929152189826</v>
      </c>
      <c r="AD155" s="562">
        <f>AC155*52/10^3</f>
        <v>0.2166888315913871</v>
      </c>
      <c r="AE155" s="538"/>
      <c r="AF155" s="538"/>
      <c r="AG155" s="538"/>
      <c r="AH155" s="556"/>
      <c r="AI155" s="563"/>
      <c r="AJ155" s="551"/>
      <c r="AK155" s="551"/>
      <c r="AL155" s="538"/>
      <c r="AM155" s="538"/>
      <c r="AN155" s="538"/>
      <c r="AO155" s="538"/>
      <c r="AP155" s="538"/>
      <c r="AQ155" s="538"/>
      <c r="AR155" s="538"/>
      <c r="AS155" s="538"/>
      <c r="AT155" s="538"/>
      <c r="AU155" s="538"/>
      <c r="AV155" s="538"/>
      <c r="AW155" s="538"/>
      <c r="AX155" s="545"/>
      <c r="AY155" s="545"/>
      <c r="AZ155" s="545"/>
      <c r="BA155" s="545"/>
      <c r="BB155" s="328"/>
      <c r="BC155" s="328"/>
      <c r="BD155" s="328"/>
      <c r="BE155" s="328"/>
      <c r="BF155" s="328"/>
      <c r="BG155" s="328"/>
      <c r="BH155" s="328"/>
      <c r="BI155" s="328"/>
      <c r="BJ155" s="328"/>
      <c r="BK155" s="328"/>
      <c r="BL155" s="328"/>
      <c r="BM155" s="328"/>
      <c r="BN155" s="328"/>
      <c r="BO155" s="328"/>
      <c r="BP155" s="328"/>
      <c r="BQ155" s="328"/>
      <c r="BR155" s="328"/>
      <c r="BS155" s="369"/>
      <c r="BT155" s="233"/>
      <c r="BU155" s="233"/>
      <c r="BV155" s="222"/>
      <c r="BW155" s="222"/>
      <c r="BX155" s="222"/>
      <c r="BY155" s="211"/>
      <c r="BZ155" s="222"/>
      <c r="CA155" s="222"/>
      <c r="CB155" s="225"/>
      <c r="CC155" s="225"/>
      <c r="CD155" s="225"/>
      <c r="CE155" s="225"/>
      <c r="CF155" s="225"/>
      <c r="CG155" s="300"/>
      <c r="CH155" s="300"/>
      <c r="CI155" s="300"/>
      <c r="CJ155" s="522"/>
      <c r="CK155" s="522"/>
      <c r="CL155" s="522"/>
    </row>
    <row r="156" spans="1:90" s="212" customFormat="1" ht="30" customHeight="1" x14ac:dyDescent="0.25">
      <c r="A156" s="557"/>
      <c r="B156" s="558"/>
      <c r="C156" s="331" t="s">
        <v>26</v>
      </c>
      <c r="D156" s="564"/>
      <c r="E156" s="89">
        <f>E146</f>
        <v>11</v>
      </c>
      <c r="F156" s="89">
        <f>D155</f>
        <v>25</v>
      </c>
      <c r="G156" s="1836">
        <v>15</v>
      </c>
      <c r="H156" s="1836">
        <v>0.25</v>
      </c>
      <c r="I156" s="1836">
        <v>210</v>
      </c>
      <c r="J156" s="1836">
        <v>0</v>
      </c>
      <c r="K156" s="1836">
        <v>0</v>
      </c>
      <c r="L156" s="1836">
        <v>0</v>
      </c>
      <c r="M156" s="93">
        <f>IF($I156=0,0,1+(I156-$C$21)/$C$22)+$J156/$C$23+K156/$C$24+$L156/$C$25</f>
        <v>6.2424242424242422</v>
      </c>
      <c r="N156" s="92">
        <f t="shared" si="18"/>
        <v>5.722367659350211E-7</v>
      </c>
      <c r="O156" s="95">
        <f>2.5*0.01*$C$7*$C$14*$C$8*$H156*(2*PI()*(1-COS($G156/180*PI())))^1.3/$E156^2/$F156^2*N156*10^6</f>
        <v>5.101138747051231E-8</v>
      </c>
      <c r="P156" s="91">
        <f>IF($I156=0,0,1+($I156-$D$21)/$D$22)+$J156/$D$23+$K156/$D$24+$L156/$D$25</f>
        <v>5.5675675675675675</v>
      </c>
      <c r="Q156" s="92">
        <f t="shared" si="19"/>
        <v>2.7066520700332395E-6</v>
      </c>
      <c r="R156" s="95">
        <f>2.5*0.01*$C$7*$D$14*$D$8*$H156*(2*PI()*(1-COS($G156/180*PI())))^1.3/$E156^2/$F156^2*Q156*10^6</f>
        <v>2.4128138160910826E-7</v>
      </c>
      <c r="S156" s="93">
        <f>IF($I156=0,0,1+(I156-$E$21)/$E$22)+$J156/$E$23+K156/$E$24+$L156/$E$25</f>
        <v>4.8372093023255811</v>
      </c>
      <c r="T156" s="92">
        <f t="shared" si="20"/>
        <v>1.4547578108480478E-5</v>
      </c>
      <c r="U156" s="95">
        <f>2.5*0.01*$C$7*$E$14*$E$8*$H156*(2*PI()*(1-COS($G156/180*PI())))^1.3/$E156^2/$F156^2*T156*10^6</f>
        <v>1.2968270964496306E-6</v>
      </c>
      <c r="V156" s="93">
        <f>IF($I156=0,0,1+(I156-$F$21)/$F$22)+$J156/$F$23+K156/$F$24+$L156/$F$25</f>
        <v>7.666666666666667</v>
      </c>
      <c r="W156" s="92">
        <f t="shared" si="21"/>
        <v>2.1544346900318783E-8</v>
      </c>
      <c r="X156" s="95">
        <f>2.5*0.01*$C$7*$F$14*$F$8*$H156*(2*PI()*(1-COS($G156/180*PI())))^1.3/$E156^2/$F156^2*W156*10^6</f>
        <v>1.920545992418962E-9</v>
      </c>
      <c r="Y156" s="93">
        <f>IF($I156=0,0,1+(I156-$G$21)/$G$22)+$J156/$G$23+K156/$G$24+$L156/$G$25</f>
        <v>5.833333333333333</v>
      </c>
      <c r="Z156" s="92">
        <f t="shared" si="22"/>
        <v>1.4677992676220696E-6</v>
      </c>
      <c r="AA156" s="96">
        <f>2.5*0.01*$C$7*$G$14*$G$8*$H156*(2*PI()*(1-COS($G156/180*PI())))^1.3/$E156^2/$F156^2*Z156*10^6</f>
        <v>1.3084527528960935E-7</v>
      </c>
      <c r="AB156" s="560">
        <f>SUM(O156,R156,U156,X156,AA156)</f>
        <v>1.7218856868112794E-6</v>
      </c>
      <c r="AC156" s="565"/>
      <c r="AD156" s="566"/>
      <c r="AE156" s="538"/>
      <c r="AF156" s="538"/>
      <c r="AG156" s="567"/>
      <c r="AH156" s="538"/>
      <c r="AI156" s="563"/>
      <c r="AJ156" s="545"/>
      <c r="AK156" s="545"/>
      <c r="AL156" s="538"/>
      <c r="AM156" s="538"/>
      <c r="AN156" s="538"/>
      <c r="AO156" s="538"/>
      <c r="AP156" s="538"/>
      <c r="AQ156" s="538"/>
      <c r="AR156" s="538"/>
      <c r="AS156" s="538"/>
      <c r="AT156" s="538"/>
      <c r="AU156" s="538"/>
      <c r="AV156" s="538"/>
      <c r="AW156" s="538"/>
      <c r="AX156" s="545"/>
      <c r="AY156" s="545"/>
      <c r="AZ156" s="545"/>
      <c r="BA156" s="545"/>
      <c r="BB156" s="328"/>
      <c r="BC156" s="328"/>
      <c r="BD156" s="328"/>
      <c r="BE156" s="328"/>
      <c r="BF156" s="328"/>
      <c r="BG156" s="328"/>
      <c r="BH156" s="328"/>
      <c r="BI156" s="328"/>
      <c r="BJ156" s="328"/>
      <c r="BK156" s="328"/>
      <c r="BL156" s="328"/>
      <c r="BM156" s="328"/>
      <c r="BN156" s="328"/>
      <c r="BO156" s="328"/>
      <c r="BP156" s="328"/>
      <c r="BQ156" s="328"/>
      <c r="BR156" s="328"/>
      <c r="BS156" s="369"/>
      <c r="BT156" s="233"/>
      <c r="BU156" s="233"/>
      <c r="BV156" s="222"/>
      <c r="BW156" s="222"/>
      <c r="BX156" s="222"/>
      <c r="BY156" s="211"/>
      <c r="BZ156" s="222"/>
      <c r="CA156" s="222"/>
      <c r="CB156" s="225"/>
      <c r="CC156" s="225"/>
      <c r="CD156" s="225"/>
      <c r="CE156" s="225"/>
      <c r="CF156" s="225"/>
      <c r="CG156" s="300"/>
      <c r="CH156" s="300"/>
      <c r="CI156" s="300"/>
      <c r="CJ156" s="522"/>
      <c r="CK156" s="522"/>
      <c r="CL156" s="522"/>
    </row>
    <row r="157" spans="1:90" s="538" customFormat="1" ht="30" customHeight="1" thickBot="1" x14ac:dyDescent="0.3">
      <c r="A157" s="557"/>
      <c r="B157" s="558"/>
      <c r="C157" s="331" t="s">
        <v>27</v>
      </c>
      <c r="D157" s="89"/>
      <c r="E157" s="89">
        <f>E147</f>
        <v>10</v>
      </c>
      <c r="F157" s="89"/>
      <c r="G157" s="1836">
        <v>60</v>
      </c>
      <c r="H157" s="568"/>
      <c r="I157" s="1836">
        <v>190</v>
      </c>
      <c r="J157" s="1836">
        <v>0</v>
      </c>
      <c r="K157" s="1836">
        <v>0</v>
      </c>
      <c r="L157" s="1836">
        <v>0</v>
      </c>
      <c r="M157" s="93">
        <f>$I157/$C$27+$J157/$C$28+K157/$C$29+$L157/$C$30</f>
        <v>5.5882352941176467</v>
      </c>
      <c r="N157" s="92">
        <f t="shared" si="18"/>
        <v>2.580861540418073E-6</v>
      </c>
      <c r="O157" s="95">
        <f>2.5*0.01*$C$7*$C$15*$C$8*($C$9+$C$10*$C$11)*(2*PI()*(1-COS($G157/180*PI())))^1.3/E$147^2/$F156^2*N157*10^6</f>
        <v>2.7432840731901286E-6</v>
      </c>
      <c r="P157" s="93">
        <f>$I157/$D$27+$J157/$D$28+K157/$D$29+$L157/$D$30</f>
        <v>5</v>
      </c>
      <c r="Q157" s="92">
        <f t="shared" si="19"/>
        <v>1.0000000000000001E-5</v>
      </c>
      <c r="R157" s="95">
        <f>2.5*0.01*$C$7*$C$15*$D$8*($D$9+$D$10*$D$11)*(2*PI()*(1-COS($G157/180*PI())))^1.3/$E157^2/$F156^2*Q157*10^6</f>
        <v>1.0629334546733355E-5</v>
      </c>
      <c r="S157" s="93">
        <f>$I157/$E$27+$J157/$E$28+K157/$E$29+$L157/$E$30</f>
        <v>4.3181818181818183</v>
      </c>
      <c r="T157" s="92">
        <f t="shared" si="20"/>
        <v>4.8063808630643867E-5</v>
      </c>
      <c r="U157" s="95">
        <f>2.5*0.01*$C$7*$C$15*$E$8*($E$9+$E$10*$E$11)*(2*PI()*(1-COS($G157/180*PI())))^1.3/$E157^2/$F156^2*T157*10^6</f>
        <v>5.1088630152528366E-5</v>
      </c>
      <c r="V157" s="93">
        <f>$I157/$F$27+$J157/$F$28+K157/$F$29+$L157/$F$30</f>
        <v>6.2295081967213113</v>
      </c>
      <c r="W157" s="92">
        <f t="shared" si="21"/>
        <v>5.8951085074002664E-7</v>
      </c>
      <c r="X157" s="95">
        <f>2.5*0.01*$C$7*$C$15*$F$8*($F$9+$F$10*$F$11)*(2*PI()*(1-COS($G157/180*PI())))^1.3/$E157^2/$F156^2*W157*10^6</f>
        <v>6.2661080514451354E-7</v>
      </c>
      <c r="Y157" s="93">
        <f>$I157/$G$27+$J157/$G$28+K157/$G$29+$L157/$G$30</f>
        <v>5.3370786516853927</v>
      </c>
      <c r="Z157" s="92">
        <f t="shared" si="22"/>
        <v>4.6017322765137984E-6</v>
      </c>
      <c r="AA157" s="96">
        <f>2.5*0.01*$C$7*$C$15*$G$8*($G$9+$G$10*$G$11)*(2*PI()*(1-COS($G157/180*PI())))^1.3/$E157^2/$F156^2*Z157*10^6</f>
        <v>4.891335186156605E-6</v>
      </c>
      <c r="AB157" s="569">
        <f>SUM(O157,R157,U157,X157,AA157)</f>
        <v>6.9979194763752965E-5</v>
      </c>
      <c r="AC157" s="570"/>
      <c r="AD157" s="571"/>
      <c r="AH157" s="572"/>
      <c r="AI157" s="573"/>
      <c r="AJ157" s="563"/>
      <c r="AK157" s="551"/>
      <c r="AX157" s="545"/>
      <c r="AY157" s="545"/>
      <c r="AZ157" s="545"/>
      <c r="BA157" s="545"/>
      <c r="BB157" s="545"/>
      <c r="BC157" s="545"/>
      <c r="BD157" s="545"/>
      <c r="BE157" s="545"/>
      <c r="BF157" s="545"/>
      <c r="BG157" s="545"/>
      <c r="BH157" s="545"/>
      <c r="BI157" s="545"/>
      <c r="BJ157" s="545"/>
      <c r="BK157" s="545"/>
      <c r="BL157" s="545"/>
      <c r="BM157" s="545"/>
      <c r="BN157" s="545"/>
      <c r="BO157" s="545"/>
      <c r="BP157" s="545"/>
      <c r="BQ157" s="545"/>
      <c r="BR157" s="545"/>
      <c r="BS157" s="545"/>
      <c r="BT157" s="545"/>
      <c r="BU157" s="545"/>
      <c r="BV157" s="545"/>
      <c r="BW157" s="545"/>
      <c r="BX157" s="545"/>
      <c r="BY157" s="545"/>
      <c r="BZ157" s="545"/>
    </row>
    <row r="158" spans="1:90" s="212" customFormat="1" ht="30" hidden="1" customHeight="1" thickBot="1" x14ac:dyDescent="0.3">
      <c r="A158" s="574"/>
      <c r="B158" s="575"/>
      <c r="C158" s="576"/>
      <c r="D158" s="89"/>
      <c r="E158" s="89"/>
      <c r="F158" s="89"/>
      <c r="G158" s="89"/>
      <c r="H158" s="1837"/>
      <c r="I158" s="1837"/>
      <c r="J158" s="1837"/>
      <c r="K158" s="1837"/>
      <c r="L158" s="1837"/>
      <c r="M158" s="91"/>
      <c r="N158" s="97"/>
      <c r="O158" s="98"/>
      <c r="P158" s="91"/>
      <c r="Q158" s="97"/>
      <c r="R158" s="98"/>
      <c r="S158" s="91"/>
      <c r="T158" s="97"/>
      <c r="U158" s="98"/>
      <c r="V158" s="91"/>
      <c r="W158" s="97"/>
      <c r="X158" s="98"/>
      <c r="Y158" s="91"/>
      <c r="Z158" s="97"/>
      <c r="AA158" s="99"/>
      <c r="AB158" s="577"/>
      <c r="AC158" s="578"/>
      <c r="AD158" s="579"/>
      <c r="AH158" s="580"/>
      <c r="AI158" s="581"/>
      <c r="AJ158" s="282"/>
      <c r="AK158" s="300"/>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row>
    <row r="159" spans="1:90" s="212" customFormat="1" ht="30" customHeight="1" x14ac:dyDescent="0.25">
      <c r="A159" s="552"/>
      <c r="B159" s="322"/>
      <c r="C159" s="323" t="s">
        <v>569</v>
      </c>
      <c r="D159" s="1836">
        <v>1</v>
      </c>
      <c r="E159" s="89"/>
      <c r="F159" s="89"/>
      <c r="G159" s="89"/>
      <c r="H159" s="1836">
        <v>0.25</v>
      </c>
      <c r="I159" s="1836">
        <v>250</v>
      </c>
      <c r="J159" s="1836">
        <v>0</v>
      </c>
      <c r="K159" s="1836">
        <v>0</v>
      </c>
      <c r="L159" s="1836">
        <v>0</v>
      </c>
      <c r="M159" s="91">
        <f>IF($I159=0,0,1+($I159-$C$21)/$C$22)+$J159/$C$23+$K159/$C$24+$L159/$C$25</f>
        <v>7.4545454545454541</v>
      </c>
      <c r="N159" s="92">
        <f t="shared" si="18"/>
        <v>3.5111917342151263E-8</v>
      </c>
      <c r="O159" s="93">
        <f>$C$7*$C$14*$C$8*$H159/$D159^2*N159*10^6</f>
        <v>7.022383468430253E-2</v>
      </c>
      <c r="P159" s="91">
        <f>IF($I159=0,0,1+($I159-$D$21)/$D$22)+$J159/$D$23+$K159/$D$24+$L159/$D$25</f>
        <v>6.6486486486486482</v>
      </c>
      <c r="Q159" s="92">
        <f t="shared" si="19"/>
        <v>2.2456979955397711E-7</v>
      </c>
      <c r="R159" s="93">
        <f>$C$7*$D$14*$D$8*$H159/$D159^2*$Q159*10^6</f>
        <v>0.4491395991079542</v>
      </c>
      <c r="S159" s="93">
        <f>IF($I159=0,0,1+(I159-$E$21)/$E$22)+$J159/$E$23+K159/$E$24+$L159/$E$25</f>
        <v>5.7674418604651159</v>
      </c>
      <c r="T159" s="92">
        <f t="shared" si="20"/>
        <v>1.7082763938087111E-6</v>
      </c>
      <c r="U159" s="93">
        <f>$C$7*$E$14*$E$8*$H159/$D159^2*$T159*10^6</f>
        <v>3.4165527876174222</v>
      </c>
      <c r="V159" s="93">
        <f>IF($I159=0,0,1+(I159-$F$21)/$F$22)+$J159/$F$23+K159/$F$24+$L159/$F$25</f>
        <v>9.1481481481481488</v>
      </c>
      <c r="W159" s="92">
        <f t="shared" si="21"/>
        <v>7.1097094323124171E-10</v>
      </c>
      <c r="X159" s="93">
        <f>$C$7*$F$14*$F$8*$H159/$D159^2*$W159*10^6</f>
        <v>1.4219418864624834E-3</v>
      </c>
      <c r="Y159" s="93">
        <f>IF($I159=0,0,1+(I159-$G$21)/$G$22)+$J159/$G$23+K159/$G$24+$L159/$G$25</f>
        <v>6.9444444444444446</v>
      </c>
      <c r="Z159" s="92">
        <f t="shared" si="22"/>
        <v>1.136463666385722E-7</v>
      </c>
      <c r="AA159" s="94">
        <f>$C$7*$G$14*$G$8*$H159/$D159^2*$Z159*10^6</f>
        <v>0.22729273327714439</v>
      </c>
      <c r="AB159" s="553">
        <f>SUM(O159,R159,U159,X159,AA159)</f>
        <v>4.1646308965732857</v>
      </c>
      <c r="AC159" s="554"/>
      <c r="AD159" s="555"/>
      <c r="AE159" s="538"/>
      <c r="AF159" s="538"/>
      <c r="AG159" s="538"/>
      <c r="AH159" s="556"/>
      <c r="AI159" s="551"/>
      <c r="AJ159" s="551"/>
      <c r="AK159" s="551"/>
      <c r="AL159" s="538"/>
      <c r="AM159" s="538"/>
      <c r="AN159" s="538"/>
      <c r="AO159" s="538"/>
      <c r="AP159" s="538"/>
      <c r="AQ159" s="538"/>
      <c r="AR159" s="538"/>
      <c r="AS159" s="538"/>
      <c r="AT159" s="538"/>
      <c r="AU159" s="538"/>
      <c r="AV159" s="538"/>
      <c r="AW159" s="538"/>
      <c r="AX159" s="545"/>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69"/>
      <c r="BT159" s="233"/>
      <c r="BU159" s="233"/>
      <c r="BV159" s="222"/>
      <c r="BW159" s="222"/>
      <c r="BX159" s="222"/>
      <c r="BY159" s="211"/>
      <c r="BZ159" s="222"/>
      <c r="CA159" s="222"/>
      <c r="CB159" s="225"/>
      <c r="CC159" s="225"/>
      <c r="CD159" s="225"/>
      <c r="CE159" s="225"/>
      <c r="CF159" s="225"/>
      <c r="CG159" s="300"/>
      <c r="CH159" s="300"/>
      <c r="CI159" s="300"/>
      <c r="CJ159" s="522"/>
      <c r="CK159" s="522"/>
      <c r="CL159" s="522"/>
    </row>
    <row r="160" spans="1:90" s="212" customFormat="1" ht="30" customHeight="1" x14ac:dyDescent="0.25">
      <c r="A160" s="557" t="str">
        <f>Samenvatting!A365</f>
        <v>T4</v>
      </c>
      <c r="B160" s="558" t="str">
        <f>Samenvatting!B365</f>
        <v>terreingrens 4</v>
      </c>
      <c r="C160" s="331" t="s">
        <v>568</v>
      </c>
      <c r="D160" s="1836">
        <v>25</v>
      </c>
      <c r="E160" s="89"/>
      <c r="F160" s="89"/>
      <c r="G160" s="89"/>
      <c r="H160" s="559"/>
      <c r="I160" s="1836">
        <v>250</v>
      </c>
      <c r="J160" s="1836">
        <v>0</v>
      </c>
      <c r="K160" s="1836">
        <v>0</v>
      </c>
      <c r="L160" s="1836">
        <v>0</v>
      </c>
      <c r="M160" s="93">
        <f>$I160/$C$27+$J160/$C$28+K160/$C$29+$L160/$C$30</f>
        <v>7.3529411764705879</v>
      </c>
      <c r="N160" s="92">
        <f t="shared" si="18"/>
        <v>4.4366873309786093E-8</v>
      </c>
      <c r="O160" s="93">
        <f>$C$7*$C$15*$C$8*($C$9+$C$10*$C$11)/$D160^2*$N160*10^6</f>
        <v>4.2592198377394652E-5</v>
      </c>
      <c r="P160" s="93">
        <f>$I160/$D$27+$J160/$D$28+$K160/$D$29+$L160/$D$30</f>
        <v>6.5789473684210522</v>
      </c>
      <c r="Q160" s="92">
        <f t="shared" si="19"/>
        <v>2.636650898730358E-7</v>
      </c>
      <c r="R160" s="93">
        <f>$C$7*$C$15*$D$8*($D$9+$D$10*$D$11)/$D160^2*$Q160*10^6</f>
        <v>2.5311848627811444E-4</v>
      </c>
      <c r="S160" s="93">
        <f>$I160/$E$27+$J160/$E$28+K160/$E$29+$L160/$E$30</f>
        <v>5.6818181818181817</v>
      </c>
      <c r="T160" s="92">
        <f t="shared" si="20"/>
        <v>2.0805675382171676E-6</v>
      </c>
      <c r="U160" s="93">
        <f>$C$7*$C$15*$E$8*($E$9+$E$10*$E$11)/$D160^2*$T160*10^6</f>
        <v>1.9973448366884814E-3</v>
      </c>
      <c r="V160" s="93">
        <f>$I160/$F$27+$J160/$F$28+K160/$F$29+$L160/$F$30</f>
        <v>8.1967213114754092</v>
      </c>
      <c r="W160" s="92">
        <f t="shared" si="21"/>
        <v>6.3573875711648393E-9</v>
      </c>
      <c r="X160" s="93">
        <f>$C$7*$C$15*$F$8*($F$9+$F$10*$F$11)/$D160^2*$W160*10^6</f>
        <v>6.1030920683182469E-6</v>
      </c>
      <c r="Y160" s="93">
        <f>$I160/$G$27+$J160/$G$28+K160/$G$29+$L160/$G$30</f>
        <v>7.0224719101123592</v>
      </c>
      <c r="Z160" s="92">
        <f t="shared" si="22"/>
        <v>9.4957241494880226E-8</v>
      </c>
      <c r="AA160" s="94">
        <f>$C$7*$C$15*$G$8*($G$9+$G$10*$G$11)/$D160^2*$Z160*10^6</f>
        <v>9.1158951835085031E-5</v>
      </c>
      <c r="AB160" s="560">
        <f>SUM(O160,R160,U160,X160,AA160)</f>
        <v>2.3903175652473939E-3</v>
      </c>
      <c r="AC160" s="561">
        <f>SUM(AB158:AB163)</f>
        <v>4.1670929152189826</v>
      </c>
      <c r="AD160" s="562">
        <f>AC160*52/10^3</f>
        <v>0.2166888315913871</v>
      </c>
      <c r="AE160" s="538"/>
      <c r="AF160" s="538"/>
      <c r="AG160" s="538"/>
      <c r="AH160" s="556"/>
      <c r="AI160" s="563"/>
      <c r="AJ160" s="551"/>
      <c r="AK160" s="551"/>
      <c r="AL160" s="538"/>
      <c r="AM160" s="538"/>
      <c r="AN160" s="538"/>
      <c r="AO160" s="538"/>
      <c r="AP160" s="538"/>
      <c r="AQ160" s="538"/>
      <c r="AR160" s="538"/>
      <c r="AS160" s="538"/>
      <c r="AT160" s="538"/>
      <c r="AU160" s="538"/>
      <c r="AV160" s="538"/>
      <c r="AW160" s="538"/>
      <c r="AX160" s="545"/>
      <c r="AY160" s="545"/>
      <c r="AZ160" s="545"/>
      <c r="BA160" s="545"/>
      <c r="BB160" s="328"/>
      <c r="BC160" s="328"/>
      <c r="BD160" s="328"/>
      <c r="BE160" s="328"/>
      <c r="BF160" s="328"/>
      <c r="BG160" s="328"/>
      <c r="BH160" s="328"/>
      <c r="BI160" s="328"/>
      <c r="BJ160" s="328"/>
      <c r="BK160" s="328"/>
      <c r="BL160" s="328"/>
      <c r="BM160" s="328"/>
      <c r="BN160" s="328"/>
      <c r="BO160" s="328"/>
      <c r="BP160" s="328"/>
      <c r="BQ160" s="328"/>
      <c r="BR160" s="328"/>
      <c r="BS160" s="369"/>
      <c r="BT160" s="233"/>
      <c r="BU160" s="233"/>
      <c r="BV160" s="222"/>
      <c r="BW160" s="222"/>
      <c r="BX160" s="222"/>
      <c r="BY160" s="211"/>
      <c r="BZ160" s="222"/>
      <c r="CA160" s="222"/>
      <c r="CB160" s="225"/>
      <c r="CC160" s="225"/>
      <c r="CD160" s="225"/>
      <c r="CE160" s="225"/>
      <c r="CF160" s="225"/>
      <c r="CG160" s="300"/>
      <c r="CH160" s="300"/>
      <c r="CI160" s="300"/>
      <c r="CJ160" s="522"/>
      <c r="CK160" s="522"/>
      <c r="CL160" s="522"/>
    </row>
    <row r="161" spans="1:90" s="212" customFormat="1" ht="30" customHeight="1" x14ac:dyDescent="0.25">
      <c r="A161" s="557"/>
      <c r="B161" s="558"/>
      <c r="C161" s="331" t="s">
        <v>26</v>
      </c>
      <c r="D161" s="564"/>
      <c r="E161" s="89">
        <f>E146</f>
        <v>11</v>
      </c>
      <c r="F161" s="89">
        <f>D160</f>
        <v>25</v>
      </c>
      <c r="G161" s="1836">
        <v>15</v>
      </c>
      <c r="H161" s="1836">
        <v>0.25</v>
      </c>
      <c r="I161" s="1836">
        <v>210</v>
      </c>
      <c r="J161" s="1836">
        <v>0</v>
      </c>
      <c r="K161" s="1836">
        <v>0</v>
      </c>
      <c r="L161" s="1836">
        <v>0</v>
      </c>
      <c r="M161" s="93">
        <f>IF($I161=0,0,1+(I161-$C$21)/$C$22)+$J161/$C$23+K161/$C$24+$L161/$C$25</f>
        <v>6.2424242424242422</v>
      </c>
      <c r="N161" s="92">
        <f t="shared" si="18"/>
        <v>5.722367659350211E-7</v>
      </c>
      <c r="O161" s="95">
        <f>2.5*0.01*$C$7*$C$14*$C$8*$H161*(2*PI()*(1-COS($G161/180*PI())))^1.3/$E161^2/$F161^2*N161*10^6</f>
        <v>5.101138747051231E-8</v>
      </c>
      <c r="P161" s="91">
        <f>IF($I161=0,0,1+($I161-$D$21)/$D$22)+$J161/$D$23+$K161/$D$24+$L161/$D$25</f>
        <v>5.5675675675675675</v>
      </c>
      <c r="Q161" s="92">
        <f t="shared" si="19"/>
        <v>2.7066520700332395E-6</v>
      </c>
      <c r="R161" s="95">
        <f>2.5*0.01*$C$7*$D$14*$D$8*$H161*(2*PI()*(1-COS($G161/180*PI())))^1.3/$E161^2/$F161^2*Q161*10^6</f>
        <v>2.4128138160910826E-7</v>
      </c>
      <c r="S161" s="93">
        <f>IF($I161=0,0,1+(I161-$E$21)/$E$22)+$J161/$E$23+K161/$E$24+$L161/$E$25</f>
        <v>4.8372093023255811</v>
      </c>
      <c r="T161" s="92">
        <f t="shared" si="20"/>
        <v>1.4547578108480478E-5</v>
      </c>
      <c r="U161" s="95">
        <f>2.5*0.01*$C$7*$E$14*$E$8*$H161*(2*PI()*(1-COS($G161/180*PI())))^1.3/$E161^2/$F161^2*T161*10^6</f>
        <v>1.2968270964496306E-6</v>
      </c>
      <c r="V161" s="93">
        <f>IF($I161=0,0,1+(I161-$F$21)/$F$22)+$J161/$F$23+K161/$F$24+$L161/$F$25</f>
        <v>7.666666666666667</v>
      </c>
      <c r="W161" s="92">
        <f t="shared" si="21"/>
        <v>2.1544346900318783E-8</v>
      </c>
      <c r="X161" s="95">
        <f>2.5*0.01*$C$7*$F$14*$F$8*$H161*(2*PI()*(1-COS($G161/180*PI())))^1.3/$E161^2/$F161^2*W161*10^6</f>
        <v>1.920545992418962E-9</v>
      </c>
      <c r="Y161" s="93">
        <f>IF($I161=0,0,1+(I161-$G$21)/$G$22)+$J161/$G$23+K161/$G$24+$L161/$G$25</f>
        <v>5.833333333333333</v>
      </c>
      <c r="Z161" s="92">
        <f t="shared" si="22"/>
        <v>1.4677992676220696E-6</v>
      </c>
      <c r="AA161" s="96">
        <f>2.5*0.01*$C$7*$G$14*$G$8*$H161*(2*PI()*(1-COS($G161/180*PI())))^1.3/$E161^2/$F161^2*Z161*10^6</f>
        <v>1.3084527528960935E-7</v>
      </c>
      <c r="AB161" s="560">
        <f>SUM(O161,R161,U161,X161,AA161)</f>
        <v>1.7218856868112794E-6</v>
      </c>
      <c r="AC161" s="565"/>
      <c r="AD161" s="566"/>
      <c r="AE161" s="538"/>
      <c r="AF161" s="538"/>
      <c r="AG161" s="567"/>
      <c r="AH161" s="538"/>
      <c r="AI161" s="563"/>
      <c r="AJ161" s="545"/>
      <c r="AK161" s="545"/>
      <c r="AL161" s="538"/>
      <c r="AM161" s="538"/>
      <c r="AN161" s="538"/>
      <c r="AO161" s="538"/>
      <c r="AP161" s="538"/>
      <c r="AQ161" s="538"/>
      <c r="AR161" s="538"/>
      <c r="AS161" s="538"/>
      <c r="AT161" s="538"/>
      <c r="AU161" s="538"/>
      <c r="AV161" s="538"/>
      <c r="AW161" s="538"/>
      <c r="AX161" s="545"/>
      <c r="AY161" s="545"/>
      <c r="AZ161" s="545"/>
      <c r="BA161" s="545"/>
      <c r="BB161" s="328"/>
      <c r="BC161" s="328"/>
      <c r="BD161" s="328"/>
      <c r="BE161" s="328"/>
      <c r="BF161" s="328"/>
      <c r="BG161" s="328"/>
      <c r="BH161" s="328"/>
      <c r="BI161" s="328"/>
      <c r="BJ161" s="328"/>
      <c r="BK161" s="328"/>
      <c r="BL161" s="328"/>
      <c r="BM161" s="328"/>
      <c r="BN161" s="328"/>
      <c r="BO161" s="328"/>
      <c r="BP161" s="328"/>
      <c r="BQ161" s="328"/>
      <c r="BR161" s="328"/>
      <c r="BS161" s="369"/>
      <c r="BT161" s="233"/>
      <c r="BU161" s="233"/>
      <c r="BV161" s="222"/>
      <c r="BW161" s="222"/>
      <c r="BX161" s="222"/>
      <c r="BY161" s="211"/>
      <c r="BZ161" s="222"/>
      <c r="CA161" s="222"/>
      <c r="CB161" s="225"/>
      <c r="CC161" s="225"/>
      <c r="CD161" s="225"/>
      <c r="CE161" s="225"/>
      <c r="CF161" s="225"/>
      <c r="CG161" s="300"/>
      <c r="CH161" s="300"/>
      <c r="CI161" s="300"/>
      <c r="CJ161" s="522"/>
      <c r="CK161" s="522"/>
      <c r="CL161" s="522"/>
    </row>
    <row r="162" spans="1:90" s="538" customFormat="1" ht="30" customHeight="1" thickBot="1" x14ac:dyDescent="0.3">
      <c r="A162" s="582"/>
      <c r="B162" s="583"/>
      <c r="C162" s="584" t="s">
        <v>27</v>
      </c>
      <c r="D162" s="58"/>
      <c r="E162" s="58">
        <f>E147</f>
        <v>10</v>
      </c>
      <c r="F162" s="58"/>
      <c r="G162" s="1859">
        <v>60</v>
      </c>
      <c r="H162" s="56"/>
      <c r="I162" s="1859">
        <v>190</v>
      </c>
      <c r="J162" s="1859">
        <v>0</v>
      </c>
      <c r="K162" s="1859">
        <v>0</v>
      </c>
      <c r="L162" s="1859">
        <v>0</v>
      </c>
      <c r="M162" s="100">
        <f>$I162/$C$27+$J162/$C$28+K162/$C$29+$L162/$C$30</f>
        <v>5.5882352941176467</v>
      </c>
      <c r="N162" s="101">
        <f t="shared" si="18"/>
        <v>2.580861540418073E-6</v>
      </c>
      <c r="O162" s="102">
        <f>2.5*0.01*$C$7*$C$15*$C$8*($C$9+$C$10*$C$11)*(2*PI()*(1-COS($G162/180*PI())))^1.3/E$147^2/$F161^2*N162*10^6</f>
        <v>2.7432840731901286E-6</v>
      </c>
      <c r="P162" s="100">
        <f>$I162/$D$27+$J162/$D$28+$K162/$D$29+$L162/$D$30</f>
        <v>5</v>
      </c>
      <c r="Q162" s="101">
        <f t="shared" si="19"/>
        <v>1.0000000000000001E-5</v>
      </c>
      <c r="R162" s="102">
        <f>2.5*0.01*$C$7*$C$15*$D$8*($D$9+$D$10*$D$11)*(2*PI()*(1-COS($G162/180*PI())))^1.3/$E162^2/$F161^2*Q162*10^6</f>
        <v>1.0629334546733355E-5</v>
      </c>
      <c r="S162" s="100">
        <f>$I162/$E$27+$J162/$E$28+K162/$E$29+$L162/$E$30</f>
        <v>4.3181818181818183</v>
      </c>
      <c r="T162" s="101">
        <f t="shared" si="20"/>
        <v>4.8063808630643867E-5</v>
      </c>
      <c r="U162" s="102">
        <f>2.5*0.01*$C$7*$C$15*$E$8*($E$9+$E$10*$E$11)*(2*PI()*(1-COS($G162/180*PI())))^1.3/$E162^2/$F161^2*T162*10^6</f>
        <v>5.1088630152528366E-5</v>
      </c>
      <c r="V162" s="100">
        <f>$I162/$F$27+$J162/$F$28+K162/$F$29+$L162/$F$30</f>
        <v>6.2295081967213113</v>
      </c>
      <c r="W162" s="101">
        <f t="shared" si="21"/>
        <v>5.8951085074002664E-7</v>
      </c>
      <c r="X162" s="102">
        <f>2.5*0.01*$C$7*$C$15*$F$8*($F$9+$F$10*$F$11)*(2*PI()*(1-COS($G162/180*PI())))^1.3/$E162^2/$F161^2*W162*10^6</f>
        <v>6.2661080514451354E-7</v>
      </c>
      <c r="Y162" s="100">
        <f>$I162/$G$27+$J162/$G$28+K162/$G$29+$L162/$G$30</f>
        <v>5.3370786516853927</v>
      </c>
      <c r="Z162" s="101">
        <f t="shared" si="22"/>
        <v>4.6017322765137984E-6</v>
      </c>
      <c r="AA162" s="103">
        <f>2.5*0.01*$C$7*$C$15*$G$8*($G$9+$G$10*$G$11)*(2*PI()*(1-COS($G162/180*PI())))^1.3/$E162^2/$F161^2*Z162*10^6</f>
        <v>4.891335186156605E-6</v>
      </c>
      <c r="AB162" s="569">
        <f>SUM(O162,R162,U162,X162,AA162)</f>
        <v>6.9979194763752965E-5</v>
      </c>
      <c r="AC162" s="570"/>
      <c r="AD162" s="571"/>
      <c r="AH162" s="572"/>
      <c r="AI162" s="573"/>
      <c r="AJ162" s="563"/>
      <c r="AK162" s="551"/>
      <c r="AX162" s="545"/>
      <c r="AY162" s="545"/>
      <c r="AZ162" s="545"/>
      <c r="BA162" s="545"/>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row>
    <row r="163" spans="1:90" s="538" customFormat="1" ht="30" hidden="1" customHeight="1" x14ac:dyDescent="0.25">
      <c r="A163" s="178"/>
      <c r="B163" s="220"/>
      <c r="C163" s="310"/>
      <c r="D163" s="57"/>
      <c r="E163" s="57"/>
      <c r="F163" s="57"/>
      <c r="G163" s="57"/>
      <c r="H163" s="57"/>
      <c r="I163" s="57"/>
      <c r="J163" s="57"/>
      <c r="K163" s="57"/>
      <c r="L163" s="57"/>
      <c r="M163" s="369"/>
      <c r="N163" s="328"/>
      <c r="O163" s="586"/>
      <c r="P163" s="369"/>
      <c r="Q163" s="328"/>
      <c r="R163" s="586"/>
      <c r="S163" s="369"/>
      <c r="T163" s="328"/>
      <c r="U163" s="586"/>
      <c r="V163" s="369"/>
      <c r="W163" s="328"/>
      <c r="X163" s="586"/>
      <c r="Y163" s="369"/>
      <c r="Z163" s="328"/>
      <c r="AA163" s="586"/>
      <c r="AB163" s="328"/>
      <c r="AC163" s="587"/>
      <c r="AD163" s="225"/>
      <c r="AH163" s="572"/>
      <c r="AI163" s="573"/>
      <c r="AJ163" s="563"/>
      <c r="AK163" s="551"/>
      <c r="AX163" s="545"/>
      <c r="AY163" s="545"/>
      <c r="AZ163" s="545"/>
      <c r="BA163" s="545"/>
      <c r="BB163" s="545"/>
      <c r="BC163" s="545"/>
      <c r="BD163" s="545"/>
      <c r="BE163" s="545"/>
      <c r="BF163" s="545"/>
      <c r="BG163" s="545"/>
      <c r="BH163" s="545"/>
      <c r="BI163" s="545"/>
      <c r="BJ163" s="545"/>
      <c r="BK163" s="545"/>
      <c r="BL163" s="545"/>
      <c r="BM163" s="545"/>
      <c r="BN163" s="545"/>
      <c r="BO163" s="545"/>
      <c r="BP163" s="545"/>
      <c r="BQ163" s="545"/>
      <c r="BR163" s="545"/>
      <c r="BS163" s="545"/>
      <c r="BT163" s="545"/>
      <c r="BU163" s="545"/>
      <c r="BV163" s="545"/>
      <c r="BW163" s="545"/>
      <c r="BX163" s="545"/>
      <c r="BY163" s="545"/>
      <c r="BZ163" s="545"/>
    </row>
    <row r="164" spans="1:90" s="538" customFormat="1" ht="19.5" customHeight="1" x14ac:dyDescent="0.25">
      <c r="A164" s="517"/>
      <c r="B164" s="222"/>
      <c r="C164" s="201"/>
      <c r="D164" s="201"/>
      <c r="E164" s="201"/>
      <c r="F164" s="201"/>
      <c r="G164" s="201"/>
      <c r="H164" s="201"/>
      <c r="I164" s="201"/>
      <c r="J164" s="201"/>
      <c r="K164" s="201"/>
      <c r="L164" s="201"/>
      <c r="M164" s="201"/>
      <c r="N164" s="201"/>
      <c r="O164" s="201"/>
      <c r="P164" s="201"/>
      <c r="Q164" s="201"/>
      <c r="R164" s="201"/>
      <c r="S164" s="201"/>
      <c r="T164" s="201"/>
      <c r="U164" s="201"/>
      <c r="V164" s="201"/>
      <c r="W164" s="189"/>
      <c r="X164" s="189"/>
      <c r="Y164" s="189"/>
      <c r="Z164" s="189"/>
      <c r="AA164" s="189"/>
      <c r="AB164" s="189"/>
      <c r="AC164" s="202"/>
      <c r="AD164" s="202"/>
      <c r="AE164" s="202"/>
      <c r="AF164" s="202"/>
    </row>
    <row r="165" spans="1:90" s="212" customFormat="1" ht="19.5" customHeight="1" x14ac:dyDescent="0.25">
      <c r="A165" s="222"/>
      <c r="B165" s="222"/>
      <c r="C165" s="222"/>
      <c r="D165" s="222"/>
      <c r="E165" s="222"/>
      <c r="F165" s="222"/>
      <c r="G165" s="222"/>
      <c r="H165" s="222"/>
      <c r="I165" s="272"/>
      <c r="J165" s="588"/>
      <c r="K165" s="589"/>
      <c r="L165" s="288"/>
      <c r="M165" s="590"/>
      <c r="N165" s="591"/>
      <c r="O165" s="590"/>
      <c r="P165" s="592"/>
      <c r="Q165" s="201"/>
      <c r="R165" s="201"/>
      <c r="S165" s="201"/>
      <c r="T165" s="201"/>
      <c r="U165" s="201"/>
      <c r="V165" s="189"/>
      <c r="W165" s="593"/>
      <c r="X165" s="593"/>
      <c r="Y165" s="594"/>
      <c r="Z165" s="189"/>
      <c r="AA165" s="189"/>
      <c r="AB165" s="551"/>
      <c r="AC165" s="551"/>
      <c r="AD165" s="538"/>
      <c r="AE165" s="538"/>
      <c r="AF165" s="189"/>
      <c r="AG165" s="222"/>
      <c r="AH165" s="211"/>
      <c r="AI165" s="222"/>
      <c r="AJ165" s="222"/>
      <c r="AK165" s="225"/>
      <c r="AL165" s="225"/>
      <c r="AM165" s="225"/>
      <c r="AN165" s="225"/>
      <c r="AO165" s="225"/>
      <c r="AP165" s="300"/>
      <c r="AQ165" s="300"/>
      <c r="AR165" s="300"/>
      <c r="AS165" s="300"/>
      <c r="AT165" s="300"/>
      <c r="AU165" s="300"/>
      <c r="AV165" s="225"/>
      <c r="AW165" s="225"/>
      <c r="AX165" s="225"/>
      <c r="AY165" s="225"/>
      <c r="AZ165" s="225"/>
      <c r="BA165" s="225"/>
      <c r="BB165" s="225"/>
      <c r="BC165" s="225"/>
      <c r="BD165" s="225"/>
      <c r="BE165" s="225"/>
      <c r="BF165" s="225"/>
      <c r="BG165" s="225"/>
      <c r="BH165" s="225"/>
      <c r="BI165" s="225"/>
      <c r="BJ165" s="225"/>
    </row>
    <row r="166" spans="1:90" s="212" customFormat="1" ht="19.5" customHeight="1" x14ac:dyDescent="0.25">
      <c r="A166" s="595" t="s">
        <v>418</v>
      </c>
      <c r="B166" s="595"/>
      <c r="C166" s="596"/>
      <c r="D166" s="288"/>
      <c r="E166" s="288"/>
      <c r="F166" s="288"/>
      <c r="G166" s="288"/>
      <c r="H166" s="288"/>
      <c r="I166" s="288"/>
      <c r="J166" s="288"/>
      <c r="K166" s="288"/>
      <c r="L166" s="288"/>
      <c r="M166" s="288"/>
      <c r="N166" s="288"/>
      <c r="O166" s="288"/>
      <c r="P166" s="288"/>
      <c r="Q166" s="288"/>
      <c r="R166" s="288"/>
      <c r="S166" s="288"/>
      <c r="T166" s="288"/>
      <c r="U166" s="288"/>
      <c r="V166" s="222"/>
      <c r="W166" s="222"/>
      <c r="X166" s="222"/>
      <c r="Y166" s="222"/>
      <c r="Z166" s="222"/>
      <c r="AA166" s="222"/>
      <c r="AB166" s="187"/>
      <c r="AC166" s="187"/>
      <c r="AD166" s="187"/>
      <c r="AE166" s="187"/>
      <c r="AF166" s="222"/>
      <c r="AG166" s="587"/>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row>
    <row r="167" spans="1:90" s="604" customFormat="1" ht="19.5" customHeight="1" x14ac:dyDescent="0.25">
      <c r="A167" s="597"/>
      <c r="B167" s="598"/>
      <c r="C167" s="599"/>
      <c r="D167" s="599"/>
      <c r="E167" s="599"/>
      <c r="F167" s="600"/>
      <c r="G167" s="600"/>
      <c r="H167" s="600"/>
      <c r="I167" s="601"/>
      <c r="J167" s="600"/>
      <c r="K167" s="602"/>
      <c r="L167" s="603"/>
      <c r="M167" s="603"/>
    </row>
    <row r="168" spans="1:90" s="212" customFormat="1" ht="19.5" customHeight="1" x14ac:dyDescent="0.25">
      <c r="A168" s="605" t="s">
        <v>322</v>
      </c>
      <c r="C168" s="288"/>
      <c r="D168" s="288"/>
      <c r="E168" s="288"/>
      <c r="F168" s="288"/>
      <c r="G168" s="288"/>
      <c r="H168" s="288"/>
      <c r="I168" s="288"/>
      <c r="J168" s="288"/>
      <c r="K168" s="288"/>
      <c r="L168" s="288"/>
      <c r="M168" s="288"/>
      <c r="N168" s="288"/>
      <c r="O168" s="288"/>
      <c r="P168" s="288"/>
      <c r="Q168" s="288"/>
      <c r="R168" s="288"/>
      <c r="S168" s="288"/>
      <c r="T168" s="288"/>
      <c r="U168" s="288"/>
      <c r="V168" s="222"/>
      <c r="W168" s="222"/>
      <c r="X168" s="222"/>
      <c r="Y168" s="222"/>
      <c r="Z168" s="222"/>
      <c r="AA168" s="222"/>
      <c r="AB168" s="222"/>
      <c r="AC168" s="222"/>
      <c r="AD168" s="222"/>
      <c r="AE168" s="222"/>
      <c r="AF168" s="538"/>
      <c r="AG168" s="538"/>
      <c r="AH168" s="538"/>
      <c r="AI168" s="538"/>
      <c r="AJ168" s="538"/>
      <c r="AK168" s="538"/>
      <c r="AL168" s="538"/>
      <c r="AM168" s="538"/>
      <c r="AN168" s="538"/>
      <c r="AO168" s="538"/>
      <c r="AP168" s="545"/>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69"/>
      <c r="BL168" s="233"/>
      <c r="BM168" s="233"/>
      <c r="BN168" s="222"/>
      <c r="BO168" s="233"/>
      <c r="BP168" s="222"/>
      <c r="BQ168" s="211"/>
      <c r="BR168" s="222"/>
      <c r="BS168" s="222"/>
      <c r="BT168" s="225"/>
      <c r="BU168" s="225"/>
      <c r="BV168" s="225"/>
      <c r="BW168" s="225"/>
      <c r="BX168" s="225"/>
      <c r="BY168" s="300"/>
      <c r="BZ168" s="300"/>
      <c r="CA168" s="300"/>
      <c r="CB168" s="522"/>
      <c r="CC168" s="522"/>
      <c r="CD168" s="522"/>
    </row>
    <row r="169" spans="1:90" s="222" customFormat="1" ht="19.5" customHeight="1" x14ac:dyDescent="0.25">
      <c r="A169" s="301"/>
      <c r="B169" s="305"/>
      <c r="C169" s="302"/>
      <c r="D169" s="606" t="s">
        <v>261</v>
      </c>
      <c r="E169" s="607" t="s">
        <v>323</v>
      </c>
      <c r="F169" s="608"/>
      <c r="G169" s="609" t="s">
        <v>224</v>
      </c>
      <c r="H169" s="608" t="s">
        <v>329</v>
      </c>
      <c r="I169" s="2014" t="s">
        <v>260</v>
      </c>
      <c r="J169" s="2015"/>
      <c r="K169" s="607" t="s">
        <v>260</v>
      </c>
      <c r="L169" s="288"/>
      <c r="M169" s="288"/>
      <c r="N169" s="288"/>
      <c r="O169" s="288"/>
      <c r="P169" s="610"/>
      <c r="Q169" s="288"/>
      <c r="R169" s="288"/>
      <c r="S169" s="610"/>
      <c r="T169" s="288"/>
      <c r="U169" s="288"/>
      <c r="V169" s="610"/>
      <c r="W169" s="288"/>
      <c r="X169" s="288"/>
      <c r="Y169" s="288"/>
      <c r="Z169" s="288"/>
      <c r="AB169" s="288"/>
      <c r="AC169" s="288"/>
    </row>
    <row r="170" spans="1:90" s="222" customFormat="1" ht="19.5" customHeight="1" x14ac:dyDescent="0.25">
      <c r="A170" s="308" t="s">
        <v>50</v>
      </c>
      <c r="B170" s="611" t="s">
        <v>15</v>
      </c>
      <c r="C170" s="498" t="s">
        <v>25</v>
      </c>
      <c r="D170" s="612" t="s">
        <v>356</v>
      </c>
      <c r="E170" s="613" t="s">
        <v>324</v>
      </c>
      <c r="F170" s="613" t="s">
        <v>4</v>
      </c>
      <c r="G170" s="299" t="s">
        <v>259</v>
      </c>
      <c r="H170" s="613" t="s">
        <v>87</v>
      </c>
      <c r="I170" s="614"/>
      <c r="J170" s="614" t="s">
        <v>11</v>
      </c>
      <c r="K170" s="614" t="s">
        <v>11</v>
      </c>
      <c r="L170" s="288"/>
      <c r="M170" s="288"/>
      <c r="N170" s="288"/>
      <c r="O170" s="288"/>
      <c r="P170" s="610"/>
      <c r="Q170" s="288"/>
      <c r="R170" s="288"/>
      <c r="S170" s="610"/>
      <c r="T170" s="288"/>
      <c r="U170" s="288"/>
      <c r="V170" s="610"/>
      <c r="W170" s="288"/>
      <c r="X170" s="288"/>
      <c r="Y170" s="288"/>
      <c r="Z170" s="288"/>
      <c r="AB170" s="288"/>
      <c r="AC170" s="288"/>
    </row>
    <row r="171" spans="1:90" s="222" customFormat="1" ht="19.5" customHeight="1" x14ac:dyDescent="0.25">
      <c r="A171" s="615"/>
      <c r="B171" s="616"/>
      <c r="C171" s="499"/>
      <c r="D171" s="612" t="s">
        <v>357</v>
      </c>
      <c r="E171" s="617" t="s">
        <v>325</v>
      </c>
      <c r="F171" s="617" t="s">
        <v>78</v>
      </c>
      <c r="G171" s="299" t="s">
        <v>258</v>
      </c>
      <c r="H171" s="617"/>
      <c r="I171" s="614" t="s">
        <v>337</v>
      </c>
      <c r="J171" s="614" t="s">
        <v>337</v>
      </c>
      <c r="K171" s="614" t="s">
        <v>166</v>
      </c>
      <c r="L171" s="288"/>
      <c r="M171" s="288"/>
      <c r="N171" s="288"/>
      <c r="O171" s="288"/>
      <c r="P171" s="610"/>
      <c r="Q171" s="288"/>
      <c r="R171" s="288"/>
      <c r="S171" s="610"/>
      <c r="T171" s="288"/>
      <c r="U171" s="288"/>
      <c r="V171" s="610"/>
      <c r="W171" s="288"/>
      <c r="X171" s="288"/>
      <c r="Y171" s="288"/>
      <c r="Z171" s="288"/>
      <c r="AB171" s="288"/>
      <c r="AC171" s="288"/>
    </row>
    <row r="172" spans="1:90" s="222" customFormat="1" ht="30" customHeight="1" thickBot="1" x14ac:dyDescent="0.3">
      <c r="A172" s="618"/>
      <c r="B172" s="2008" t="str">
        <f>Samenvatting!A265</f>
        <v>achterblijven in bestralingsruimte tijdens bestraling</v>
      </c>
      <c r="C172" s="619" t="s">
        <v>0</v>
      </c>
      <c r="D172" s="1860">
        <v>550</v>
      </c>
      <c r="E172" s="620"/>
      <c r="F172" s="1861">
        <v>2</v>
      </c>
      <c r="G172" s="1862">
        <v>30</v>
      </c>
      <c r="H172" s="1860">
        <v>1</v>
      </c>
      <c r="I172" s="621">
        <f>D172*$C$15/F172^2*G172/60*10</f>
        <v>0.6875</v>
      </c>
      <c r="J172" s="622">
        <f>SUM(I172:I173)</f>
        <v>2.0625</v>
      </c>
      <c r="K172" s="622">
        <f>J172*H172</f>
        <v>2.0625</v>
      </c>
      <c r="N172" s="288"/>
      <c r="O172" s="288"/>
      <c r="P172" s="288"/>
      <c r="Q172" s="288"/>
      <c r="R172" s="288"/>
      <c r="S172" s="288"/>
      <c r="T172" s="288"/>
      <c r="U172" s="288"/>
      <c r="V172" s="288"/>
      <c r="W172" s="288"/>
      <c r="X172" s="288"/>
      <c r="Y172" s="288"/>
      <c r="Z172" s="288"/>
      <c r="AA172" s="288"/>
      <c r="AB172" s="288"/>
    </row>
    <row r="173" spans="1:90" s="222" customFormat="1" ht="30" customHeight="1" thickBot="1" x14ac:dyDescent="0.3">
      <c r="A173" s="623"/>
      <c r="B173" s="2009"/>
      <c r="C173" s="619" t="s">
        <v>33</v>
      </c>
      <c r="D173" s="624"/>
      <c r="E173" s="1852">
        <f>0.01*20</f>
        <v>0.2</v>
      </c>
      <c r="F173" s="625">
        <f>F172</f>
        <v>2</v>
      </c>
      <c r="G173" s="626">
        <f>G172</f>
        <v>30</v>
      </c>
      <c r="H173" s="615"/>
      <c r="I173" s="621">
        <f>D172*E173/100/F173^2*G173/60*10</f>
        <v>1.375</v>
      </c>
      <c r="J173" s="627"/>
      <c r="K173" s="627"/>
      <c r="N173" s="288"/>
      <c r="O173" s="288"/>
      <c r="P173" s="288"/>
      <c r="Q173" s="288"/>
      <c r="R173" s="288"/>
      <c r="S173" s="288"/>
      <c r="T173" s="288"/>
      <c r="U173" s="288"/>
      <c r="V173" s="288"/>
      <c r="W173" s="288"/>
      <c r="X173" s="288"/>
      <c r="Y173" s="288"/>
      <c r="Z173" s="288"/>
      <c r="AA173" s="288"/>
      <c r="AB173" s="288"/>
    </row>
    <row r="174" spans="1:90" s="222" customFormat="1" ht="19.5" customHeight="1" x14ac:dyDescent="0.25">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189"/>
      <c r="W174" s="189"/>
      <c r="X174" s="189"/>
      <c r="Y174" s="189"/>
      <c r="Z174" s="189"/>
      <c r="AA174" s="189"/>
      <c r="AB174" s="202"/>
      <c r="AC174" s="202"/>
      <c r="AD174" s="202"/>
      <c r="AE174" s="202"/>
      <c r="AK174" s="299"/>
      <c r="AL174" s="299"/>
      <c r="AM174" s="299"/>
      <c r="AN174" s="299"/>
      <c r="AO174" s="299"/>
      <c r="AP174" s="299"/>
      <c r="AU174" s="211"/>
      <c r="AV174" s="266"/>
      <c r="BC174" s="211"/>
      <c r="BD174" s="211"/>
    </row>
    <row r="175" spans="1:90" x14ac:dyDescent="0.25">
      <c r="A175" s="605" t="s">
        <v>339</v>
      </c>
      <c r="B175" s="202"/>
      <c r="C175" s="288"/>
      <c r="D175" s="288"/>
      <c r="E175" s="288"/>
      <c r="F175" s="288"/>
      <c r="G175" s="288"/>
      <c r="H175" s="288"/>
      <c r="I175" s="288"/>
      <c r="J175" s="288"/>
      <c r="K175" s="288"/>
      <c r="L175" s="288"/>
      <c r="M175" s="288"/>
      <c r="N175" s="288"/>
      <c r="O175" s="288"/>
      <c r="P175" s="288"/>
      <c r="Q175" s="288"/>
      <c r="R175" s="288"/>
      <c r="S175" s="288"/>
      <c r="T175" s="288"/>
      <c r="U175" s="288"/>
      <c r="V175" s="222"/>
      <c r="W175" s="222"/>
      <c r="X175" s="222"/>
      <c r="Y175" s="222"/>
      <c r="Z175" s="222"/>
      <c r="AA175" s="222"/>
      <c r="AB175" s="222"/>
      <c r="AC175" s="222"/>
      <c r="AD175" s="222"/>
      <c r="AE175" s="222"/>
    </row>
    <row r="176" spans="1:90" s="187" customFormat="1" ht="19.5" customHeight="1" x14ac:dyDescent="0.25">
      <c r="A176" s="2020" t="s">
        <v>50</v>
      </c>
      <c r="B176" s="2023" t="s">
        <v>15</v>
      </c>
      <c r="C176" s="606" t="s">
        <v>261</v>
      </c>
      <c r="D176" s="607" t="s">
        <v>224</v>
      </c>
      <c r="E176" s="608" t="s">
        <v>329</v>
      </c>
      <c r="F176" s="607" t="s">
        <v>260</v>
      </c>
      <c r="G176" s="607" t="s">
        <v>260</v>
      </c>
      <c r="H176" s="628"/>
      <c r="I176" s="222"/>
      <c r="J176" s="288"/>
      <c r="K176" s="288"/>
      <c r="L176" s="288"/>
      <c r="M176" s="288"/>
      <c r="N176" s="288"/>
      <c r="O176" s="610"/>
      <c r="P176" s="288"/>
      <c r="Q176" s="288"/>
      <c r="R176" s="610"/>
      <c r="S176" s="288"/>
      <c r="T176" s="288"/>
      <c r="U176" s="610"/>
      <c r="V176" s="288"/>
      <c r="W176" s="288"/>
      <c r="X176" s="288"/>
      <c r="Y176" s="288"/>
      <c r="Z176" s="222"/>
      <c r="AA176" s="288"/>
      <c r="AB176" s="288"/>
      <c r="AC176" s="222"/>
      <c r="AD176" s="222"/>
      <c r="AE176" s="222"/>
    </row>
    <row r="177" spans="1:52" s="222" customFormat="1" ht="19.5" customHeight="1" x14ac:dyDescent="0.25">
      <c r="A177" s="2021"/>
      <c r="B177" s="2024"/>
      <c r="C177" s="2026" t="s">
        <v>340</v>
      </c>
      <c r="D177" s="613" t="s">
        <v>328</v>
      </c>
      <c r="E177" s="613" t="s">
        <v>87</v>
      </c>
      <c r="F177" s="613"/>
      <c r="G177" s="614" t="s">
        <v>11</v>
      </c>
      <c r="H177" s="628"/>
      <c r="J177" s="288"/>
      <c r="K177" s="288"/>
      <c r="L177" s="288"/>
      <c r="M177" s="288"/>
      <c r="N177" s="288"/>
      <c r="O177" s="610"/>
      <c r="P177" s="288"/>
      <c r="Q177" s="288"/>
      <c r="R177" s="610"/>
      <c r="S177" s="288"/>
      <c r="T177" s="288"/>
      <c r="U177" s="610"/>
      <c r="V177" s="288"/>
      <c r="W177" s="288"/>
      <c r="X177" s="288"/>
      <c r="Y177" s="288"/>
      <c r="AA177" s="288"/>
      <c r="AB177" s="288"/>
    </row>
    <row r="178" spans="1:52" s="222" customFormat="1" ht="19.5" customHeight="1" x14ac:dyDescent="0.25">
      <c r="A178" s="2022"/>
      <c r="B178" s="2025"/>
      <c r="C178" s="2027"/>
      <c r="D178" s="617" t="s">
        <v>229</v>
      </c>
      <c r="E178" s="617"/>
      <c r="F178" s="614" t="s">
        <v>337</v>
      </c>
      <c r="G178" s="614" t="s">
        <v>166</v>
      </c>
      <c r="H178" s="628"/>
      <c r="J178" s="288"/>
      <c r="K178" s="288"/>
      <c r="L178" s="288"/>
      <c r="M178" s="288"/>
      <c r="N178" s="288"/>
      <c r="O178" s="610"/>
      <c r="P178" s="288"/>
      <c r="Q178" s="288"/>
      <c r="R178" s="610"/>
      <c r="S178" s="288"/>
      <c r="T178" s="288"/>
      <c r="U178" s="610"/>
      <c r="V178" s="288"/>
      <c r="W178" s="288"/>
      <c r="X178" s="288"/>
      <c r="Y178" s="288"/>
      <c r="AA178" s="288"/>
      <c r="AB178" s="288"/>
    </row>
    <row r="179" spans="1:52" s="222" customFormat="1" ht="30" customHeight="1" x14ac:dyDescent="0.25">
      <c r="A179" s="630"/>
      <c r="B179" s="631" t="str">
        <f>Samenvatting!A276</f>
        <v>werken in nabijheid geactiveerde target</v>
      </c>
      <c r="C179" s="1861">
        <v>25</v>
      </c>
      <c r="D179" s="1861">
        <v>0.5</v>
      </c>
      <c r="E179" s="1861">
        <v>4</v>
      </c>
      <c r="F179" s="632">
        <f>C179*D179/10^3</f>
        <v>1.2500000000000001E-2</v>
      </c>
      <c r="G179" s="621">
        <f>F179*E179</f>
        <v>0.05</v>
      </c>
      <c r="H179" s="633"/>
      <c r="M179" s="288"/>
      <c r="N179" s="288"/>
      <c r="O179" s="288"/>
      <c r="P179" s="288"/>
      <c r="Q179" s="288"/>
      <c r="R179" s="288"/>
      <c r="S179" s="288"/>
      <c r="T179" s="288"/>
      <c r="U179" s="288"/>
      <c r="V179" s="288"/>
      <c r="W179" s="288"/>
      <c r="X179" s="288"/>
      <c r="Y179" s="288"/>
      <c r="Z179" s="288"/>
      <c r="AA179" s="288"/>
    </row>
    <row r="180" spans="1:52" s="222" customFormat="1" ht="19.5" customHeight="1" x14ac:dyDescent="0.25">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189"/>
      <c r="W180" s="189"/>
      <c r="X180" s="189"/>
      <c r="Y180" s="189"/>
      <c r="Z180" s="189"/>
      <c r="AA180" s="189"/>
      <c r="AB180" s="202"/>
      <c r="AC180" s="202"/>
      <c r="AD180" s="202"/>
      <c r="AE180" s="202"/>
    </row>
    <row r="181" spans="1:52" s="225" customFormat="1" ht="19.5" customHeight="1" x14ac:dyDescent="0.25">
      <c r="A181" s="634" t="s">
        <v>327</v>
      </c>
      <c r="C181" s="288"/>
      <c r="D181" s="288"/>
      <c r="E181" s="288"/>
      <c r="F181" s="288"/>
      <c r="G181" s="288"/>
      <c r="H181" s="288"/>
      <c r="I181" s="288"/>
      <c r="J181" s="288"/>
      <c r="K181" s="288"/>
      <c r="L181" s="288"/>
      <c r="M181" s="288"/>
      <c r="N181" s="288"/>
      <c r="O181" s="288"/>
      <c r="P181" s="288"/>
      <c r="Q181" s="288"/>
      <c r="R181" s="288"/>
      <c r="S181" s="288"/>
      <c r="T181" s="288"/>
      <c r="U181" s="288"/>
      <c r="V181" s="222"/>
      <c r="W181" s="222"/>
      <c r="X181" s="222"/>
      <c r="Y181" s="222"/>
      <c r="Z181" s="222"/>
      <c r="AA181" s="222"/>
      <c r="AB181" s="222"/>
      <c r="AC181" s="222"/>
      <c r="AD181" s="222"/>
      <c r="AE181" s="222"/>
      <c r="AG181" s="328"/>
      <c r="AI181" s="328"/>
      <c r="AJ181" s="328"/>
      <c r="AK181" s="328"/>
      <c r="AL181" s="328"/>
      <c r="AP181" s="222"/>
      <c r="AQ181" s="211"/>
      <c r="AR181" s="222"/>
      <c r="AS181" s="222"/>
      <c r="AY181" s="300"/>
      <c r="AZ181" s="300"/>
    </row>
    <row r="182" spans="1:52" s="187" customFormat="1" ht="19.5" customHeight="1" x14ac:dyDescent="0.25">
      <c r="A182" s="2020" t="s">
        <v>50</v>
      </c>
      <c r="B182" s="2023" t="s">
        <v>15</v>
      </c>
      <c r="C182" s="606" t="s">
        <v>261</v>
      </c>
      <c r="D182" s="607" t="s">
        <v>224</v>
      </c>
      <c r="E182" s="608" t="s">
        <v>329</v>
      </c>
      <c r="F182" s="607" t="s">
        <v>260</v>
      </c>
      <c r="G182" s="607" t="s">
        <v>260</v>
      </c>
      <c r="H182" s="628"/>
      <c r="I182" s="222"/>
      <c r="J182" s="288"/>
      <c r="K182" s="288"/>
      <c r="L182" s="288"/>
      <c r="M182" s="288"/>
      <c r="N182" s="288"/>
      <c r="O182" s="610"/>
      <c r="P182" s="288"/>
      <c r="Q182" s="288"/>
      <c r="R182" s="610"/>
      <c r="S182" s="288"/>
      <c r="T182" s="288"/>
      <c r="U182" s="610"/>
      <c r="V182" s="288"/>
      <c r="W182" s="288"/>
      <c r="X182" s="288"/>
      <c r="Y182" s="288"/>
      <c r="Z182" s="222"/>
      <c r="AA182" s="288"/>
      <c r="AB182" s="288"/>
      <c r="AC182" s="222"/>
      <c r="AD182" s="222"/>
      <c r="AE182" s="222"/>
    </row>
    <row r="183" spans="1:52" s="222" customFormat="1" ht="19.5" customHeight="1" x14ac:dyDescent="0.25">
      <c r="A183" s="2021"/>
      <c r="B183" s="2024"/>
      <c r="C183" s="2026" t="s">
        <v>340</v>
      </c>
      <c r="D183" s="613" t="s">
        <v>328</v>
      </c>
      <c r="E183" s="613" t="s">
        <v>87</v>
      </c>
      <c r="F183" s="613"/>
      <c r="G183" s="614" t="s">
        <v>11</v>
      </c>
      <c r="H183" s="628"/>
      <c r="J183" s="288"/>
      <c r="K183" s="288"/>
      <c r="L183" s="288"/>
      <c r="M183" s="288"/>
      <c r="N183" s="288"/>
      <c r="O183" s="610"/>
      <c r="P183" s="288"/>
      <c r="Q183" s="288"/>
      <c r="R183" s="610"/>
      <c r="S183" s="288"/>
      <c r="T183" s="288"/>
      <c r="U183" s="610"/>
      <c r="V183" s="288"/>
      <c r="W183" s="288"/>
      <c r="X183" s="288"/>
      <c r="Y183" s="288"/>
      <c r="AA183" s="288"/>
      <c r="AB183" s="288"/>
    </row>
    <row r="184" spans="1:52" s="222" customFormat="1" ht="19.5" customHeight="1" x14ac:dyDescent="0.25">
      <c r="A184" s="2022"/>
      <c r="B184" s="2025"/>
      <c r="C184" s="2027"/>
      <c r="D184" s="617" t="s">
        <v>229</v>
      </c>
      <c r="E184" s="617"/>
      <c r="F184" s="614" t="s">
        <v>337</v>
      </c>
      <c r="G184" s="614" t="s">
        <v>166</v>
      </c>
      <c r="H184" s="628"/>
      <c r="J184" s="288"/>
      <c r="K184" s="288"/>
      <c r="L184" s="288"/>
      <c r="M184" s="288"/>
      <c r="N184" s="288"/>
      <c r="O184" s="610"/>
      <c r="P184" s="288"/>
      <c r="Q184" s="288"/>
      <c r="R184" s="610"/>
      <c r="S184" s="288"/>
      <c r="T184" s="288"/>
      <c r="U184" s="610"/>
      <c r="V184" s="288"/>
      <c r="W184" s="288"/>
      <c r="X184" s="288"/>
      <c r="Y184" s="288"/>
      <c r="AA184" s="288"/>
      <c r="AB184" s="288"/>
    </row>
    <row r="185" spans="1:52" s="222" customFormat="1" ht="30" customHeight="1" x14ac:dyDescent="0.25">
      <c r="A185" s="623"/>
      <c r="B185" s="631" t="str">
        <f>Samenvatting!A287</f>
        <v>werken in nabijheid geactiveerde onderdelen</v>
      </c>
      <c r="C185" s="1861">
        <v>1.5</v>
      </c>
      <c r="D185" s="1861">
        <v>2</v>
      </c>
      <c r="E185" s="1861">
        <v>24</v>
      </c>
      <c r="F185" s="632">
        <f>C185*D185/10^3</f>
        <v>3.0000000000000001E-3</v>
      </c>
      <c r="G185" s="621">
        <f>F185*E185</f>
        <v>7.2000000000000008E-2</v>
      </c>
      <c r="H185" s="635"/>
      <c r="M185" s="288"/>
      <c r="N185" s="288"/>
      <c r="O185" s="288"/>
      <c r="P185" s="288"/>
      <c r="Q185" s="288"/>
      <c r="R185" s="288"/>
      <c r="S185" s="288"/>
      <c r="T185" s="288"/>
      <c r="U185" s="288"/>
      <c r="V185" s="288"/>
      <c r="W185" s="288"/>
      <c r="X185" s="288"/>
      <c r="Y185" s="288"/>
      <c r="Z185" s="288"/>
      <c r="AA185" s="288"/>
    </row>
    <row r="186" spans="1:52" s="222" customFormat="1" ht="19.5" customHeight="1" x14ac:dyDescent="0.25">
      <c r="A186" s="201"/>
      <c r="B186" s="201"/>
      <c r="C186" s="201"/>
      <c r="D186" s="201"/>
      <c r="E186" s="201"/>
      <c r="F186" s="201"/>
      <c r="G186" s="201"/>
      <c r="H186" s="201"/>
      <c r="I186" s="201"/>
      <c r="J186" s="201"/>
      <c r="K186" s="201"/>
      <c r="L186" s="201"/>
      <c r="M186" s="201"/>
      <c r="N186" s="189"/>
      <c r="O186" s="202"/>
      <c r="P186" s="202"/>
      <c r="Q186" s="202"/>
      <c r="R186" s="202"/>
    </row>
    <row r="187" spans="1:52" s="225" customFormat="1" ht="19.5" customHeight="1" thickBot="1" x14ac:dyDescent="0.3">
      <c r="A187" s="288" t="s">
        <v>326</v>
      </c>
      <c r="C187" s="636"/>
      <c r="D187" s="265"/>
      <c r="E187" s="265"/>
      <c r="F187" s="265"/>
      <c r="G187" s="265"/>
      <c r="H187" s="265"/>
      <c r="I187" s="233"/>
      <c r="J187" s="242"/>
      <c r="K187" s="233"/>
      <c r="L187" s="233"/>
      <c r="M187" s="242"/>
      <c r="N187" s="369"/>
      <c r="O187" s="222"/>
      <c r="P187" s="222"/>
      <c r="Q187" s="222"/>
      <c r="R187" s="222"/>
      <c r="T187" s="328"/>
      <c r="V187" s="328"/>
      <c r="W187" s="328"/>
      <c r="X187" s="328"/>
      <c r="Y187" s="328"/>
      <c r="AC187" s="222"/>
      <c r="AD187" s="211"/>
      <c r="AE187" s="222"/>
      <c r="AF187" s="222"/>
      <c r="AL187" s="300"/>
      <c r="AM187" s="300"/>
    </row>
    <row r="188" spans="1:52" s="225" customFormat="1" ht="19.5" customHeight="1" thickBot="1" x14ac:dyDescent="0.3">
      <c r="A188" s="2020" t="s">
        <v>50</v>
      </c>
      <c r="B188" s="2023" t="s">
        <v>15</v>
      </c>
      <c r="C188" s="1998" t="s">
        <v>25</v>
      </c>
      <c r="D188" s="1998" t="s">
        <v>158</v>
      </c>
      <c r="E188" s="2012" t="s">
        <v>527</v>
      </c>
      <c r="F188" s="304" t="s">
        <v>77</v>
      </c>
      <c r="G188" s="637"/>
      <c r="H188" s="305"/>
      <c r="I188" s="607" t="s">
        <v>224</v>
      </c>
      <c r="J188" s="638" t="s">
        <v>329</v>
      </c>
      <c r="K188" s="2016">
        <v>18</v>
      </c>
      <c r="L188" s="2017"/>
      <c r="M188" s="2018"/>
      <c r="N188" s="2003" t="s">
        <v>16</v>
      </c>
      <c r="O188" s="2004"/>
      <c r="P188" s="222"/>
      <c r="Q188" s="222"/>
      <c r="R188" s="222"/>
      <c r="T188" s="328"/>
      <c r="V188" s="328"/>
      <c r="W188" s="328"/>
      <c r="X188" s="328"/>
      <c r="Y188" s="328"/>
      <c r="AC188" s="222"/>
      <c r="AD188" s="211"/>
      <c r="AE188" s="222"/>
      <c r="AF188" s="222"/>
      <c r="AL188" s="300"/>
      <c r="AM188" s="300"/>
    </row>
    <row r="189" spans="1:52" s="222" customFormat="1" ht="19.5" customHeight="1" x14ac:dyDescent="0.25">
      <c r="A189" s="2021"/>
      <c r="B189" s="2024"/>
      <c r="C189" s="2010"/>
      <c r="D189" s="2010"/>
      <c r="E189" s="2010"/>
      <c r="F189" s="639"/>
      <c r="G189" s="211"/>
      <c r="H189" s="611"/>
      <c r="I189" s="614" t="s">
        <v>328</v>
      </c>
      <c r="J189" s="613" t="s">
        <v>87</v>
      </c>
      <c r="K189" s="312" t="s">
        <v>86</v>
      </c>
      <c r="L189" s="312" t="s">
        <v>206</v>
      </c>
      <c r="M189" s="312" t="s">
        <v>260</v>
      </c>
      <c r="N189" s="613"/>
      <c r="O189" s="614" t="s">
        <v>11</v>
      </c>
      <c r="T189" s="328"/>
      <c r="V189" s="328"/>
      <c r="W189" s="328"/>
      <c r="X189" s="328"/>
      <c r="Y189" s="328"/>
      <c r="AD189" s="211"/>
      <c r="AL189" s="211"/>
      <c r="AM189" s="211"/>
    </row>
    <row r="190" spans="1:52" s="222" customFormat="1" ht="19.5" customHeight="1" thickBot="1" x14ac:dyDescent="0.3">
      <c r="A190" s="2022"/>
      <c r="B190" s="2025"/>
      <c r="C190" s="2011"/>
      <c r="D190" s="2011"/>
      <c r="E190" s="2013"/>
      <c r="F190" s="615" t="s">
        <v>1</v>
      </c>
      <c r="G190" s="615" t="s">
        <v>61</v>
      </c>
      <c r="H190" s="615" t="s">
        <v>3</v>
      </c>
      <c r="I190" s="179" t="s">
        <v>229</v>
      </c>
      <c r="J190" s="179"/>
      <c r="K190" s="505" t="s">
        <v>208</v>
      </c>
      <c r="L190" s="505" t="s">
        <v>207</v>
      </c>
      <c r="M190" s="506" t="s">
        <v>341</v>
      </c>
      <c r="N190" s="614" t="s">
        <v>337</v>
      </c>
      <c r="O190" s="614" t="s">
        <v>166</v>
      </c>
      <c r="U190" s="328"/>
      <c r="W190" s="328"/>
      <c r="X190" s="328"/>
      <c r="Y190" s="328"/>
      <c r="Z190" s="328"/>
      <c r="AE190" s="211"/>
      <c r="AM190" s="211"/>
      <c r="AN190" s="211"/>
    </row>
    <row r="191" spans="1:52" s="222" customFormat="1" ht="30" customHeight="1" x14ac:dyDescent="0.25">
      <c r="A191" s="301"/>
      <c r="B191" s="2008" t="str">
        <f>Samenvatting!A298</f>
        <v>werkzaamheden uitvoeren in gecontroleerde ruimte (buiten de bestralingsruimte) terwijl er gestraald word: bv dak wegens reparaties</v>
      </c>
      <c r="C191" s="323" t="s">
        <v>569</v>
      </c>
      <c r="D191" s="1840">
        <v>6</v>
      </c>
      <c r="E191" s="1863">
        <v>0.25</v>
      </c>
      <c r="F191" s="1834">
        <v>250</v>
      </c>
      <c r="G191" s="1834">
        <v>0</v>
      </c>
      <c r="H191" s="1834">
        <v>0</v>
      </c>
      <c r="I191" s="640"/>
      <c r="J191" s="641"/>
      <c r="K191" s="104">
        <f>IF(K188=C4,IF($F191=0,0,1+($F191-$C$21)/$C$22)+$G191/$C$23+$H191/$C$24,IF(K188=D4,(IF($F191=0,0,1+($F191-$D$21)/$D$22)+$G191/$D$23+$H191/$D$24),IF(K188=E4,IF($F191=0,0,1+($F191-$E$21)/$E$22)+$G191/$E$23+$H191/$E$24,IF(K188=F4,IF($F191=0,0,1+($F191-$F$21)/$F$22)+$G191/$F$23+$H191/$F$24,IF(K188=G4,IF($F191=0,0,1+($F191-$G$21)/$G$22)+$G191/$G$23+$H191/$G$24,2)))))</f>
        <v>5.7674418604651159</v>
      </c>
      <c r="L191" s="72">
        <f>10^(-K191)</f>
        <v>1.7082763938087111E-6</v>
      </c>
      <c r="M191" s="71">
        <f>($C$7*$C$14*I192/40*$E191/$D191^2*L191*10^6)</f>
        <v>1.1863030512560492E-2</v>
      </c>
      <c r="N191" s="642">
        <f>M191+M192</f>
        <v>1.8104733127211996E-2</v>
      </c>
      <c r="O191" s="643">
        <f>N191*J192</f>
        <v>1.8104733127211996E-2</v>
      </c>
      <c r="U191" s="328"/>
      <c r="V191" s="328"/>
      <c r="W191" s="328"/>
      <c r="X191" s="328"/>
      <c r="Y191" s="328"/>
      <c r="Z191" s="328"/>
      <c r="AE191" s="211"/>
      <c r="AM191" s="211"/>
      <c r="AN191" s="211"/>
    </row>
    <row r="192" spans="1:52" s="222" customFormat="1" ht="30" customHeight="1" thickBot="1" x14ac:dyDescent="0.3">
      <c r="A192" s="623"/>
      <c r="B192" s="2019"/>
      <c r="C192" s="331" t="s">
        <v>568</v>
      </c>
      <c r="D192" s="1864">
        <v>5</v>
      </c>
      <c r="E192" s="644"/>
      <c r="F192" s="1865">
        <v>250</v>
      </c>
      <c r="G192" s="1865">
        <v>0</v>
      </c>
      <c r="H192" s="1865">
        <v>0</v>
      </c>
      <c r="I192" s="1866">
        <v>1</v>
      </c>
      <c r="J192" s="1867">
        <v>1</v>
      </c>
      <c r="K192" s="105">
        <f>IF(K188=$C$4,$F192/$C$27+$G192/$C$28+$H192/$C$29,IF(K188=$D$4,$F192/$D$27+$G192/$D$28+$H192/$D$29,IF(K188=$E$4,$F192/$E$27+$G192/$E$28+$H192/$E$29,IF(K188=$F$4,$F192/$F$27+$G192/$F$28+$H192/$F$29,IF(K188=$G$4,$F192/$G$27+$G192/$G$28+$H192/$G$29, )))))</f>
        <v>5.6818181818181817</v>
      </c>
      <c r="L192" s="106">
        <f>10^(-K192)</f>
        <v>2.0805675382171676E-6</v>
      </c>
      <c r="M192" s="105">
        <f>($C$7*I192/40*$C$15*($C$9+$C$10*$C$11)/$D192^2*L192*10^6)</f>
        <v>6.2417026146515033E-3</v>
      </c>
      <c r="N192" s="645"/>
      <c r="O192" s="646"/>
      <c r="U192" s="328"/>
      <c r="V192" s="328"/>
      <c r="W192" s="328"/>
      <c r="X192" s="328"/>
      <c r="Y192" s="328"/>
      <c r="Z192" s="328"/>
      <c r="AE192" s="211"/>
      <c r="AM192" s="211"/>
      <c r="AN192" s="211"/>
    </row>
    <row r="193" spans="1:31" s="222" customFormat="1" ht="30" customHeight="1" x14ac:dyDescent="0.25">
      <c r="A193" s="201"/>
      <c r="B193" s="201"/>
      <c r="C193" s="201"/>
      <c r="D193" s="201"/>
      <c r="E193" s="201"/>
      <c r="F193" s="201"/>
      <c r="G193" s="201"/>
      <c r="H193" s="201"/>
      <c r="I193" s="201"/>
      <c r="J193" s="201"/>
      <c r="K193" s="201"/>
      <c r="L193" s="201"/>
      <c r="M193" s="201"/>
      <c r="N193" s="189"/>
      <c r="O193" s="202"/>
      <c r="P193" s="202"/>
      <c r="Q193" s="202"/>
      <c r="R193" s="202"/>
    </row>
    <row r="194" spans="1:31" s="222" customFormat="1" ht="30" customHeight="1" x14ac:dyDescent="0.25">
      <c r="A194" s="201"/>
      <c r="B194" s="201"/>
      <c r="C194" s="201"/>
      <c r="D194" s="201"/>
      <c r="E194" s="201"/>
      <c r="F194" s="201"/>
      <c r="G194" s="201"/>
      <c r="H194" s="201"/>
      <c r="I194" s="201"/>
      <c r="J194" s="201"/>
      <c r="L194" s="201"/>
      <c r="M194" s="201"/>
      <c r="N194" s="201"/>
      <c r="O194" s="201"/>
      <c r="P194" s="201"/>
      <c r="Q194" s="201"/>
      <c r="R194" s="201"/>
      <c r="S194" s="201"/>
      <c r="T194" s="201"/>
      <c r="U194" s="201"/>
      <c r="V194" s="189"/>
      <c r="W194" s="189"/>
      <c r="X194" s="189"/>
      <c r="Y194" s="189"/>
      <c r="Z194" s="189"/>
      <c r="AA194" s="189"/>
      <c r="AB194" s="202"/>
      <c r="AC194" s="202"/>
      <c r="AD194" s="202"/>
      <c r="AE194" s="202"/>
    </row>
    <row r="195" spans="1:31" ht="19.5" customHeight="1" x14ac:dyDescent="0.25">
      <c r="C195" s="279"/>
      <c r="D195" s="280"/>
      <c r="L195" s="647"/>
      <c r="M195" s="647"/>
      <c r="S195" s="648"/>
      <c r="U195" s="189"/>
      <c r="V195" s="190"/>
      <c r="AA195" s="202"/>
      <c r="AB195" s="538"/>
      <c r="AC195" s="538"/>
      <c r="AD195" s="538"/>
      <c r="AE195" s="538"/>
    </row>
    <row r="196" spans="1:31" ht="19.5" customHeight="1" x14ac:dyDescent="0.25"/>
    <row r="197" spans="1:31" ht="19.5" customHeight="1" x14ac:dyDescent="0.25"/>
  </sheetData>
  <sheetProtection algorithmName="SHA-512" hashValue="XyK61zXWx2r2hgDOrC6HfM4qXvfpOnXDsOb6E6CZgfc9vYjFaaw4LEmRjjEJDid82nmSXMr7VNblIvpSpqT+oA==" saltValue="aKYNB6CHbUKSwlZmQ07hew==" spinCount="100000" sheet="1" objects="1" scenarios="1"/>
  <mergeCells count="37">
    <mergeCell ref="L134:L135"/>
    <mergeCell ref="M134:M135"/>
    <mergeCell ref="F132:F133"/>
    <mergeCell ref="J132:J133"/>
    <mergeCell ref="K130:K133"/>
    <mergeCell ref="B191:B192"/>
    <mergeCell ref="A188:A190"/>
    <mergeCell ref="B188:B190"/>
    <mergeCell ref="C183:C184"/>
    <mergeCell ref="A176:A178"/>
    <mergeCell ref="B176:B178"/>
    <mergeCell ref="C177:C178"/>
    <mergeCell ref="A182:A184"/>
    <mergeCell ref="B182:B184"/>
    <mergeCell ref="B172:B173"/>
    <mergeCell ref="S141:S142"/>
    <mergeCell ref="M141:M142"/>
    <mergeCell ref="P141:P142"/>
    <mergeCell ref="C188:C190"/>
    <mergeCell ref="D188:D190"/>
    <mergeCell ref="E188:E190"/>
    <mergeCell ref="I169:J169"/>
    <mergeCell ref="K188:M188"/>
    <mergeCell ref="AC141:AD141"/>
    <mergeCell ref="AB140:AD140"/>
    <mergeCell ref="Y141:Y142"/>
    <mergeCell ref="Y140:AA140"/>
    <mergeCell ref="N188:O188"/>
    <mergeCell ref="V141:V142"/>
    <mergeCell ref="P140:R140"/>
    <mergeCell ref="S140:U140"/>
    <mergeCell ref="V140:X140"/>
    <mergeCell ref="Q132:Q133"/>
    <mergeCell ref="R132:R133"/>
    <mergeCell ref="AB130:AB135"/>
    <mergeCell ref="AC130:AC135"/>
    <mergeCell ref="X128:Z128"/>
  </mergeCells>
  <phoneticPr fontId="0" type="noConversion"/>
  <dataValidations disablePrompts="1" xWindow="605" yWindow="786" count="21">
    <dataValidation allowBlank="1" showInputMessage="1" showErrorMessage="1" prompt="Als labyrint 1 bocht heeft dan dan is er geen A5: 1 invullen_x000a_" sqref="E116:E117"/>
    <dataValidation allowBlank="1" showInputMessage="1" showErrorMessage="1" promptTitle="let op" prompt="Als labyrint 1 bocht heeft dan dan is er geen A5: 1 invullen" sqref="R130:R132"/>
    <dataValidation allowBlank="1" showInputMessage="1" showErrorMessage="1" prompt="als versneller parallel aan het labyrint draait is er geen A2_x000a_: 1 invullen" sqref="O131"/>
    <dataValidation allowBlank="1" showInputMessage="1" showErrorMessage="1" promptTitle="let op" prompt="als versneller parallel aan het labyrint draait is er geen dz2:_x000a_ 1 invullen" sqref="H131:J131"/>
    <dataValidation allowBlank="1" showInputMessage="1" showErrorMessage="1" promptTitle="let op" prompt="is 1 las versneller parallel aan het labyrint draait" sqref="R15:R16"/>
    <dataValidation type="list" allowBlank="1" showInputMessage="1" showErrorMessage="1" sqref="G106">
      <formula1>"parallel,loodrecht"</formula1>
    </dataValidation>
    <dataValidation type="list" allowBlank="1" showInputMessage="1" showErrorMessage="1" sqref="G107:G108">
      <formula1>"1,2"</formula1>
    </dataValidation>
    <dataValidation allowBlank="1" showInputMessage="1" showErrorMessage="1" promptTitle="let op" prompt="als er geen afstand dp is: 1 invullen_x000a_Bij de voorbeeld plattegronden is er alleen een afstand dp in fig 6. " sqref="P17"/>
    <dataValidation allowBlank="1" showInputMessage="1" showErrorMessage="1" promptTitle="let op" prompt="Alleen van belang als E &gt; 10 MV (neutronenproduktie)" sqref="G125:G126"/>
    <dataValidation allowBlank="1" showInputMessage="1" showErrorMessage="1" prompt="Fr richting  opp A1_x000a_" sqref="W130"/>
    <dataValidation allowBlank="1" showInputMessage="1" showErrorMessage="1" promptTitle="let op" prompt="Fr richting opp A2._x000a_Als versneller parallel aan labyrint draait dan is er geen A2: fr is dan 0" sqref="W131"/>
    <dataValidation allowBlank="1" showInputMessage="1" showErrorMessage="1" promptTitle="let op" prompt="als versneller parallel aan het labyrint draait is er geen dp2: 1 invullen" sqref="E131:G131"/>
    <dataValidation allowBlank="1" showInputMessage="1" showErrorMessage="1" promptTitle="let op" prompt="Als labyrint 1 bocht heeft dan dan is er geen dz5: 1 invullen_x000a_" sqref="S131:V131 P131:Q131 K130 L131:N131"/>
    <dataValidation allowBlank="1" showInputMessage="1" showErrorMessage="1" prompt="Fr voor gantry  90 graden als versneller parallel aan labyrint draait of Fr voor gantry 270 graden als versneller loodrecht op labyrint draait _x000a_" sqref="W133"/>
    <dataValidation allowBlank="1" showInputMessage="1" showErrorMessage="1" prompt="binnenmuur labyrint" sqref="X131:AA131"/>
    <dataValidation allowBlank="1" showInputMessage="1" showErrorMessage="1" prompt="Als kort labyrint (&lt; 5m) gebruik dan 6,1 cm" sqref="O115"/>
    <dataValidation type="list" allowBlank="1" showInputMessage="1" showErrorMessage="1" prompt="Zie handleiding voor verwijzing naar literatuur._x000a_" sqref="Q111">
      <formula1>"1,5,7E-16,6,9E-16"</formula1>
    </dataValidation>
    <dataValidation type="list" allowBlank="1" showInputMessage="1" showErrorMessage="1" prompt="Zie handleiding voor verwijzing naar literatuur._x000a_" sqref="Q113">
      <formula1>"1,3,9,5,4,6,2"</formula1>
    </dataValidation>
    <dataValidation type="list" allowBlank="1" showInputMessage="1" showErrorMessage="1" sqref="K188:M188">
      <formula1>$C$4:$H$4</formula1>
    </dataValidation>
    <dataValidation allowBlank="1" showInputMessage="1" showErrorMessage="1" prompt="Stralingsweegfactor, WR = 20" sqref="E173"/>
    <dataValidation type="list" allowBlank="1" showInputMessage="1" showErrorMessage="1" prompt="als head shielding van wolfraam dan 0,85, als van lood dan 1_x000a_als geen neutronen dan ook 1" sqref="C16">
      <formula1>"0,85,1"</formula1>
    </dataValidation>
  </dataValidations>
  <pageMargins left="0.70866141732283472" right="0.70866141732283472" top="0.74803149606299213" bottom="0.74803149606299213" header="0.31496062992125984" footer="0.31496062992125984"/>
  <pageSetup paperSize="8" scale="30" orientation="landscape" r:id="rId1"/>
  <headerFooter>
    <oddFooter>&amp;C&amp;F &amp;A</oddFooter>
  </headerFooter>
  <ignoredErrors>
    <ignoredError sqref="B179 B185 B191 A40" unlockedFormula="1"/>
    <ignoredError sqref="A12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CL197"/>
  <sheetViews>
    <sheetView showGridLines="0" topLeftCell="A157" zoomScale="70" zoomScaleNormal="70" workbookViewId="0">
      <selection activeCell="D191" sqref="D191:J192"/>
    </sheetView>
  </sheetViews>
  <sheetFormatPr defaultRowHeight="15" x14ac:dyDescent="0.25"/>
  <cols>
    <col min="1" max="1" width="6.7109375" style="201" customWidth="1"/>
    <col min="2" max="2" width="20.7109375" style="201" customWidth="1"/>
    <col min="3" max="21" width="12.7109375" style="201" customWidth="1"/>
    <col min="22" max="27" width="12.7109375" style="189" customWidth="1"/>
    <col min="28" max="36" width="12.7109375" style="202" customWidth="1"/>
    <col min="37" max="37" width="10" style="202" bestFit="1" customWidth="1"/>
    <col min="38" max="38" width="12.7109375" style="202" customWidth="1"/>
    <col min="39" max="39" width="10" style="202" bestFit="1" customWidth="1"/>
    <col min="40" max="45" width="12.7109375" style="202" customWidth="1"/>
    <col min="46" max="46" width="10.140625" style="202" bestFit="1" customWidth="1"/>
    <col min="47" max="47" width="11.140625" style="202" bestFit="1" customWidth="1"/>
    <col min="48" max="48" width="10.140625" style="202" bestFit="1" customWidth="1"/>
    <col min="49" max="55" width="12.140625" style="202" customWidth="1"/>
    <col min="56" max="60" width="10.140625" style="202" bestFit="1" customWidth="1"/>
    <col min="61" max="16384" width="9.140625" style="202"/>
  </cols>
  <sheetData>
    <row r="1" spans="1:31" s="187" customFormat="1" ht="26.25" customHeight="1" thickBot="1" x14ac:dyDescent="0.3">
      <c r="A1" s="181" t="s">
        <v>51</v>
      </c>
      <c r="B1" s="182"/>
      <c r="C1" s="183"/>
      <c r="D1" s="182"/>
      <c r="E1" s="182"/>
      <c r="F1" s="182"/>
      <c r="G1" s="182"/>
      <c r="H1" s="182"/>
      <c r="I1" s="182"/>
      <c r="J1" s="182"/>
      <c r="K1" s="182"/>
      <c r="L1" s="182"/>
      <c r="M1" s="182"/>
      <c r="N1" s="182"/>
      <c r="O1" s="182"/>
      <c r="P1" s="182"/>
      <c r="Q1" s="182"/>
      <c r="R1" s="182"/>
      <c r="S1" s="182"/>
      <c r="T1" s="182"/>
      <c r="U1" s="182"/>
      <c r="V1" s="184"/>
      <c r="W1" s="184"/>
      <c r="X1" s="184"/>
      <c r="Y1" s="184"/>
      <c r="Z1" s="184"/>
      <c r="AA1" s="184"/>
      <c r="AB1" s="185"/>
      <c r="AC1" s="185"/>
      <c r="AD1" s="185"/>
      <c r="AE1" s="186"/>
    </row>
    <row r="2" spans="1:31" s="189" customFormat="1" ht="18.75" customHeight="1" thickBot="1" x14ac:dyDescent="0.3">
      <c r="A2" s="188"/>
      <c r="F2" s="190"/>
      <c r="G2" s="190"/>
      <c r="H2" s="190"/>
    </row>
    <row r="3" spans="1:31" s="189" customFormat="1" ht="26.25" customHeight="1" x14ac:dyDescent="0.25">
      <c r="A3" s="191" t="s">
        <v>314</v>
      </c>
      <c r="B3" s="192"/>
      <c r="C3" s="1809" t="s">
        <v>312</v>
      </c>
      <c r="D3" s="1809"/>
      <c r="E3" s="1809"/>
      <c r="F3" s="1810"/>
      <c r="G3" s="1811"/>
      <c r="H3" s="190"/>
      <c r="L3" s="193"/>
      <c r="M3" s="194" t="s">
        <v>420</v>
      </c>
      <c r="N3" s="195"/>
      <c r="O3" s="195"/>
      <c r="P3" s="195"/>
      <c r="Q3" s="195"/>
      <c r="R3" s="195"/>
      <c r="S3" s="195"/>
      <c r="T3" s="195"/>
    </row>
    <row r="4" spans="1:31" s="212" customFormat="1" ht="19.5" customHeight="1" thickBot="1" x14ac:dyDescent="0.3">
      <c r="A4" s="196" t="s">
        <v>55</v>
      </c>
      <c r="B4" s="649"/>
      <c r="C4" s="198">
        <v>6</v>
      </c>
      <c r="D4" s="198">
        <v>10</v>
      </c>
      <c r="E4" s="199">
        <v>18</v>
      </c>
      <c r="F4" s="198" t="s">
        <v>188</v>
      </c>
      <c r="G4" s="200" t="s">
        <v>189</v>
      </c>
      <c r="H4" s="207"/>
      <c r="I4" s="207"/>
      <c r="L4" s="195"/>
      <c r="M4" s="194"/>
      <c r="N4" s="195"/>
      <c r="O4" s="195"/>
      <c r="P4" s="195"/>
      <c r="Q4" s="195"/>
      <c r="R4" s="195"/>
      <c r="S4" s="195"/>
      <c r="T4" s="195"/>
      <c r="AD4" s="189"/>
    </row>
    <row r="5" spans="1:31" ht="22.5" customHeight="1" x14ac:dyDescent="0.25">
      <c r="A5" s="188"/>
      <c r="C5" s="205"/>
      <c r="D5" s="205"/>
      <c r="E5" s="205"/>
      <c r="F5" s="205"/>
      <c r="G5" s="205"/>
      <c r="L5" s="210"/>
      <c r="M5" s="194" t="s">
        <v>421</v>
      </c>
      <c r="N5" s="195"/>
      <c r="O5" s="195"/>
      <c r="P5" s="195"/>
      <c r="Q5" s="195"/>
      <c r="R5" s="195"/>
      <c r="S5" s="195"/>
      <c r="T5" s="195"/>
      <c r="U5" s="189"/>
      <c r="Z5" s="202"/>
      <c r="AA5" s="202"/>
    </row>
    <row r="6" spans="1:31" ht="19.5" customHeight="1" thickBot="1" x14ac:dyDescent="0.3">
      <c r="A6" s="188" t="s">
        <v>532</v>
      </c>
      <c r="B6" s="203"/>
      <c r="C6" s="650"/>
      <c r="D6" s="651"/>
      <c r="E6" s="651"/>
      <c r="F6" s="652"/>
      <c r="G6" s="652"/>
      <c r="H6" s="207"/>
      <c r="I6" s="207"/>
      <c r="J6" s="208"/>
      <c r="K6" s="209"/>
      <c r="L6" s="214"/>
      <c r="M6" s="194"/>
      <c r="N6" s="195"/>
      <c r="O6" s="195"/>
      <c r="P6" s="195"/>
      <c r="Q6" s="195"/>
      <c r="R6" s="195"/>
      <c r="S6" s="195"/>
      <c r="T6" s="195"/>
      <c r="AD6" s="211"/>
    </row>
    <row r="7" spans="1:31" s="212" customFormat="1" ht="19.5" customHeight="1" thickBot="1" x14ac:dyDescent="0.3">
      <c r="A7" s="215" t="s">
        <v>240</v>
      </c>
      <c r="B7" s="216"/>
      <c r="C7" s="1815">
        <f>10^3</f>
        <v>1000</v>
      </c>
      <c r="D7" s="217"/>
      <c r="E7" s="217"/>
      <c r="F7" s="217"/>
      <c r="G7" s="218"/>
      <c r="H7" s="189"/>
      <c r="I7" s="189"/>
      <c r="L7" s="219"/>
      <c r="M7" s="194" t="s">
        <v>651</v>
      </c>
      <c r="N7" s="195"/>
      <c r="O7" s="195"/>
      <c r="P7" s="195"/>
      <c r="Q7" s="195"/>
      <c r="R7" s="195"/>
      <c r="S7" s="195"/>
      <c r="T7" s="195"/>
    </row>
    <row r="8" spans="1:31" s="212" customFormat="1" ht="19.5" customHeight="1" x14ac:dyDescent="0.25">
      <c r="A8" s="215" t="s">
        <v>122</v>
      </c>
      <c r="B8" s="216"/>
      <c r="C8" s="1816">
        <v>0.2</v>
      </c>
      <c r="D8" s="1816">
        <v>0.2</v>
      </c>
      <c r="E8" s="1818">
        <v>0.2</v>
      </c>
      <c r="F8" s="1816">
        <v>0.2</v>
      </c>
      <c r="G8" s="1819">
        <v>0.2</v>
      </c>
      <c r="J8" s="220"/>
      <c r="K8" s="220"/>
      <c r="L8" s="195"/>
      <c r="M8" s="194"/>
      <c r="N8" s="195"/>
      <c r="O8" s="195"/>
      <c r="P8" s="195"/>
      <c r="Q8" s="195"/>
      <c r="R8" s="195"/>
      <c r="S8" s="195"/>
      <c r="T8" s="195"/>
    </row>
    <row r="9" spans="1:31" s="212" customFormat="1" ht="19.5" customHeight="1" x14ac:dyDescent="0.25">
      <c r="A9" s="221" t="s">
        <v>123</v>
      </c>
      <c r="B9" s="222"/>
      <c r="C9" s="1817">
        <v>0.5</v>
      </c>
      <c r="D9" s="1817">
        <v>0.5</v>
      </c>
      <c r="E9" s="1820">
        <v>0.5</v>
      </c>
      <c r="F9" s="1817">
        <v>0.5</v>
      </c>
      <c r="G9" s="1821">
        <v>0.5</v>
      </c>
      <c r="H9" s="189"/>
      <c r="I9" s="189"/>
      <c r="J9" s="220"/>
      <c r="K9" s="220"/>
      <c r="L9" s="223"/>
      <c r="M9" s="194" t="s">
        <v>422</v>
      </c>
      <c r="N9" s="195"/>
      <c r="O9" s="195"/>
      <c r="P9" s="195"/>
      <c r="Q9" s="195"/>
      <c r="R9" s="195"/>
      <c r="S9" s="195"/>
      <c r="T9" s="195"/>
    </row>
    <row r="10" spans="1:31" s="212" customFormat="1" ht="19.5" customHeight="1" x14ac:dyDescent="0.25">
      <c r="A10" s="221" t="s">
        <v>124</v>
      </c>
      <c r="B10" s="222"/>
      <c r="C10" s="178">
        <f>1-C9</f>
        <v>0.5</v>
      </c>
      <c r="D10" s="178">
        <f>1-D9</f>
        <v>0.5</v>
      </c>
      <c r="E10" s="179">
        <f>1-E9</f>
        <v>0.5</v>
      </c>
      <c r="F10" s="178">
        <f>1-F9</f>
        <v>0.5</v>
      </c>
      <c r="G10" s="180">
        <f>1-G9</f>
        <v>0.5</v>
      </c>
      <c r="H10" s="189"/>
      <c r="I10" s="189"/>
      <c r="J10" s="220"/>
      <c r="K10" s="220"/>
      <c r="L10" s="195"/>
      <c r="M10" s="195"/>
      <c r="N10" s="195"/>
      <c r="O10" s="195"/>
      <c r="P10" s="195"/>
      <c r="Q10" s="195"/>
      <c r="R10" s="195"/>
      <c r="S10" s="195"/>
      <c r="T10" s="195"/>
      <c r="U10" s="222"/>
      <c r="V10" s="225"/>
      <c r="W10" s="225"/>
      <c r="X10" s="225"/>
      <c r="Y10" s="225"/>
      <c r="Z10" s="225"/>
      <c r="AA10" s="225"/>
      <c r="AB10" s="225"/>
      <c r="AC10" s="225"/>
    </row>
    <row r="11" spans="1:31" s="212" customFormat="1" ht="19.5" customHeight="1" thickBot="1" x14ac:dyDescent="0.3">
      <c r="A11" s="226" t="s">
        <v>125</v>
      </c>
      <c r="B11" s="227"/>
      <c r="C11" s="1822">
        <v>5</v>
      </c>
      <c r="D11" s="1822">
        <v>5</v>
      </c>
      <c r="E11" s="1823">
        <v>5</v>
      </c>
      <c r="F11" s="1822">
        <v>5</v>
      </c>
      <c r="G11" s="1824">
        <v>5</v>
      </c>
      <c r="H11" s="189"/>
      <c r="I11" s="189"/>
      <c r="J11" s="220"/>
      <c r="K11" s="220"/>
      <c r="L11" s="228"/>
      <c r="M11" s="194" t="s">
        <v>650</v>
      </c>
      <c r="N11" s="195"/>
      <c r="O11" s="195"/>
      <c r="P11" s="195"/>
      <c r="Q11" s="195"/>
      <c r="R11" s="195"/>
      <c r="S11" s="195"/>
      <c r="T11" s="195"/>
      <c r="U11" s="222"/>
      <c r="V11" s="225"/>
      <c r="W11" s="225"/>
      <c r="X11" s="225"/>
      <c r="Y11" s="225"/>
      <c r="Z11" s="225"/>
      <c r="AA11" s="225"/>
      <c r="AB11" s="225"/>
      <c r="AC11" s="225"/>
    </row>
    <row r="12" spans="1:31" s="212" customFormat="1" ht="22.5" customHeight="1" x14ac:dyDescent="0.25">
      <c r="A12" s="222"/>
      <c r="B12" s="222"/>
      <c r="C12" s="229"/>
      <c r="D12" s="229"/>
      <c r="E12" s="229"/>
      <c r="F12" s="229"/>
      <c r="G12" s="229"/>
      <c r="H12" s="189"/>
      <c r="I12" s="189"/>
      <c r="J12" s="220"/>
      <c r="K12" s="220"/>
      <c r="L12" s="195"/>
      <c r="M12" s="194"/>
      <c r="N12" s="195"/>
      <c r="O12" s="195"/>
      <c r="P12" s="195"/>
      <c r="Q12" s="195"/>
      <c r="R12" s="195"/>
      <c r="S12" s="195"/>
      <c r="T12" s="195"/>
      <c r="U12" s="222"/>
      <c r="V12" s="225"/>
      <c r="W12" s="225"/>
      <c r="X12" s="225"/>
      <c r="Y12" s="225"/>
      <c r="Z12" s="225"/>
      <c r="AA12" s="225"/>
      <c r="AB12" s="225"/>
      <c r="AC12" s="225"/>
    </row>
    <row r="13" spans="1:31" s="212" customFormat="1" ht="19.5" customHeight="1" thickBot="1" x14ac:dyDescent="0.3">
      <c r="A13" s="230" t="s">
        <v>429</v>
      </c>
      <c r="B13" s="222"/>
      <c r="C13" s="231"/>
      <c r="D13" s="231"/>
      <c r="E13" s="231"/>
      <c r="F13" s="231"/>
      <c r="G13" s="231"/>
      <c r="H13" s="189"/>
      <c r="I13" s="189"/>
      <c r="J13" s="220"/>
      <c r="K13" s="220"/>
      <c r="L13" s="232"/>
      <c r="M13" s="194" t="s">
        <v>649</v>
      </c>
      <c r="N13" s="222"/>
      <c r="O13" s="222"/>
      <c r="P13" s="225"/>
      <c r="Q13" s="222"/>
      <c r="R13" s="222"/>
      <c r="S13" s="222"/>
      <c r="T13" s="233"/>
      <c r="U13" s="222"/>
      <c r="V13" s="225"/>
      <c r="W13" s="225"/>
      <c r="X13" s="225"/>
      <c r="Y13" s="225"/>
      <c r="Z13" s="225"/>
      <c r="AA13" s="225"/>
      <c r="AB13" s="225"/>
      <c r="AC13" s="225"/>
    </row>
    <row r="14" spans="1:31" s="212" customFormat="1" ht="19.5" customHeight="1" x14ac:dyDescent="0.2">
      <c r="A14" s="215" t="s">
        <v>417</v>
      </c>
      <c r="B14" s="234"/>
      <c r="C14" s="1825">
        <v>0.04</v>
      </c>
      <c r="D14" s="1825">
        <v>0.04</v>
      </c>
      <c r="E14" s="1825">
        <v>0.04</v>
      </c>
      <c r="F14" s="1825">
        <v>0.04</v>
      </c>
      <c r="G14" s="1826">
        <v>0.04</v>
      </c>
      <c r="H14" s="189"/>
      <c r="I14" s="189"/>
      <c r="L14" s="235"/>
      <c r="M14" s="194"/>
    </row>
    <row r="15" spans="1:31" s="212" customFormat="1" ht="19.5" customHeight="1" thickBot="1" x14ac:dyDescent="0.25">
      <c r="A15" s="236" t="s">
        <v>121</v>
      </c>
      <c r="B15" s="237"/>
      <c r="C15" s="1827">
        <v>1E-3</v>
      </c>
      <c r="D15" s="238"/>
      <c r="E15" s="238"/>
      <c r="F15" s="238"/>
      <c r="G15" s="239"/>
      <c r="H15" s="189"/>
      <c r="I15" s="189"/>
      <c r="J15" s="240"/>
      <c r="K15" s="225"/>
      <c r="L15" s="241"/>
      <c r="M15" s="194" t="s">
        <v>423</v>
      </c>
      <c r="N15" s="225"/>
      <c r="O15" s="225"/>
      <c r="P15" s="225"/>
      <c r="AD15" s="242"/>
    </row>
    <row r="16" spans="1:31" s="212" customFormat="1" ht="19.5" customHeight="1" thickBot="1" x14ac:dyDescent="0.25">
      <c r="A16" s="226" t="s">
        <v>652</v>
      </c>
      <c r="B16" s="227"/>
      <c r="C16" s="1828">
        <v>0.85</v>
      </c>
      <c r="D16" s="243"/>
      <c r="E16" s="243"/>
      <c r="F16" s="243"/>
      <c r="G16" s="244"/>
      <c r="H16" s="189"/>
      <c r="I16" s="189"/>
      <c r="J16" s="240"/>
      <c r="K16" s="225"/>
      <c r="L16" s="235"/>
      <c r="M16" s="194"/>
      <c r="N16" s="225"/>
      <c r="O16" s="225"/>
      <c r="P16" s="225"/>
      <c r="AD16" s="242"/>
    </row>
    <row r="17" spans="1:29" s="212" customFormat="1" ht="19.5" customHeight="1" thickBot="1" x14ac:dyDescent="0.3">
      <c r="A17" s="245" t="s">
        <v>210</v>
      </c>
      <c r="B17" s="246"/>
      <c r="C17" s="1829">
        <v>1</v>
      </c>
      <c r="D17" s="1830">
        <v>1</v>
      </c>
      <c r="E17" s="1831">
        <v>1</v>
      </c>
      <c r="F17" s="1832">
        <v>1</v>
      </c>
      <c r="G17" s="1833">
        <v>1</v>
      </c>
      <c r="J17" s="220"/>
      <c r="K17" s="220"/>
      <c r="L17" s="222"/>
      <c r="M17" s="222"/>
      <c r="N17" s="222"/>
      <c r="O17" s="222"/>
      <c r="P17" s="57"/>
      <c r="Q17" s="222"/>
    </row>
    <row r="18" spans="1:29" s="212" customFormat="1" ht="19.5" customHeight="1" x14ac:dyDescent="0.25">
      <c r="A18" s="222"/>
      <c r="B18" s="222"/>
      <c r="C18" s="229"/>
      <c r="D18" s="229"/>
      <c r="E18" s="229"/>
      <c r="F18" s="229"/>
      <c r="G18" s="229"/>
      <c r="H18" s="189"/>
      <c r="I18" s="189"/>
      <c r="J18" s="220"/>
      <c r="K18" s="220"/>
      <c r="L18" s="222"/>
      <c r="M18" s="222"/>
      <c r="N18" s="222"/>
      <c r="O18" s="222"/>
      <c r="P18" s="225"/>
      <c r="Q18" s="222"/>
      <c r="R18" s="222"/>
      <c r="S18" s="222"/>
      <c r="T18" s="233"/>
      <c r="U18" s="222"/>
      <c r="V18" s="225"/>
      <c r="W18" s="225"/>
      <c r="X18" s="225"/>
      <c r="Y18" s="225"/>
      <c r="Z18" s="225"/>
      <c r="AA18" s="225"/>
      <c r="AB18" s="225"/>
      <c r="AC18" s="225"/>
    </row>
    <row r="19" spans="1:29" s="212" customFormat="1" ht="19.5" customHeight="1" thickBot="1" x14ac:dyDescent="0.3">
      <c r="A19" s="247" t="s">
        <v>419</v>
      </c>
      <c r="B19" s="222"/>
      <c r="C19" s="231"/>
      <c r="D19" s="231"/>
      <c r="E19" s="231"/>
      <c r="F19" s="231"/>
      <c r="G19" s="231"/>
      <c r="H19" s="189"/>
      <c r="I19" s="189"/>
      <c r="J19" s="220"/>
      <c r="K19" s="220"/>
      <c r="L19" s="222"/>
      <c r="M19" s="222"/>
      <c r="N19" s="222"/>
      <c r="O19" s="222"/>
      <c r="P19" s="225"/>
      <c r="Q19" s="222"/>
      <c r="R19" s="222"/>
      <c r="S19" s="222"/>
      <c r="T19" s="233"/>
      <c r="U19" s="222"/>
      <c r="V19" s="225"/>
      <c r="W19" s="225"/>
      <c r="X19" s="225"/>
      <c r="Y19" s="225"/>
      <c r="Z19" s="225"/>
      <c r="AA19" s="225"/>
      <c r="AB19" s="225"/>
      <c r="AC19" s="225"/>
    </row>
    <row r="20" spans="1:29" s="212" customFormat="1" ht="19.5" customHeight="1" x14ac:dyDescent="0.25">
      <c r="A20" s="248"/>
      <c r="B20" s="249"/>
      <c r="C20" s="250" t="s">
        <v>20</v>
      </c>
      <c r="D20" s="251"/>
      <c r="E20" s="251"/>
      <c r="F20" s="251"/>
      <c r="G20" s="252"/>
      <c r="H20" s="221"/>
      <c r="I20" s="222"/>
      <c r="J20" s="220"/>
      <c r="K20" s="220"/>
      <c r="L20" s="222"/>
      <c r="M20" s="222"/>
      <c r="N20" s="222"/>
      <c r="O20" s="222"/>
      <c r="P20" s="225"/>
      <c r="Q20" s="222"/>
      <c r="R20" s="222"/>
      <c r="S20" s="222"/>
      <c r="T20" s="233"/>
      <c r="U20" s="222"/>
      <c r="V20" s="225"/>
      <c r="W20" s="225"/>
      <c r="X20" s="225"/>
      <c r="Y20" s="225"/>
      <c r="Z20" s="225"/>
      <c r="AA20" s="225"/>
      <c r="AB20" s="225"/>
      <c r="AC20" s="225"/>
    </row>
    <row r="21" spans="1:29" s="212" customFormat="1" ht="19.5" customHeight="1" x14ac:dyDescent="0.25">
      <c r="A21" s="221"/>
      <c r="B21" s="253" t="s">
        <v>266</v>
      </c>
      <c r="C21" s="254">
        <f>VLOOKUP($C$4,'TVT''s afscherming'!$A$10:$J$23,2)</f>
        <v>37</v>
      </c>
      <c r="D21" s="255">
        <f>VLOOKUP($D$4,'TVT''s afscherming'!$A$10:$J$23,2)</f>
        <v>41</v>
      </c>
      <c r="E21" s="255">
        <f>VLOOKUP($E$4,'TVT''s afscherming'!$A$10:$J$23,2)</f>
        <v>45</v>
      </c>
      <c r="F21" s="255">
        <f>VLOOKUP($F$4,'TVT''s afscherming'!$A$10:$J$23,2)</f>
        <v>30</v>
      </c>
      <c r="G21" s="256">
        <f>VLOOKUP($G$4,'TVT''s afscherming'!$A$10:$J$23,2)</f>
        <v>36</v>
      </c>
      <c r="H21" s="221"/>
      <c r="I21" s="225"/>
      <c r="J21" s="220"/>
      <c r="K21" s="220"/>
      <c r="L21" s="222"/>
      <c r="M21" s="222"/>
      <c r="N21" s="222"/>
      <c r="O21" s="222"/>
      <c r="P21" s="225"/>
      <c r="Q21" s="222"/>
      <c r="R21" s="222"/>
      <c r="S21" s="222"/>
      <c r="T21" s="233"/>
      <c r="U21" s="222"/>
      <c r="V21" s="225"/>
      <c r="W21" s="225"/>
      <c r="X21" s="225"/>
      <c r="Y21" s="225"/>
      <c r="Z21" s="225"/>
      <c r="AA21" s="225"/>
      <c r="AB21" s="225"/>
      <c r="AC21" s="225"/>
    </row>
    <row r="22" spans="1:29" s="262" customFormat="1" ht="19.5" customHeight="1" x14ac:dyDescent="0.25">
      <c r="A22" s="257"/>
      <c r="B22" s="222" t="s">
        <v>267</v>
      </c>
      <c r="C22" s="258">
        <f>VLOOKUP($C$4,'TVT''s afscherming'!$A$10:$J$23,3)</f>
        <v>33</v>
      </c>
      <c r="D22" s="258">
        <f>VLOOKUP($D$4,'TVT''s afscherming'!$A$10:$J$23,3)</f>
        <v>37</v>
      </c>
      <c r="E22" s="258">
        <f>VLOOKUP($E$4,'TVT''s afscherming'!$A$10:$J$23,3)</f>
        <v>43</v>
      </c>
      <c r="F22" s="258">
        <f>VLOOKUP($F$4,'TVT''s afscherming'!$A$10:$J$23,3)</f>
        <v>27</v>
      </c>
      <c r="G22" s="259">
        <f>VLOOKUP($G$4,'TVT''s afscherming'!$A$10:$J$23,3)</f>
        <v>36</v>
      </c>
      <c r="H22" s="260"/>
      <c r="I22" s="261"/>
      <c r="J22" s="220"/>
      <c r="K22" s="220"/>
      <c r="L22" s="222"/>
      <c r="M22" s="222"/>
      <c r="N22" s="222"/>
      <c r="O22" s="222"/>
      <c r="P22" s="261"/>
      <c r="Q22" s="222"/>
      <c r="R22" s="222"/>
      <c r="S22" s="222"/>
      <c r="U22" s="222"/>
      <c r="V22" s="222"/>
      <c r="W22" s="222"/>
      <c r="X22" s="261"/>
      <c r="Y22" s="261"/>
      <c r="Z22" s="225"/>
      <c r="AA22" s="225"/>
      <c r="AB22" s="225"/>
      <c r="AC22" s="225"/>
    </row>
    <row r="23" spans="1:29" s="262" customFormat="1" ht="19.5" customHeight="1" x14ac:dyDescent="0.25">
      <c r="A23" s="221"/>
      <c r="B23" s="211" t="s">
        <v>61</v>
      </c>
      <c r="C23" s="263">
        <f>VLOOKUP($C$4,'TVT''s afscherming'!$A$10:$J$23,4)</f>
        <v>24.2</v>
      </c>
      <c r="D23" s="258">
        <f>VLOOKUP($D$4,'TVT''s afscherming'!$A$10:$J$23,4)</f>
        <v>27</v>
      </c>
      <c r="E23" s="258">
        <f>VLOOKUP($E$4,'TVT''s afscherming'!$A$10:$J$23,4)</f>
        <v>27</v>
      </c>
      <c r="F23" s="258">
        <f>VLOOKUP($F$4,'TVT''s afscherming'!$A$10:$J$23,4)</f>
        <v>19.7</v>
      </c>
      <c r="G23" s="259">
        <f>VLOOKUP($G$4,'TVT''s afscherming'!$A$10:$J$23,4)</f>
        <v>23.6</v>
      </c>
      <c r="H23" s="264"/>
      <c r="I23" s="261"/>
      <c r="J23" s="220"/>
      <c r="K23" s="220"/>
      <c r="L23" s="222"/>
      <c r="M23" s="222"/>
      <c r="N23" s="222"/>
      <c r="O23" s="222"/>
      <c r="P23" s="261"/>
      <c r="Q23" s="222"/>
      <c r="R23" s="222"/>
      <c r="S23" s="222"/>
      <c r="U23" s="222"/>
      <c r="V23" s="222"/>
      <c r="W23" s="222"/>
      <c r="X23" s="261"/>
      <c r="Y23" s="261"/>
      <c r="Z23" s="261"/>
      <c r="AA23" s="225"/>
      <c r="AB23" s="225"/>
      <c r="AC23" s="225"/>
    </row>
    <row r="24" spans="1:29" s="212" customFormat="1" ht="19.5" customHeight="1" x14ac:dyDescent="0.25">
      <c r="A24" s="221"/>
      <c r="B24" s="211" t="s">
        <v>3</v>
      </c>
      <c r="C24" s="263">
        <f>VLOOKUP($C$4,'TVT''s afscherming'!$A$10:$J$23,5)</f>
        <v>9.9</v>
      </c>
      <c r="D24" s="258">
        <f>VLOOKUP($D$4,'TVT''s afscherming'!$A$10:$J$23,5)</f>
        <v>10</v>
      </c>
      <c r="E24" s="258">
        <f>VLOOKUP($E$4,'TVT''s afscherming'!$A$10:$J$23,5)</f>
        <v>11</v>
      </c>
      <c r="F24" s="258">
        <f>VLOOKUP($F$4,'TVT''s afscherming'!$A$10:$J$23,5)</f>
        <v>10.199999999999999</v>
      </c>
      <c r="G24" s="259">
        <f>VLOOKUP($G$4,'TVT''s afscherming'!$A$10:$J$23,5)</f>
        <v>10.199999999999999</v>
      </c>
      <c r="H24" s="257"/>
      <c r="I24" s="225"/>
      <c r="J24" s="220"/>
      <c r="K24" s="220"/>
      <c r="L24" s="222"/>
      <c r="M24" s="222"/>
      <c r="N24" s="222"/>
      <c r="O24" s="261"/>
      <c r="P24" s="225"/>
      <c r="Q24" s="262"/>
      <c r="R24" s="262"/>
      <c r="S24" s="262"/>
      <c r="T24" s="233"/>
      <c r="U24" s="222"/>
      <c r="V24" s="265"/>
      <c r="W24" s="266"/>
      <c r="X24" s="225"/>
      <c r="Y24" s="225"/>
      <c r="Z24" s="261"/>
      <c r="AA24" s="225"/>
      <c r="AB24" s="225"/>
      <c r="AC24" s="225"/>
    </row>
    <row r="25" spans="1:29" s="212" customFormat="1" ht="19.5" customHeight="1" x14ac:dyDescent="0.25">
      <c r="A25" s="221"/>
      <c r="B25" s="211" t="s">
        <v>22</v>
      </c>
      <c r="C25" s="263">
        <f>VLOOKUP($C$4,'TVT''s afscherming'!$A$10:$J$23,6)</f>
        <v>5.7</v>
      </c>
      <c r="D25" s="258">
        <f>VLOOKUP($D$4,'TVT''s afscherming'!$A$10:$J$23,6)</f>
        <v>5.7</v>
      </c>
      <c r="E25" s="258">
        <f>VLOOKUP($E$4,'TVT''s afscherming'!$A$10:$J$23,6)</f>
        <v>5.6</v>
      </c>
      <c r="F25" s="258">
        <f>VLOOKUP($F$4,'TVT''s afscherming'!$A$10:$J$23,6)</f>
        <v>5.7</v>
      </c>
      <c r="G25" s="259">
        <f>VLOOKUP($G$4,'TVT''s afscherming'!$A$10:$J$23,6)</f>
        <v>5.7</v>
      </c>
      <c r="H25" s="257"/>
      <c r="I25" s="225"/>
      <c r="J25" s="267"/>
      <c r="K25" s="267"/>
      <c r="L25" s="222"/>
      <c r="M25" s="222"/>
      <c r="N25" s="222"/>
      <c r="O25" s="261"/>
      <c r="P25" s="225"/>
      <c r="Q25" s="262"/>
      <c r="R25" s="262"/>
      <c r="S25" s="262"/>
      <c r="U25" s="222"/>
      <c r="V25" s="222"/>
      <c r="W25" s="222"/>
      <c r="X25" s="225"/>
      <c r="Y25" s="225"/>
      <c r="Z25" s="225"/>
      <c r="AA25" s="225"/>
      <c r="AB25" s="225"/>
      <c r="AC25" s="225"/>
    </row>
    <row r="26" spans="1:29" s="212" customFormat="1" ht="19.5" customHeight="1" x14ac:dyDescent="0.25">
      <c r="A26" s="257"/>
      <c r="B26" s="268"/>
      <c r="C26" s="269" t="s">
        <v>139</v>
      </c>
      <c r="D26" s="270"/>
      <c r="E26" s="270"/>
      <c r="F26" s="270"/>
      <c r="G26" s="271"/>
      <c r="H26" s="257"/>
      <c r="I26" s="225"/>
      <c r="J26" s="240"/>
      <c r="K26" s="225"/>
      <c r="L26" s="225"/>
      <c r="M26" s="225"/>
      <c r="N26" s="225"/>
      <c r="O26" s="225"/>
      <c r="P26" s="225"/>
      <c r="Q26" s="225"/>
      <c r="S26" s="222"/>
      <c r="U26" s="222"/>
      <c r="V26" s="222"/>
      <c r="W26" s="222"/>
      <c r="X26" s="225"/>
      <c r="Y26" s="225"/>
      <c r="Z26" s="225"/>
      <c r="AA26" s="225"/>
      <c r="AB26" s="225"/>
      <c r="AC26" s="225"/>
    </row>
    <row r="27" spans="1:29" s="212" customFormat="1" ht="19.5" customHeight="1" x14ac:dyDescent="0.25">
      <c r="A27" s="257"/>
      <c r="B27" s="253" t="s">
        <v>2</v>
      </c>
      <c r="C27" s="254">
        <f>VLOOKUP($C$4,'TVT''s afscherming'!$A$10:$J$23,7)</f>
        <v>34</v>
      </c>
      <c r="D27" s="254">
        <f>VLOOKUP($D$4,'TVT''s afscherming'!$A$10:$J$23,7)</f>
        <v>38</v>
      </c>
      <c r="E27" s="255">
        <f>VLOOKUP($E$4,'TVT''s afscherming'!$A$10:$J$23,7)</f>
        <v>44</v>
      </c>
      <c r="F27" s="254">
        <f>VLOOKUP($F$4,'TVT''s afscherming'!$A$10:$J$23,7)</f>
        <v>30.5</v>
      </c>
      <c r="G27" s="256">
        <f>VLOOKUP($G$4,'TVT''s afscherming'!$A$10:$J$23,7)</f>
        <v>35.6</v>
      </c>
      <c r="H27" s="257"/>
      <c r="I27" s="225"/>
      <c r="J27" s="272"/>
      <c r="K27" s="272"/>
      <c r="L27" s="222"/>
      <c r="M27" s="222"/>
      <c r="N27" s="222"/>
      <c r="O27" s="222"/>
      <c r="P27" s="225"/>
      <c r="Q27" s="222"/>
      <c r="U27" s="222"/>
      <c r="V27" s="225"/>
      <c r="W27" s="225"/>
      <c r="X27" s="225"/>
      <c r="Y27" s="225"/>
      <c r="Z27" s="225"/>
      <c r="AA27" s="261"/>
      <c r="AB27" s="261"/>
      <c r="AC27" s="261"/>
    </row>
    <row r="28" spans="1:29" s="212" customFormat="1" ht="19.5" customHeight="1" x14ac:dyDescent="0.25">
      <c r="A28" s="257"/>
      <c r="B28" s="211" t="s">
        <v>61</v>
      </c>
      <c r="C28" s="263">
        <f>VLOOKUP($C$4,'TVT''s afscherming'!$A$10:$J$23,8)</f>
        <v>20</v>
      </c>
      <c r="D28" s="263">
        <f>VLOOKUP($D$4,'TVT''s afscherming'!$A$10:$J$23,8)</f>
        <v>24</v>
      </c>
      <c r="E28" s="258">
        <f>VLOOKUP($E$4,'TVT''s afscherming'!$A$10:$J$23,8)</f>
        <v>26.8</v>
      </c>
      <c r="F28" s="263">
        <f>VLOOKUP($F$4,'TVT''s afscherming'!$A$10:$J$23,8)</f>
        <v>20.3</v>
      </c>
      <c r="G28" s="259">
        <f>VLOOKUP($G$4,'TVT''s afscherming'!$A$10:$J$23,8)</f>
        <v>23.7</v>
      </c>
      <c r="J28" s="272"/>
      <c r="K28" s="272"/>
      <c r="L28" s="222"/>
      <c r="M28" s="222"/>
      <c r="N28" s="222"/>
      <c r="O28" s="222"/>
      <c r="P28" s="225"/>
      <c r="Q28" s="222"/>
      <c r="U28" s="222"/>
      <c r="V28" s="222"/>
      <c r="W28" s="222"/>
      <c r="X28" s="222"/>
    </row>
    <row r="29" spans="1:29" s="212" customFormat="1" ht="19.5" customHeight="1" x14ac:dyDescent="0.25">
      <c r="A29" s="257"/>
      <c r="B29" s="211" t="s">
        <v>3</v>
      </c>
      <c r="C29" s="263">
        <f>VLOOKUP($C$4,'TVT''s afscherming'!$A$10:$J$23,9)</f>
        <v>9.9</v>
      </c>
      <c r="D29" s="263">
        <f>VLOOKUP($D$4,'TVT''s afscherming'!$A$10:$J$23,9)</f>
        <v>10</v>
      </c>
      <c r="E29" s="258">
        <f>VLOOKUP($E$4,'TVT''s afscherming'!$A$10:$J$23,9)</f>
        <v>11</v>
      </c>
      <c r="F29" s="263">
        <f>VLOOKUP($F$4,'TVT''s afscherming'!$A$10:$J$23,9)</f>
        <v>10.199999999999999</v>
      </c>
      <c r="G29" s="259">
        <f>VLOOKUP($G$4,'TVT''s afscherming'!$A$10:$J$23,9)</f>
        <v>10.7</v>
      </c>
      <c r="I29" s="211"/>
      <c r="J29" s="272"/>
      <c r="K29" s="272"/>
      <c r="L29" s="222"/>
      <c r="M29" s="222"/>
      <c r="N29" s="222"/>
      <c r="O29" s="222"/>
      <c r="P29" s="225"/>
      <c r="Q29" s="222"/>
      <c r="U29" s="222"/>
      <c r="V29" s="222"/>
      <c r="W29" s="222"/>
      <c r="X29" s="222"/>
    </row>
    <row r="30" spans="1:29" s="212" customFormat="1" ht="19.5" customHeight="1" thickBot="1" x14ac:dyDescent="0.3">
      <c r="A30" s="273"/>
      <c r="B30" s="274" t="s">
        <v>22</v>
      </c>
      <c r="C30" s="275">
        <f>VLOOKUP($C$4,'TVT''s afscherming'!$A$10:$J$23,10)</f>
        <v>5.7</v>
      </c>
      <c r="D30" s="275">
        <f>VLOOKUP($D$4,'TVT''s afscherming'!$A$10:$J$23,10)</f>
        <v>5.7</v>
      </c>
      <c r="E30" s="276">
        <f>VLOOKUP($E$4,'TVT''s afscherming'!$A$10:$J$23,10)</f>
        <v>5.6</v>
      </c>
      <c r="F30" s="275">
        <f>VLOOKUP($F$4,'TVT''s afscherming'!$A$10:$J$23,10)</f>
        <v>5</v>
      </c>
      <c r="G30" s="277">
        <f>VLOOKUP($G$4,'TVT''s afscherming'!$A$10:$J$23,10)</f>
        <v>5.7</v>
      </c>
      <c r="J30" s="272"/>
      <c r="K30" s="272"/>
      <c r="L30" s="222"/>
      <c r="M30" s="222"/>
      <c r="N30" s="222"/>
      <c r="O30" s="222"/>
      <c r="P30" s="225"/>
      <c r="Q30" s="222"/>
      <c r="T30" s="222"/>
      <c r="U30" s="242"/>
      <c r="V30" s="222"/>
      <c r="W30" s="222"/>
      <c r="X30" s="222"/>
      <c r="Y30" s="222"/>
    </row>
    <row r="31" spans="1:29" s="212" customFormat="1" ht="19.5" customHeight="1" x14ac:dyDescent="0.25">
      <c r="A31" s="222"/>
      <c r="J31" s="272"/>
      <c r="K31" s="272"/>
      <c r="L31" s="222"/>
      <c r="M31" s="222"/>
      <c r="N31" s="222"/>
      <c r="O31" s="222"/>
      <c r="P31" s="225"/>
      <c r="Q31" s="222"/>
      <c r="T31" s="222"/>
      <c r="U31" s="242"/>
      <c r="V31" s="222"/>
      <c r="W31" s="222"/>
      <c r="X31" s="222"/>
      <c r="Y31" s="222"/>
    </row>
    <row r="32" spans="1:29" s="212" customFormat="1" ht="22.5" customHeight="1" x14ac:dyDescent="0.25">
      <c r="T32" s="222"/>
      <c r="U32" s="233"/>
      <c r="V32" s="233"/>
      <c r="W32" s="222"/>
      <c r="X32" s="222"/>
      <c r="Y32" s="222"/>
    </row>
    <row r="33" spans="1:52" s="212" customFormat="1" ht="22.5" customHeight="1" x14ac:dyDescent="0.25">
      <c r="H33" s="189"/>
      <c r="S33" s="222"/>
      <c r="T33" s="233"/>
      <c r="U33" s="233"/>
      <c r="V33" s="222"/>
      <c r="W33" s="222"/>
      <c r="X33" s="222"/>
    </row>
    <row r="34" spans="1:52" ht="19.5" customHeight="1" thickBot="1" x14ac:dyDescent="0.3">
      <c r="A34" s="283" t="s">
        <v>506</v>
      </c>
      <c r="B34" s="284"/>
      <c r="C34" s="284"/>
      <c r="D34" s="280"/>
      <c r="L34" s="289"/>
      <c r="M34" s="290"/>
      <c r="N34" s="290"/>
      <c r="O34" s="290"/>
      <c r="P34" s="290"/>
      <c r="Q34" s="290"/>
      <c r="R34" s="290"/>
      <c r="S34" s="290"/>
      <c r="T34" s="290"/>
      <c r="U34" s="290"/>
      <c r="V34" s="290"/>
      <c r="W34" s="290"/>
      <c r="X34" s="290"/>
      <c r="AB34" s="189"/>
      <c r="AF34" s="281"/>
      <c r="AG34" s="281"/>
      <c r="AH34" s="282"/>
      <c r="AI34" s="282"/>
    </row>
    <row r="35" spans="1:52" s="212" customFormat="1" ht="19.5" customHeight="1" x14ac:dyDescent="0.25">
      <c r="J35" s="653"/>
      <c r="K35" s="292">
        <f>$C$4</f>
        <v>6</v>
      </c>
      <c r="L35" s="293"/>
      <c r="M35" s="294"/>
      <c r="N35" s="292">
        <f>$D$4</f>
        <v>10</v>
      </c>
      <c r="O35" s="293"/>
      <c r="P35" s="294"/>
      <c r="Q35" s="292">
        <f>$E$4</f>
        <v>18</v>
      </c>
      <c r="R35" s="293"/>
      <c r="S35" s="294"/>
      <c r="T35" s="292" t="str">
        <f>$F$4</f>
        <v>6 FFF</v>
      </c>
      <c r="U35" s="293"/>
      <c r="V35" s="294"/>
      <c r="W35" s="292" t="str">
        <f>$G$4</f>
        <v>10 FFF</v>
      </c>
      <c r="X35" s="295"/>
      <c r="Y35" s="296"/>
      <c r="Z35" s="297" t="s">
        <v>16</v>
      </c>
      <c r="AA35" s="298"/>
      <c r="AB35" s="257"/>
      <c r="AC35" s="225"/>
      <c r="AG35" s="299"/>
      <c r="AH35" s="299"/>
      <c r="AI35" s="299"/>
      <c r="AJ35" s="299"/>
      <c r="AK35" s="299"/>
      <c r="AL35" s="299"/>
      <c r="AP35" s="222"/>
      <c r="AQ35" s="211"/>
      <c r="AR35" s="266"/>
      <c r="AS35" s="222"/>
      <c r="AT35" s="187"/>
      <c r="AU35" s="187"/>
      <c r="AV35" s="187"/>
      <c r="AW35" s="187"/>
      <c r="AX35" s="187"/>
      <c r="AY35" s="300"/>
      <c r="AZ35" s="300"/>
    </row>
    <row r="36" spans="1:52" s="212" customFormat="1" ht="19.5" customHeight="1" x14ac:dyDescent="0.25">
      <c r="A36" s="301" t="s">
        <v>50</v>
      </c>
      <c r="B36" s="301" t="s">
        <v>15</v>
      </c>
      <c r="C36" s="302" t="s">
        <v>25</v>
      </c>
      <c r="D36" s="302" t="s">
        <v>158</v>
      </c>
      <c r="E36" s="301" t="s">
        <v>524</v>
      </c>
      <c r="F36" s="303"/>
      <c r="G36" s="304" t="s">
        <v>77</v>
      </c>
      <c r="H36" s="305"/>
      <c r="I36" s="306"/>
      <c r="J36" s="301" t="s">
        <v>86</v>
      </c>
      <c r="K36" s="301" t="s">
        <v>206</v>
      </c>
      <c r="L36" s="301" t="s">
        <v>16</v>
      </c>
      <c r="M36" s="301" t="s">
        <v>86</v>
      </c>
      <c r="N36" s="301" t="s">
        <v>206</v>
      </c>
      <c r="O36" s="301" t="s">
        <v>16</v>
      </c>
      <c r="P36" s="301" t="s">
        <v>86</v>
      </c>
      <c r="Q36" s="301" t="s">
        <v>206</v>
      </c>
      <c r="R36" s="301" t="s">
        <v>16</v>
      </c>
      <c r="S36" s="301" t="s">
        <v>86</v>
      </c>
      <c r="T36" s="301" t="s">
        <v>206</v>
      </c>
      <c r="U36" s="301" t="s">
        <v>16</v>
      </c>
      <c r="V36" s="301" t="s">
        <v>86</v>
      </c>
      <c r="W36" s="301" t="s">
        <v>206</v>
      </c>
      <c r="X36" s="301" t="s">
        <v>16</v>
      </c>
      <c r="Y36" s="307" t="s">
        <v>23</v>
      </c>
      <c r="Z36" s="308" t="s">
        <v>11</v>
      </c>
      <c r="AA36" s="309" t="s">
        <v>11</v>
      </c>
      <c r="AG36" s="310"/>
      <c r="AH36" s="310"/>
      <c r="AI36" s="310"/>
      <c r="AJ36" s="310"/>
      <c r="AK36" s="310"/>
      <c r="AL36" s="310"/>
      <c r="AP36" s="222"/>
      <c r="AQ36" s="211"/>
      <c r="AR36" s="242"/>
      <c r="AS36" s="222"/>
      <c r="AT36" s="225"/>
      <c r="AU36" s="225"/>
      <c r="AV36" s="311"/>
      <c r="AW36" s="225"/>
      <c r="AX36" s="225"/>
      <c r="AY36" s="300"/>
      <c r="AZ36" s="300"/>
    </row>
    <row r="37" spans="1:52" s="212" customFormat="1" ht="19.5" customHeight="1" thickBot="1" x14ac:dyDescent="0.3">
      <c r="A37" s="312"/>
      <c r="B37" s="312"/>
      <c r="C37" s="313"/>
      <c r="D37" s="313" t="s">
        <v>383</v>
      </c>
      <c r="E37" s="312" t="s">
        <v>528</v>
      </c>
      <c r="F37" s="312" t="s">
        <v>1</v>
      </c>
      <c r="G37" s="312" t="s">
        <v>61</v>
      </c>
      <c r="H37" s="312" t="s">
        <v>3</v>
      </c>
      <c r="I37" s="312" t="s">
        <v>22</v>
      </c>
      <c r="J37" s="314" t="s">
        <v>208</v>
      </c>
      <c r="K37" s="314" t="s">
        <v>207</v>
      </c>
      <c r="L37" s="315" t="s">
        <v>174</v>
      </c>
      <c r="M37" s="314" t="s">
        <v>208</v>
      </c>
      <c r="N37" s="314" t="s">
        <v>207</v>
      </c>
      <c r="O37" s="315" t="s">
        <v>174</v>
      </c>
      <c r="P37" s="314" t="s">
        <v>208</v>
      </c>
      <c r="Q37" s="314" t="s">
        <v>207</v>
      </c>
      <c r="R37" s="315" t="s">
        <v>174</v>
      </c>
      <c r="S37" s="314" t="s">
        <v>208</v>
      </c>
      <c r="T37" s="314" t="s">
        <v>207</v>
      </c>
      <c r="U37" s="315" t="s">
        <v>174</v>
      </c>
      <c r="V37" s="314" t="s">
        <v>208</v>
      </c>
      <c r="W37" s="314" t="s">
        <v>207</v>
      </c>
      <c r="X37" s="315" t="s">
        <v>174</v>
      </c>
      <c r="Y37" s="316" t="s">
        <v>173</v>
      </c>
      <c r="Z37" s="315" t="s">
        <v>173</v>
      </c>
      <c r="AA37" s="309" t="s">
        <v>166</v>
      </c>
      <c r="AG37" s="310"/>
      <c r="AH37" s="310"/>
      <c r="AI37" s="310"/>
      <c r="AJ37" s="310"/>
      <c r="AK37" s="310"/>
      <c r="AL37" s="310"/>
      <c r="AP37" s="222"/>
      <c r="AQ37" s="211"/>
      <c r="AR37" s="222"/>
      <c r="AS37" s="222"/>
      <c r="AT37" s="225"/>
      <c r="AU37" s="225"/>
      <c r="AV37" s="225"/>
      <c r="AW37" s="225"/>
      <c r="AX37" s="225"/>
      <c r="AY37" s="300"/>
      <c r="AZ37" s="300"/>
    </row>
    <row r="38" spans="1:52" s="212" customFormat="1" ht="19.5" hidden="1" customHeight="1" thickBot="1" x14ac:dyDescent="0.3">
      <c r="A38" s="317"/>
      <c r="B38" s="317"/>
      <c r="C38" s="318"/>
      <c r="D38" s="318"/>
      <c r="E38" s="317"/>
      <c r="F38" s="317"/>
      <c r="G38" s="317"/>
      <c r="H38" s="317"/>
      <c r="I38" s="317"/>
      <c r="J38" s="77"/>
      <c r="K38" s="77"/>
      <c r="L38" s="78"/>
      <c r="M38" s="77"/>
      <c r="N38" s="77"/>
      <c r="O38" s="78"/>
      <c r="P38" s="77"/>
      <c r="Q38" s="77"/>
      <c r="R38" s="78"/>
      <c r="S38" s="77"/>
      <c r="T38" s="77"/>
      <c r="U38" s="78"/>
      <c r="V38" s="77"/>
      <c r="W38" s="77"/>
      <c r="X38" s="79"/>
      <c r="Y38" s="319"/>
      <c r="Z38" s="320"/>
      <c r="AA38" s="321"/>
      <c r="AG38" s="310"/>
      <c r="AH38" s="310"/>
      <c r="AI38" s="310"/>
      <c r="AJ38" s="310"/>
      <c r="AK38" s="310"/>
      <c r="AL38" s="310"/>
      <c r="AP38" s="222"/>
      <c r="AQ38" s="211"/>
      <c r="AR38" s="222"/>
      <c r="AS38" s="222"/>
      <c r="AT38" s="225"/>
      <c r="AU38" s="225"/>
      <c r="AV38" s="225"/>
      <c r="AW38" s="225"/>
      <c r="AX38" s="225"/>
      <c r="AY38" s="300"/>
      <c r="AZ38" s="300"/>
    </row>
    <row r="39" spans="1:52" s="212" customFormat="1" ht="30" customHeight="1" x14ac:dyDescent="0.25">
      <c r="A39" s="322"/>
      <c r="B39" s="322"/>
      <c r="C39" s="323" t="s">
        <v>569</v>
      </c>
      <c r="D39" s="1834">
        <v>6</v>
      </c>
      <c r="E39" s="1834">
        <v>1</v>
      </c>
      <c r="F39" s="1834">
        <v>250</v>
      </c>
      <c r="G39" s="1834">
        <v>0</v>
      </c>
      <c r="H39" s="1834">
        <v>0</v>
      </c>
      <c r="I39" s="1835">
        <v>0</v>
      </c>
      <c r="J39" s="74">
        <f>IF($F39=0,0,1+($F39-$C$21)/$C$22)+$G39/$C$23+$H39/$C$24+$I39/$C$25</f>
        <v>7.4545454545454541</v>
      </c>
      <c r="K39" s="75">
        <f t="shared" ref="K39:K70" si="0">10^(-J39)</f>
        <v>3.5111917342151263E-8</v>
      </c>
      <c r="L39" s="74">
        <f>($C$7*$C$14*$C$8*$E39/$D39^2*K39*10^6)</f>
        <v>7.8026482982558355E-3</v>
      </c>
      <c r="M39" s="74">
        <f>IF($F39=0,0,1+($F39-$D$21)/$D$22)+$G39/$D$23+$H39/$D$24+$I39/$D$25</f>
        <v>6.6486486486486482</v>
      </c>
      <c r="N39" s="75">
        <f t="shared" ref="N39:N70" si="1">10^(-M39)</f>
        <v>2.2456979955397711E-7</v>
      </c>
      <c r="O39" s="74">
        <f>($C$7*$D$14*$D$8*$E39/$D39^2*N39*10^6)</f>
        <v>4.99043999008838E-2</v>
      </c>
      <c r="P39" s="74">
        <f>IF($F39=0,0,1+($F39-$E$21)/$E$22)+$G39/$E$23+$H39/$E$24+$I39/$E$25</f>
        <v>5.7674418604651159</v>
      </c>
      <c r="Q39" s="75">
        <f t="shared" ref="Q39:Q70" si="2">10^(-P39)</f>
        <v>1.7082763938087111E-6</v>
      </c>
      <c r="R39" s="74">
        <f>($C$7*$E$14*$E$8*$E39/$D39^2*Q39*10^6)</f>
        <v>0.37961697640193576</v>
      </c>
      <c r="S39" s="74">
        <f>IF($F39=0,0,1+($F39-$F$21)/$F$22)+$G39/$F$23+$H39/$F$24+$I39/$F$25</f>
        <v>9.1481481481481488</v>
      </c>
      <c r="T39" s="75">
        <f t="shared" ref="T39:T70" si="3">10^(-S39)</f>
        <v>7.1097094323124171E-10</v>
      </c>
      <c r="U39" s="74">
        <f>($C$7*$F$14*$F$8*$E39/$D39^2*T39*10^6)</f>
        <v>1.5799354294027593E-4</v>
      </c>
      <c r="V39" s="74">
        <f>IF($F39=0,0,1+($F39-$G$21)/$G$22)+$G39/$G$23+$H39/$G$24+$I39/$G$25</f>
        <v>6.9444444444444446</v>
      </c>
      <c r="W39" s="75">
        <f t="shared" ref="W39:W70" si="4">10^(-V39)</f>
        <v>1.136463666385722E-7</v>
      </c>
      <c r="X39" s="76">
        <f>($C$7*$G$14*$G$8*$E39/$D39^2*W39*10^6)</f>
        <v>2.5254748141904933E-2</v>
      </c>
      <c r="Y39" s="654">
        <f t="shared" ref="Y39:Y49" si="5">SUM(L39,O39,R39,U39,X39)</f>
        <v>0.46273676628592059</v>
      </c>
      <c r="Z39" s="325"/>
      <c r="AA39" s="326"/>
      <c r="AG39" s="328"/>
      <c r="AI39" s="328"/>
      <c r="AJ39" s="328"/>
      <c r="AK39" s="328"/>
      <c r="AL39" s="328"/>
      <c r="AP39" s="222"/>
      <c r="AQ39" s="211"/>
      <c r="AR39" s="222"/>
      <c r="AS39" s="222"/>
      <c r="AT39" s="225"/>
      <c r="AU39" s="225"/>
      <c r="AV39" s="225"/>
      <c r="AW39" s="225"/>
      <c r="AX39" s="225"/>
      <c r="AY39" s="300"/>
      <c r="AZ39" s="300"/>
    </row>
    <row r="40" spans="1:52" s="212" customFormat="1" ht="30" customHeight="1" thickBot="1" x14ac:dyDescent="0.3">
      <c r="A40" s="329" t="str">
        <f>Samenvatting!A13</f>
        <v>B1</v>
      </c>
      <c r="B40" s="330" t="str">
        <f>Samenvatting!B13</f>
        <v>bedieningsruimte Linac 1</v>
      </c>
      <c r="C40" s="331" t="s">
        <v>568</v>
      </c>
      <c r="D40" s="1836">
        <v>5</v>
      </c>
      <c r="E40" s="89"/>
      <c r="F40" s="1834">
        <v>250</v>
      </c>
      <c r="G40" s="1834">
        <v>0</v>
      </c>
      <c r="H40" s="1834">
        <v>0</v>
      </c>
      <c r="I40" s="1835">
        <v>0</v>
      </c>
      <c r="J40" s="74">
        <f>$F40/$C$27+$G40/$C$28+$H40/$C$29+$I40/$C$30</f>
        <v>7.3529411764705879</v>
      </c>
      <c r="K40" s="75">
        <f t="shared" si="0"/>
        <v>4.4366873309786093E-8</v>
      </c>
      <c r="L40" s="74">
        <f>($C$7*$C$15*$C$8*($C$9+$C$10*$C$11)/$D40^2*K40*10^6)</f>
        <v>1.0648049594348663E-3</v>
      </c>
      <c r="M40" s="74">
        <f>$F40/$D$27+$G40/$D$28+$H40/$D$29+$I40/$D$30</f>
        <v>6.5789473684210522</v>
      </c>
      <c r="N40" s="75">
        <f t="shared" si="1"/>
        <v>2.636650898730358E-7</v>
      </c>
      <c r="O40" s="74">
        <f>($C$7*$C$15*$D$8*($D$9+$D$10*$D$11)/$D40^2*N40*10^6)</f>
        <v>6.3279621569528599E-3</v>
      </c>
      <c r="P40" s="74">
        <f>$F40/$E$27+$G40/$E$28+$H40/$E$29+$I40/$E$30</f>
        <v>5.6818181818181817</v>
      </c>
      <c r="Q40" s="75">
        <f t="shared" si="2"/>
        <v>2.0805675382171676E-6</v>
      </c>
      <c r="R40" s="74">
        <f>($C$7*$C$15*$E$8*($E$9+$E$10*$E$11)/$D40^2*Q40*10^6)</f>
        <v>4.9933620917212027E-2</v>
      </c>
      <c r="S40" s="74">
        <f>$F40/$F$27+$G40/$F$28+$H40/$F$29+$I40/$F$30</f>
        <v>8.1967213114754092</v>
      </c>
      <c r="T40" s="75">
        <f t="shared" si="3"/>
        <v>6.3573875711648393E-9</v>
      </c>
      <c r="U40" s="74">
        <f>($C$7*$C$15*$F$8*($F$9+$F$10*$F$11)/$D40^2*T40*10^6)</f>
        <v>1.5257730170795616E-4</v>
      </c>
      <c r="V40" s="74">
        <f>$F40/$G$27+$G40/$G$28+$H40/$G$29+$I40/$G$30</f>
        <v>7.0224719101123592</v>
      </c>
      <c r="W40" s="75">
        <f t="shared" si="4"/>
        <v>9.4957241494880226E-8</v>
      </c>
      <c r="X40" s="76">
        <f>($C$7*$C$15*$G$8*($G$9+$G$10*$G$11)/$D40^2*W40*10^6)</f>
        <v>2.278973795877126E-3</v>
      </c>
      <c r="Y40" s="655">
        <f t="shared" si="5"/>
        <v>5.9757939131184837E-2</v>
      </c>
      <c r="Z40" s="333">
        <f>SUM(Y38:Y41)</f>
        <v>0.52249470541710541</v>
      </c>
      <c r="AA40" s="334">
        <f>Z40*52/10^3</f>
        <v>2.7169724681689482E-2</v>
      </c>
      <c r="AG40" s="328"/>
      <c r="AH40" s="328"/>
      <c r="AI40" s="328"/>
      <c r="AJ40" s="328"/>
      <c r="AK40" s="328"/>
      <c r="AL40" s="328"/>
      <c r="AP40" s="222"/>
      <c r="AQ40" s="211"/>
      <c r="AR40" s="222"/>
      <c r="AS40" s="222"/>
      <c r="AT40" s="225"/>
      <c r="AU40" s="225"/>
      <c r="AV40" s="225"/>
      <c r="AW40" s="225"/>
      <c r="AX40" s="225"/>
      <c r="AY40" s="300"/>
      <c r="AZ40" s="300"/>
    </row>
    <row r="41" spans="1:52" s="212" customFormat="1" ht="30" hidden="1" customHeight="1" thickBot="1" x14ac:dyDescent="0.3">
      <c r="A41" s="312"/>
      <c r="B41" s="312"/>
      <c r="C41" s="318"/>
      <c r="D41" s="1838"/>
      <c r="E41" s="1839"/>
      <c r="F41" s="1839"/>
      <c r="G41" s="1839"/>
      <c r="H41" s="1839"/>
      <c r="I41" s="1839"/>
      <c r="J41" s="74"/>
      <c r="K41" s="75"/>
      <c r="L41" s="74"/>
      <c r="M41" s="74"/>
      <c r="N41" s="75"/>
      <c r="O41" s="74"/>
      <c r="P41" s="74"/>
      <c r="Q41" s="75"/>
      <c r="R41" s="74"/>
      <c r="S41" s="74"/>
      <c r="T41" s="75"/>
      <c r="U41" s="74"/>
      <c r="V41" s="74"/>
      <c r="W41" s="75"/>
      <c r="X41" s="76"/>
      <c r="Y41" s="335"/>
      <c r="Z41" s="336"/>
      <c r="AA41" s="309"/>
      <c r="AG41" s="328"/>
      <c r="AH41" s="328"/>
      <c r="AI41" s="328"/>
      <c r="AJ41" s="328"/>
      <c r="AK41" s="328"/>
      <c r="AL41" s="328"/>
      <c r="AP41" s="222"/>
      <c r="AQ41" s="211"/>
      <c r="AR41" s="222"/>
      <c r="AS41" s="222"/>
      <c r="AT41" s="225"/>
      <c r="AU41" s="225"/>
      <c r="AV41" s="225"/>
      <c r="AW41" s="225"/>
      <c r="AX41" s="225"/>
      <c r="AY41" s="300"/>
      <c r="AZ41" s="300"/>
    </row>
    <row r="42" spans="1:52" s="212" customFormat="1" ht="30" customHeight="1" x14ac:dyDescent="0.25">
      <c r="A42" s="322"/>
      <c r="B42" s="322"/>
      <c r="C42" s="323" t="s">
        <v>569</v>
      </c>
      <c r="D42" s="1840">
        <v>6</v>
      </c>
      <c r="E42" s="1840">
        <v>1</v>
      </c>
      <c r="F42" s="1834">
        <v>250</v>
      </c>
      <c r="G42" s="1834">
        <v>0</v>
      </c>
      <c r="H42" s="1834">
        <v>0</v>
      </c>
      <c r="I42" s="1835">
        <v>0</v>
      </c>
      <c r="J42" s="74">
        <f>IF($F42=0,0,1+($F42-$C$21)/$C$22)+$G42/$C$23+$H42/$C$24+$I42/$C$25</f>
        <v>7.4545454545454541</v>
      </c>
      <c r="K42" s="75">
        <f t="shared" si="0"/>
        <v>3.5111917342151263E-8</v>
      </c>
      <c r="L42" s="74">
        <f>($C$7*$C$14*$C$8*$E42/$D42^2*K42*10^6)</f>
        <v>7.8026482982558355E-3</v>
      </c>
      <c r="M42" s="74">
        <f>IF($F42=0,0,1+($F42-$D$21)/$D$22)+$G42/$D$23+$H42/$D$24+$I42/$D$25</f>
        <v>6.6486486486486482</v>
      </c>
      <c r="N42" s="75">
        <f t="shared" si="1"/>
        <v>2.2456979955397711E-7</v>
      </c>
      <c r="O42" s="74">
        <f>($C$7*$D$14*$D$8*$E42/$D42^2*N42*10^6)</f>
        <v>4.99043999008838E-2</v>
      </c>
      <c r="P42" s="74">
        <f>IF($F42=0,0,1+($F42-$E$21)/$E$22)+$G42/$E$23+$H42/$E$24+$I42/$E$25</f>
        <v>5.7674418604651159</v>
      </c>
      <c r="Q42" s="75">
        <f t="shared" si="2"/>
        <v>1.7082763938087111E-6</v>
      </c>
      <c r="R42" s="74">
        <f>($C$7*$E$14*$E$8*$E42/$D42^2*Q42*10^6)</f>
        <v>0.37961697640193576</v>
      </c>
      <c r="S42" s="74">
        <f>IF($F42=0,0,1+($F42-$F$21)/$F$22)+$G42/$F$23+$H42/$F$24+$I42/$F$25</f>
        <v>9.1481481481481488</v>
      </c>
      <c r="T42" s="75">
        <f t="shared" si="3"/>
        <v>7.1097094323124171E-10</v>
      </c>
      <c r="U42" s="74">
        <f>($C$7*$F$14*$F$8*$E42/$D42^2*T42*10^6)</f>
        <v>1.5799354294027593E-4</v>
      </c>
      <c r="V42" s="74">
        <f>IF($F42=0,0,1+($F42-$G$21)/$G$22)+$G42/$G$23+$H42/$G$24+$I42/$G$25</f>
        <v>6.9444444444444446</v>
      </c>
      <c r="W42" s="75">
        <f t="shared" si="4"/>
        <v>1.136463666385722E-7</v>
      </c>
      <c r="X42" s="76">
        <f>($C$7*$G$14*$G$8*$E42/$D42^2*W42*10^6)</f>
        <v>2.5254748141904933E-2</v>
      </c>
      <c r="Y42" s="324">
        <f t="shared" si="5"/>
        <v>0.46273676628592059</v>
      </c>
      <c r="Z42" s="325"/>
      <c r="AA42" s="326"/>
      <c r="AG42" s="328"/>
      <c r="AI42" s="328"/>
      <c r="AJ42" s="328"/>
      <c r="AK42" s="328"/>
      <c r="AL42" s="328"/>
      <c r="AP42" s="222"/>
      <c r="AQ42" s="211"/>
      <c r="AR42" s="222"/>
      <c r="AS42" s="222"/>
      <c r="AT42" s="225"/>
      <c r="AU42" s="225"/>
      <c r="AV42" s="225"/>
      <c r="AW42" s="225"/>
      <c r="AX42" s="225"/>
      <c r="AY42" s="300"/>
      <c r="AZ42" s="300"/>
    </row>
    <row r="43" spans="1:52" s="212" customFormat="1" ht="30" customHeight="1" thickBot="1" x14ac:dyDescent="0.3">
      <c r="A43" s="329" t="str">
        <f>Samenvatting!A25</f>
        <v>B2</v>
      </c>
      <c r="B43" s="656" t="str">
        <f>Samenvatting!B25</f>
        <v>bedieningsruimte Linac 2</v>
      </c>
      <c r="C43" s="331" t="s">
        <v>568</v>
      </c>
      <c r="D43" s="1836">
        <v>5</v>
      </c>
      <c r="E43" s="89"/>
      <c r="F43" s="1834">
        <v>250</v>
      </c>
      <c r="G43" s="1834">
        <v>0</v>
      </c>
      <c r="H43" s="1834">
        <v>0</v>
      </c>
      <c r="I43" s="1835">
        <v>0</v>
      </c>
      <c r="J43" s="74">
        <f>$F43/$C$27+$G43/$C$28+$H43/$C$29+$I43/$C$30</f>
        <v>7.3529411764705879</v>
      </c>
      <c r="K43" s="75">
        <f t="shared" si="0"/>
        <v>4.4366873309786093E-8</v>
      </c>
      <c r="L43" s="74">
        <f>($C$7*$C$15*$C$8*($C$9+$C$10*$C$11)/$D43^2*K43*10^6)</f>
        <v>1.0648049594348663E-3</v>
      </c>
      <c r="M43" s="74">
        <f>$F43/$D$27+$G43/$D$28+$H43/$D$29+$I43/$D$30</f>
        <v>6.5789473684210522</v>
      </c>
      <c r="N43" s="75">
        <f t="shared" si="1"/>
        <v>2.636650898730358E-7</v>
      </c>
      <c r="O43" s="74">
        <f>($C$7*$C$15*$D$8*($D$9+$D$10*$D$11)/$D43^2*N43*10^6)</f>
        <v>6.3279621569528599E-3</v>
      </c>
      <c r="P43" s="74">
        <f>$F43/$E$27+$G43/$E$28+$H43/$E$29+$I43/$E$30</f>
        <v>5.6818181818181817</v>
      </c>
      <c r="Q43" s="75">
        <f t="shared" si="2"/>
        <v>2.0805675382171676E-6</v>
      </c>
      <c r="R43" s="74">
        <f>($C$7*$C$15*$E$8*($E$9+$E$10*$E$11)/$D43^2*Q43*10^6)</f>
        <v>4.9933620917212027E-2</v>
      </c>
      <c r="S43" s="74">
        <f>$F43/$F$27+$G43/$F$28+$H43/$F$29+$I43/$F$30</f>
        <v>8.1967213114754092</v>
      </c>
      <c r="T43" s="75">
        <f t="shared" si="3"/>
        <v>6.3573875711648393E-9</v>
      </c>
      <c r="U43" s="74">
        <f>($C$7*$C$15*$F$8*($F$9+$F$10*$F$11)/$D43^2*T43*10^6)</f>
        <v>1.5257730170795616E-4</v>
      </c>
      <c r="V43" s="74">
        <f>$F43/$G$27+$G43/$G$28+$H43/$G$29+$I43/$G$30</f>
        <v>7.0224719101123592</v>
      </c>
      <c r="W43" s="75">
        <f t="shared" si="4"/>
        <v>9.4957241494880226E-8</v>
      </c>
      <c r="X43" s="76">
        <f>($C$7*$C$15*$G$8*($G$9+$G$10*$G$11)/$D43^2*W43*10^6)</f>
        <v>2.278973795877126E-3</v>
      </c>
      <c r="Y43" s="339">
        <f t="shared" si="5"/>
        <v>5.9757939131184837E-2</v>
      </c>
      <c r="Z43" s="333">
        <f>SUM(Y41:Y44)</f>
        <v>0.52249470541710541</v>
      </c>
      <c r="AA43" s="334">
        <f>Z43*52/10^3</f>
        <v>2.7169724681689482E-2</v>
      </c>
      <c r="AG43" s="328"/>
      <c r="AH43" s="328"/>
      <c r="AI43" s="328"/>
      <c r="AJ43" s="328"/>
      <c r="AK43" s="328"/>
      <c r="AL43" s="328"/>
      <c r="AP43" s="222"/>
      <c r="AQ43" s="211"/>
      <c r="AR43" s="222"/>
      <c r="AS43" s="222"/>
      <c r="AT43" s="225"/>
      <c r="AU43" s="225"/>
      <c r="AV43" s="225"/>
      <c r="AW43" s="225"/>
      <c r="AX43" s="225"/>
      <c r="AY43" s="300"/>
      <c r="AZ43" s="300"/>
    </row>
    <row r="44" spans="1:52" s="212" customFormat="1" ht="30" hidden="1" customHeight="1" thickBot="1" x14ac:dyDescent="0.3">
      <c r="A44" s="312"/>
      <c r="B44" s="312"/>
      <c r="C44" s="341"/>
      <c r="D44" s="1841"/>
      <c r="E44" s="1842"/>
      <c r="F44" s="1842"/>
      <c r="G44" s="1842"/>
      <c r="H44" s="1842"/>
      <c r="I44" s="1842"/>
      <c r="J44" s="74"/>
      <c r="K44" s="75"/>
      <c r="L44" s="74"/>
      <c r="M44" s="74"/>
      <c r="N44" s="75"/>
      <c r="O44" s="74"/>
      <c r="P44" s="74"/>
      <c r="Q44" s="75"/>
      <c r="R44" s="74"/>
      <c r="S44" s="74"/>
      <c r="T44" s="75"/>
      <c r="U44" s="74"/>
      <c r="V44" s="74"/>
      <c r="W44" s="75"/>
      <c r="X44" s="76"/>
      <c r="Y44" s="316"/>
      <c r="Z44" s="344"/>
      <c r="AA44" s="345"/>
      <c r="AG44" s="328"/>
      <c r="AH44" s="328"/>
      <c r="AI44" s="328"/>
      <c r="AJ44" s="328"/>
      <c r="AK44" s="328"/>
      <c r="AL44" s="328"/>
      <c r="AP44" s="222"/>
      <c r="AQ44" s="211"/>
      <c r="AR44" s="222"/>
      <c r="AS44" s="222"/>
      <c r="AT44" s="225"/>
      <c r="AU44" s="225"/>
      <c r="AV44" s="225"/>
      <c r="AW44" s="225"/>
      <c r="AX44" s="225"/>
      <c r="AY44" s="300"/>
      <c r="AZ44" s="300"/>
    </row>
    <row r="45" spans="1:52" s="212" customFormat="1" ht="30" customHeight="1" x14ac:dyDescent="0.25">
      <c r="A45" s="322"/>
      <c r="B45" s="322"/>
      <c r="C45" s="323" t="s">
        <v>569</v>
      </c>
      <c r="D45" s="1840">
        <v>6</v>
      </c>
      <c r="E45" s="1840">
        <v>1</v>
      </c>
      <c r="F45" s="1834">
        <v>250</v>
      </c>
      <c r="G45" s="1834">
        <v>0</v>
      </c>
      <c r="H45" s="1834">
        <v>0</v>
      </c>
      <c r="I45" s="1835">
        <v>0</v>
      </c>
      <c r="J45" s="74">
        <f>IF($F45=0,0,1+($F45-$C$21)/$C$22)+$G45/$C$23+$H45/$C$24+$I45/$C$25</f>
        <v>7.4545454545454541</v>
      </c>
      <c r="K45" s="75">
        <f t="shared" si="0"/>
        <v>3.5111917342151263E-8</v>
      </c>
      <c r="L45" s="74">
        <f>($C$7*$C$14*$C$8*$E45/$D45^2*K45*10^6)</f>
        <v>7.8026482982558355E-3</v>
      </c>
      <c r="M45" s="74">
        <f>IF($F45=0,0,1+($F45-$D$21)/$D$22)+$G45/$D$23+$H45/$D$24+$I45/$D$25</f>
        <v>6.6486486486486482</v>
      </c>
      <c r="N45" s="75">
        <f t="shared" si="1"/>
        <v>2.2456979955397711E-7</v>
      </c>
      <c r="O45" s="74">
        <f>($C$7*$E$14*$D$8*$E45/$D45^2*N45*10^6)</f>
        <v>4.99043999008838E-2</v>
      </c>
      <c r="P45" s="74">
        <f>IF($F45=0,0,1+($F45-$E$21)/$E$22)+$G45/$E$23+$H45/$E$24+$I45/$E$25</f>
        <v>5.7674418604651159</v>
      </c>
      <c r="Q45" s="75">
        <f t="shared" si="2"/>
        <v>1.7082763938087111E-6</v>
      </c>
      <c r="R45" s="74">
        <f>($C$7*$E$14*$E$8*$E45/$D45^2*Q45*10^6)</f>
        <v>0.37961697640193576</v>
      </c>
      <c r="S45" s="74">
        <f>IF($F45=0,0,1+($F45-$F$21)/$F$22)+$G45/$F$23+$H45/$F$24+$I45/$F$25</f>
        <v>9.1481481481481488</v>
      </c>
      <c r="T45" s="75">
        <f t="shared" si="3"/>
        <v>7.1097094323124171E-10</v>
      </c>
      <c r="U45" s="74">
        <f>($C$7*$F$14*$F$8*$E45/$D45^2*T45*10^6)</f>
        <v>1.5799354294027593E-4</v>
      </c>
      <c r="V45" s="74">
        <f>IF($F45=0,0,1+($F45-$G$21)/$G$22)+$G45/$G$23+$H45/$G$24+$I45/$G$25</f>
        <v>6.9444444444444446</v>
      </c>
      <c r="W45" s="75">
        <f t="shared" si="4"/>
        <v>1.136463666385722E-7</v>
      </c>
      <c r="X45" s="76">
        <f>($C$7*$G$14*$G$8*$E45/$D45^2*W45*10^6)</f>
        <v>2.5254748141904933E-2</v>
      </c>
      <c r="Y45" s="324">
        <f t="shared" si="5"/>
        <v>0.46273676628592059</v>
      </c>
      <c r="Z45" s="325"/>
      <c r="AA45" s="326"/>
      <c r="AG45" s="328"/>
      <c r="AI45" s="328"/>
      <c r="AJ45" s="328"/>
      <c r="AK45" s="328"/>
      <c r="AL45" s="328"/>
      <c r="AP45" s="222"/>
      <c r="AQ45" s="211"/>
      <c r="AR45" s="222"/>
      <c r="AS45" s="222"/>
      <c r="AT45" s="225"/>
      <c r="AU45" s="225"/>
      <c r="AV45" s="225"/>
      <c r="AW45" s="225"/>
      <c r="AX45" s="225"/>
      <c r="AY45" s="300"/>
      <c r="AZ45" s="300"/>
    </row>
    <row r="46" spans="1:52" s="212" customFormat="1" ht="30" customHeight="1" thickBot="1" x14ac:dyDescent="0.3">
      <c r="A46" s="657" t="str">
        <f>Samenvatting!A37</f>
        <v>B3</v>
      </c>
      <c r="B46" s="656" t="str">
        <f>Samenvatting!B37</f>
        <v>bedieningsruimte Linac 3</v>
      </c>
      <c r="C46" s="331" t="s">
        <v>568</v>
      </c>
      <c r="D46" s="1836">
        <v>5</v>
      </c>
      <c r="E46" s="89"/>
      <c r="F46" s="1834">
        <v>250</v>
      </c>
      <c r="G46" s="1834">
        <v>0</v>
      </c>
      <c r="H46" s="1834">
        <v>0</v>
      </c>
      <c r="I46" s="1835">
        <v>0</v>
      </c>
      <c r="J46" s="74">
        <f>$F46/$C$27+$G46/$C$28+$H46/$C$29+$I46/$C$30</f>
        <v>7.3529411764705879</v>
      </c>
      <c r="K46" s="75">
        <f t="shared" si="0"/>
        <v>4.4366873309786093E-8</v>
      </c>
      <c r="L46" s="74">
        <f>($C$7*$C$15*$C$8*($C$9+$C$10*$C$11)/$D46^2*K46*10^6)</f>
        <v>1.0648049594348663E-3</v>
      </c>
      <c r="M46" s="74">
        <f>$F46/$D$27+$G46/$D$28+$H46/$D$29+$I46/$D$30</f>
        <v>6.5789473684210522</v>
      </c>
      <c r="N46" s="75">
        <f t="shared" si="1"/>
        <v>2.636650898730358E-7</v>
      </c>
      <c r="O46" s="74">
        <f>($C$7*$C$15*$D$8*($D$9+$D$10*$D$11)/$D46^2*N46*10^6)</f>
        <v>6.3279621569528599E-3</v>
      </c>
      <c r="P46" s="74">
        <f>$F46/$E$27+$G46/$E$28+$H46/$E$29+$I46/$E$30</f>
        <v>5.6818181818181817</v>
      </c>
      <c r="Q46" s="75">
        <f t="shared" si="2"/>
        <v>2.0805675382171676E-6</v>
      </c>
      <c r="R46" s="74">
        <f>($C$7*$C$15*$E$8*($E$9+$E$10*$E$11)/$D46^2*Q46*10^6)</f>
        <v>4.9933620917212027E-2</v>
      </c>
      <c r="S46" s="74">
        <f>$F46/$F$27+$G46/$F$28+$H46/$F$29+$I46/$F$30</f>
        <v>8.1967213114754092</v>
      </c>
      <c r="T46" s="75">
        <f t="shared" si="3"/>
        <v>6.3573875711648393E-9</v>
      </c>
      <c r="U46" s="74">
        <f>($C$7*$C$15*$F$8*($F$9+$F$10*$F$11)/$D46^2*T46*10^6)</f>
        <v>1.5257730170795616E-4</v>
      </c>
      <c r="V46" s="74">
        <f>$F46/$G$27+$G46/$G$28+$H46/$G$29+$I46/$G$30</f>
        <v>7.0224719101123592</v>
      </c>
      <c r="W46" s="75">
        <f t="shared" si="4"/>
        <v>9.4957241494880226E-8</v>
      </c>
      <c r="X46" s="76">
        <f>($C$7*$C$15*$G$8*($G$9+$G$10*$G$11)/$D46^2*W46*10^6)</f>
        <v>2.278973795877126E-3</v>
      </c>
      <c r="Y46" s="339">
        <f t="shared" si="5"/>
        <v>5.9757939131184837E-2</v>
      </c>
      <c r="Z46" s="333">
        <f>SUM(Y44:Y47)</f>
        <v>0.52249470541710541</v>
      </c>
      <c r="AA46" s="334">
        <f>Z46*52/10^3</f>
        <v>2.7169724681689482E-2</v>
      </c>
      <c r="AG46" s="328"/>
      <c r="AH46" s="328"/>
      <c r="AI46" s="328"/>
      <c r="AJ46" s="328"/>
      <c r="AK46" s="328"/>
      <c r="AL46" s="328"/>
      <c r="AP46" s="222"/>
      <c r="AQ46" s="211"/>
      <c r="AR46" s="222"/>
      <c r="AS46" s="222"/>
      <c r="AT46" s="225"/>
      <c r="AU46" s="225"/>
      <c r="AV46" s="225"/>
      <c r="AW46" s="225"/>
      <c r="AX46" s="225"/>
      <c r="AY46" s="300"/>
      <c r="AZ46" s="300"/>
    </row>
    <row r="47" spans="1:52" s="212" customFormat="1" ht="30" hidden="1" customHeight="1" thickBot="1" x14ac:dyDescent="0.3">
      <c r="A47" s="312"/>
      <c r="B47" s="312"/>
      <c r="C47" s="318"/>
      <c r="D47" s="1838"/>
      <c r="E47" s="1839"/>
      <c r="F47" s="1839"/>
      <c r="G47" s="1839"/>
      <c r="H47" s="1839"/>
      <c r="I47" s="1839"/>
      <c r="J47" s="74"/>
      <c r="K47" s="75"/>
      <c r="L47" s="74"/>
      <c r="M47" s="74"/>
      <c r="N47" s="75"/>
      <c r="O47" s="74"/>
      <c r="P47" s="74"/>
      <c r="Q47" s="75"/>
      <c r="R47" s="74"/>
      <c r="S47" s="74"/>
      <c r="T47" s="75"/>
      <c r="U47" s="74"/>
      <c r="V47" s="74"/>
      <c r="W47" s="75"/>
      <c r="X47" s="76"/>
      <c r="Y47" s="335"/>
      <c r="Z47" s="344"/>
      <c r="AA47" s="345"/>
      <c r="AG47" s="328"/>
      <c r="AH47" s="328"/>
      <c r="AI47" s="328"/>
      <c r="AJ47" s="328"/>
      <c r="AK47" s="328"/>
      <c r="AL47" s="328"/>
      <c r="AP47" s="222"/>
      <c r="AQ47" s="211"/>
      <c r="AR47" s="222"/>
      <c r="AS47" s="222"/>
      <c r="AT47" s="225"/>
      <c r="AU47" s="225"/>
      <c r="AV47" s="225"/>
      <c r="AW47" s="225"/>
      <c r="AX47" s="225"/>
      <c r="AY47" s="300"/>
      <c r="AZ47" s="300"/>
    </row>
    <row r="48" spans="1:52" s="212" customFormat="1" ht="30" customHeight="1" x14ac:dyDescent="0.25">
      <c r="A48" s="322"/>
      <c r="B48" s="322"/>
      <c r="C48" s="323" t="s">
        <v>569</v>
      </c>
      <c r="D48" s="1840">
        <v>6</v>
      </c>
      <c r="E48" s="1840">
        <v>1</v>
      </c>
      <c r="F48" s="1834">
        <v>250</v>
      </c>
      <c r="G48" s="1834">
        <v>0</v>
      </c>
      <c r="H48" s="1834">
        <v>0</v>
      </c>
      <c r="I48" s="1835">
        <v>0</v>
      </c>
      <c r="J48" s="74">
        <f>IF($F48=0,0,1+($F48-$C$21)/$C$22)+$G48/$C$23+$H48/$C$24+$I48/$C$25</f>
        <v>7.4545454545454541</v>
      </c>
      <c r="K48" s="75">
        <f t="shared" si="0"/>
        <v>3.5111917342151263E-8</v>
      </c>
      <c r="L48" s="74">
        <f>($C$7*$C$14*$C$8*$E48/$D48^2*K48*10^6)</f>
        <v>7.8026482982558355E-3</v>
      </c>
      <c r="M48" s="74">
        <f>IF($F48=0,0,1+($F48-$D$21)/$D$22)+$G48/$D$23+$H48/$D$24+$I48/$D$25</f>
        <v>6.6486486486486482</v>
      </c>
      <c r="N48" s="75">
        <f t="shared" si="1"/>
        <v>2.2456979955397711E-7</v>
      </c>
      <c r="O48" s="74">
        <f>($C$7*$D$14*$D$8*$E48/$D48^2*N48*10^6)</f>
        <v>4.99043999008838E-2</v>
      </c>
      <c r="P48" s="74">
        <f>IF($F48=0,0,1+($F48-$E$21)/$E$22)+$G48/$E$23+$H48/$E$24+$I48/$E$25</f>
        <v>5.7674418604651159</v>
      </c>
      <c r="Q48" s="75">
        <f t="shared" si="2"/>
        <v>1.7082763938087111E-6</v>
      </c>
      <c r="R48" s="74">
        <f>($C$7*$E$14*$E$8*$E48/$D48^2*Q48*10^6)</f>
        <v>0.37961697640193576</v>
      </c>
      <c r="S48" s="74">
        <f>IF($F48=0,0,1+($F48-$F$21)/$F$22)+$G48/$F$23+$H48/$F$24+$I48/$F$25</f>
        <v>9.1481481481481488</v>
      </c>
      <c r="T48" s="75">
        <f t="shared" si="3"/>
        <v>7.1097094323124171E-10</v>
      </c>
      <c r="U48" s="74">
        <f>($C$7*$F$14*$F$8*$E48/$D48^2*T48*10^6)</f>
        <v>1.5799354294027593E-4</v>
      </c>
      <c r="V48" s="74">
        <f>IF($F48=0,0,1+($F48-$G$21)/$G$22)+$G48/$G$23+$H48/$G$24+$I48/$G$25</f>
        <v>6.9444444444444446</v>
      </c>
      <c r="W48" s="75">
        <f t="shared" si="4"/>
        <v>1.136463666385722E-7</v>
      </c>
      <c r="X48" s="76">
        <f>($C$7*$G$14*$G$8*$E48/$D48^2*W48*10^6)</f>
        <v>2.5254748141904933E-2</v>
      </c>
      <c r="Y48" s="324">
        <f t="shared" si="5"/>
        <v>0.46273676628592059</v>
      </c>
      <c r="Z48" s="325"/>
      <c r="AA48" s="326"/>
      <c r="AG48" s="328"/>
      <c r="AI48" s="328"/>
      <c r="AJ48" s="328"/>
      <c r="AK48" s="328"/>
      <c r="AL48" s="328"/>
      <c r="AP48" s="222"/>
      <c r="AQ48" s="211"/>
      <c r="AR48" s="222"/>
      <c r="AS48" s="222"/>
      <c r="AT48" s="225"/>
      <c r="AU48" s="225"/>
      <c r="AV48" s="225"/>
      <c r="AW48" s="225"/>
      <c r="AX48" s="225"/>
      <c r="AY48" s="300"/>
      <c r="AZ48" s="300"/>
    </row>
    <row r="49" spans="1:52" s="212" customFormat="1" ht="30" customHeight="1" thickBot="1" x14ac:dyDescent="0.3">
      <c r="A49" s="657" t="str">
        <f>Samenvatting!A49</f>
        <v>B4</v>
      </c>
      <c r="B49" s="656" t="str">
        <f>Samenvatting!B49</f>
        <v>bedieningsruimte Linac 4</v>
      </c>
      <c r="C49" s="331" t="s">
        <v>568</v>
      </c>
      <c r="D49" s="1836">
        <v>5</v>
      </c>
      <c r="E49" s="89"/>
      <c r="F49" s="1834">
        <v>250</v>
      </c>
      <c r="G49" s="1834">
        <v>0</v>
      </c>
      <c r="H49" s="1834">
        <v>0</v>
      </c>
      <c r="I49" s="1835">
        <v>0</v>
      </c>
      <c r="J49" s="74">
        <f>$F49/$C$27+$G49/$C$28+$H49/$C$29+$I49/$C$30</f>
        <v>7.3529411764705879</v>
      </c>
      <c r="K49" s="75">
        <f t="shared" si="0"/>
        <v>4.4366873309786093E-8</v>
      </c>
      <c r="L49" s="74">
        <f>($C$7*$C$15*$C$8*($C$9+$C$10*$C$11)/$D49^2*K49*10^6)</f>
        <v>1.0648049594348663E-3</v>
      </c>
      <c r="M49" s="74">
        <f>$F49/$D$27+$G49/$D$28+$H49/$D$29+$I49/$D$30</f>
        <v>6.5789473684210522</v>
      </c>
      <c r="N49" s="75">
        <f t="shared" si="1"/>
        <v>2.636650898730358E-7</v>
      </c>
      <c r="O49" s="74">
        <f>($C$7*$C$15*$D$8*($D$9+$D$10*$D$11)/$D49^2*N49*10^6)</f>
        <v>6.3279621569528599E-3</v>
      </c>
      <c r="P49" s="74">
        <f>$F49/$E$27+$G49/$E$28+$H49/$E$29+$I49/$E$30</f>
        <v>5.6818181818181817</v>
      </c>
      <c r="Q49" s="75">
        <f t="shared" si="2"/>
        <v>2.0805675382171676E-6</v>
      </c>
      <c r="R49" s="74">
        <f>($C$7*$C$15*$E$8*($E$9+$E$10*$E$11)/$D49^2*Q49*10^6)</f>
        <v>4.9933620917212027E-2</v>
      </c>
      <c r="S49" s="74">
        <f>$F49/$F$27+$G49/$F$28+$H49/$F$29+$I49/$F$30</f>
        <v>8.1967213114754092</v>
      </c>
      <c r="T49" s="75">
        <f t="shared" si="3"/>
        <v>6.3573875711648393E-9</v>
      </c>
      <c r="U49" s="74">
        <f>($C$7*$C$15*$F$8*($F$9+$F$10*$F$11)/$D49^2*T49*10^6)</f>
        <v>1.5257730170795616E-4</v>
      </c>
      <c r="V49" s="74">
        <f>$F49/$G$27+$G49/$G$28+$H49/$G$29+$I49/$G$30</f>
        <v>7.0224719101123592</v>
      </c>
      <c r="W49" s="75">
        <f t="shared" si="4"/>
        <v>9.4957241494880226E-8</v>
      </c>
      <c r="X49" s="76">
        <f>($C$7*$C$15*$G$8*($G$9+$G$10*$G$11)/$D49^2*W49*10^6)</f>
        <v>2.278973795877126E-3</v>
      </c>
      <c r="Y49" s="339">
        <f t="shared" si="5"/>
        <v>5.9757939131184837E-2</v>
      </c>
      <c r="Z49" s="333">
        <f>SUM(Y47:Y50)</f>
        <v>0.52249470541710541</v>
      </c>
      <c r="AA49" s="334">
        <f>Z49*52/10^3</f>
        <v>2.7169724681689482E-2</v>
      </c>
      <c r="AG49" s="328"/>
      <c r="AH49" s="328"/>
      <c r="AI49" s="328"/>
      <c r="AJ49" s="328"/>
      <c r="AK49" s="328"/>
      <c r="AL49" s="328"/>
      <c r="AP49" s="222"/>
      <c r="AQ49" s="211"/>
      <c r="AR49" s="222"/>
      <c r="AS49" s="222"/>
      <c r="AT49" s="225"/>
      <c r="AU49" s="225"/>
      <c r="AV49" s="225"/>
      <c r="AW49" s="225"/>
      <c r="AX49" s="225"/>
      <c r="AY49" s="300"/>
      <c r="AZ49" s="300"/>
    </row>
    <row r="50" spans="1:52" s="212" customFormat="1" ht="30" hidden="1" customHeight="1" thickBot="1" x14ac:dyDescent="0.3">
      <c r="A50" s="312"/>
      <c r="B50" s="312"/>
      <c r="C50" s="318"/>
      <c r="D50" s="1838"/>
      <c r="E50" s="1839"/>
      <c r="F50" s="1839"/>
      <c r="G50" s="1839"/>
      <c r="H50" s="1839"/>
      <c r="I50" s="1839"/>
      <c r="J50" s="74"/>
      <c r="K50" s="75"/>
      <c r="L50" s="74"/>
      <c r="M50" s="74"/>
      <c r="N50" s="75"/>
      <c r="O50" s="74"/>
      <c r="P50" s="74"/>
      <c r="Q50" s="75"/>
      <c r="R50" s="74"/>
      <c r="S50" s="74"/>
      <c r="T50" s="75"/>
      <c r="U50" s="74"/>
      <c r="V50" s="74"/>
      <c r="W50" s="75"/>
      <c r="X50" s="76"/>
      <c r="Y50" s="316"/>
      <c r="Z50" s="344"/>
      <c r="AA50" s="345"/>
      <c r="AG50" s="328"/>
      <c r="AH50" s="328"/>
      <c r="AI50" s="328"/>
      <c r="AJ50" s="328"/>
      <c r="AK50" s="328"/>
      <c r="AL50" s="328"/>
      <c r="AP50" s="222"/>
      <c r="AQ50" s="211"/>
      <c r="AR50" s="222"/>
      <c r="AS50" s="222"/>
      <c r="AT50" s="225"/>
      <c r="AU50" s="225"/>
      <c r="AV50" s="225"/>
      <c r="AW50" s="225"/>
      <c r="AX50" s="225"/>
      <c r="AY50" s="300"/>
      <c r="AZ50" s="300"/>
    </row>
    <row r="51" spans="1:52" s="212" customFormat="1" ht="30" customHeight="1" x14ac:dyDescent="0.25">
      <c r="A51" s="322"/>
      <c r="B51" s="322"/>
      <c r="C51" s="323" t="s">
        <v>569</v>
      </c>
      <c r="D51" s="1840">
        <v>6</v>
      </c>
      <c r="E51" s="1840">
        <v>1</v>
      </c>
      <c r="F51" s="1834">
        <v>250</v>
      </c>
      <c r="G51" s="1834">
        <v>0</v>
      </c>
      <c r="H51" s="1834">
        <v>0</v>
      </c>
      <c r="I51" s="1835">
        <v>0</v>
      </c>
      <c r="J51" s="74">
        <f>IF($F51=0,0,1+($F51-$C$21)/$C$22)+$G51/$C$23+$H51/$C$24+$I51/$C$25</f>
        <v>7.4545454545454541</v>
      </c>
      <c r="K51" s="75">
        <f t="shared" si="0"/>
        <v>3.5111917342151263E-8</v>
      </c>
      <c r="L51" s="74">
        <f>($C$7*$C$14*$C$8*$E51/$D51^2*K51*10^6)</f>
        <v>7.8026482982558355E-3</v>
      </c>
      <c r="M51" s="74">
        <f>IF($F51=0,0,1+($F51-$D$21)/$D$22)+$G51/$D$23+$H51/$D$24+$I51/$D$25</f>
        <v>6.6486486486486482</v>
      </c>
      <c r="N51" s="75">
        <f t="shared" si="1"/>
        <v>2.2456979955397711E-7</v>
      </c>
      <c r="O51" s="74">
        <f>($C$7*$D$14*$D$8*$E51/$D51^2*N51*10^6)</f>
        <v>4.99043999008838E-2</v>
      </c>
      <c r="P51" s="74">
        <f>IF($F51=0,0,1+($F51-$E$21)/$E$22)+$G51/$E$23+$H51/$E$24+$I51/$E$25</f>
        <v>5.7674418604651159</v>
      </c>
      <c r="Q51" s="75">
        <f t="shared" si="2"/>
        <v>1.7082763938087111E-6</v>
      </c>
      <c r="R51" s="74">
        <f>($C$7*$E$14*$E$8*$E51/$D51^2*Q51*10^6)</f>
        <v>0.37961697640193576</v>
      </c>
      <c r="S51" s="74">
        <f>IF($F51=0,0,1+($F51-$F$21)/$F$22)+$G51/$F$23+$H51/$F$24+$I51/$F$25</f>
        <v>9.1481481481481488</v>
      </c>
      <c r="T51" s="75">
        <f t="shared" si="3"/>
        <v>7.1097094323124171E-10</v>
      </c>
      <c r="U51" s="74">
        <f>($C$7*$F$14*$F$8*$E51/$D51^2*T51*10^6)</f>
        <v>1.5799354294027593E-4</v>
      </c>
      <c r="V51" s="74">
        <f>IF($F51=0,0,1+($F51-$G$21)/$G$22)+$G51/$G$23+$H51/$G$24+$I51/$G$25</f>
        <v>6.9444444444444446</v>
      </c>
      <c r="W51" s="75">
        <f t="shared" si="4"/>
        <v>1.136463666385722E-7</v>
      </c>
      <c r="X51" s="76">
        <f>($C$7*$G$14*$G$8*$E51/$D51^2*W51*10^6)</f>
        <v>2.5254748141904933E-2</v>
      </c>
      <c r="Y51" s="324">
        <f>SUM(L51,O51,R51,U51,X51)</f>
        <v>0.46273676628592059</v>
      </c>
      <c r="Z51" s="325"/>
      <c r="AA51" s="326"/>
      <c r="AG51" s="328"/>
      <c r="AI51" s="328"/>
      <c r="AJ51" s="328"/>
      <c r="AK51" s="328"/>
      <c r="AL51" s="328"/>
      <c r="AP51" s="222"/>
      <c r="AQ51" s="211"/>
      <c r="AR51" s="222"/>
      <c r="AS51" s="222"/>
      <c r="AT51" s="225"/>
      <c r="AU51" s="225"/>
      <c r="AV51" s="225"/>
      <c r="AW51" s="225"/>
      <c r="AX51" s="225"/>
      <c r="AY51" s="300"/>
      <c r="AZ51" s="300"/>
    </row>
    <row r="52" spans="1:52" s="212" customFormat="1" ht="30" customHeight="1" thickBot="1" x14ac:dyDescent="0.3">
      <c r="A52" s="657" t="str">
        <f>Samenvatting!A61</f>
        <v>B5</v>
      </c>
      <c r="B52" s="658" t="str">
        <f>Samenvatting!B61</f>
        <v>bedieningsruimte Linac 5</v>
      </c>
      <c r="C52" s="331" t="s">
        <v>568</v>
      </c>
      <c r="D52" s="1843">
        <v>5</v>
      </c>
      <c r="E52" s="347"/>
      <c r="F52" s="1834">
        <v>250</v>
      </c>
      <c r="G52" s="1834">
        <v>0</v>
      </c>
      <c r="H52" s="1834">
        <v>0</v>
      </c>
      <c r="I52" s="1835">
        <v>0</v>
      </c>
      <c r="J52" s="74">
        <f>$F52/$C$27+$G52/$C$28+$H52/$C$29+$I52/$C$30</f>
        <v>7.3529411764705879</v>
      </c>
      <c r="K52" s="75">
        <f t="shared" si="0"/>
        <v>4.4366873309786093E-8</v>
      </c>
      <c r="L52" s="74">
        <f>($C$7*$C$15*$C$8*($C$9+$C$10*$C$11)/$D52^2*K52*10^6)</f>
        <v>1.0648049594348663E-3</v>
      </c>
      <c r="M52" s="74">
        <f>$F52/$D$27+$G52/$D$28+$H52/$D$29+$I52/$D$30</f>
        <v>6.5789473684210522</v>
      </c>
      <c r="N52" s="75">
        <f t="shared" si="1"/>
        <v>2.636650898730358E-7</v>
      </c>
      <c r="O52" s="74">
        <f>($C$7*$C$15*$D$8*($D$9+$D$10*$D$11)/$D52^2*N52*10^6)</f>
        <v>6.3279621569528599E-3</v>
      </c>
      <c r="P52" s="74">
        <f>$F52/$E$27+$G52/$E$28+$H52/$E$29+$I52/$E$30</f>
        <v>5.6818181818181817</v>
      </c>
      <c r="Q52" s="75">
        <f t="shared" si="2"/>
        <v>2.0805675382171676E-6</v>
      </c>
      <c r="R52" s="74">
        <f>($C$7*$C$15*$E$8*($E$9+$E$10*$E$11)/$D52^2*Q52*10^6)</f>
        <v>4.9933620917212027E-2</v>
      </c>
      <c r="S52" s="74">
        <f>$F52/$F$27+$G52/$F$28+$H52/$F$29+$I52/$F$30</f>
        <v>8.1967213114754092</v>
      </c>
      <c r="T52" s="75">
        <f t="shared" si="3"/>
        <v>6.3573875711648393E-9</v>
      </c>
      <c r="U52" s="74">
        <f>($C$7*$C$15*$F$8*($F$9+$F$10*$F$11)/$D52^2*T52*10^6)</f>
        <v>1.5257730170795616E-4</v>
      </c>
      <c r="V52" s="74">
        <f>$F52/$G$27+$G52/$G$28+$H52/$G$29+$I52/$G$30</f>
        <v>7.0224719101123592</v>
      </c>
      <c r="W52" s="75">
        <f t="shared" si="4"/>
        <v>9.4957241494880226E-8</v>
      </c>
      <c r="X52" s="76">
        <f>($C$7*$C$15*$G$8*($G$9+$G$10*$G$11)/$D52^2*W52*10^6)</f>
        <v>2.278973795877126E-3</v>
      </c>
      <c r="Y52" s="339">
        <f>SUM(L52,O52,R52,U52,X52)</f>
        <v>5.9757939131184837E-2</v>
      </c>
      <c r="Z52" s="333">
        <f>SUM(Y50:Y53)</f>
        <v>0.52249470541710541</v>
      </c>
      <c r="AA52" s="334">
        <f>Z52*52/10^3</f>
        <v>2.7169724681689482E-2</v>
      </c>
      <c r="AG52" s="328"/>
      <c r="AH52" s="328"/>
      <c r="AI52" s="328"/>
      <c r="AJ52" s="328"/>
      <c r="AK52" s="328"/>
      <c r="AL52" s="328"/>
      <c r="AP52" s="222"/>
      <c r="AQ52" s="211"/>
      <c r="AR52" s="222"/>
      <c r="AS52" s="222"/>
      <c r="AT52" s="225"/>
      <c r="AU52" s="225"/>
      <c r="AV52" s="225"/>
      <c r="AW52" s="225"/>
      <c r="AX52" s="225"/>
      <c r="AY52" s="300"/>
      <c r="AZ52" s="300"/>
    </row>
    <row r="53" spans="1:52" s="212" customFormat="1" ht="30" hidden="1" customHeight="1" thickBot="1" x14ac:dyDescent="0.3">
      <c r="A53" s="312"/>
      <c r="B53" s="312"/>
      <c r="C53" s="318"/>
      <c r="D53" s="1838"/>
      <c r="E53" s="1839"/>
      <c r="F53" s="1839"/>
      <c r="G53" s="1839"/>
      <c r="H53" s="1839"/>
      <c r="I53" s="1839"/>
      <c r="J53" s="74"/>
      <c r="K53" s="75"/>
      <c r="L53" s="74"/>
      <c r="M53" s="74"/>
      <c r="N53" s="75"/>
      <c r="O53" s="74"/>
      <c r="P53" s="74"/>
      <c r="Q53" s="75"/>
      <c r="R53" s="74"/>
      <c r="S53" s="74"/>
      <c r="T53" s="75"/>
      <c r="U53" s="74"/>
      <c r="V53" s="74"/>
      <c r="W53" s="75"/>
      <c r="X53" s="76"/>
      <c r="Y53" s="316"/>
      <c r="Z53" s="344"/>
      <c r="AA53" s="345"/>
      <c r="AG53" s="328"/>
      <c r="AH53" s="328"/>
      <c r="AI53" s="328"/>
      <c r="AJ53" s="328"/>
      <c r="AK53" s="328"/>
      <c r="AL53" s="328"/>
      <c r="AP53" s="222"/>
      <c r="AQ53" s="211"/>
      <c r="AR53" s="222"/>
      <c r="AS53" s="222"/>
      <c r="AT53" s="225"/>
      <c r="AU53" s="225"/>
      <c r="AV53" s="225"/>
      <c r="AW53" s="225"/>
      <c r="AX53" s="225"/>
      <c r="AY53" s="300"/>
      <c r="AZ53" s="300"/>
    </row>
    <row r="54" spans="1:52" s="212" customFormat="1" ht="30" customHeight="1" x14ac:dyDescent="0.25">
      <c r="A54" s="322"/>
      <c r="B54" s="322"/>
      <c r="C54" s="323" t="s">
        <v>569</v>
      </c>
      <c r="D54" s="1840">
        <v>6</v>
      </c>
      <c r="E54" s="1840">
        <v>1</v>
      </c>
      <c r="F54" s="1834">
        <v>250</v>
      </c>
      <c r="G54" s="1834">
        <v>0</v>
      </c>
      <c r="H54" s="1834">
        <v>0</v>
      </c>
      <c r="I54" s="1835">
        <v>0</v>
      </c>
      <c r="J54" s="74">
        <f>IF($F54=0,0,1+($F54-$C$21)/$C$22)+$G54/$C$23+$H54/$C$24+$I54/$C$25</f>
        <v>7.4545454545454541</v>
      </c>
      <c r="K54" s="75">
        <f t="shared" si="0"/>
        <v>3.5111917342151263E-8</v>
      </c>
      <c r="L54" s="74">
        <f>($C$7*$C$14*$C$8*$E54/$D54^2*K54*10^6)</f>
        <v>7.8026482982558355E-3</v>
      </c>
      <c r="M54" s="74">
        <f>IF($F54=0,0,1+($F54-$D$21)/$D$22)+$G54/$D$23+$H54/$D$24+$I54/$D$25</f>
        <v>6.6486486486486482</v>
      </c>
      <c r="N54" s="75">
        <f t="shared" si="1"/>
        <v>2.2456979955397711E-7</v>
      </c>
      <c r="O54" s="74">
        <f>($C$7*$D$14*$D$8*$E54/$D54^2*N54*10^6)</f>
        <v>4.99043999008838E-2</v>
      </c>
      <c r="P54" s="74">
        <f>IF($F54=0,0,1+($F54-$E$21)/$E$22)+$G54/$E$23+$H54/$E$24+$I54/$E$25</f>
        <v>5.7674418604651159</v>
      </c>
      <c r="Q54" s="75">
        <f t="shared" si="2"/>
        <v>1.7082763938087111E-6</v>
      </c>
      <c r="R54" s="74">
        <f>($C$7*$E$14*$E$8*$E54/$D54^2*Q54*10^6)</f>
        <v>0.37961697640193576</v>
      </c>
      <c r="S54" s="74">
        <f>IF($F54=0,0,1+($F54-$F$21)/$F$22)+$G54/$F$23+$H54/$F$24+$I54/$F$25</f>
        <v>9.1481481481481488</v>
      </c>
      <c r="T54" s="75">
        <f t="shared" si="3"/>
        <v>7.1097094323124171E-10</v>
      </c>
      <c r="U54" s="74">
        <f>($C$7*$F$14*$F$8*$E54/$D54^2*T54*10^6)</f>
        <v>1.5799354294027593E-4</v>
      </c>
      <c r="V54" s="74">
        <f>IF($F54=0,0,1+($F54-$G$21)/$G$22)+$G54/$G$23+$H54/$G$24+$I54/$G$25</f>
        <v>6.9444444444444446</v>
      </c>
      <c r="W54" s="75">
        <f t="shared" si="4"/>
        <v>1.136463666385722E-7</v>
      </c>
      <c r="X54" s="76">
        <f>($C$7*$G$14*$G$8*$E54/$D54^2*W54*10^6)</f>
        <v>2.5254748141904933E-2</v>
      </c>
      <c r="Y54" s="324">
        <f>SUM(L54,O54,R54,U54,X54)</f>
        <v>0.46273676628592059</v>
      </c>
      <c r="Z54" s="325"/>
      <c r="AA54" s="326"/>
      <c r="AG54" s="328"/>
      <c r="AI54" s="328"/>
      <c r="AJ54" s="328"/>
      <c r="AK54" s="328"/>
      <c r="AL54" s="328"/>
      <c r="AP54" s="222"/>
      <c r="AQ54" s="211"/>
      <c r="AR54" s="222"/>
      <c r="AS54" s="222"/>
      <c r="AT54" s="225"/>
      <c r="AU54" s="225"/>
      <c r="AV54" s="225"/>
      <c r="AW54" s="225"/>
      <c r="AX54" s="225"/>
      <c r="AY54" s="300"/>
      <c r="AZ54" s="300"/>
    </row>
    <row r="55" spans="1:52" s="212" customFormat="1" ht="30" customHeight="1" thickBot="1" x14ac:dyDescent="0.3">
      <c r="A55" s="657" t="str">
        <f>Samenvatting!A73</f>
        <v>B6</v>
      </c>
      <c r="B55" s="656" t="str">
        <f>Samenvatting!B73</f>
        <v>bedieningsruimte Linac 6</v>
      </c>
      <c r="C55" s="331" t="s">
        <v>568</v>
      </c>
      <c r="D55" s="1836">
        <v>5</v>
      </c>
      <c r="E55" s="89"/>
      <c r="F55" s="1834">
        <v>250</v>
      </c>
      <c r="G55" s="1834">
        <v>0</v>
      </c>
      <c r="H55" s="1834">
        <v>0</v>
      </c>
      <c r="I55" s="1835">
        <v>0</v>
      </c>
      <c r="J55" s="74">
        <f>$F55/$C$27+$G55/$C$28+$H55/$C$29+$I55/$C$30</f>
        <v>7.3529411764705879</v>
      </c>
      <c r="K55" s="75">
        <f t="shared" si="0"/>
        <v>4.4366873309786093E-8</v>
      </c>
      <c r="L55" s="74">
        <f>($C$7*$C$15*$C$8*($C$9+$C$10*$C$11)/$D55^2*K55*10^6)</f>
        <v>1.0648049594348663E-3</v>
      </c>
      <c r="M55" s="74">
        <f>$F55/$D$27+$G55/$D$28+$H55/$D$29+$I55/$D$30</f>
        <v>6.5789473684210522</v>
      </c>
      <c r="N55" s="75">
        <f t="shared" si="1"/>
        <v>2.636650898730358E-7</v>
      </c>
      <c r="O55" s="74">
        <f>($C$7*$C$15*$D$8*($D$9+$D$10*$D$11)/$D55^2*N55*10^6)</f>
        <v>6.3279621569528599E-3</v>
      </c>
      <c r="P55" s="74">
        <f>$F55/$E$27+$G55/$E$28+$H55/$E$29+$I55/$E$30</f>
        <v>5.6818181818181817</v>
      </c>
      <c r="Q55" s="75">
        <f t="shared" si="2"/>
        <v>2.0805675382171676E-6</v>
      </c>
      <c r="R55" s="74">
        <f>($C$7*$C$15*$E$8*($E$9+$E$10*$E$11)/$D55^2*Q55*10^6)</f>
        <v>4.9933620917212027E-2</v>
      </c>
      <c r="S55" s="74">
        <f>$F55/$F$27+$G55/$F$28+$H55/$F$29+$I55/$F$30</f>
        <v>8.1967213114754092</v>
      </c>
      <c r="T55" s="75">
        <f t="shared" si="3"/>
        <v>6.3573875711648393E-9</v>
      </c>
      <c r="U55" s="74">
        <f>($C$7*$C$15*$F$8*($F$9+$F$10*$F$11)/$D55^2*T55*10^6)</f>
        <v>1.5257730170795616E-4</v>
      </c>
      <c r="V55" s="74">
        <f>$F55/$G$27+$G55/$G$28+$H55/$G$29+$I55/$G$30</f>
        <v>7.0224719101123592</v>
      </c>
      <c r="W55" s="75">
        <f t="shared" si="4"/>
        <v>9.4957241494880226E-8</v>
      </c>
      <c r="X55" s="76">
        <f>($C$7*$C$15*$G$8*($G$9+$G$10*$G$11)/$D55^2*W55*10^6)</f>
        <v>2.278973795877126E-3</v>
      </c>
      <c r="Y55" s="339">
        <f>SUM(L55,O55,R55,U55,X55)</f>
        <v>5.9757939131184837E-2</v>
      </c>
      <c r="Z55" s="333">
        <f>SUM(Y53:Y56)</f>
        <v>0.52249470541710541</v>
      </c>
      <c r="AA55" s="334">
        <f>Z55*52/10^3</f>
        <v>2.7169724681689482E-2</v>
      </c>
      <c r="AG55" s="328"/>
      <c r="AH55" s="328"/>
      <c r="AI55" s="328"/>
      <c r="AJ55" s="328"/>
      <c r="AK55" s="328"/>
      <c r="AL55" s="328"/>
      <c r="AP55" s="222"/>
      <c r="AQ55" s="211"/>
      <c r="AR55" s="222"/>
      <c r="AS55" s="222"/>
      <c r="AT55" s="225"/>
      <c r="AU55" s="225"/>
      <c r="AV55" s="225"/>
      <c r="AW55" s="225"/>
      <c r="AX55" s="225"/>
      <c r="AY55" s="300"/>
      <c r="AZ55" s="300"/>
    </row>
    <row r="56" spans="1:52" s="212" customFormat="1" ht="30" hidden="1" customHeight="1" thickBot="1" x14ac:dyDescent="0.3">
      <c r="A56" s="312"/>
      <c r="B56" s="312"/>
      <c r="C56" s="318"/>
      <c r="D56" s="1838"/>
      <c r="E56" s="1839"/>
      <c r="F56" s="1839"/>
      <c r="G56" s="1839"/>
      <c r="H56" s="1839"/>
      <c r="I56" s="1839"/>
      <c r="J56" s="74"/>
      <c r="K56" s="75"/>
      <c r="L56" s="74"/>
      <c r="M56" s="74"/>
      <c r="N56" s="75"/>
      <c r="O56" s="74"/>
      <c r="P56" s="74"/>
      <c r="Q56" s="75"/>
      <c r="R56" s="74"/>
      <c r="S56" s="74"/>
      <c r="T56" s="75"/>
      <c r="U56" s="74"/>
      <c r="V56" s="74"/>
      <c r="W56" s="75"/>
      <c r="X56" s="76"/>
      <c r="Y56" s="316"/>
      <c r="Z56" s="344"/>
      <c r="AA56" s="345"/>
      <c r="AG56" s="328"/>
      <c r="AH56" s="328"/>
      <c r="AI56" s="328"/>
      <c r="AJ56" s="328"/>
      <c r="AK56" s="328"/>
      <c r="AL56" s="328"/>
      <c r="AP56" s="222"/>
      <c r="AQ56" s="211"/>
      <c r="AR56" s="222"/>
      <c r="AS56" s="222"/>
      <c r="AT56" s="225"/>
      <c r="AU56" s="225"/>
      <c r="AV56" s="225"/>
      <c r="AW56" s="225"/>
      <c r="AX56" s="225"/>
      <c r="AY56" s="300"/>
      <c r="AZ56" s="300"/>
    </row>
    <row r="57" spans="1:52" s="212" customFormat="1" ht="30" customHeight="1" x14ac:dyDescent="0.25">
      <c r="A57" s="322"/>
      <c r="B57" s="322"/>
      <c r="C57" s="323" t="s">
        <v>569</v>
      </c>
      <c r="D57" s="1840">
        <v>6</v>
      </c>
      <c r="E57" s="1840">
        <v>1</v>
      </c>
      <c r="F57" s="1834">
        <v>250</v>
      </c>
      <c r="G57" s="1834">
        <v>0</v>
      </c>
      <c r="H57" s="1834">
        <v>0</v>
      </c>
      <c r="I57" s="1835">
        <v>0</v>
      </c>
      <c r="J57" s="74">
        <f>IF($F57=0,0,1+($F57-$C$21)/$C$22)+$G57/$C$23+$H57/$C$24+$I57/$C$25</f>
        <v>7.4545454545454541</v>
      </c>
      <c r="K57" s="75">
        <f t="shared" si="0"/>
        <v>3.5111917342151263E-8</v>
      </c>
      <c r="L57" s="74">
        <f>($C$7*$C$14*$C$8*$E57/$D57^2*K57*10^6)</f>
        <v>7.8026482982558355E-3</v>
      </c>
      <c r="M57" s="74">
        <f>IF($F57=0,0,1+($F57-$D$21)/$D$22)+$G57/$D$23+$H57/$D$24+$I57/$D$25</f>
        <v>6.6486486486486482</v>
      </c>
      <c r="N57" s="75">
        <f t="shared" si="1"/>
        <v>2.2456979955397711E-7</v>
      </c>
      <c r="O57" s="74">
        <f>($C$7*$D$14*$D$8*$E57/$D57^2*N57*10^6)</f>
        <v>4.99043999008838E-2</v>
      </c>
      <c r="P57" s="74">
        <f>IF($F57=0,0,1+($F57-$E$21)/$E$22)+$G57/$E$23+$H57/$E$24+$I57/$E$25</f>
        <v>5.7674418604651159</v>
      </c>
      <c r="Q57" s="75">
        <f t="shared" si="2"/>
        <v>1.7082763938087111E-6</v>
      </c>
      <c r="R57" s="74">
        <f>($C$7*$E$14*$E$8*$E57/$D57^2*Q57*10^6)</f>
        <v>0.37961697640193576</v>
      </c>
      <c r="S57" s="74">
        <f>IF($F57=0,0,1+($F57-$F$21)/$F$22)+$G57/$F$23+$H57/$F$24+$I57/$F$25</f>
        <v>9.1481481481481488</v>
      </c>
      <c r="T57" s="75">
        <f t="shared" si="3"/>
        <v>7.1097094323124171E-10</v>
      </c>
      <c r="U57" s="74">
        <f>($C$7*$F$14*$F$8*$E57/$D57^2*T57*10^6)</f>
        <v>1.5799354294027593E-4</v>
      </c>
      <c r="V57" s="74">
        <f>IF($F57=0,0,1+($F57-$G$21)/$G$22)+$G57/$G$23+$H57/$G$24+$I57/$G$25</f>
        <v>6.9444444444444446</v>
      </c>
      <c r="W57" s="75">
        <f t="shared" si="4"/>
        <v>1.136463666385722E-7</v>
      </c>
      <c r="X57" s="76">
        <f>($C$7*$G$14*$G$8*$E57/$D57^2*W57*10^6)</f>
        <v>2.5254748141904933E-2</v>
      </c>
      <c r="Y57" s="324">
        <f>SUM(L57,O57,R57,U57,X57)</f>
        <v>0.46273676628592059</v>
      </c>
      <c r="Z57" s="325"/>
      <c r="AA57" s="326"/>
      <c r="AG57" s="328"/>
      <c r="AI57" s="328"/>
      <c r="AJ57" s="328"/>
      <c r="AK57" s="328"/>
      <c r="AL57" s="328"/>
      <c r="AP57" s="222"/>
      <c r="AQ57" s="211"/>
      <c r="AR57" s="222"/>
      <c r="AS57" s="222"/>
      <c r="AT57" s="225"/>
      <c r="AU57" s="225"/>
      <c r="AV57" s="225"/>
      <c r="AW57" s="225"/>
      <c r="AX57" s="225"/>
      <c r="AY57" s="300"/>
      <c r="AZ57" s="300"/>
    </row>
    <row r="58" spans="1:52" s="212" customFormat="1" ht="30" customHeight="1" thickBot="1" x14ac:dyDescent="0.3">
      <c r="A58" s="657" t="str">
        <f>Samenvatting!A85</f>
        <v>B7</v>
      </c>
      <c r="B58" s="656" t="str">
        <f>Samenvatting!B85</f>
        <v>bedieningsruimte Linac 7</v>
      </c>
      <c r="C58" s="331" t="s">
        <v>568</v>
      </c>
      <c r="D58" s="1836">
        <v>5</v>
      </c>
      <c r="E58" s="89"/>
      <c r="F58" s="1834">
        <v>250</v>
      </c>
      <c r="G58" s="1834">
        <v>0</v>
      </c>
      <c r="H58" s="1834">
        <v>0</v>
      </c>
      <c r="I58" s="1835">
        <v>0</v>
      </c>
      <c r="J58" s="74">
        <f>$F58/$C$27+$G58/$C$28+$H58/$C$29+$I58/$C$30</f>
        <v>7.3529411764705879</v>
      </c>
      <c r="K58" s="75">
        <f t="shared" si="0"/>
        <v>4.4366873309786093E-8</v>
      </c>
      <c r="L58" s="74">
        <f>($C$7*$C$15*$C$8*($C$9+$C$10*$C$11)/$D58^2*K58*10^6)</f>
        <v>1.0648049594348663E-3</v>
      </c>
      <c r="M58" s="74">
        <f>$F58/$D$27+$G58/$D$28+$H58/$D$29+$I58/$D$30</f>
        <v>6.5789473684210522</v>
      </c>
      <c r="N58" s="75">
        <f t="shared" si="1"/>
        <v>2.636650898730358E-7</v>
      </c>
      <c r="O58" s="74">
        <f>($C$7*$C$15*$D$8*($D$9+$D$10*$D$11)/$D58^2*N58*10^6)</f>
        <v>6.3279621569528599E-3</v>
      </c>
      <c r="P58" s="74">
        <f>$F58/$E$27+$G58/$E$28+$H58/$E$29+$I58/$E$30</f>
        <v>5.6818181818181817</v>
      </c>
      <c r="Q58" s="75">
        <f t="shared" si="2"/>
        <v>2.0805675382171676E-6</v>
      </c>
      <c r="R58" s="74">
        <f>($C$7*$C$15*$E$8*($E$9+$E$10*$E$11)/$D58^2*Q58*10^6)</f>
        <v>4.9933620917212027E-2</v>
      </c>
      <c r="S58" s="74">
        <f>$F58/$F$27+$G58/$F$28+$H58/$F$29+$I58/$F$30</f>
        <v>8.1967213114754092</v>
      </c>
      <c r="T58" s="75">
        <f t="shared" si="3"/>
        <v>6.3573875711648393E-9</v>
      </c>
      <c r="U58" s="74">
        <f>($C$7*$C$15*$F$8*($F$9+$F$10*$F$11)/$D58^2*T58*10^6)</f>
        <v>1.5257730170795616E-4</v>
      </c>
      <c r="V58" s="74">
        <f>$F58/$G$27+$G58/$G$28+$H58/$G$29+$I58/$G$30</f>
        <v>7.0224719101123592</v>
      </c>
      <c r="W58" s="75">
        <f t="shared" si="4"/>
        <v>9.4957241494880226E-8</v>
      </c>
      <c r="X58" s="76">
        <f>($C$7*$C$15*$G$8*($G$9+$G$10*$G$11)/$D58^2*W58*10^6)</f>
        <v>2.278973795877126E-3</v>
      </c>
      <c r="Y58" s="339">
        <f>SUM(L58,O58,R58,U58,X58)</f>
        <v>5.9757939131184837E-2</v>
      </c>
      <c r="Z58" s="333">
        <f>SUM(Y56:Y59)</f>
        <v>0.52249470541710541</v>
      </c>
      <c r="AA58" s="334">
        <f>Z58*52/10^3</f>
        <v>2.7169724681689482E-2</v>
      </c>
      <c r="AG58" s="328"/>
      <c r="AH58" s="328"/>
      <c r="AI58" s="328"/>
      <c r="AJ58" s="328"/>
      <c r="AK58" s="328"/>
      <c r="AL58" s="328"/>
      <c r="AP58" s="222"/>
      <c r="AQ58" s="211"/>
      <c r="AR58" s="222"/>
      <c r="AS58" s="222"/>
      <c r="AT58" s="225"/>
      <c r="AU58" s="225"/>
      <c r="AV58" s="225"/>
      <c r="AW58" s="225"/>
      <c r="AX58" s="225"/>
      <c r="AY58" s="300"/>
      <c r="AZ58" s="300"/>
    </row>
    <row r="59" spans="1:52" s="212" customFormat="1" ht="30" hidden="1" customHeight="1" thickBot="1" x14ac:dyDescent="0.3">
      <c r="A59" s="312"/>
      <c r="B59" s="312"/>
      <c r="C59" s="318"/>
      <c r="D59" s="1838"/>
      <c r="E59" s="1839"/>
      <c r="F59" s="1839"/>
      <c r="G59" s="1839"/>
      <c r="H59" s="1839"/>
      <c r="I59" s="1839"/>
      <c r="J59" s="74"/>
      <c r="K59" s="75"/>
      <c r="L59" s="74"/>
      <c r="M59" s="74"/>
      <c r="N59" s="75"/>
      <c r="O59" s="74"/>
      <c r="P59" s="74"/>
      <c r="Q59" s="75"/>
      <c r="R59" s="74"/>
      <c r="S59" s="74"/>
      <c r="T59" s="75"/>
      <c r="U59" s="74"/>
      <c r="V59" s="74"/>
      <c r="W59" s="75"/>
      <c r="X59" s="76"/>
      <c r="Y59" s="316"/>
      <c r="Z59" s="344"/>
      <c r="AA59" s="345"/>
      <c r="AG59" s="328"/>
      <c r="AH59" s="328"/>
      <c r="AI59" s="328"/>
      <c r="AJ59" s="328"/>
      <c r="AK59" s="328"/>
      <c r="AL59" s="328"/>
      <c r="AP59" s="222"/>
      <c r="AQ59" s="211"/>
      <c r="AR59" s="222"/>
      <c r="AS59" s="222"/>
      <c r="AT59" s="225"/>
      <c r="AU59" s="225"/>
      <c r="AV59" s="225"/>
      <c r="AW59" s="225"/>
      <c r="AX59" s="225"/>
      <c r="AY59" s="300"/>
      <c r="AZ59" s="300"/>
    </row>
    <row r="60" spans="1:52" s="212" customFormat="1" ht="30" customHeight="1" x14ac:dyDescent="0.25">
      <c r="A60" s="322"/>
      <c r="B60" s="322"/>
      <c r="C60" s="323" t="s">
        <v>569</v>
      </c>
      <c r="D60" s="1840">
        <v>6</v>
      </c>
      <c r="E60" s="1840">
        <v>1</v>
      </c>
      <c r="F60" s="1834">
        <v>250</v>
      </c>
      <c r="G60" s="1834">
        <v>0</v>
      </c>
      <c r="H60" s="1834">
        <v>0</v>
      </c>
      <c r="I60" s="1835">
        <v>0</v>
      </c>
      <c r="J60" s="74">
        <f>IF($F60=0,0,1+($F60-$C$21)/$C$22)+$G60/$C$23+$H60/$C$24+$I60/$C$25</f>
        <v>7.4545454545454541</v>
      </c>
      <c r="K60" s="75">
        <f t="shared" si="0"/>
        <v>3.5111917342151263E-8</v>
      </c>
      <c r="L60" s="74">
        <f>($C$7*$C$14*$C$8*$E60/$D60^2*K60*10^6)</f>
        <v>7.8026482982558355E-3</v>
      </c>
      <c r="M60" s="74">
        <f>IF($F60=0,0,1+($F60-$D$21)/$D$22)+$G60/$D$23+$H60/$D$24+$I60/$D$25</f>
        <v>6.6486486486486482</v>
      </c>
      <c r="N60" s="75">
        <f t="shared" si="1"/>
        <v>2.2456979955397711E-7</v>
      </c>
      <c r="O60" s="74">
        <f>($C$7*$D$14*$D$8*$E60/$D60^2*N60*10^6)</f>
        <v>4.99043999008838E-2</v>
      </c>
      <c r="P60" s="74">
        <f>IF($F60=0,0,1+($F60-$E$21)/$E$22)+$G60/$E$23+$H60/$E$24+$I60/$E$25</f>
        <v>5.7674418604651159</v>
      </c>
      <c r="Q60" s="75">
        <f t="shared" si="2"/>
        <v>1.7082763938087111E-6</v>
      </c>
      <c r="R60" s="74">
        <f>($C$7*$E$14*$E$8*$E60/$D60^2*Q60*10^6)</f>
        <v>0.37961697640193576</v>
      </c>
      <c r="S60" s="74">
        <f>IF($F60=0,0,1+($F60-$F$21)/$F$22)+$G60/$F$23+$H60/$F$24+$I60/$F$25</f>
        <v>9.1481481481481488</v>
      </c>
      <c r="T60" s="75">
        <f t="shared" si="3"/>
        <v>7.1097094323124171E-10</v>
      </c>
      <c r="U60" s="74">
        <f>($C$7*$F$14*$F$8*$E60/$D60^2*T60*10^6)</f>
        <v>1.5799354294027593E-4</v>
      </c>
      <c r="V60" s="74">
        <f>IF($F60=0,0,1+($F60-$G$21)/$G$22)+$G60/$G$23+$H60/$G$24+$I60/$G$25</f>
        <v>6.9444444444444446</v>
      </c>
      <c r="W60" s="75">
        <f t="shared" si="4"/>
        <v>1.136463666385722E-7</v>
      </c>
      <c r="X60" s="76">
        <f>($C$7*$G$14*$G$8*$E60/$D60^2*W60*10^6)</f>
        <v>2.5254748141904933E-2</v>
      </c>
      <c r="Y60" s="324">
        <f>SUM(L60,O60,R60,U60,X60)</f>
        <v>0.46273676628592059</v>
      </c>
      <c r="Z60" s="325"/>
      <c r="AA60" s="326"/>
      <c r="AG60" s="328"/>
      <c r="AI60" s="328"/>
      <c r="AJ60" s="328"/>
      <c r="AK60" s="328"/>
      <c r="AL60" s="328"/>
      <c r="AP60" s="222"/>
      <c r="AQ60" s="211"/>
      <c r="AR60" s="222"/>
      <c r="AS60" s="222"/>
      <c r="AT60" s="225"/>
      <c r="AU60" s="225"/>
      <c r="AV60" s="225"/>
      <c r="AW60" s="225"/>
      <c r="AX60" s="225"/>
      <c r="AY60" s="300"/>
      <c r="AZ60" s="300"/>
    </row>
    <row r="61" spans="1:52" s="212" customFormat="1" ht="30" customHeight="1" thickBot="1" x14ac:dyDescent="0.3">
      <c r="A61" s="657" t="str">
        <f>Samenvatting!A97</f>
        <v>B8</v>
      </c>
      <c r="B61" s="656" t="str">
        <f>Samenvatting!B97</f>
        <v>bedieningsruimte Linac 8</v>
      </c>
      <c r="C61" s="331" t="s">
        <v>568</v>
      </c>
      <c r="D61" s="1836">
        <v>5</v>
      </c>
      <c r="E61" s="89"/>
      <c r="F61" s="1834">
        <v>250</v>
      </c>
      <c r="G61" s="1834">
        <v>0</v>
      </c>
      <c r="H61" s="1834">
        <v>0</v>
      </c>
      <c r="I61" s="1835">
        <v>0</v>
      </c>
      <c r="J61" s="74">
        <f>$F61/$C$27+$G61/$C$28+$H61/$C$29+$I61/$C$30</f>
        <v>7.3529411764705879</v>
      </c>
      <c r="K61" s="75">
        <f t="shared" si="0"/>
        <v>4.4366873309786093E-8</v>
      </c>
      <c r="L61" s="74">
        <f>($C$7*$C$15*$C$8*($C$9+$C$10*$C$11)/$D61^2*K61*10^6)</f>
        <v>1.0648049594348663E-3</v>
      </c>
      <c r="M61" s="74">
        <f>$F61/$D$27+$G61/$D$28+$H61/$D$29+$I61/$D$30</f>
        <v>6.5789473684210522</v>
      </c>
      <c r="N61" s="75">
        <f t="shared" si="1"/>
        <v>2.636650898730358E-7</v>
      </c>
      <c r="O61" s="74">
        <f>($C$7*$C$15*$D$8*($D$9+$D$10*$D$11)/$D61^2*N61*10^6)</f>
        <v>6.3279621569528599E-3</v>
      </c>
      <c r="P61" s="74">
        <f>$F61/$E$27+$G61/$E$28+$H61/$E$29+$I61/$E$30</f>
        <v>5.6818181818181817</v>
      </c>
      <c r="Q61" s="75">
        <f t="shared" si="2"/>
        <v>2.0805675382171676E-6</v>
      </c>
      <c r="R61" s="74">
        <f>($C$7*$C$15*$E$8*($E$9+$E$10*$E$11)/$D61^2*Q61*10^6)</f>
        <v>4.9933620917212027E-2</v>
      </c>
      <c r="S61" s="74">
        <f>$F61/$F$27+$G61/$F$28+$H61/$F$29+$I61/$F$30</f>
        <v>8.1967213114754092</v>
      </c>
      <c r="T61" s="75">
        <f t="shared" si="3"/>
        <v>6.3573875711648393E-9</v>
      </c>
      <c r="U61" s="74">
        <f>($C$7*$C$15*$F$8*($F$9+$F$10*$F$11)/$D61^2*T61*10^6)</f>
        <v>1.5257730170795616E-4</v>
      </c>
      <c r="V61" s="74">
        <f>$F61/$G$27+$G61/$G$28+$H61/$G$29+$I61/$G$30</f>
        <v>7.0224719101123592</v>
      </c>
      <c r="W61" s="75">
        <f t="shared" si="4"/>
        <v>9.4957241494880226E-8</v>
      </c>
      <c r="X61" s="76">
        <f>($C$7*$C$15*$G$8*($G$9+$G$10*$G$11)/$D61^2*W61*10^6)</f>
        <v>2.278973795877126E-3</v>
      </c>
      <c r="Y61" s="339">
        <f>SUM(L61,O61,R61,U61,X61)</f>
        <v>5.9757939131184837E-2</v>
      </c>
      <c r="Z61" s="333">
        <f>SUM(Y59:Y62)</f>
        <v>0.52249470541710541</v>
      </c>
      <c r="AA61" s="334">
        <f>Z61*52/10^3</f>
        <v>2.7169724681689482E-2</v>
      </c>
      <c r="AG61" s="328"/>
      <c r="AH61" s="328"/>
      <c r="AI61" s="328"/>
      <c r="AJ61" s="328"/>
      <c r="AK61" s="328"/>
      <c r="AL61" s="328"/>
      <c r="AP61" s="222"/>
      <c r="AQ61" s="211"/>
      <c r="AR61" s="222"/>
      <c r="AS61" s="222"/>
      <c r="AT61" s="225"/>
      <c r="AU61" s="225"/>
      <c r="AV61" s="225"/>
      <c r="AW61" s="225"/>
      <c r="AX61" s="225"/>
      <c r="AY61" s="300"/>
      <c r="AZ61" s="300"/>
    </row>
    <row r="62" spans="1:52" s="212" customFormat="1" ht="30" hidden="1" customHeight="1" thickBot="1" x14ac:dyDescent="0.3">
      <c r="A62" s="312"/>
      <c r="B62" s="312"/>
      <c r="C62" s="318"/>
      <c r="D62" s="1838"/>
      <c r="E62" s="1839"/>
      <c r="F62" s="1839"/>
      <c r="G62" s="1839"/>
      <c r="H62" s="1839"/>
      <c r="I62" s="1839"/>
      <c r="J62" s="74"/>
      <c r="K62" s="75"/>
      <c r="L62" s="74"/>
      <c r="M62" s="74"/>
      <c r="N62" s="75"/>
      <c r="O62" s="74"/>
      <c r="P62" s="74"/>
      <c r="Q62" s="75"/>
      <c r="R62" s="74"/>
      <c r="S62" s="74"/>
      <c r="T62" s="75"/>
      <c r="U62" s="74"/>
      <c r="V62" s="74"/>
      <c r="W62" s="75"/>
      <c r="X62" s="76"/>
      <c r="Y62" s="316"/>
      <c r="Z62" s="344"/>
      <c r="AA62" s="345"/>
      <c r="AG62" s="328"/>
      <c r="AH62" s="328"/>
      <c r="AI62" s="328"/>
      <c r="AJ62" s="328"/>
      <c r="AK62" s="328"/>
      <c r="AL62" s="328"/>
      <c r="AP62" s="222"/>
      <c r="AQ62" s="211"/>
      <c r="AR62" s="222"/>
      <c r="AS62" s="222"/>
      <c r="AT62" s="225"/>
      <c r="AU62" s="225"/>
      <c r="AV62" s="225"/>
      <c r="AW62" s="225"/>
      <c r="AX62" s="225"/>
      <c r="AY62" s="300"/>
      <c r="AZ62" s="300"/>
    </row>
    <row r="63" spans="1:52" s="212" customFormat="1" ht="30" customHeight="1" x14ac:dyDescent="0.25">
      <c r="A63" s="322"/>
      <c r="B63" s="322"/>
      <c r="C63" s="323" t="s">
        <v>569</v>
      </c>
      <c r="D63" s="1840">
        <v>6</v>
      </c>
      <c r="E63" s="1840">
        <v>1</v>
      </c>
      <c r="F63" s="1834">
        <v>250</v>
      </c>
      <c r="G63" s="1834">
        <v>0</v>
      </c>
      <c r="H63" s="1834">
        <v>0</v>
      </c>
      <c r="I63" s="1835">
        <v>0</v>
      </c>
      <c r="J63" s="74">
        <f>IF($F63=0,0,1+($F63-$C$21)/$C$22)+$G63/$C$23+$H63/$C$24+$I63/$C$25</f>
        <v>7.4545454545454541</v>
      </c>
      <c r="K63" s="75">
        <f t="shared" si="0"/>
        <v>3.5111917342151263E-8</v>
      </c>
      <c r="L63" s="74">
        <f>($C$7*$C$14*$C$8*$E63/$D63^2*K63*10^6)</f>
        <v>7.8026482982558355E-3</v>
      </c>
      <c r="M63" s="74">
        <f>IF($F63=0,0,1+($F63-$D$21)/$D$22)+$G63/$D$23+$H63/$D$24+$I63/$D$25</f>
        <v>6.6486486486486482</v>
      </c>
      <c r="N63" s="75">
        <f t="shared" si="1"/>
        <v>2.2456979955397711E-7</v>
      </c>
      <c r="O63" s="74">
        <f>($C$7*$D$14*$D$8*$E63/$D63^2*N63*10^6)</f>
        <v>4.99043999008838E-2</v>
      </c>
      <c r="P63" s="74">
        <f>IF($F63=0,0,1+($F63-$E$21)/$E$22)+$G63/$E$23+$H63/$E$24+$I63/$E$25</f>
        <v>5.7674418604651159</v>
      </c>
      <c r="Q63" s="75">
        <f t="shared" si="2"/>
        <v>1.7082763938087111E-6</v>
      </c>
      <c r="R63" s="74">
        <f>($C$7*$E$14*$E$8*$E63/$D63^2*Q63*10^6)</f>
        <v>0.37961697640193576</v>
      </c>
      <c r="S63" s="74">
        <f>IF($F63=0,0,1+($F63-$F$21)/$F$22)+$G63/$F$23+$H63/$F$24+$I63/$F$25</f>
        <v>9.1481481481481488</v>
      </c>
      <c r="T63" s="75">
        <f t="shared" si="3"/>
        <v>7.1097094323124171E-10</v>
      </c>
      <c r="U63" s="74">
        <f>($C$7*$F$14*$F$8*$E63/$D63^2*T63*10^6)</f>
        <v>1.5799354294027593E-4</v>
      </c>
      <c r="V63" s="74">
        <f>IF($F63=0,0,1+($F63-$G$21)/$G$22)+$G63/$G$23+$H63/$G$24+$I63/$G$25</f>
        <v>6.9444444444444446</v>
      </c>
      <c r="W63" s="75">
        <f t="shared" si="4"/>
        <v>1.136463666385722E-7</v>
      </c>
      <c r="X63" s="76">
        <f>($C$7*$G$14*$G$8*$E63/$D63^2*W63*10^6)</f>
        <v>2.5254748141904933E-2</v>
      </c>
      <c r="Y63" s="324">
        <f>SUM(L63,O63,R63,U63,X63)</f>
        <v>0.46273676628592059</v>
      </c>
      <c r="Z63" s="325"/>
      <c r="AA63" s="326"/>
      <c r="AG63" s="328"/>
      <c r="AI63" s="328"/>
      <c r="AJ63" s="328"/>
      <c r="AK63" s="328"/>
      <c r="AL63" s="328"/>
      <c r="AP63" s="222"/>
      <c r="AQ63" s="211"/>
      <c r="AR63" s="222"/>
      <c r="AS63" s="222"/>
      <c r="AT63" s="225"/>
      <c r="AU63" s="225"/>
      <c r="AV63" s="225"/>
      <c r="AW63" s="225"/>
      <c r="AX63" s="225"/>
      <c r="AY63" s="300"/>
      <c r="AZ63" s="300"/>
    </row>
    <row r="64" spans="1:52" s="212" customFormat="1" ht="30" customHeight="1" thickBot="1" x14ac:dyDescent="0.3">
      <c r="A64" s="657" t="str">
        <f>Samenvatting!A109</f>
        <v>B9</v>
      </c>
      <c r="B64" s="656" t="str">
        <f>Samenvatting!B109</f>
        <v>bedieningsruimte Linac 9</v>
      </c>
      <c r="C64" s="331" t="s">
        <v>568</v>
      </c>
      <c r="D64" s="1843">
        <v>5</v>
      </c>
      <c r="E64" s="347"/>
      <c r="F64" s="1834">
        <v>250</v>
      </c>
      <c r="G64" s="1834">
        <v>0</v>
      </c>
      <c r="H64" s="1834">
        <v>0</v>
      </c>
      <c r="I64" s="1835">
        <v>0</v>
      </c>
      <c r="J64" s="74">
        <f>$F64/$C$27+$G64/$C$28+$H64/$C$29+$I64/$C$30</f>
        <v>7.3529411764705879</v>
      </c>
      <c r="K64" s="75">
        <f t="shared" si="0"/>
        <v>4.4366873309786093E-8</v>
      </c>
      <c r="L64" s="74">
        <f>($C$7*$C$15*$C$8*($C$9+$C$10*$C$11)/$D64^2*K64*10^6)</f>
        <v>1.0648049594348663E-3</v>
      </c>
      <c r="M64" s="74">
        <f>$F64/$D$27+$G64/$D$28+$H64/$D$29+$I64/$D$30</f>
        <v>6.5789473684210522</v>
      </c>
      <c r="N64" s="75">
        <f t="shared" si="1"/>
        <v>2.636650898730358E-7</v>
      </c>
      <c r="O64" s="74">
        <f>($C$7*$C$15*$D$8*($D$9+$D$10*$D$11)/$D64^2*N64*10^6)</f>
        <v>6.3279621569528599E-3</v>
      </c>
      <c r="P64" s="74">
        <f>$F64/$E$27+$G64/$E$28+$H64/$E$29+$I64/$E$30</f>
        <v>5.6818181818181817</v>
      </c>
      <c r="Q64" s="75">
        <f t="shared" si="2"/>
        <v>2.0805675382171676E-6</v>
      </c>
      <c r="R64" s="74">
        <f>($C$7*$C$15*$E$8*($E$9+$E$10*$E$11)/$D64^2*Q64*10^6)</f>
        <v>4.9933620917212027E-2</v>
      </c>
      <c r="S64" s="74">
        <f>$F64/$F$27+$G64/$F$28+$H64/$F$29+$I64/$F$30</f>
        <v>8.1967213114754092</v>
      </c>
      <c r="T64" s="75">
        <f t="shared" si="3"/>
        <v>6.3573875711648393E-9</v>
      </c>
      <c r="U64" s="74">
        <f>($C$7*$C$15*$F$8*($F$9+$F$10*$F$11)/$D64^2*T64*10^6)</f>
        <v>1.5257730170795616E-4</v>
      </c>
      <c r="V64" s="74">
        <f>$F64/$G$27+$G64/$G$28+$H64/$G$29+$I64/$G$30</f>
        <v>7.0224719101123592</v>
      </c>
      <c r="W64" s="75">
        <f t="shared" si="4"/>
        <v>9.4957241494880226E-8</v>
      </c>
      <c r="X64" s="76">
        <f>($C$7*$C$15*$G$8*($G$9+$G$10*$G$11)/$D64^2*W64*10^6)</f>
        <v>2.278973795877126E-3</v>
      </c>
      <c r="Y64" s="339">
        <f>SUM(L64,O64,R64,U64,X64)</f>
        <v>5.9757939131184837E-2</v>
      </c>
      <c r="Z64" s="333">
        <f>SUM(Y62:Y65)</f>
        <v>0.52249470541710541</v>
      </c>
      <c r="AA64" s="334">
        <f>Z64*52/10^3</f>
        <v>2.7169724681689482E-2</v>
      </c>
      <c r="AG64" s="328"/>
      <c r="AH64" s="328"/>
      <c r="AI64" s="328"/>
      <c r="AJ64" s="328"/>
      <c r="AK64" s="328"/>
      <c r="AL64" s="328"/>
      <c r="AP64" s="222"/>
      <c r="AQ64" s="211"/>
      <c r="AR64" s="222"/>
      <c r="AS64" s="222"/>
      <c r="AT64" s="225"/>
      <c r="AU64" s="225"/>
      <c r="AV64" s="225"/>
      <c r="AW64" s="225"/>
      <c r="AX64" s="225"/>
      <c r="AY64" s="300"/>
      <c r="AZ64" s="300"/>
    </row>
    <row r="65" spans="1:52" s="212" customFormat="1" ht="30" hidden="1" customHeight="1" thickBot="1" x14ac:dyDescent="0.3">
      <c r="A65" s="312"/>
      <c r="B65" s="312"/>
      <c r="C65" s="318"/>
      <c r="D65" s="1838"/>
      <c r="E65" s="1839"/>
      <c r="F65" s="1839"/>
      <c r="G65" s="1839"/>
      <c r="H65" s="1839"/>
      <c r="I65" s="1839"/>
      <c r="J65" s="74"/>
      <c r="K65" s="75"/>
      <c r="L65" s="74"/>
      <c r="M65" s="74"/>
      <c r="N65" s="75"/>
      <c r="O65" s="74"/>
      <c r="P65" s="74"/>
      <c r="Q65" s="75"/>
      <c r="R65" s="74"/>
      <c r="S65" s="74"/>
      <c r="T65" s="75"/>
      <c r="U65" s="74"/>
      <c r="V65" s="74"/>
      <c r="W65" s="75"/>
      <c r="X65" s="76"/>
      <c r="Y65" s="316"/>
      <c r="Z65" s="344"/>
      <c r="AA65" s="345"/>
      <c r="AG65" s="328"/>
      <c r="AH65" s="328"/>
      <c r="AI65" s="328"/>
      <c r="AJ65" s="328"/>
      <c r="AK65" s="328"/>
      <c r="AL65" s="328"/>
      <c r="AP65" s="222"/>
      <c r="AQ65" s="211"/>
      <c r="AR65" s="222"/>
      <c r="AS65" s="222"/>
      <c r="AT65" s="225"/>
      <c r="AU65" s="225"/>
      <c r="AV65" s="225"/>
      <c r="AW65" s="225"/>
      <c r="AX65" s="225"/>
      <c r="AY65" s="300"/>
      <c r="AZ65" s="300"/>
    </row>
    <row r="66" spans="1:52" s="212" customFormat="1" ht="30" customHeight="1" x14ac:dyDescent="0.25">
      <c r="A66" s="322"/>
      <c r="B66" s="322"/>
      <c r="C66" s="323" t="s">
        <v>569</v>
      </c>
      <c r="D66" s="1840">
        <v>6</v>
      </c>
      <c r="E66" s="1840">
        <v>1</v>
      </c>
      <c r="F66" s="1834">
        <v>250</v>
      </c>
      <c r="G66" s="1834">
        <v>0</v>
      </c>
      <c r="H66" s="1834">
        <v>0</v>
      </c>
      <c r="I66" s="1835">
        <v>0</v>
      </c>
      <c r="J66" s="74">
        <f>IF($F66=0,0,1+($F66-$C$21)/$C$22)+$G66/$C$23+$H66/$C$24+$I66/$C$25</f>
        <v>7.4545454545454541</v>
      </c>
      <c r="K66" s="75">
        <f t="shared" si="0"/>
        <v>3.5111917342151263E-8</v>
      </c>
      <c r="L66" s="74">
        <f>($C$7*$C$14*$C$8*$E66/$D66^2*K66*10^6)</f>
        <v>7.8026482982558355E-3</v>
      </c>
      <c r="M66" s="74">
        <f>IF($F66=0,0,1+($F66-$D$21)/$D$22)+$G66/$D$23+$H66/$D$24+$I66/$D$25</f>
        <v>6.6486486486486482</v>
      </c>
      <c r="N66" s="75">
        <f t="shared" si="1"/>
        <v>2.2456979955397711E-7</v>
      </c>
      <c r="O66" s="74">
        <f>($C$7*$D$14*$D$8*$E66/$D66^2*N66*10^6)</f>
        <v>4.99043999008838E-2</v>
      </c>
      <c r="P66" s="74">
        <f>IF($F66=0,0,1+($F66-$E$21)/$E$22)+$G66/$E$23+$H66/$E$24+$I66/$E$25</f>
        <v>5.7674418604651159</v>
      </c>
      <c r="Q66" s="75">
        <f t="shared" si="2"/>
        <v>1.7082763938087111E-6</v>
      </c>
      <c r="R66" s="74">
        <f>($C$7*$E$14*$E$8*$E66/$D66^2*Q66*10^6)</f>
        <v>0.37961697640193576</v>
      </c>
      <c r="S66" s="74">
        <f>IF($F66=0,0,1+($F66-$F$21)/$F$22)+$G66/$F$23+$H66/$F$24+$I66/$F$25</f>
        <v>9.1481481481481488</v>
      </c>
      <c r="T66" s="75">
        <f t="shared" si="3"/>
        <v>7.1097094323124171E-10</v>
      </c>
      <c r="U66" s="74">
        <f>($C$7*$F$14*$F$8*$E66/$D66^2*T66*10^6)</f>
        <v>1.5799354294027593E-4</v>
      </c>
      <c r="V66" s="74">
        <f>IF($F66=0,0,1+($F66-$G$21)/$G$22)+$G66/$G$23+$H66/$G$24+$I66/$G$25</f>
        <v>6.9444444444444446</v>
      </c>
      <c r="W66" s="75">
        <f t="shared" si="4"/>
        <v>1.136463666385722E-7</v>
      </c>
      <c r="X66" s="76">
        <f>($C$7*$G$14*$G$8*$E66/$D66^2*W66*10^6)</f>
        <v>2.5254748141904933E-2</v>
      </c>
      <c r="Y66" s="324">
        <f>SUM(L66,O66,R66,U66,X66)</f>
        <v>0.46273676628592059</v>
      </c>
      <c r="Z66" s="325"/>
      <c r="AA66" s="326"/>
      <c r="AG66" s="328"/>
      <c r="AI66" s="328"/>
      <c r="AJ66" s="328"/>
      <c r="AK66" s="328"/>
      <c r="AL66" s="328"/>
      <c r="AP66" s="222"/>
      <c r="AQ66" s="211"/>
      <c r="AR66" s="222"/>
      <c r="AS66" s="222"/>
      <c r="AT66" s="225"/>
      <c r="AU66" s="225"/>
      <c r="AV66" s="225"/>
      <c r="AW66" s="225"/>
      <c r="AX66" s="225"/>
      <c r="AY66" s="300"/>
      <c r="AZ66" s="300"/>
    </row>
    <row r="67" spans="1:52" s="212" customFormat="1" ht="30" customHeight="1" thickBot="1" x14ac:dyDescent="0.3">
      <c r="A67" s="337" t="str">
        <f>Samenvatting!A121</f>
        <v>B10</v>
      </c>
      <c r="B67" s="656" t="str">
        <f>Samenvatting!B121</f>
        <v>bedieningsruimte Linac 10</v>
      </c>
      <c r="C67" s="331" t="s">
        <v>568</v>
      </c>
      <c r="D67" s="1836">
        <v>5</v>
      </c>
      <c r="E67" s="89"/>
      <c r="F67" s="1834">
        <v>250</v>
      </c>
      <c r="G67" s="1834">
        <v>0</v>
      </c>
      <c r="H67" s="1834">
        <v>0</v>
      </c>
      <c r="I67" s="1835">
        <v>0</v>
      </c>
      <c r="J67" s="74">
        <f>$F67/$C$27+$G67/$C$28+$H67/$C$29+$I67/$C$30</f>
        <v>7.3529411764705879</v>
      </c>
      <c r="K67" s="75">
        <f t="shared" si="0"/>
        <v>4.4366873309786093E-8</v>
      </c>
      <c r="L67" s="74">
        <f>($C$7*$C$15*$C$8*($C$9+$C$10*$C$11)/$D67^2*K67*10^6)</f>
        <v>1.0648049594348663E-3</v>
      </c>
      <c r="M67" s="74">
        <f>$F67/$D$27+$G67/$D$28+$H67/$D$29+$I67/$D$30</f>
        <v>6.5789473684210522</v>
      </c>
      <c r="N67" s="75">
        <f t="shared" si="1"/>
        <v>2.636650898730358E-7</v>
      </c>
      <c r="O67" s="74">
        <f>($C$7*$C$15*$D$8*($D$9+$D$10*$D$11)/$D67^2*N67*10^6)</f>
        <v>6.3279621569528599E-3</v>
      </c>
      <c r="P67" s="74">
        <f>$F67/$E$27+$G67/$E$28+$H67/$E$29+$I67/$E$30</f>
        <v>5.6818181818181817</v>
      </c>
      <c r="Q67" s="75">
        <f t="shared" si="2"/>
        <v>2.0805675382171676E-6</v>
      </c>
      <c r="R67" s="74">
        <f>($C$7*$C$15*$E$8*($E$9+$E$10*$E$11)/$D67^2*Q67*10^6)</f>
        <v>4.9933620917212027E-2</v>
      </c>
      <c r="S67" s="74">
        <f>$F67/$F$27+$G67/$F$28+$H67/$F$29+$I67/$F$30</f>
        <v>8.1967213114754092</v>
      </c>
      <c r="T67" s="75">
        <f t="shared" si="3"/>
        <v>6.3573875711648393E-9</v>
      </c>
      <c r="U67" s="74">
        <f>($C$7*$C$15*$F$8*($F$9+$F$10*$F$11)/$D67^2*T67*10^6)</f>
        <v>1.5257730170795616E-4</v>
      </c>
      <c r="V67" s="74">
        <f>$F67/$G$27+$G67/$G$28+$H67/$G$29+$I67/$G$30</f>
        <v>7.0224719101123592</v>
      </c>
      <c r="W67" s="75">
        <f t="shared" si="4"/>
        <v>9.4957241494880226E-8</v>
      </c>
      <c r="X67" s="76">
        <f>($C$7*$C$15*$G$8*($G$9+$G$10*$G$11)/$D67^2*W67*10^6)</f>
        <v>2.278973795877126E-3</v>
      </c>
      <c r="Y67" s="339">
        <f>SUM(L67,O67,R67,U67,X67)</f>
        <v>5.9757939131184837E-2</v>
      </c>
      <c r="Z67" s="333">
        <f>SUM(Y65:Y68)</f>
        <v>0.52249470541710541</v>
      </c>
      <c r="AA67" s="334">
        <f>Z67*52/10^3</f>
        <v>2.7169724681689482E-2</v>
      </c>
      <c r="AG67" s="328"/>
      <c r="AH67" s="328"/>
      <c r="AI67" s="328"/>
      <c r="AJ67" s="328"/>
      <c r="AK67" s="328"/>
      <c r="AL67" s="328"/>
      <c r="AP67" s="222"/>
      <c r="AQ67" s="211"/>
      <c r="AR67" s="222"/>
      <c r="AS67" s="222"/>
      <c r="AT67" s="225"/>
      <c r="AU67" s="225"/>
      <c r="AV67" s="225"/>
      <c r="AW67" s="225"/>
      <c r="AX67" s="225"/>
      <c r="AY67" s="300"/>
      <c r="AZ67" s="300"/>
    </row>
    <row r="68" spans="1:52" s="212" customFormat="1" ht="30" hidden="1" customHeight="1" thickBot="1" x14ac:dyDescent="0.3">
      <c r="A68" s="312"/>
      <c r="B68" s="450"/>
      <c r="C68" s="318"/>
      <c r="D68" s="89"/>
      <c r="E68" s="89"/>
      <c r="F68" s="89"/>
      <c r="G68" s="89"/>
      <c r="H68" s="89"/>
      <c r="I68" s="89"/>
      <c r="J68" s="74"/>
      <c r="K68" s="75"/>
      <c r="L68" s="74"/>
      <c r="M68" s="74"/>
      <c r="N68" s="75"/>
      <c r="O68" s="74"/>
      <c r="P68" s="74"/>
      <c r="Q68" s="75"/>
      <c r="R68" s="74"/>
      <c r="S68" s="74"/>
      <c r="T68" s="75"/>
      <c r="U68" s="74"/>
      <c r="V68" s="74"/>
      <c r="W68" s="75"/>
      <c r="X68" s="76"/>
      <c r="Y68" s="335"/>
      <c r="Z68" s="344"/>
      <c r="AA68" s="345"/>
      <c r="AG68" s="328"/>
      <c r="AH68" s="328"/>
      <c r="AI68" s="328"/>
      <c r="AJ68" s="328"/>
      <c r="AK68" s="328"/>
      <c r="AL68" s="328"/>
      <c r="AP68" s="222"/>
      <c r="AQ68" s="211"/>
      <c r="AR68" s="222"/>
      <c r="AS68" s="222"/>
      <c r="AT68" s="225"/>
      <c r="AU68" s="225"/>
      <c r="AV68" s="225"/>
      <c r="AW68" s="225"/>
      <c r="AX68" s="225"/>
      <c r="AY68" s="300"/>
      <c r="AZ68" s="300"/>
    </row>
    <row r="69" spans="1:52" s="212" customFormat="1" ht="30" customHeight="1" x14ac:dyDescent="0.25">
      <c r="A69" s="322"/>
      <c r="B69" s="322"/>
      <c r="C69" s="323" t="s">
        <v>569</v>
      </c>
      <c r="D69" s="1836">
        <v>6</v>
      </c>
      <c r="E69" s="1836">
        <v>1</v>
      </c>
      <c r="F69" s="1836">
        <v>250</v>
      </c>
      <c r="G69" s="1836">
        <v>0</v>
      </c>
      <c r="H69" s="1836">
        <v>0</v>
      </c>
      <c r="I69" s="1836">
        <v>0</v>
      </c>
      <c r="J69" s="74">
        <f>IF($F69=0,0,1+($F69-$C$21)/$C$22)+$G69/$C$23+$H69/$C$24+$I69/$C$25</f>
        <v>7.4545454545454541</v>
      </c>
      <c r="K69" s="75">
        <f t="shared" si="0"/>
        <v>3.5111917342151263E-8</v>
      </c>
      <c r="L69" s="74">
        <f>($C$7*$C$14*$C$8*$E69/$D69^2*K69*10^6)</f>
        <v>7.8026482982558355E-3</v>
      </c>
      <c r="M69" s="74">
        <f>IF($F69=0,0,1+($F69-$D$21)/$D$22)+$G69/$D$23+$H69/$D$24+$I69/$D$25</f>
        <v>6.6486486486486482</v>
      </c>
      <c r="N69" s="75">
        <f t="shared" si="1"/>
        <v>2.2456979955397711E-7</v>
      </c>
      <c r="O69" s="74">
        <f>($C$7*$D$14*$D$8*$E69/$D69^2*N69*10^6)</f>
        <v>4.99043999008838E-2</v>
      </c>
      <c r="P69" s="74">
        <f>IF($F69=0,0,1+($F69-$E$21)/$E$22)+$G69/$E$23+$H69/$E$24+$I69/$E$25</f>
        <v>5.7674418604651159</v>
      </c>
      <c r="Q69" s="75">
        <f t="shared" si="2"/>
        <v>1.7082763938087111E-6</v>
      </c>
      <c r="R69" s="74">
        <f>($C$7*$D$14*$E$8*$E69/$D69^2*Q69*10^6)</f>
        <v>0.37961697640193576</v>
      </c>
      <c r="S69" s="74">
        <f>IF($F69=0,0,1+($F69-$F$21)/$F$22)+$G69/$F$23+$H69/$F$24+$I69/$F$25</f>
        <v>9.1481481481481488</v>
      </c>
      <c r="T69" s="75">
        <f t="shared" si="3"/>
        <v>7.1097094323124171E-10</v>
      </c>
      <c r="U69" s="74">
        <f>($C$7*$F$14*$F$8*$E69/$D69^2*T69*10^6)</f>
        <v>1.5799354294027593E-4</v>
      </c>
      <c r="V69" s="74">
        <f>IF($F69=0,0,1+($F69-$G$21)/$G$22)+$G69/$G$23+$H69/$G$24+$I69/$G$25</f>
        <v>6.9444444444444446</v>
      </c>
      <c r="W69" s="75">
        <f t="shared" si="4"/>
        <v>1.136463666385722E-7</v>
      </c>
      <c r="X69" s="76">
        <f>($C$7*$G$14*$G$8*$E69/$D69^2*W69*10^6)</f>
        <v>2.5254748141904933E-2</v>
      </c>
      <c r="Y69" s="324">
        <f>SUM(L69,O69,R69,U69,X69)</f>
        <v>0.46273676628592059</v>
      </c>
      <c r="Z69" s="325"/>
      <c r="AA69" s="350"/>
      <c r="AG69" s="328"/>
      <c r="AI69" s="328"/>
      <c r="AJ69" s="328"/>
      <c r="AK69" s="328"/>
      <c r="AL69" s="328"/>
      <c r="AP69" s="222"/>
      <c r="AQ69" s="211"/>
      <c r="AR69" s="222"/>
      <c r="AS69" s="222"/>
      <c r="AT69" s="225"/>
      <c r="AU69" s="225"/>
      <c r="AV69" s="225"/>
      <c r="AW69" s="225"/>
      <c r="AX69" s="225"/>
      <c r="AY69" s="300"/>
      <c r="AZ69" s="300"/>
    </row>
    <row r="70" spans="1:52" s="212" customFormat="1" ht="30" customHeight="1" thickBot="1" x14ac:dyDescent="0.3">
      <c r="A70" s="329" t="str">
        <f>Samenvatting!A123</f>
        <v>L1</v>
      </c>
      <c r="B70" s="656" t="str">
        <f>Samenvatting!B123</f>
        <v>ingang labyrint linac 1</v>
      </c>
      <c r="C70" s="331" t="s">
        <v>568</v>
      </c>
      <c r="D70" s="1836">
        <v>5</v>
      </c>
      <c r="E70" s="89"/>
      <c r="F70" s="1836">
        <v>250</v>
      </c>
      <c r="G70" s="1836">
        <v>0</v>
      </c>
      <c r="H70" s="1836">
        <v>0</v>
      </c>
      <c r="I70" s="1836">
        <v>0</v>
      </c>
      <c r="J70" s="74">
        <f>$F70/$C$27+$G70/$C$28+$H70/$C$29+$I70/$C$30</f>
        <v>7.3529411764705879</v>
      </c>
      <c r="K70" s="75">
        <f t="shared" si="0"/>
        <v>4.4366873309786093E-8</v>
      </c>
      <c r="L70" s="74">
        <f>($C$7*$C$15*$C$8*($C$9+$C$10*$C$11)/$D70^2*K70*10^6)</f>
        <v>1.0648049594348663E-3</v>
      </c>
      <c r="M70" s="74">
        <f>$F70/$D$27+$G70/$D$28+$H70/$D$29+$I70/$D$30</f>
        <v>6.5789473684210522</v>
      </c>
      <c r="N70" s="75">
        <f t="shared" si="1"/>
        <v>2.636650898730358E-7</v>
      </c>
      <c r="O70" s="74">
        <f>($C$7*$C$15*$D$8*($D$9+$D$10*$D$11)/$D70^2*N70*10^6)</f>
        <v>6.3279621569528599E-3</v>
      </c>
      <c r="P70" s="74">
        <f>$F70/$E$27+$G70/$E$28+$H70/$E$29+$I70/$E$30</f>
        <v>5.6818181818181817</v>
      </c>
      <c r="Q70" s="75">
        <f t="shared" si="2"/>
        <v>2.0805675382171676E-6</v>
      </c>
      <c r="R70" s="74">
        <f>($C$7*$C$15*$E$8*($E$9+$E$10*$E$11)/$D70^2*Q70*10^6)</f>
        <v>4.9933620917212027E-2</v>
      </c>
      <c r="S70" s="74">
        <f>$F70/$F$27+$G70/$F$28+$H70/$F$29+$I70/$F$30</f>
        <v>8.1967213114754092</v>
      </c>
      <c r="T70" s="75">
        <f t="shared" si="3"/>
        <v>6.3573875711648393E-9</v>
      </c>
      <c r="U70" s="74">
        <f>($C$7*$C$15*$F$8*($F$9+$F$10*$F$11)/$D70^2*T70*10^6)</f>
        <v>1.5257730170795616E-4</v>
      </c>
      <c r="V70" s="74">
        <f>$F70/$G$27+$G70/$G$28+$H70/$G$29+$I70/$G$30</f>
        <v>7.0224719101123592</v>
      </c>
      <c r="W70" s="75">
        <f t="shared" si="4"/>
        <v>9.4957241494880226E-8</v>
      </c>
      <c r="X70" s="76">
        <f>($C$7*$C$15*$G$8*($G$9+$G$10*$G$11)/$D70^2*W70*10^6)</f>
        <v>2.278973795877126E-3</v>
      </c>
      <c r="Y70" s="339">
        <f>SUM(L70,O70,R70,U70,X70)</f>
        <v>5.9757939131184837E-2</v>
      </c>
      <c r="Z70" s="363">
        <f>SUM(Y68:Y71)</f>
        <v>0.52249470541710541</v>
      </c>
      <c r="AA70" s="334">
        <f>Z70*52/10^3</f>
        <v>2.7169724681689482E-2</v>
      </c>
      <c r="AG70" s="328"/>
      <c r="AH70" s="328"/>
      <c r="AI70" s="328"/>
      <c r="AJ70" s="328"/>
      <c r="AK70" s="328"/>
      <c r="AL70" s="328"/>
      <c r="AP70" s="222"/>
      <c r="AQ70" s="211"/>
      <c r="AR70" s="222"/>
      <c r="AS70" s="222"/>
      <c r="AT70" s="225"/>
      <c r="AU70" s="225"/>
      <c r="AV70" s="225"/>
      <c r="AW70" s="225"/>
      <c r="AX70" s="225"/>
      <c r="AY70" s="300"/>
      <c r="AZ70" s="300"/>
    </row>
    <row r="71" spans="1:52" s="212" customFormat="1" ht="30" hidden="1" customHeight="1" thickBot="1" x14ac:dyDescent="0.3">
      <c r="A71" s="312"/>
      <c r="B71" s="450"/>
      <c r="C71" s="360"/>
      <c r="D71" s="1837"/>
      <c r="E71" s="1837"/>
      <c r="F71" s="1837"/>
      <c r="G71" s="1837"/>
      <c r="H71" s="1837"/>
      <c r="I71" s="1837"/>
      <c r="J71" s="74"/>
      <c r="K71" s="75"/>
      <c r="L71" s="74"/>
      <c r="M71" s="74"/>
      <c r="N71" s="75"/>
      <c r="O71" s="74"/>
      <c r="P71" s="74"/>
      <c r="Q71" s="75"/>
      <c r="R71" s="74"/>
      <c r="S71" s="74"/>
      <c r="T71" s="75"/>
      <c r="U71" s="74"/>
      <c r="V71" s="74"/>
      <c r="W71" s="75"/>
      <c r="X71" s="76"/>
      <c r="Y71" s="577"/>
      <c r="Z71" s="659"/>
      <c r="AA71" s="660"/>
      <c r="AG71" s="328"/>
      <c r="AH71" s="328"/>
      <c r="AI71" s="328"/>
      <c r="AJ71" s="328"/>
      <c r="AK71" s="328"/>
      <c r="AL71" s="328"/>
      <c r="AP71" s="222"/>
      <c r="AQ71" s="211"/>
      <c r="AR71" s="222"/>
      <c r="AS71" s="222"/>
      <c r="AT71" s="225"/>
      <c r="AU71" s="225"/>
      <c r="AV71" s="225"/>
      <c r="AW71" s="225"/>
      <c r="AX71" s="225"/>
      <c r="AY71" s="300"/>
      <c r="AZ71" s="300"/>
    </row>
    <row r="72" spans="1:52" s="212" customFormat="1" ht="30" customHeight="1" x14ac:dyDescent="0.25">
      <c r="A72" s="552"/>
      <c r="B72" s="322"/>
      <c r="C72" s="348" t="s">
        <v>209</v>
      </c>
      <c r="D72" s="1836">
        <v>6</v>
      </c>
      <c r="E72" s="1836">
        <v>1</v>
      </c>
      <c r="F72" s="1836">
        <v>250</v>
      </c>
      <c r="G72" s="1836">
        <v>0</v>
      </c>
      <c r="H72" s="1836">
        <v>0</v>
      </c>
      <c r="I72" s="1836">
        <v>0</v>
      </c>
      <c r="J72" s="74">
        <f>IF($F72=0,0,1+($F72-$C$21)/$C$22)+$G72/$C$23+$H72/$C$24+$I72/$C$25</f>
        <v>7.4545454545454541</v>
      </c>
      <c r="K72" s="75">
        <f>10^(-J72)</f>
        <v>3.5111917342151263E-8</v>
      </c>
      <c r="L72" s="74">
        <f>($C$7*$C$14*$C$8*$E72/$D72^2*K72*10^6)</f>
        <v>7.8026482982558355E-3</v>
      </c>
      <c r="M72" s="74">
        <f>IF($F72=0,0,1+($F72-$D$21)/$D$22)+$G72/$D$23+$H72/$D$24+$I72/$D$25</f>
        <v>6.6486486486486482</v>
      </c>
      <c r="N72" s="75">
        <f>10^(-M72)</f>
        <v>2.2456979955397711E-7</v>
      </c>
      <c r="O72" s="74">
        <f>($C$7*$D$14*$D$8*$E72/$D72^2*N72*10^6)</f>
        <v>4.99043999008838E-2</v>
      </c>
      <c r="P72" s="74">
        <f>IF($F$72=0,0,1+($F72-$E$21)/$E$22)+$G72/$E$23+$H72/$E$24+$I72/$E$25</f>
        <v>5.7674418604651159</v>
      </c>
      <c r="Q72" s="75">
        <f>10^(-P72)</f>
        <v>1.7082763938087111E-6</v>
      </c>
      <c r="R72" s="74">
        <f>($C$7*$D$14*$E$8*$E72/$D72^2*Q72*10^6)</f>
        <v>0.37961697640193576</v>
      </c>
      <c r="S72" s="74">
        <f>IF($F72=0,0,1+($F72-$F$21)/$F$22)+$G72/$F$23+$H72/$F$24+$I72/$F$25</f>
        <v>9.1481481481481488</v>
      </c>
      <c r="T72" s="75">
        <f>10^(-S72)</f>
        <v>7.1097094323124171E-10</v>
      </c>
      <c r="U72" s="74">
        <f>($C$7*$F$14*$F$8*$E72/$D72^2*T72*10^6)</f>
        <v>1.5799354294027593E-4</v>
      </c>
      <c r="V72" s="74">
        <f>IF($F72=0,0,1+($F72-$G$21)/$G$22)+$G72/$G$23+$H72/$G$24+$I72/$G$25</f>
        <v>6.9444444444444446</v>
      </c>
      <c r="W72" s="75">
        <f>10^(-V72)</f>
        <v>1.136463666385722E-7</v>
      </c>
      <c r="X72" s="76">
        <f>($C$7*$G$14*$G$8*$E72/$D72^2*W72*10^6)</f>
        <v>2.5254748141904933E-2</v>
      </c>
      <c r="Y72" s="324">
        <f>SUM(L72,O72,R72,U72,X72)</f>
        <v>0.46273676628592059</v>
      </c>
      <c r="Z72" s="325"/>
      <c r="AA72" s="350"/>
      <c r="AG72" s="328"/>
      <c r="AI72" s="328"/>
      <c r="AJ72" s="328"/>
      <c r="AK72" s="328"/>
      <c r="AL72" s="328"/>
      <c r="AP72" s="222"/>
      <c r="AQ72" s="211"/>
      <c r="AR72" s="222"/>
      <c r="AS72" s="222"/>
      <c r="AT72" s="225"/>
      <c r="AU72" s="225"/>
      <c r="AV72" s="225"/>
      <c r="AW72" s="225"/>
      <c r="AX72" s="225"/>
      <c r="AY72" s="300"/>
      <c r="AZ72" s="300"/>
    </row>
    <row r="73" spans="1:52" s="212" customFormat="1" ht="30" customHeight="1" x14ac:dyDescent="0.25">
      <c r="A73" s="661" t="str">
        <f>Samenvatting!A135</f>
        <v>L2</v>
      </c>
      <c r="B73" s="352" t="str">
        <f>Samenvatting!B135</f>
        <v>ingang labyrint linac 2</v>
      </c>
      <c r="C73" s="353" t="s">
        <v>361</v>
      </c>
      <c r="D73" s="1836">
        <v>5</v>
      </c>
      <c r="E73" s="89"/>
      <c r="F73" s="1836">
        <v>250</v>
      </c>
      <c r="G73" s="1836">
        <v>0</v>
      </c>
      <c r="H73" s="1836">
        <v>0</v>
      </c>
      <c r="I73" s="1836">
        <v>0</v>
      </c>
      <c r="J73" s="74">
        <f>$F73/$C$27+$G73/$C$28+$H73/$C$29+$I73/$C$30</f>
        <v>7.3529411764705879</v>
      </c>
      <c r="K73" s="75">
        <f>10^(-J73)</f>
        <v>4.4366873309786093E-8</v>
      </c>
      <c r="L73" s="74">
        <f>($C$7*$C$15*$C$8*($C$9+$C$10*$C$11)/$D73^2*K73*10^6)</f>
        <v>1.0648049594348663E-3</v>
      </c>
      <c r="M73" s="74">
        <f>$F73/$D$27+$G73/$D$28+$H73/$D$29+$I73/$D$30</f>
        <v>6.5789473684210522</v>
      </c>
      <c r="N73" s="75">
        <f>10^(-M73)</f>
        <v>2.636650898730358E-7</v>
      </c>
      <c r="O73" s="74">
        <f>($C$7*$C$15*$D$8*($D$9+$D$10*$D$11)/$D73^2*N73*10^6)</f>
        <v>6.3279621569528599E-3</v>
      </c>
      <c r="P73" s="74">
        <f>$F73/$E$27+$G73/$E$28+$H73/$E$29+$I73/$E$30</f>
        <v>5.6818181818181817</v>
      </c>
      <c r="Q73" s="75">
        <f>10^(-P73)</f>
        <v>2.0805675382171676E-6</v>
      </c>
      <c r="R73" s="74">
        <f>($C$7*$C$15*$E$8*($E$9+$E$10*$E$11)/$D73^2*Q73*10^6)</f>
        <v>4.9933620917212027E-2</v>
      </c>
      <c r="S73" s="74">
        <f>$F73/$F$27+$G73/$F$28+$H73/$F$29+$I73/$F$30</f>
        <v>8.1967213114754092</v>
      </c>
      <c r="T73" s="75">
        <f>10^(-S73)</f>
        <v>6.3573875711648393E-9</v>
      </c>
      <c r="U73" s="74">
        <f>($C$7*$C$15*$F$8*($F$9+$F$10*$F$11)/$D73^2*T73*10^6)</f>
        <v>1.5257730170795616E-4</v>
      </c>
      <c r="V73" s="74">
        <f>$F73/$G$27+$G73/$G$28+$H73/$G$29+$I73/$G$30</f>
        <v>7.0224719101123592</v>
      </c>
      <c r="W73" s="75">
        <f>10^(-V73)</f>
        <v>9.4957241494880226E-8</v>
      </c>
      <c r="X73" s="76">
        <f>($C$7*$C$15*$G$8*($G$9+$G$10*$G$11)/$D73^2*W73*10^6)</f>
        <v>2.278973795877126E-3</v>
      </c>
      <c r="Y73" s="355">
        <f>SUM(L73,O73,R73,U73,X73)</f>
        <v>5.9757939131184837E-2</v>
      </c>
      <c r="Z73" s="662">
        <f>SUM(Y71:Y75)</f>
        <v>298.71327202141981</v>
      </c>
      <c r="AA73" s="663">
        <f>Z73*52/10^3</f>
        <v>15.53309014511383</v>
      </c>
      <c r="AG73" s="328"/>
      <c r="AH73" s="328"/>
      <c r="AI73" s="328"/>
      <c r="AJ73" s="328"/>
      <c r="AK73" s="328"/>
      <c r="AL73" s="328"/>
      <c r="AP73" s="222"/>
      <c r="AQ73" s="211"/>
      <c r="AR73" s="222"/>
      <c r="AS73" s="222"/>
      <c r="AT73" s="225"/>
      <c r="AU73" s="225"/>
      <c r="AV73" s="225"/>
      <c r="AW73" s="225"/>
      <c r="AX73" s="225"/>
      <c r="AY73" s="300"/>
      <c r="AZ73" s="300"/>
    </row>
    <row r="74" spans="1:52" s="212" customFormat="1" ht="30" customHeight="1" thickBot="1" x14ac:dyDescent="0.3">
      <c r="A74" s="664"/>
      <c r="B74" s="665"/>
      <c r="C74" s="360" t="s">
        <v>360</v>
      </c>
      <c r="D74" s="666" t="s">
        <v>362</v>
      </c>
      <c r="E74" s="89"/>
      <c r="F74" s="89"/>
      <c r="G74" s="89"/>
      <c r="H74" s="89"/>
      <c r="I74" s="89"/>
      <c r="J74" s="74"/>
      <c r="K74" s="75"/>
      <c r="L74" s="74"/>
      <c r="M74" s="667"/>
      <c r="N74" s="668"/>
      <c r="O74" s="669"/>
      <c r="P74" s="669"/>
      <c r="Q74" s="668"/>
      <c r="R74" s="669"/>
      <c r="S74" s="669"/>
      <c r="T74" s="668"/>
      <c r="U74" s="669"/>
      <c r="V74" s="669"/>
      <c r="W74" s="668"/>
      <c r="X74" s="670"/>
      <c r="Y74" s="339">
        <f>SUM(AT130:AT135)</f>
        <v>298.19077731600271</v>
      </c>
      <c r="Z74" s="363"/>
      <c r="AA74" s="364"/>
      <c r="AG74" s="328"/>
      <c r="AH74" s="328"/>
      <c r="AI74" s="328"/>
      <c r="AJ74" s="328"/>
      <c r="AK74" s="328"/>
      <c r="AL74" s="328"/>
      <c r="AP74" s="222"/>
      <c r="AQ74" s="211"/>
      <c r="AR74" s="222"/>
      <c r="AS74" s="222"/>
      <c r="AT74" s="225"/>
      <c r="AU74" s="225"/>
      <c r="AV74" s="225"/>
      <c r="AW74" s="225"/>
      <c r="AX74" s="225"/>
      <c r="AY74" s="300"/>
      <c r="AZ74" s="300"/>
    </row>
    <row r="75" spans="1:52" s="212" customFormat="1" ht="30" hidden="1" customHeight="1" thickBot="1" x14ac:dyDescent="0.3">
      <c r="A75" s="211"/>
      <c r="B75" s="671"/>
      <c r="C75" s="318"/>
      <c r="D75" s="666"/>
      <c r="E75" s="89"/>
      <c r="F75" s="89"/>
      <c r="G75" s="89"/>
      <c r="H75" s="89"/>
      <c r="I75" s="89"/>
      <c r="J75" s="74"/>
      <c r="K75" s="75"/>
      <c r="L75" s="74"/>
      <c r="M75" s="667"/>
      <c r="N75" s="668"/>
      <c r="O75" s="669"/>
      <c r="P75" s="669"/>
      <c r="Q75" s="668"/>
      <c r="R75" s="669"/>
      <c r="S75" s="669"/>
      <c r="T75" s="668"/>
      <c r="U75" s="669"/>
      <c r="V75" s="669"/>
      <c r="W75" s="668"/>
      <c r="X75" s="670"/>
      <c r="Y75" s="577"/>
      <c r="Z75" s="672"/>
      <c r="AA75" s="660"/>
      <c r="AG75" s="328"/>
      <c r="AH75" s="328"/>
      <c r="AI75" s="328"/>
      <c r="AJ75" s="328"/>
      <c r="AK75" s="328"/>
      <c r="AL75" s="328"/>
      <c r="AP75" s="222"/>
      <c r="AQ75" s="211"/>
      <c r="AR75" s="222"/>
      <c r="AS75" s="222"/>
      <c r="AT75" s="225"/>
      <c r="AU75" s="225"/>
      <c r="AV75" s="225"/>
      <c r="AW75" s="225"/>
      <c r="AX75" s="225"/>
      <c r="AY75" s="300"/>
      <c r="AZ75" s="300"/>
    </row>
    <row r="76" spans="1:52" s="212" customFormat="1" ht="30" customHeight="1" x14ac:dyDescent="0.25">
      <c r="A76" s="322"/>
      <c r="B76" s="322"/>
      <c r="C76" s="323" t="s">
        <v>569</v>
      </c>
      <c r="D76" s="1836">
        <v>6</v>
      </c>
      <c r="E76" s="1836">
        <v>1</v>
      </c>
      <c r="F76" s="1836">
        <v>250</v>
      </c>
      <c r="G76" s="1836">
        <v>0</v>
      </c>
      <c r="H76" s="1836">
        <v>0</v>
      </c>
      <c r="I76" s="1836">
        <v>0</v>
      </c>
      <c r="J76" s="74">
        <f>IF($F76=0,0,1+($F76-$C$21)/$C$22)+$G76/$C$23+$H76/$C$24+$I76/$C$25</f>
        <v>7.4545454545454541</v>
      </c>
      <c r="K76" s="75">
        <f t="shared" ref="K76:K101" si="6">10^(-J76)</f>
        <v>3.5111917342151263E-8</v>
      </c>
      <c r="L76" s="74">
        <f>($C$7*$C$14*$C$8*$E76/$D76^2*K76*10^6)</f>
        <v>7.8026482982558355E-3</v>
      </c>
      <c r="M76" s="74">
        <f>IF($F76=0,0,1+($F76-$D$21)/$D$22)+$G76/$D$23+$H76/$D$24+$I76/$D$25</f>
        <v>6.6486486486486482</v>
      </c>
      <c r="N76" s="75">
        <f t="shared" ref="N76:N101" si="7">10^(-M76)</f>
        <v>2.2456979955397711E-7</v>
      </c>
      <c r="O76" s="74">
        <f>($C$7*$D$14*$D$8*$E76/$D76^2*N76*10^6)</f>
        <v>4.99043999008838E-2</v>
      </c>
      <c r="P76" s="74">
        <f>IF($F$39=0,0,1+($F76-$E$21)/$E$22)+$G76/$E$23+$H76/$E$24+$I76/$E$25</f>
        <v>5.7674418604651159</v>
      </c>
      <c r="Q76" s="75">
        <f t="shared" ref="Q76:Q101" si="8">10^(-P76)</f>
        <v>1.7082763938087111E-6</v>
      </c>
      <c r="R76" s="74">
        <f>($C$7*$D$14*$E$8*$E76/$D76^2*Q76*10^6)</f>
        <v>0.37961697640193576</v>
      </c>
      <c r="S76" s="74">
        <f>IF($F76=0,0,1+($F76-$F$21)/$F$22)+$G76/$F$23+$H76/$F$24+$I76/$F$25</f>
        <v>9.1481481481481488</v>
      </c>
      <c r="T76" s="75">
        <f t="shared" ref="T76:T101" si="9">10^(-S76)</f>
        <v>7.1097094323124171E-10</v>
      </c>
      <c r="U76" s="74">
        <f>($C$7*$F$14*$F$8*$E76/$D76^2*T76*10^6)</f>
        <v>1.5799354294027593E-4</v>
      </c>
      <c r="V76" s="74">
        <f>IF($F76=0,0,1+($F76-$G$21)/$G$22)+$G76/$G$23+$H76/$G$24+$I76/$G$25</f>
        <v>6.9444444444444446</v>
      </c>
      <c r="W76" s="75">
        <f t="shared" ref="W76:W101" si="10">10^(-V76)</f>
        <v>1.136463666385722E-7</v>
      </c>
      <c r="X76" s="76">
        <f>($C$7*$G$14*$G$8*$E76/$D76^2*W76*10^6)</f>
        <v>2.5254748141904933E-2</v>
      </c>
      <c r="Y76" s="324">
        <f>SUM(L76,O76,R76,U76,X76)</f>
        <v>0.46273676628592059</v>
      </c>
      <c r="Z76" s="325"/>
      <c r="AA76" s="326"/>
      <c r="AG76" s="328"/>
      <c r="AI76" s="328"/>
      <c r="AJ76" s="328"/>
      <c r="AK76" s="328"/>
      <c r="AL76" s="328"/>
      <c r="AP76" s="222"/>
      <c r="AQ76" s="211"/>
      <c r="AR76" s="222"/>
      <c r="AS76" s="222"/>
      <c r="AT76" s="225"/>
      <c r="AU76" s="225"/>
      <c r="AV76" s="225"/>
      <c r="AW76" s="225"/>
      <c r="AX76" s="225"/>
      <c r="AY76" s="300"/>
      <c r="AZ76" s="300"/>
    </row>
    <row r="77" spans="1:52" s="212" customFormat="1" ht="30" customHeight="1" thickBot="1" x14ac:dyDescent="0.3">
      <c r="A77" s="657" t="str">
        <f>Samenvatting!A147</f>
        <v>L3</v>
      </c>
      <c r="B77" s="656" t="str">
        <f>Samenvatting!B147</f>
        <v>ingang labyrint linac 3</v>
      </c>
      <c r="C77" s="331" t="s">
        <v>568</v>
      </c>
      <c r="D77" s="1836">
        <v>5</v>
      </c>
      <c r="E77" s="89"/>
      <c r="F77" s="1836">
        <v>250</v>
      </c>
      <c r="G77" s="1836">
        <v>0</v>
      </c>
      <c r="H77" s="1836">
        <v>0</v>
      </c>
      <c r="I77" s="1836">
        <v>0</v>
      </c>
      <c r="J77" s="74">
        <f>$F77/$C$27+$G77/$C$28+$H77/$C$29+$I77/$C$30</f>
        <v>7.3529411764705879</v>
      </c>
      <c r="K77" s="75">
        <f t="shared" si="6"/>
        <v>4.4366873309786093E-8</v>
      </c>
      <c r="L77" s="74">
        <f>($C$7*$C$15*$C$8*($C$9+$C$10*$C$11)/$D77^2*K77*10^6)</f>
        <v>1.0648049594348663E-3</v>
      </c>
      <c r="M77" s="74">
        <f>$F77/$D$27+$G77/$D$28+$H77/$D$29+$I77/$D$30</f>
        <v>6.5789473684210522</v>
      </c>
      <c r="N77" s="75">
        <f t="shared" si="7"/>
        <v>2.636650898730358E-7</v>
      </c>
      <c r="O77" s="74">
        <f>($C$7*$C$15*$D$8*($D$9+$D$10*$D$11)/$D77^2*N77*10^6)</f>
        <v>6.3279621569528599E-3</v>
      </c>
      <c r="P77" s="74">
        <f>$F77/$E$27+$G77/$E$28+$H77/$E$29+$I77/$E$30</f>
        <v>5.6818181818181817</v>
      </c>
      <c r="Q77" s="75">
        <f t="shared" si="8"/>
        <v>2.0805675382171676E-6</v>
      </c>
      <c r="R77" s="74">
        <f>($C$7*$C$15*$E$8*($E$9+$E$10*$E$11)/$D77^2*Q77*10^6)</f>
        <v>4.9933620917212027E-2</v>
      </c>
      <c r="S77" s="74">
        <f>$F77/$F$27+$G77/$F$28+$H77/$F$29+$I77/$F$30</f>
        <v>8.1967213114754092</v>
      </c>
      <c r="T77" s="75">
        <f t="shared" si="9"/>
        <v>6.3573875711648393E-9</v>
      </c>
      <c r="U77" s="74">
        <f>($C$7*$C$15*$F$8*($F$9+$F$10*$F$11)/$D77^2*T77*10^6)</f>
        <v>1.5257730170795616E-4</v>
      </c>
      <c r="V77" s="74">
        <f>$F77/$G$27+$G77/$G$28+$H77/$G$29+$I77/$G$30</f>
        <v>7.0224719101123592</v>
      </c>
      <c r="W77" s="75">
        <f t="shared" si="10"/>
        <v>9.4957241494880226E-8</v>
      </c>
      <c r="X77" s="76">
        <f>($C$7*$C$15*$G$8*($G$9+$G$10*$G$11)/$D77^2*W77*10^6)</f>
        <v>2.278973795877126E-3</v>
      </c>
      <c r="Y77" s="339">
        <f>SUM(L77,O77,R77,U77,X77)</f>
        <v>5.9757939131184837E-2</v>
      </c>
      <c r="Z77" s="333">
        <f>SUM(Y75:Y78)</f>
        <v>0.52249470541710541</v>
      </c>
      <c r="AA77" s="334">
        <f>Z77*52/10^3</f>
        <v>2.7169724681689482E-2</v>
      </c>
      <c r="AG77" s="328"/>
      <c r="AH77" s="328"/>
      <c r="AI77" s="328"/>
      <c r="AJ77" s="328"/>
      <c r="AK77" s="328"/>
      <c r="AL77" s="328"/>
      <c r="AP77" s="222"/>
      <c r="AQ77" s="211"/>
      <c r="AR77" s="222"/>
      <c r="AS77" s="222"/>
      <c r="AT77" s="225"/>
      <c r="AU77" s="225"/>
      <c r="AV77" s="225"/>
      <c r="AW77" s="225"/>
      <c r="AX77" s="225"/>
      <c r="AY77" s="300"/>
      <c r="AZ77" s="300"/>
    </row>
    <row r="78" spans="1:52" s="212" customFormat="1" ht="30" hidden="1" customHeight="1" thickBot="1" x14ac:dyDescent="0.3">
      <c r="A78" s="312"/>
      <c r="B78" s="312"/>
      <c r="C78" s="318"/>
      <c r="D78" s="1837"/>
      <c r="E78" s="1837"/>
      <c r="F78" s="1837"/>
      <c r="G78" s="1837"/>
      <c r="H78" s="1837"/>
      <c r="I78" s="1837"/>
      <c r="J78" s="74"/>
      <c r="K78" s="75"/>
      <c r="L78" s="74"/>
      <c r="M78" s="74"/>
      <c r="N78" s="75"/>
      <c r="O78" s="74"/>
      <c r="P78" s="74"/>
      <c r="Q78" s="75"/>
      <c r="R78" s="74"/>
      <c r="S78" s="74"/>
      <c r="T78" s="75"/>
      <c r="U78" s="74"/>
      <c r="V78" s="74"/>
      <c r="W78" s="75"/>
      <c r="X78" s="76"/>
      <c r="Y78" s="316"/>
      <c r="Z78" s="344"/>
      <c r="AA78" s="345"/>
      <c r="AG78" s="328"/>
      <c r="AH78" s="328"/>
      <c r="AI78" s="328"/>
      <c r="AJ78" s="328"/>
      <c r="AK78" s="328"/>
      <c r="AL78" s="328"/>
      <c r="AP78" s="222"/>
      <c r="AQ78" s="211"/>
      <c r="AR78" s="222"/>
      <c r="AS78" s="222"/>
      <c r="AT78" s="225"/>
      <c r="AU78" s="225"/>
      <c r="AV78" s="225"/>
      <c r="AW78" s="225"/>
      <c r="AX78" s="225"/>
      <c r="AY78" s="300"/>
      <c r="AZ78" s="300"/>
    </row>
    <row r="79" spans="1:52" s="212" customFormat="1" ht="30" customHeight="1" x14ac:dyDescent="0.25">
      <c r="A79" s="322"/>
      <c r="B79" s="322"/>
      <c r="C79" s="323" t="s">
        <v>569</v>
      </c>
      <c r="D79" s="1836">
        <v>6</v>
      </c>
      <c r="E79" s="1836">
        <v>1</v>
      </c>
      <c r="F79" s="1836">
        <v>250</v>
      </c>
      <c r="G79" s="1836">
        <v>0</v>
      </c>
      <c r="H79" s="1836">
        <v>0</v>
      </c>
      <c r="I79" s="1836">
        <v>0</v>
      </c>
      <c r="J79" s="74">
        <f>IF($F79=0,0,1+($F79-$C$21)/$C$22)+$G79/$C$23+$H79/$C$24+$I79/$C$25</f>
        <v>7.4545454545454541</v>
      </c>
      <c r="K79" s="75">
        <f t="shared" si="6"/>
        <v>3.5111917342151263E-8</v>
      </c>
      <c r="L79" s="74">
        <f>($C$7*$C$14*$C$8*$E79/$D79^2*K79*10^6)</f>
        <v>7.8026482982558355E-3</v>
      </c>
      <c r="M79" s="74">
        <f>IF($F79=0,0,1+($F79-$D$21)/$D$22)+$G79/$D$23+$H79/$D$24+$I79/$D$25</f>
        <v>6.6486486486486482</v>
      </c>
      <c r="N79" s="75">
        <f t="shared" si="7"/>
        <v>2.2456979955397711E-7</v>
      </c>
      <c r="O79" s="74">
        <f>($C$7*$D$14*$D$8*$E79/$D79^2*N79*10^6)</f>
        <v>4.99043999008838E-2</v>
      </c>
      <c r="P79" s="74">
        <f>IF($F$39=0,0,1+($F79-$E$21)/$E$22)+$G79/$E$23+$H79/$E$24+$I79/$E$25</f>
        <v>5.7674418604651159</v>
      </c>
      <c r="Q79" s="75">
        <f t="shared" si="8"/>
        <v>1.7082763938087111E-6</v>
      </c>
      <c r="R79" s="74">
        <f>($C$7*$D$14*$E$8*$E79/$D79^2*Q79*10^6)</f>
        <v>0.37961697640193576</v>
      </c>
      <c r="S79" s="74">
        <f>IF($F79=0,0,1+($F79-$F$21)/$F$22)+$G79/$F$23+$H79/$F$24+$I79/$F$25</f>
        <v>9.1481481481481488</v>
      </c>
      <c r="T79" s="75">
        <f t="shared" si="9"/>
        <v>7.1097094323124171E-10</v>
      </c>
      <c r="U79" s="74">
        <f>($C$7*$F$14*$F$8*$E79/$D79^2*T79*10^6)</f>
        <v>1.5799354294027593E-4</v>
      </c>
      <c r="V79" s="74">
        <f>IF($F79=0,0,1+($F79-$G$21)/$G$22)+$G79/$G$23+$H79/$G$24+$I79/$G$25</f>
        <v>6.9444444444444446</v>
      </c>
      <c r="W79" s="75">
        <f t="shared" si="10"/>
        <v>1.136463666385722E-7</v>
      </c>
      <c r="X79" s="76">
        <f>($C$7*$G$14*$G$8*$E79/$D79^2*W79*10^6)</f>
        <v>2.5254748141904933E-2</v>
      </c>
      <c r="Y79" s="324">
        <f>SUM(L79,O79,R79,U79,X79)</f>
        <v>0.46273676628592059</v>
      </c>
      <c r="Z79" s="325"/>
      <c r="AA79" s="326"/>
      <c r="AG79" s="328"/>
      <c r="AI79" s="328"/>
      <c r="AJ79" s="328"/>
      <c r="AK79" s="328"/>
      <c r="AL79" s="328"/>
      <c r="AP79" s="222"/>
      <c r="AQ79" s="211"/>
      <c r="AR79" s="222"/>
      <c r="AS79" s="222"/>
      <c r="AT79" s="225"/>
      <c r="AU79" s="225"/>
      <c r="AV79" s="225"/>
      <c r="AW79" s="225"/>
      <c r="AX79" s="225"/>
      <c r="AY79" s="300"/>
      <c r="AZ79" s="300"/>
    </row>
    <row r="80" spans="1:52" s="212" customFormat="1" ht="30" customHeight="1" thickBot="1" x14ac:dyDescent="0.3">
      <c r="A80" s="657" t="str">
        <f>Samenvatting!A159</f>
        <v>L4</v>
      </c>
      <c r="B80" s="658" t="str">
        <f>Samenvatting!B159</f>
        <v>ingang labyrint linac 4</v>
      </c>
      <c r="C80" s="331" t="s">
        <v>568</v>
      </c>
      <c r="D80" s="1836">
        <v>5</v>
      </c>
      <c r="E80" s="89"/>
      <c r="F80" s="1836">
        <v>250</v>
      </c>
      <c r="G80" s="1836">
        <v>0</v>
      </c>
      <c r="H80" s="1836">
        <v>0</v>
      </c>
      <c r="I80" s="1836">
        <v>0</v>
      </c>
      <c r="J80" s="74">
        <f>$F80/$C$27+$G80/$C$28+$H80/$C$29+$I80/$C$30</f>
        <v>7.3529411764705879</v>
      </c>
      <c r="K80" s="75">
        <f t="shared" si="6"/>
        <v>4.4366873309786093E-8</v>
      </c>
      <c r="L80" s="74">
        <f>($C$7*$C$15*$C$8*($C$9+$C$10*$C$11)/$D80^2*K80*10^6)</f>
        <v>1.0648049594348663E-3</v>
      </c>
      <c r="M80" s="74">
        <f>$F80/$D$27+$G80/$D$28+$H80/$D$29+$I80/$D$30</f>
        <v>6.5789473684210522</v>
      </c>
      <c r="N80" s="75">
        <f t="shared" si="7"/>
        <v>2.636650898730358E-7</v>
      </c>
      <c r="O80" s="74">
        <f>($C$7*$C$15*$D$8*($D$9+$D$10*$D$11)/$D80^2*N80*10^6)</f>
        <v>6.3279621569528599E-3</v>
      </c>
      <c r="P80" s="74">
        <f>$F80/$E$27+$G80/$E$28+$H80/$E$29+$I80/$E$30</f>
        <v>5.6818181818181817</v>
      </c>
      <c r="Q80" s="75">
        <f t="shared" si="8"/>
        <v>2.0805675382171676E-6</v>
      </c>
      <c r="R80" s="74">
        <f>($C$7*$C$15*$E$8*($E$9+$E$10*$E$11)/$D80^2*Q80*10^6)</f>
        <v>4.9933620917212027E-2</v>
      </c>
      <c r="S80" s="74">
        <f>$F80/$F$27+$G80/$F$28+$H80/$F$29+$I80/$F$30</f>
        <v>8.1967213114754092</v>
      </c>
      <c r="T80" s="75">
        <f t="shared" si="9"/>
        <v>6.3573875711648393E-9</v>
      </c>
      <c r="U80" s="74">
        <f>($C$7*$C$15*$F$8*($F$9+$F$10*$F$11)/$D80^2*T80*10^6)</f>
        <v>1.5257730170795616E-4</v>
      </c>
      <c r="V80" s="74">
        <f>$F80/$G$27+$G80/$G$28+$H80/$G$29+$I80/$G$30</f>
        <v>7.0224719101123592</v>
      </c>
      <c r="W80" s="75">
        <f t="shared" si="10"/>
        <v>9.4957241494880226E-8</v>
      </c>
      <c r="X80" s="76">
        <f>($C$7*$C$15*$G$8*($G$9+$G$10*$G$11)/$D80^2*W80*10^6)</f>
        <v>2.278973795877126E-3</v>
      </c>
      <c r="Y80" s="339">
        <f>SUM(L80,O80,R80,U80,X80)</f>
        <v>5.9757939131184837E-2</v>
      </c>
      <c r="Z80" s="333">
        <f>SUM(Y78:Y81)</f>
        <v>0.52249470541710541</v>
      </c>
      <c r="AA80" s="334">
        <f>Z80*52/10^3</f>
        <v>2.7169724681689482E-2</v>
      </c>
      <c r="AG80" s="328"/>
      <c r="AH80" s="328"/>
      <c r="AI80" s="328"/>
      <c r="AJ80" s="328"/>
      <c r="AK80" s="328"/>
      <c r="AL80" s="328"/>
      <c r="AP80" s="222"/>
      <c r="AQ80" s="211"/>
      <c r="AR80" s="222"/>
      <c r="AS80" s="222"/>
      <c r="AT80" s="225"/>
      <c r="AU80" s="225"/>
      <c r="AV80" s="225"/>
      <c r="AW80" s="225"/>
      <c r="AX80" s="225"/>
      <c r="AY80" s="300"/>
      <c r="AZ80" s="300"/>
    </row>
    <row r="81" spans="1:52" s="212" customFormat="1" ht="30" hidden="1" customHeight="1" thickBot="1" x14ac:dyDescent="0.3">
      <c r="A81" s="312"/>
      <c r="B81" s="312"/>
      <c r="C81" s="318"/>
      <c r="D81" s="1837"/>
      <c r="E81" s="1837"/>
      <c r="F81" s="1837"/>
      <c r="G81" s="1837"/>
      <c r="H81" s="1837"/>
      <c r="I81" s="1837"/>
      <c r="J81" s="74"/>
      <c r="K81" s="75"/>
      <c r="L81" s="74"/>
      <c r="M81" s="74"/>
      <c r="N81" s="75"/>
      <c r="O81" s="74"/>
      <c r="P81" s="74"/>
      <c r="Q81" s="75"/>
      <c r="R81" s="74"/>
      <c r="S81" s="74"/>
      <c r="T81" s="75"/>
      <c r="U81" s="74"/>
      <c r="V81" s="74"/>
      <c r="W81" s="75"/>
      <c r="X81" s="76"/>
      <c r="Y81" s="316"/>
      <c r="Z81" s="344"/>
      <c r="AA81" s="345"/>
      <c r="AG81" s="328"/>
      <c r="AH81" s="328"/>
      <c r="AI81" s="328"/>
      <c r="AJ81" s="328"/>
      <c r="AK81" s="328"/>
      <c r="AL81" s="328"/>
      <c r="AP81" s="222"/>
      <c r="AQ81" s="211"/>
      <c r="AR81" s="222"/>
      <c r="AS81" s="222"/>
      <c r="AT81" s="225"/>
      <c r="AU81" s="225"/>
      <c r="AV81" s="225"/>
      <c r="AW81" s="225"/>
      <c r="AX81" s="225"/>
      <c r="AY81" s="300"/>
      <c r="AZ81" s="300"/>
    </row>
    <row r="82" spans="1:52" s="212" customFormat="1" ht="30" customHeight="1" x14ac:dyDescent="0.25">
      <c r="A82" s="322"/>
      <c r="B82" s="322"/>
      <c r="C82" s="323" t="s">
        <v>569</v>
      </c>
      <c r="D82" s="1836">
        <v>6</v>
      </c>
      <c r="E82" s="1836">
        <v>1</v>
      </c>
      <c r="F82" s="1836">
        <v>250</v>
      </c>
      <c r="G82" s="1836">
        <v>0</v>
      </c>
      <c r="H82" s="1836">
        <v>0</v>
      </c>
      <c r="I82" s="1836">
        <v>0</v>
      </c>
      <c r="J82" s="74">
        <f>IF($F82=0,0,1+($F82-$C$21)/$C$22)+$G82/$C$23+$H82/$C$24+$I82/$C$25</f>
        <v>7.4545454545454541</v>
      </c>
      <c r="K82" s="75">
        <f t="shared" si="6"/>
        <v>3.5111917342151263E-8</v>
      </c>
      <c r="L82" s="74">
        <f>($C$7*$C$14*$C$8*$E82/$D82^2*K82*10^6)</f>
        <v>7.8026482982558355E-3</v>
      </c>
      <c r="M82" s="74">
        <f>IF($F82=0,0,1+($F82-$D$21)/$D$22)+$G82/$D$23+$H82/$D$24+$I82/$D$25</f>
        <v>6.6486486486486482</v>
      </c>
      <c r="N82" s="75">
        <f t="shared" si="7"/>
        <v>2.2456979955397711E-7</v>
      </c>
      <c r="O82" s="74">
        <f>($C$7*$D$14*$D$8*$E82/$D82^2*N82*10^6)</f>
        <v>4.99043999008838E-2</v>
      </c>
      <c r="P82" s="74">
        <f>IF($F$39=0,0,1+($F82-$E$21)/$E$22)+$G82/$E$23+$H82/$E$24+$I82/$E$25</f>
        <v>5.7674418604651159</v>
      </c>
      <c r="Q82" s="75">
        <f t="shared" si="8"/>
        <v>1.7082763938087111E-6</v>
      </c>
      <c r="R82" s="74">
        <f>($C$7*$D$14*$E$8*$E82/$D82^2*Q82*10^6)</f>
        <v>0.37961697640193576</v>
      </c>
      <c r="S82" s="74">
        <f>IF($F82=0,0,1+($F82-$F$21)/$F$22)+$G82/$F$23+$H82/$F$24+$I82/$F$25</f>
        <v>9.1481481481481488</v>
      </c>
      <c r="T82" s="75">
        <f t="shared" si="9"/>
        <v>7.1097094323124171E-10</v>
      </c>
      <c r="U82" s="74">
        <f>($C$7*$F$14*$F$8*$E82/$D82^2*T82*10^6)</f>
        <v>1.5799354294027593E-4</v>
      </c>
      <c r="V82" s="74">
        <f>IF($F82=0,0,1+($F82-$G$21)/$G$22)+$G82/$G$23+$H82/$G$24+$I82/$G$25</f>
        <v>6.9444444444444446</v>
      </c>
      <c r="W82" s="75">
        <f t="shared" si="10"/>
        <v>1.136463666385722E-7</v>
      </c>
      <c r="X82" s="76">
        <f>($C$7*$G$14*$G$8*$E82/$D82^2*W82*10^6)</f>
        <v>2.5254748141904933E-2</v>
      </c>
      <c r="Y82" s="324">
        <f t="shared" ref="Y82:Y98" si="11">SUM(L82,O82,R82,U82,X82)</f>
        <v>0.46273676628592059</v>
      </c>
      <c r="Z82" s="325"/>
      <c r="AA82" s="326"/>
      <c r="AG82" s="328"/>
      <c r="AI82" s="328"/>
      <c r="AJ82" s="328"/>
      <c r="AK82" s="328"/>
      <c r="AL82" s="328"/>
      <c r="AP82" s="222"/>
      <c r="AQ82" s="211"/>
      <c r="AR82" s="222"/>
      <c r="AS82" s="222"/>
      <c r="AT82" s="225"/>
      <c r="AU82" s="225"/>
      <c r="AV82" s="225"/>
      <c r="AW82" s="225"/>
      <c r="AX82" s="225"/>
      <c r="AY82" s="300"/>
      <c r="AZ82" s="300"/>
    </row>
    <row r="83" spans="1:52" s="212" customFormat="1" ht="30" customHeight="1" thickBot="1" x14ac:dyDescent="0.3">
      <c r="A83" s="657" t="str">
        <f>Samenvatting!A171</f>
        <v>L5</v>
      </c>
      <c r="B83" s="656" t="str">
        <f>Samenvatting!B171</f>
        <v>ingang labyrint linac 5</v>
      </c>
      <c r="C83" s="331" t="s">
        <v>568</v>
      </c>
      <c r="D83" s="1836">
        <v>5</v>
      </c>
      <c r="E83" s="89"/>
      <c r="F83" s="1836">
        <v>250</v>
      </c>
      <c r="G83" s="1836">
        <v>0</v>
      </c>
      <c r="H83" s="1836">
        <v>0</v>
      </c>
      <c r="I83" s="1836">
        <v>0</v>
      </c>
      <c r="J83" s="74">
        <f>$F83/$C$27+$G83/$C$28+$H83/$C$29+$I83/$C$30</f>
        <v>7.3529411764705879</v>
      </c>
      <c r="K83" s="75">
        <f t="shared" si="6"/>
        <v>4.4366873309786093E-8</v>
      </c>
      <c r="L83" s="74">
        <f>($C$7*$C$15*$C$8*($C$9+$C$10*$C$11)/$D83^2*K83*10^6)</f>
        <v>1.0648049594348663E-3</v>
      </c>
      <c r="M83" s="74">
        <f>$F83/$D$27+$G83/$D$28+$H83/$D$29+$I83/$D$30</f>
        <v>6.5789473684210522</v>
      </c>
      <c r="N83" s="75">
        <f t="shared" si="7"/>
        <v>2.636650898730358E-7</v>
      </c>
      <c r="O83" s="74">
        <f>($C$7*$C$15*$D$8*($D$9+$D$10*$D$11)/$D83^2*N83*10^6)</f>
        <v>6.3279621569528599E-3</v>
      </c>
      <c r="P83" s="74">
        <f>$F83/$E$27+$G83/$E$28+$H83/$E$29+$I83/$E$30</f>
        <v>5.6818181818181817</v>
      </c>
      <c r="Q83" s="75">
        <f t="shared" si="8"/>
        <v>2.0805675382171676E-6</v>
      </c>
      <c r="R83" s="74">
        <f>($C$7*$C$15*$E$8*($E$9+$E$10*$E$11)/$D83^2*Q83*10^6)</f>
        <v>4.9933620917212027E-2</v>
      </c>
      <c r="S83" s="74">
        <f>$F83/$F$27+$G83/$F$28+$H83/$F$29+$I83/$F$30</f>
        <v>8.1967213114754092</v>
      </c>
      <c r="T83" s="75">
        <f t="shared" si="9"/>
        <v>6.3573875711648393E-9</v>
      </c>
      <c r="U83" s="74">
        <f>($C$7*$C$15*$F$8*($F$9+$F$10*$F$11)/$D83^2*T83*10^6)</f>
        <v>1.5257730170795616E-4</v>
      </c>
      <c r="V83" s="74">
        <f>$F83/$G$27+$G83/$G$28+$H83/$G$29+$I83/$G$30</f>
        <v>7.0224719101123592</v>
      </c>
      <c r="W83" s="75">
        <f t="shared" si="10"/>
        <v>9.4957241494880226E-8</v>
      </c>
      <c r="X83" s="76">
        <f>($C$7*$C$15*$G$8*($G$9+$G$10*$G$11)/$D83^2*W83*10^6)</f>
        <v>2.278973795877126E-3</v>
      </c>
      <c r="Y83" s="339">
        <f t="shared" si="11"/>
        <v>5.9757939131184837E-2</v>
      </c>
      <c r="Z83" s="333">
        <f>SUM(Y81:Y84)</f>
        <v>0.52249470541710541</v>
      </c>
      <c r="AA83" s="334">
        <f>Z83*52/10^3</f>
        <v>2.7169724681689482E-2</v>
      </c>
      <c r="AG83" s="328"/>
      <c r="AH83" s="328"/>
      <c r="AI83" s="328"/>
      <c r="AJ83" s="328"/>
      <c r="AK83" s="328"/>
      <c r="AL83" s="328"/>
      <c r="AP83" s="222"/>
      <c r="AQ83" s="211"/>
      <c r="AR83" s="222"/>
      <c r="AS83" s="222"/>
      <c r="AT83" s="225"/>
      <c r="AU83" s="225"/>
      <c r="AV83" s="225"/>
      <c r="AW83" s="225"/>
      <c r="AX83" s="225"/>
      <c r="AY83" s="300"/>
      <c r="AZ83" s="300"/>
    </row>
    <row r="84" spans="1:52" s="212" customFormat="1" ht="30" hidden="1" customHeight="1" thickBot="1" x14ac:dyDescent="0.3">
      <c r="A84" s="312"/>
      <c r="B84" s="312"/>
      <c r="C84" s="318"/>
      <c r="D84" s="1837"/>
      <c r="E84" s="1837"/>
      <c r="F84" s="1837"/>
      <c r="G84" s="1837"/>
      <c r="H84" s="1837"/>
      <c r="I84" s="1837"/>
      <c r="J84" s="74"/>
      <c r="K84" s="75"/>
      <c r="L84" s="74"/>
      <c r="M84" s="74"/>
      <c r="N84" s="75"/>
      <c r="O84" s="74"/>
      <c r="P84" s="74"/>
      <c r="Q84" s="75"/>
      <c r="R84" s="74"/>
      <c r="S84" s="74"/>
      <c r="T84" s="75"/>
      <c r="U84" s="74"/>
      <c r="V84" s="74"/>
      <c r="W84" s="75"/>
      <c r="X84" s="76"/>
      <c r="Y84" s="316"/>
      <c r="Z84" s="344"/>
      <c r="AA84" s="345"/>
      <c r="AG84" s="328"/>
      <c r="AH84" s="328"/>
      <c r="AI84" s="328"/>
      <c r="AJ84" s="328"/>
      <c r="AK84" s="328"/>
      <c r="AL84" s="328"/>
      <c r="AP84" s="222"/>
      <c r="AQ84" s="211"/>
      <c r="AR84" s="222"/>
      <c r="AS84" s="222"/>
      <c r="AT84" s="225"/>
      <c r="AU84" s="225"/>
      <c r="AV84" s="225"/>
      <c r="AW84" s="225"/>
      <c r="AX84" s="225"/>
      <c r="AY84" s="300"/>
      <c r="AZ84" s="300"/>
    </row>
    <row r="85" spans="1:52" s="212" customFormat="1" ht="30" customHeight="1" x14ac:dyDescent="0.25">
      <c r="A85" s="322"/>
      <c r="B85" s="322"/>
      <c r="C85" s="323" t="s">
        <v>209</v>
      </c>
      <c r="D85" s="1836">
        <v>6</v>
      </c>
      <c r="E85" s="1836">
        <v>1</v>
      </c>
      <c r="F85" s="1836">
        <v>250</v>
      </c>
      <c r="G85" s="1836">
        <v>0</v>
      </c>
      <c r="H85" s="1836">
        <v>0</v>
      </c>
      <c r="I85" s="1836">
        <v>0</v>
      </c>
      <c r="J85" s="74">
        <f>IF($F85=0,0,1+($F85-$C$21)/$C$22)+$G85/$C$23+$H85/$C$24+$I85/$C$25</f>
        <v>7.4545454545454541</v>
      </c>
      <c r="K85" s="75">
        <f t="shared" si="6"/>
        <v>3.5111917342151263E-8</v>
      </c>
      <c r="L85" s="74">
        <f>($C$7*$C$14*$C$8*$E85/$D85^2*K85*10^6)</f>
        <v>7.8026482982558355E-3</v>
      </c>
      <c r="M85" s="74">
        <f>IF($F85=0,0,1+($F85-$D$21)/$D$22)+$G85/$D$23+$H85/$D$24+$I85/$D$25</f>
        <v>6.6486486486486482</v>
      </c>
      <c r="N85" s="75">
        <f t="shared" si="7"/>
        <v>2.2456979955397711E-7</v>
      </c>
      <c r="O85" s="74">
        <f>($C$7*$D$14*$D$8*$E85/$D85^2*N85*10^6)</f>
        <v>4.99043999008838E-2</v>
      </c>
      <c r="P85" s="74">
        <f>IF($F$39=0,0,1+($F85-$E$21)/$E$22)+$G85/$E$23+$H85/$E$24+$I85/$E$25</f>
        <v>5.7674418604651159</v>
      </c>
      <c r="Q85" s="75">
        <f t="shared" si="8"/>
        <v>1.7082763938087111E-6</v>
      </c>
      <c r="R85" s="74">
        <f>($C$7*$D$14*$E$8*$E85/$D85^2*Q85*10^6)</f>
        <v>0.37961697640193576</v>
      </c>
      <c r="S85" s="74">
        <f>IF($F85=0,0,1+($F85-$F$21)/$F$22)+$G85/$F$23+$H85/$F$24+$I85/$F$25</f>
        <v>9.1481481481481488</v>
      </c>
      <c r="T85" s="75">
        <f t="shared" si="9"/>
        <v>7.1097094323124171E-10</v>
      </c>
      <c r="U85" s="74">
        <f>($C$7*$F$14*$F$8*$E85/$D85^2*T85*10^6)</f>
        <v>1.5799354294027593E-4</v>
      </c>
      <c r="V85" s="74">
        <f>IF($F85=0,0,1+($F85-$G$21)/$G$22)+$G85/$G$23+$H85/$G$24+$I85/$G$25</f>
        <v>6.9444444444444446</v>
      </c>
      <c r="W85" s="75">
        <f t="shared" si="10"/>
        <v>1.136463666385722E-7</v>
      </c>
      <c r="X85" s="76">
        <f>($C$7*$G$14*$G$8*$E85/$D85^2*W85*10^6)</f>
        <v>2.5254748141904933E-2</v>
      </c>
      <c r="Y85" s="324">
        <f t="shared" si="11"/>
        <v>0.46273676628592059</v>
      </c>
      <c r="Z85" s="325"/>
      <c r="AA85" s="326"/>
      <c r="AG85" s="328"/>
      <c r="AI85" s="328"/>
      <c r="AJ85" s="328"/>
      <c r="AK85" s="328"/>
      <c r="AL85" s="328"/>
      <c r="AP85" s="222"/>
      <c r="AQ85" s="211"/>
      <c r="AR85" s="222"/>
      <c r="AS85" s="222"/>
      <c r="AT85" s="225"/>
      <c r="AU85" s="225"/>
      <c r="AV85" s="225"/>
      <c r="AW85" s="225"/>
      <c r="AX85" s="225"/>
      <c r="AY85" s="300"/>
      <c r="AZ85" s="300"/>
    </row>
    <row r="86" spans="1:52" s="212" customFormat="1" ht="30" customHeight="1" thickBot="1" x14ac:dyDescent="0.3">
      <c r="A86" s="657" t="str">
        <f>Samenvatting!A183</f>
        <v>L6</v>
      </c>
      <c r="B86" s="656" t="str">
        <f>Samenvatting!B183</f>
        <v>ingang labyrint linac 6</v>
      </c>
      <c r="C86" s="331" t="s">
        <v>361</v>
      </c>
      <c r="D86" s="1836">
        <v>5</v>
      </c>
      <c r="E86" s="89"/>
      <c r="F86" s="1836">
        <v>250</v>
      </c>
      <c r="G86" s="1836">
        <v>0</v>
      </c>
      <c r="H86" s="1836">
        <v>0</v>
      </c>
      <c r="I86" s="1836">
        <v>0</v>
      </c>
      <c r="J86" s="74">
        <f>$F86/$C$27+$G86/$C$28+$H86/$C$29+$I86/$C$30</f>
        <v>7.3529411764705879</v>
      </c>
      <c r="K86" s="75">
        <f t="shared" si="6"/>
        <v>4.4366873309786093E-8</v>
      </c>
      <c r="L86" s="74">
        <f>($C$7*$C$15*$C$8*($C$9+$C$10*$C$11)/$D86^2*K86*10^6)</f>
        <v>1.0648049594348663E-3</v>
      </c>
      <c r="M86" s="74">
        <f>$F86/$D$27+$G86/$D$28+$H86/$D$29+$I86/$D$30</f>
        <v>6.5789473684210522</v>
      </c>
      <c r="N86" s="75">
        <f t="shared" si="7"/>
        <v>2.636650898730358E-7</v>
      </c>
      <c r="O86" s="74">
        <f>($C$7*$C$15*$D$8*($D$9+$D$10*$D$11)/$D86^2*N86*10^6)</f>
        <v>6.3279621569528599E-3</v>
      </c>
      <c r="P86" s="74">
        <f>$F86/$E$27+$G86/$E$28+$H86/$E$29+$I86/$E$30</f>
        <v>5.6818181818181817</v>
      </c>
      <c r="Q86" s="75">
        <f t="shared" si="8"/>
        <v>2.0805675382171676E-6</v>
      </c>
      <c r="R86" s="74">
        <f>($C$7*$C$15*$E$8*($E$9+$E$10*$E$11)/$D86^2*Q86*10^6)</f>
        <v>4.9933620917212027E-2</v>
      </c>
      <c r="S86" s="74">
        <f>$F86/$F$27+$G86/$F$28+$H86/$F$29+$I86/$F$30</f>
        <v>8.1967213114754092</v>
      </c>
      <c r="T86" s="75">
        <f t="shared" si="9"/>
        <v>6.3573875711648393E-9</v>
      </c>
      <c r="U86" s="74">
        <f>($C$7*$C$15*$F$8*($F$9+$F$10*$F$11)/$D86^2*T86*10^6)</f>
        <v>1.5257730170795616E-4</v>
      </c>
      <c r="V86" s="74">
        <f>$F86/$G$27+$G86/$G$28+$H86/$G$29+$I86/$G$30</f>
        <v>7.0224719101123592</v>
      </c>
      <c r="W86" s="75">
        <f t="shared" si="10"/>
        <v>9.4957241494880226E-8</v>
      </c>
      <c r="X86" s="76">
        <f>($C$7*$C$15*$G$8*($G$9+$G$10*$G$11)/$D86^2*W86*10^6)</f>
        <v>2.278973795877126E-3</v>
      </c>
      <c r="Y86" s="355">
        <f t="shared" si="11"/>
        <v>5.9757939131184837E-2</v>
      </c>
      <c r="Z86" s="333">
        <f>SUM(Y84:Y87)</f>
        <v>0.52249470541710541</v>
      </c>
      <c r="AA86" s="334">
        <f>Z86*52/10^3</f>
        <v>2.7169724681689482E-2</v>
      </c>
      <c r="AG86" s="328"/>
      <c r="AH86" s="328"/>
      <c r="AI86" s="328"/>
      <c r="AJ86" s="328"/>
      <c r="AK86" s="328"/>
      <c r="AL86" s="328"/>
      <c r="AP86" s="222"/>
      <c r="AQ86" s="211"/>
      <c r="AR86" s="222"/>
      <c r="AS86" s="222"/>
      <c r="AT86" s="225"/>
      <c r="AU86" s="225"/>
      <c r="AV86" s="225"/>
      <c r="AW86" s="225"/>
      <c r="AX86" s="225"/>
      <c r="AY86" s="300"/>
      <c r="AZ86" s="300"/>
    </row>
    <row r="87" spans="1:52" s="212" customFormat="1" ht="30" hidden="1" customHeight="1" thickBot="1" x14ac:dyDescent="0.3">
      <c r="A87" s="312"/>
      <c r="B87" s="312"/>
      <c r="C87" s="318"/>
      <c r="D87" s="1837"/>
      <c r="E87" s="1837"/>
      <c r="F87" s="1837"/>
      <c r="G87" s="1837"/>
      <c r="H87" s="1837"/>
      <c r="I87" s="1837"/>
      <c r="J87" s="74"/>
      <c r="K87" s="75"/>
      <c r="L87" s="74"/>
      <c r="M87" s="74"/>
      <c r="N87" s="75"/>
      <c r="O87" s="74"/>
      <c r="P87" s="74"/>
      <c r="Q87" s="75"/>
      <c r="R87" s="74"/>
      <c r="S87" s="74"/>
      <c r="T87" s="75"/>
      <c r="U87" s="74"/>
      <c r="V87" s="74"/>
      <c r="W87" s="75"/>
      <c r="X87" s="76"/>
      <c r="Y87" s="365"/>
      <c r="Z87" s="344"/>
      <c r="AA87" s="345"/>
      <c r="AG87" s="328"/>
      <c r="AH87" s="328"/>
      <c r="AI87" s="328"/>
      <c r="AJ87" s="328"/>
      <c r="AK87" s="328"/>
      <c r="AL87" s="328"/>
      <c r="AP87" s="222"/>
      <c r="AQ87" s="211"/>
      <c r="AR87" s="222"/>
      <c r="AS87" s="222"/>
      <c r="AT87" s="225"/>
      <c r="AU87" s="225"/>
      <c r="AV87" s="225"/>
      <c r="AW87" s="225"/>
      <c r="AX87" s="225"/>
      <c r="AY87" s="300"/>
      <c r="AZ87" s="300"/>
    </row>
    <row r="88" spans="1:52" s="212" customFormat="1" ht="30" customHeight="1" x14ac:dyDescent="0.25">
      <c r="A88" s="322"/>
      <c r="B88" s="322"/>
      <c r="C88" s="323" t="s">
        <v>569</v>
      </c>
      <c r="D88" s="1836">
        <v>6</v>
      </c>
      <c r="E88" s="1836">
        <v>1</v>
      </c>
      <c r="F88" s="1836">
        <v>250</v>
      </c>
      <c r="G88" s="1836">
        <v>0</v>
      </c>
      <c r="H88" s="1836">
        <v>0</v>
      </c>
      <c r="I88" s="1836">
        <v>0</v>
      </c>
      <c r="J88" s="74">
        <f>IF($F88=0,0,1+($F88-$C$21)/$C$22)+$G88/$C$23+$H88/$C$24+$I88/$C$25</f>
        <v>7.4545454545454541</v>
      </c>
      <c r="K88" s="75">
        <f t="shared" si="6"/>
        <v>3.5111917342151263E-8</v>
      </c>
      <c r="L88" s="74">
        <f>($C$7*$C$14*$C$8*$E88/$D88^2*K88*10^6)</f>
        <v>7.8026482982558355E-3</v>
      </c>
      <c r="M88" s="74">
        <f>IF($F88=0,0,1+($F88-$D$21)/$D$22)+$G88/$D$23+$H88/$D$24+$I88/$D$25</f>
        <v>6.6486486486486482</v>
      </c>
      <c r="N88" s="75">
        <f t="shared" si="7"/>
        <v>2.2456979955397711E-7</v>
      </c>
      <c r="O88" s="74">
        <f>($C$7*$D$14*$D$8*$E88/$D88^2*N88*10^6)</f>
        <v>4.99043999008838E-2</v>
      </c>
      <c r="P88" s="74">
        <f>IF($F$39=0,0,1+($F88-$E$21)/$E$22)+$G88/$E$23+$H88/$E$24+$I88/$E$25</f>
        <v>5.7674418604651159</v>
      </c>
      <c r="Q88" s="75">
        <f t="shared" si="8"/>
        <v>1.7082763938087111E-6</v>
      </c>
      <c r="R88" s="74">
        <f>($C$7*$D$14*$E$8*$E88/$D88^2*Q88*10^6)</f>
        <v>0.37961697640193576</v>
      </c>
      <c r="S88" s="74">
        <f>IF($F88=0,0,1+($F88-$F$21)/$F$22)+$G88/$F$23+$H88/$F$24+$I88/$F$25</f>
        <v>9.1481481481481488</v>
      </c>
      <c r="T88" s="75">
        <f t="shared" si="9"/>
        <v>7.1097094323124171E-10</v>
      </c>
      <c r="U88" s="74">
        <f>($C$7*$F$14*$F$8*$E88/$D88^2*T88*10^6)</f>
        <v>1.5799354294027593E-4</v>
      </c>
      <c r="V88" s="74">
        <f>IF($F88=0,0,1+($F88-$G$21)/$G$22)+$G88/$G$23+$H88/$G$24+$I88/$G$25</f>
        <v>6.9444444444444446</v>
      </c>
      <c r="W88" s="75">
        <f t="shared" si="10"/>
        <v>1.136463666385722E-7</v>
      </c>
      <c r="X88" s="76">
        <f>($C$7*$G$14*$G$8*$E88/$D88^2*W88*10^6)</f>
        <v>2.5254748141904933E-2</v>
      </c>
      <c r="Y88" s="324">
        <f t="shared" si="11"/>
        <v>0.46273676628592059</v>
      </c>
      <c r="Z88" s="325"/>
      <c r="AA88" s="326"/>
      <c r="AG88" s="328"/>
      <c r="AI88" s="328"/>
      <c r="AJ88" s="328"/>
      <c r="AK88" s="328"/>
      <c r="AL88" s="328"/>
      <c r="AP88" s="222"/>
      <c r="AQ88" s="211"/>
      <c r="AR88" s="222"/>
      <c r="AS88" s="222"/>
      <c r="AT88" s="225"/>
      <c r="AU88" s="225"/>
      <c r="AV88" s="225"/>
      <c r="AW88" s="225"/>
      <c r="AX88" s="225"/>
      <c r="AY88" s="300"/>
      <c r="AZ88" s="300"/>
    </row>
    <row r="89" spans="1:52" s="212" customFormat="1" ht="30" customHeight="1" thickBot="1" x14ac:dyDescent="0.3">
      <c r="A89" s="657" t="str">
        <f>Samenvatting!A195</f>
        <v>L7</v>
      </c>
      <c r="B89" s="656" t="str">
        <f>Samenvatting!B195</f>
        <v>ingang labyrint linac 7</v>
      </c>
      <c r="C89" s="331" t="s">
        <v>568</v>
      </c>
      <c r="D89" s="1836">
        <v>5</v>
      </c>
      <c r="E89" s="89"/>
      <c r="F89" s="1836">
        <v>250</v>
      </c>
      <c r="G89" s="1836">
        <v>0</v>
      </c>
      <c r="H89" s="1836">
        <v>0</v>
      </c>
      <c r="I89" s="1836">
        <v>0</v>
      </c>
      <c r="J89" s="74">
        <f>$F89/$C$27+$G89/$C$28+$H89/$C$29+$I89/$C$30</f>
        <v>7.3529411764705879</v>
      </c>
      <c r="K89" s="75">
        <f t="shared" si="6"/>
        <v>4.4366873309786093E-8</v>
      </c>
      <c r="L89" s="74">
        <f>($C$7*$C$15*$C$8*($C$9+$C$10*$C$11)/$D89^2*K89*10^6)</f>
        <v>1.0648049594348663E-3</v>
      </c>
      <c r="M89" s="74">
        <f>$F89/$D$27+$G89/$D$28+$H89/$D$29+$I89/$D$30</f>
        <v>6.5789473684210522</v>
      </c>
      <c r="N89" s="75">
        <f t="shared" si="7"/>
        <v>2.636650898730358E-7</v>
      </c>
      <c r="O89" s="74">
        <f>($C$7*$C$15*$D$8*($D$9+$D$10*$D$11)/$D89^2*N89*10^6)</f>
        <v>6.3279621569528599E-3</v>
      </c>
      <c r="P89" s="74">
        <f>$F89/$E$27+$G89/$E$28+$H89/$E$29+$I89/$E$30</f>
        <v>5.6818181818181817</v>
      </c>
      <c r="Q89" s="75">
        <f t="shared" si="8"/>
        <v>2.0805675382171676E-6</v>
      </c>
      <c r="R89" s="74">
        <f>($C$7*$C$15*$E$8*($E$9+$E$10*$E$11)/$D89^2*Q89*10^6)</f>
        <v>4.9933620917212027E-2</v>
      </c>
      <c r="S89" s="74">
        <f>$F89/$F$27+$G89/$F$28+$H89/$F$29+$I89/$F$30</f>
        <v>8.1967213114754092</v>
      </c>
      <c r="T89" s="75">
        <f t="shared" si="9"/>
        <v>6.3573875711648393E-9</v>
      </c>
      <c r="U89" s="74">
        <f>($C$7*$C$15*$F$8*($F$9+$F$10*$F$11)/$D89^2*T89*10^6)</f>
        <v>1.5257730170795616E-4</v>
      </c>
      <c r="V89" s="74">
        <f>$F89/$G$27+$G89/$G$28+$H89/$G$29+$I89/$G$30</f>
        <v>7.0224719101123592</v>
      </c>
      <c r="W89" s="75">
        <f t="shared" si="10"/>
        <v>9.4957241494880226E-8</v>
      </c>
      <c r="X89" s="76">
        <f>($C$7*$C$15*$G$8*($G$9+$G$10*$G$11)/$D89^2*W89*10^6)</f>
        <v>2.278973795877126E-3</v>
      </c>
      <c r="Y89" s="339">
        <f t="shared" si="11"/>
        <v>5.9757939131184837E-2</v>
      </c>
      <c r="Z89" s="333">
        <f>SUM(Y87:Y90)</f>
        <v>0.52249470541710541</v>
      </c>
      <c r="AA89" s="334">
        <f>Z89*52/10^3</f>
        <v>2.7169724681689482E-2</v>
      </c>
      <c r="AG89" s="328"/>
      <c r="AH89" s="328"/>
      <c r="AI89" s="328"/>
      <c r="AJ89" s="328"/>
      <c r="AK89" s="328"/>
      <c r="AL89" s="328"/>
      <c r="AP89" s="222"/>
      <c r="AQ89" s="211"/>
      <c r="AR89" s="222"/>
      <c r="AS89" s="222"/>
      <c r="AT89" s="225"/>
      <c r="AU89" s="225"/>
      <c r="AV89" s="225"/>
      <c r="AW89" s="225"/>
      <c r="AX89" s="225"/>
      <c r="AY89" s="300"/>
      <c r="AZ89" s="300"/>
    </row>
    <row r="90" spans="1:52" s="212" customFormat="1" ht="30" hidden="1" customHeight="1" thickBot="1" x14ac:dyDescent="0.3">
      <c r="A90" s="312"/>
      <c r="B90" s="312"/>
      <c r="C90" s="318"/>
      <c r="D90" s="1837"/>
      <c r="E90" s="1837"/>
      <c r="F90" s="1837"/>
      <c r="G90" s="1837"/>
      <c r="H90" s="1837"/>
      <c r="I90" s="1837"/>
      <c r="J90" s="74"/>
      <c r="K90" s="75"/>
      <c r="L90" s="74"/>
      <c r="M90" s="74"/>
      <c r="N90" s="75"/>
      <c r="O90" s="74"/>
      <c r="P90" s="74"/>
      <c r="Q90" s="75"/>
      <c r="R90" s="74"/>
      <c r="S90" s="74"/>
      <c r="T90" s="75"/>
      <c r="U90" s="74"/>
      <c r="V90" s="74"/>
      <c r="W90" s="75"/>
      <c r="X90" s="76"/>
      <c r="Y90" s="316"/>
      <c r="Z90" s="344"/>
      <c r="AA90" s="345"/>
      <c r="AG90" s="328"/>
      <c r="AH90" s="328"/>
      <c r="AI90" s="328"/>
      <c r="AJ90" s="328"/>
      <c r="AK90" s="328"/>
      <c r="AL90" s="328"/>
      <c r="AP90" s="222"/>
      <c r="AQ90" s="211"/>
      <c r="AR90" s="222"/>
      <c r="AS90" s="222"/>
      <c r="AT90" s="225"/>
      <c r="AU90" s="225"/>
      <c r="AV90" s="225"/>
      <c r="AW90" s="225"/>
      <c r="AX90" s="225"/>
      <c r="AY90" s="300"/>
      <c r="AZ90" s="300"/>
    </row>
    <row r="91" spans="1:52" s="212" customFormat="1" ht="30" customHeight="1" x14ac:dyDescent="0.25">
      <c r="A91" s="322"/>
      <c r="B91" s="322"/>
      <c r="C91" s="323" t="s">
        <v>569</v>
      </c>
      <c r="D91" s="1836">
        <v>6</v>
      </c>
      <c r="E91" s="1836">
        <v>1</v>
      </c>
      <c r="F91" s="1836">
        <v>250</v>
      </c>
      <c r="G91" s="1836">
        <v>0</v>
      </c>
      <c r="H91" s="1836">
        <v>0</v>
      </c>
      <c r="I91" s="1836">
        <v>0</v>
      </c>
      <c r="J91" s="74">
        <f>IF($F91=0,0,1+($F91-$C$21)/$C$22)+$G91/$C$23+$H91/$C$24+$I91/$C$25</f>
        <v>7.4545454545454541</v>
      </c>
      <c r="K91" s="75">
        <f t="shared" si="6"/>
        <v>3.5111917342151263E-8</v>
      </c>
      <c r="L91" s="74">
        <f>($C$7*$C$14*$C$8*$E91/$D91^2*K91*10^6)</f>
        <v>7.8026482982558355E-3</v>
      </c>
      <c r="M91" s="74">
        <f>IF($F91=0,0,1+($F91-$D$21)/$D$22)+$G91/$D$23+$H91/$D$24+$I91/$D$25</f>
        <v>6.6486486486486482</v>
      </c>
      <c r="N91" s="75">
        <f t="shared" si="7"/>
        <v>2.2456979955397711E-7</v>
      </c>
      <c r="O91" s="74">
        <f>($C$7*$D$14*$D$8*$E91/$D91^2*N91*10^6)</f>
        <v>4.99043999008838E-2</v>
      </c>
      <c r="P91" s="74">
        <f>IF($F$39=0,0,1+($F91-$E$21)/$E$22)+$G91/$E$23+$H91/$E$24+$I91/$E$25</f>
        <v>5.7674418604651159</v>
      </c>
      <c r="Q91" s="75">
        <f t="shared" si="8"/>
        <v>1.7082763938087111E-6</v>
      </c>
      <c r="R91" s="74">
        <f>($C$7*$D$14*$E$8*$E91/$D91^2*Q91*10^6)</f>
        <v>0.37961697640193576</v>
      </c>
      <c r="S91" s="74">
        <f>IF($F91=0,0,1+($F91-$F$21)/$F$22)+$G91/$F$23+$H91/$F$24+$I91/$F$25</f>
        <v>9.1481481481481488</v>
      </c>
      <c r="T91" s="75">
        <f t="shared" si="9"/>
        <v>7.1097094323124171E-10</v>
      </c>
      <c r="U91" s="74">
        <f>($C$7*$F$14*$F$8*$E91/$D91^2*T91*10^6)</f>
        <v>1.5799354294027593E-4</v>
      </c>
      <c r="V91" s="74">
        <f>IF($F91=0,0,1+($F91-$G$21)/$G$22)+$G91/$G$23+$H91/$G$24+$I91/$G$25</f>
        <v>6.9444444444444446</v>
      </c>
      <c r="W91" s="75">
        <f t="shared" si="10"/>
        <v>1.136463666385722E-7</v>
      </c>
      <c r="X91" s="76">
        <f>($C$7*$G$14*$G$8*$E91/$D91^2*W91*10^6)</f>
        <v>2.5254748141904933E-2</v>
      </c>
      <c r="Y91" s="324">
        <f t="shared" si="11"/>
        <v>0.46273676628592059</v>
      </c>
      <c r="Z91" s="325"/>
      <c r="AA91" s="326"/>
      <c r="AG91" s="328"/>
      <c r="AI91" s="328"/>
      <c r="AJ91" s="328"/>
      <c r="AK91" s="328"/>
      <c r="AL91" s="328"/>
      <c r="AP91" s="222"/>
      <c r="AQ91" s="211"/>
      <c r="AR91" s="222"/>
      <c r="AS91" s="222"/>
      <c r="AT91" s="225"/>
      <c r="AU91" s="225"/>
      <c r="AV91" s="225"/>
      <c r="AW91" s="225"/>
      <c r="AX91" s="225"/>
      <c r="AY91" s="300"/>
      <c r="AZ91" s="300"/>
    </row>
    <row r="92" spans="1:52" s="212" customFormat="1" ht="30" customHeight="1" thickBot="1" x14ac:dyDescent="0.3">
      <c r="A92" s="329" t="str">
        <f>Samenvatting!A207</f>
        <v>L8</v>
      </c>
      <c r="B92" s="658" t="str">
        <f>Samenvatting!B207</f>
        <v>ingang labyrint linac 8</v>
      </c>
      <c r="C92" s="331" t="s">
        <v>568</v>
      </c>
      <c r="D92" s="1836">
        <v>5</v>
      </c>
      <c r="E92" s="89"/>
      <c r="F92" s="1836">
        <v>250</v>
      </c>
      <c r="G92" s="1836">
        <v>0</v>
      </c>
      <c r="H92" s="1836">
        <v>0</v>
      </c>
      <c r="I92" s="1836">
        <v>0</v>
      </c>
      <c r="J92" s="74">
        <f>$F92/$C$27+$G92/$C$28+$H92/$C$29+$I92/$C$30</f>
        <v>7.3529411764705879</v>
      </c>
      <c r="K92" s="75">
        <f t="shared" si="6"/>
        <v>4.4366873309786093E-8</v>
      </c>
      <c r="L92" s="74">
        <f>($C$7*$C$15*$C$8*($C$9+$C$10*$C$11)/$D92^2*K92*10^6)</f>
        <v>1.0648049594348663E-3</v>
      </c>
      <c r="M92" s="74">
        <f>$F92/$D$27+$G92/$D$28+$H92/$D$29+$I92/$D$30</f>
        <v>6.5789473684210522</v>
      </c>
      <c r="N92" s="75">
        <f t="shared" si="7"/>
        <v>2.636650898730358E-7</v>
      </c>
      <c r="O92" s="74">
        <f>($C$7*$C$15*$D$8*($D$9+$D$10*$D$11)/$D92^2*N92*10^6)</f>
        <v>6.3279621569528599E-3</v>
      </c>
      <c r="P92" s="74">
        <f>$F92/$E$27+$G92/$E$28+$H92/$E$29+$I92/$E$30</f>
        <v>5.6818181818181817</v>
      </c>
      <c r="Q92" s="75">
        <f t="shared" si="8"/>
        <v>2.0805675382171676E-6</v>
      </c>
      <c r="R92" s="74">
        <f>($C$7*$C$15*$E$8*($E$9+$E$10*$E$11)/$D92^2*Q92*10^6)</f>
        <v>4.9933620917212027E-2</v>
      </c>
      <c r="S92" s="74">
        <f>$F92/$F$27+$G92/$F$28+$H92/$F$29+$I92/$F$30</f>
        <v>8.1967213114754092</v>
      </c>
      <c r="T92" s="75">
        <f t="shared" si="9"/>
        <v>6.3573875711648393E-9</v>
      </c>
      <c r="U92" s="74">
        <f>($C$7*$C$15*$F$8*($F$9+$F$10*$F$11)/$D92^2*T92*10^6)</f>
        <v>1.5257730170795616E-4</v>
      </c>
      <c r="V92" s="74">
        <f>$F92/$G$27+$G92/$G$28+$H92/$G$29+$I92/$G$30</f>
        <v>7.0224719101123592</v>
      </c>
      <c r="W92" s="75">
        <f t="shared" si="10"/>
        <v>9.4957241494880226E-8</v>
      </c>
      <c r="X92" s="76">
        <f>($C$7*$C$15*$G$8*($G$9+$G$10*$G$11)/$D92^2*W92*10^6)</f>
        <v>2.278973795877126E-3</v>
      </c>
      <c r="Y92" s="355">
        <f t="shared" si="11"/>
        <v>5.9757939131184837E-2</v>
      </c>
      <c r="Z92" s="333">
        <f>SUM(Y90:Y93)</f>
        <v>0.52249470541710541</v>
      </c>
      <c r="AA92" s="334">
        <f>Z92*52/10^3</f>
        <v>2.7169724681689482E-2</v>
      </c>
      <c r="AG92" s="328"/>
      <c r="AH92" s="328"/>
      <c r="AI92" s="328"/>
      <c r="AJ92" s="328"/>
      <c r="AK92" s="328"/>
      <c r="AL92" s="328"/>
      <c r="AP92" s="222"/>
      <c r="AQ92" s="211"/>
      <c r="AR92" s="222"/>
      <c r="AS92" s="222"/>
      <c r="AT92" s="225"/>
      <c r="AU92" s="225"/>
      <c r="AV92" s="225"/>
      <c r="AW92" s="225"/>
      <c r="AX92" s="225"/>
      <c r="AY92" s="300"/>
      <c r="AZ92" s="300"/>
    </row>
    <row r="93" spans="1:52" s="212" customFormat="1" ht="30" hidden="1" customHeight="1" thickBot="1" x14ac:dyDescent="0.3">
      <c r="A93" s="312"/>
      <c r="B93" s="312"/>
      <c r="C93" s="318"/>
      <c r="D93" s="1837"/>
      <c r="E93" s="1837"/>
      <c r="F93" s="1837"/>
      <c r="G93" s="1837"/>
      <c r="H93" s="1837"/>
      <c r="I93" s="1837"/>
      <c r="J93" s="74"/>
      <c r="K93" s="75"/>
      <c r="L93" s="74"/>
      <c r="M93" s="74"/>
      <c r="N93" s="75"/>
      <c r="O93" s="74"/>
      <c r="P93" s="74"/>
      <c r="Q93" s="75"/>
      <c r="R93" s="74"/>
      <c r="S93" s="74"/>
      <c r="T93" s="75"/>
      <c r="U93" s="74"/>
      <c r="V93" s="74"/>
      <c r="W93" s="75"/>
      <c r="X93" s="76"/>
      <c r="Y93" s="365"/>
      <c r="Z93" s="344"/>
      <c r="AA93" s="345"/>
      <c r="AG93" s="328"/>
      <c r="AH93" s="328"/>
      <c r="AI93" s="328"/>
      <c r="AJ93" s="328"/>
      <c r="AK93" s="328"/>
      <c r="AL93" s="328"/>
      <c r="AP93" s="222"/>
      <c r="AQ93" s="211"/>
      <c r="AR93" s="222"/>
      <c r="AS93" s="222"/>
      <c r="AT93" s="225"/>
      <c r="AU93" s="225"/>
      <c r="AV93" s="225"/>
      <c r="AW93" s="225"/>
      <c r="AX93" s="225"/>
      <c r="AY93" s="300"/>
      <c r="AZ93" s="300"/>
    </row>
    <row r="94" spans="1:52" s="212" customFormat="1" ht="30" customHeight="1" x14ac:dyDescent="0.25">
      <c r="A94" s="322"/>
      <c r="B94" s="322"/>
      <c r="C94" s="323" t="s">
        <v>569</v>
      </c>
      <c r="D94" s="1836">
        <v>6</v>
      </c>
      <c r="E94" s="1836">
        <v>1</v>
      </c>
      <c r="F94" s="1836">
        <v>250</v>
      </c>
      <c r="G94" s="1836">
        <v>0</v>
      </c>
      <c r="H94" s="1836">
        <v>0</v>
      </c>
      <c r="I94" s="1836">
        <v>0</v>
      </c>
      <c r="J94" s="74">
        <f>IF($F94=0,0,1+($F94-$C$21)/$C$22)+$G94/$C$23+$H94/$C$24+$I94/$C$25</f>
        <v>7.4545454545454541</v>
      </c>
      <c r="K94" s="75">
        <f t="shared" si="6"/>
        <v>3.5111917342151263E-8</v>
      </c>
      <c r="L94" s="74">
        <f>($C$7*$C$14*$C$8*$E94/$D94^2*K94*10^6)</f>
        <v>7.8026482982558355E-3</v>
      </c>
      <c r="M94" s="74">
        <f>IF($F94=0,0,1+($F94-$D$21)/$D$22)+$G94/$D$23+$H94/$D$24+$I94/$D$25</f>
        <v>6.6486486486486482</v>
      </c>
      <c r="N94" s="75">
        <f t="shared" si="7"/>
        <v>2.2456979955397711E-7</v>
      </c>
      <c r="O94" s="74">
        <f>($C$7*$D$14*$D$8*$E94/$D94^2*N94*10^6)</f>
        <v>4.99043999008838E-2</v>
      </c>
      <c r="P94" s="74">
        <f>IF($F$39=0,0,1+($F94-$E$21)/$E$22)+$G94/$E$23+$H94/$E$24+$I94/$E$25</f>
        <v>5.7674418604651159</v>
      </c>
      <c r="Q94" s="75">
        <f t="shared" si="8"/>
        <v>1.7082763938087111E-6</v>
      </c>
      <c r="R94" s="74">
        <f>($C$7*$D$14*$E$8*$E94/$D94^2*Q94*10^6)</f>
        <v>0.37961697640193576</v>
      </c>
      <c r="S94" s="74">
        <f>IF($F94=0,0,1+($F94-$F$21)/$F$22)+$G94/$F$23+$H94/$F$24+$I94/$F$25</f>
        <v>9.1481481481481488</v>
      </c>
      <c r="T94" s="75">
        <f t="shared" si="9"/>
        <v>7.1097094323124171E-10</v>
      </c>
      <c r="U94" s="74">
        <f>($C$7*$F$14*$F$8*$E94/$D94^2*T94*10^6)</f>
        <v>1.5799354294027593E-4</v>
      </c>
      <c r="V94" s="74">
        <f>IF($F94=0,0,1+($F94-$G$21)/$G$22)+$G94/$G$23+$H94/$G$24+$I94/$G$25</f>
        <v>6.9444444444444446</v>
      </c>
      <c r="W94" s="75">
        <f t="shared" si="10"/>
        <v>1.136463666385722E-7</v>
      </c>
      <c r="X94" s="76">
        <f>($C$7*$G$14*$G$8*$E94/$D94^2*W94*10^6)</f>
        <v>2.5254748141904933E-2</v>
      </c>
      <c r="Y94" s="324">
        <f t="shared" si="11"/>
        <v>0.46273676628592059</v>
      </c>
      <c r="Z94" s="325"/>
      <c r="AA94" s="326"/>
      <c r="AG94" s="328"/>
      <c r="AI94" s="328"/>
      <c r="AJ94" s="328"/>
      <c r="AK94" s="328"/>
      <c r="AL94" s="328"/>
      <c r="AP94" s="222"/>
      <c r="AQ94" s="211"/>
      <c r="AR94" s="222"/>
      <c r="AS94" s="222"/>
      <c r="AT94" s="225"/>
      <c r="AU94" s="225"/>
      <c r="AV94" s="225"/>
      <c r="AW94" s="225"/>
      <c r="AX94" s="225"/>
      <c r="AY94" s="300"/>
      <c r="AZ94" s="300"/>
    </row>
    <row r="95" spans="1:52" s="212" customFormat="1" ht="30" customHeight="1" thickBot="1" x14ac:dyDescent="0.3">
      <c r="A95" s="657" t="str">
        <f>Samenvatting!A219</f>
        <v>L9</v>
      </c>
      <c r="B95" s="656" t="str">
        <f>Samenvatting!B219</f>
        <v>ingang labyrint linac 9</v>
      </c>
      <c r="C95" s="331" t="s">
        <v>568</v>
      </c>
      <c r="D95" s="1836">
        <v>5</v>
      </c>
      <c r="E95" s="89"/>
      <c r="F95" s="1836">
        <v>250</v>
      </c>
      <c r="G95" s="1836">
        <v>0</v>
      </c>
      <c r="H95" s="1836">
        <v>0</v>
      </c>
      <c r="I95" s="1836">
        <v>0</v>
      </c>
      <c r="J95" s="74">
        <f>$F95/$C$27+$G95/$C$28+$H95/$C$29+$I95/$C$30</f>
        <v>7.3529411764705879</v>
      </c>
      <c r="K95" s="75">
        <f t="shared" si="6"/>
        <v>4.4366873309786093E-8</v>
      </c>
      <c r="L95" s="74">
        <f>($C$7*$C$15*$C$8*($C$9+$C$10*$C$11)/$D95^2*K95*10^6)</f>
        <v>1.0648049594348663E-3</v>
      </c>
      <c r="M95" s="74">
        <f>$F95/$D$27+$G95/$D$28+$H95/$D$29+$I95/$D$30</f>
        <v>6.5789473684210522</v>
      </c>
      <c r="N95" s="75">
        <f t="shared" si="7"/>
        <v>2.636650898730358E-7</v>
      </c>
      <c r="O95" s="74">
        <f>($C$7*$C$15*$D$8*($D$9+$D$10*$D$11)/$D95^2*N95*10^6)</f>
        <v>6.3279621569528599E-3</v>
      </c>
      <c r="P95" s="74">
        <f>$F95/$E$27+$G95/$E$28+$H95/$E$29+$I95/$E$30</f>
        <v>5.6818181818181817</v>
      </c>
      <c r="Q95" s="75">
        <f t="shared" si="8"/>
        <v>2.0805675382171676E-6</v>
      </c>
      <c r="R95" s="74">
        <f>($C$7*$C$15*$E$8*($E$9+$E$10*$E$11)/$D95^2*Q95*10^6)</f>
        <v>4.9933620917212027E-2</v>
      </c>
      <c r="S95" s="74">
        <f>$F95/$F$27+$G95/$F$28+$H95/$F$29+$I95/$F$30</f>
        <v>8.1967213114754092</v>
      </c>
      <c r="T95" s="75">
        <f t="shared" si="9"/>
        <v>6.3573875711648393E-9</v>
      </c>
      <c r="U95" s="74">
        <f>($C$7*$C$15*$F$8*($F$9+$F$10*$F$11)/$D95^2*T95*10^6)</f>
        <v>1.5257730170795616E-4</v>
      </c>
      <c r="V95" s="74">
        <f>$F95/$G$27+$G95/$G$28+$H95/$G$29+$I95/$G$30</f>
        <v>7.0224719101123592</v>
      </c>
      <c r="W95" s="75">
        <f t="shared" si="10"/>
        <v>9.4957241494880226E-8</v>
      </c>
      <c r="X95" s="76">
        <f>($C$7*$C$15*$G$8*($G$9+$G$10*$G$11)/$D95^2*W95*10^6)</f>
        <v>2.278973795877126E-3</v>
      </c>
      <c r="Y95" s="339">
        <f t="shared" si="11"/>
        <v>5.9757939131184837E-2</v>
      </c>
      <c r="Z95" s="333">
        <f>SUM(Y93:Y96)</f>
        <v>0.52249470541710541</v>
      </c>
      <c r="AA95" s="334">
        <f>Z95*52/10^3</f>
        <v>2.7169724681689482E-2</v>
      </c>
      <c r="AG95" s="328"/>
      <c r="AH95" s="328"/>
      <c r="AI95" s="328"/>
      <c r="AJ95" s="328"/>
      <c r="AK95" s="328"/>
      <c r="AL95" s="328"/>
      <c r="AP95" s="222"/>
      <c r="AQ95" s="211"/>
      <c r="AR95" s="222"/>
      <c r="AS95" s="222"/>
      <c r="AT95" s="225"/>
      <c r="AU95" s="225"/>
      <c r="AV95" s="225"/>
      <c r="AW95" s="225"/>
      <c r="AX95" s="225"/>
      <c r="AY95" s="300"/>
      <c r="AZ95" s="300"/>
    </row>
    <row r="96" spans="1:52" s="212" customFormat="1" ht="30" hidden="1" customHeight="1" thickBot="1" x14ac:dyDescent="0.3">
      <c r="A96" s="312"/>
      <c r="B96" s="312"/>
      <c r="C96" s="318"/>
      <c r="D96" s="1837"/>
      <c r="E96" s="1837"/>
      <c r="F96" s="1837"/>
      <c r="G96" s="1837"/>
      <c r="H96" s="1837"/>
      <c r="I96" s="1837"/>
      <c r="J96" s="74"/>
      <c r="K96" s="75"/>
      <c r="L96" s="74"/>
      <c r="M96" s="74"/>
      <c r="N96" s="75"/>
      <c r="O96" s="74"/>
      <c r="P96" s="74"/>
      <c r="Q96" s="75"/>
      <c r="R96" s="74"/>
      <c r="S96" s="74"/>
      <c r="T96" s="75"/>
      <c r="U96" s="74"/>
      <c r="V96" s="74"/>
      <c r="W96" s="75"/>
      <c r="X96" s="76"/>
      <c r="Y96" s="316"/>
      <c r="Z96" s="344"/>
      <c r="AA96" s="345"/>
      <c r="AG96" s="328"/>
      <c r="AH96" s="328"/>
      <c r="AI96" s="328"/>
      <c r="AJ96" s="328"/>
      <c r="AK96" s="328"/>
      <c r="AL96" s="328"/>
      <c r="AP96" s="222"/>
      <c r="AQ96" s="211"/>
      <c r="AR96" s="222"/>
      <c r="AS96" s="222"/>
      <c r="AT96" s="225"/>
      <c r="AU96" s="225"/>
      <c r="AV96" s="225"/>
      <c r="AW96" s="225"/>
      <c r="AX96" s="225"/>
      <c r="AY96" s="300"/>
      <c r="AZ96" s="300"/>
    </row>
    <row r="97" spans="1:54" s="212" customFormat="1" ht="30" customHeight="1" x14ac:dyDescent="0.25">
      <c r="A97" s="322"/>
      <c r="B97" s="322"/>
      <c r="C97" s="323" t="s">
        <v>569</v>
      </c>
      <c r="D97" s="1836">
        <v>6</v>
      </c>
      <c r="E97" s="1836">
        <v>1</v>
      </c>
      <c r="F97" s="1836">
        <v>250</v>
      </c>
      <c r="G97" s="1836">
        <v>0</v>
      </c>
      <c r="H97" s="1836">
        <v>0</v>
      </c>
      <c r="I97" s="1836">
        <v>0</v>
      </c>
      <c r="J97" s="74">
        <f>IF($F97=0,0,1+($F97-$C$21)/$C$22)+$G97/$C$23+$H97/$C$24+$I97/$C$25</f>
        <v>7.4545454545454541</v>
      </c>
      <c r="K97" s="75">
        <f t="shared" si="6"/>
        <v>3.5111917342151263E-8</v>
      </c>
      <c r="L97" s="74">
        <f>($C$7*$C$14*$C$8*$E97/$D97^2*K97*10^6)</f>
        <v>7.8026482982558355E-3</v>
      </c>
      <c r="M97" s="74">
        <f>IF($F97=0,0,1+($F97-$D$21)/$D$22)+$G97/$D$23+$H97/$D$24+$I97/$D$25</f>
        <v>6.6486486486486482</v>
      </c>
      <c r="N97" s="75">
        <f t="shared" si="7"/>
        <v>2.2456979955397711E-7</v>
      </c>
      <c r="O97" s="74">
        <f>($C$7*$D$14*$D$8*$E97/$D97^2*N97*10^6)</f>
        <v>4.99043999008838E-2</v>
      </c>
      <c r="P97" s="74">
        <f>IF($F$39=0,0,1+($F97-$E$21)/$E$22)+$G97/$E$23+$H97/$E$24+$I97/$E$25</f>
        <v>5.7674418604651159</v>
      </c>
      <c r="Q97" s="75">
        <f t="shared" si="8"/>
        <v>1.7082763938087111E-6</v>
      </c>
      <c r="R97" s="74">
        <f>($C$7*$D$14*$E$8*$E97/$D97^2*Q97*10^6)</f>
        <v>0.37961697640193576</v>
      </c>
      <c r="S97" s="74">
        <f>IF($F97=0,0,1+($F97-$F$21)/$F$22)+$G97/$F$23+$H97/$F$24+$I97/$F$25</f>
        <v>9.1481481481481488</v>
      </c>
      <c r="T97" s="75">
        <f t="shared" si="9"/>
        <v>7.1097094323124171E-10</v>
      </c>
      <c r="U97" s="74">
        <f>($C$7*$F$14*$F$8*$E97/$D97^2*T97*10^6)</f>
        <v>1.5799354294027593E-4</v>
      </c>
      <c r="V97" s="74">
        <f>IF($F97=0,0,1+($F97-$G$21)/$G$22)+$G97/$G$23+$H97/$G$24+$I97/$G$25</f>
        <v>6.9444444444444446</v>
      </c>
      <c r="W97" s="75">
        <f t="shared" si="10"/>
        <v>1.136463666385722E-7</v>
      </c>
      <c r="X97" s="76">
        <f>($C$7*$G$14*$G$8*$E97/$D97^2*W97*10^6)</f>
        <v>2.5254748141904933E-2</v>
      </c>
      <c r="Y97" s="324">
        <f t="shared" si="11"/>
        <v>0.46273676628592059</v>
      </c>
      <c r="Z97" s="325"/>
      <c r="AA97" s="326"/>
      <c r="AG97" s="328"/>
      <c r="AI97" s="328"/>
      <c r="AJ97" s="328"/>
      <c r="AK97" s="328"/>
      <c r="AL97" s="328"/>
      <c r="AP97" s="222"/>
      <c r="AQ97" s="211"/>
      <c r="AR97" s="222"/>
      <c r="AS97" s="222"/>
      <c r="AT97" s="225"/>
      <c r="AU97" s="225"/>
      <c r="AV97" s="225"/>
      <c r="AW97" s="225"/>
      <c r="AX97" s="225"/>
      <c r="AY97" s="300"/>
      <c r="AZ97" s="300"/>
    </row>
    <row r="98" spans="1:54" s="212" customFormat="1" ht="30" customHeight="1" thickBot="1" x14ac:dyDescent="0.3">
      <c r="A98" s="657" t="str">
        <f>Samenvatting!A231</f>
        <v>L10</v>
      </c>
      <c r="B98" s="656" t="str">
        <f>Samenvatting!B231</f>
        <v>ingang labyrint linac 10</v>
      </c>
      <c r="C98" s="331" t="s">
        <v>568</v>
      </c>
      <c r="D98" s="1836">
        <v>5</v>
      </c>
      <c r="E98" s="89"/>
      <c r="F98" s="1836">
        <v>250</v>
      </c>
      <c r="G98" s="1836">
        <v>0</v>
      </c>
      <c r="H98" s="1836">
        <v>0</v>
      </c>
      <c r="I98" s="1836">
        <v>0</v>
      </c>
      <c r="J98" s="74">
        <f>$F98/$C$27+$G98/$C$28+$H98/$C$29+$I98/$C$30</f>
        <v>7.3529411764705879</v>
      </c>
      <c r="K98" s="75">
        <f t="shared" si="6"/>
        <v>4.4366873309786093E-8</v>
      </c>
      <c r="L98" s="74">
        <f>($C$7*$C$15*$C$8*($C$9+$C$10*$C$11)/$D98^2*K98*10^6)</f>
        <v>1.0648049594348663E-3</v>
      </c>
      <c r="M98" s="74">
        <f>$F98/$D$27+$G98/$D$28+$H98/$D$29+$I98/$D$30</f>
        <v>6.5789473684210522</v>
      </c>
      <c r="N98" s="75">
        <f t="shared" si="7"/>
        <v>2.636650898730358E-7</v>
      </c>
      <c r="O98" s="74">
        <f>($C$7*$C$15*$D$8*($D$9+$D$10*$D$11)/$D98^2*N98*10^6)</f>
        <v>6.3279621569528599E-3</v>
      </c>
      <c r="P98" s="74">
        <f>$F98/$E$27+$G98/$E$28+$H98/$E$29+$I98/$E$30</f>
        <v>5.6818181818181817</v>
      </c>
      <c r="Q98" s="75">
        <f t="shared" si="8"/>
        <v>2.0805675382171676E-6</v>
      </c>
      <c r="R98" s="74">
        <f>($C$7*$C$15*$E$8*($E$9+$E$10*$E$11)/$D98^2*Q98*10^6)</f>
        <v>4.9933620917212027E-2</v>
      </c>
      <c r="S98" s="74">
        <f>$F98/$F$27+$G98/$F$28+$H98/$F$29+$I98/$F$30</f>
        <v>8.1967213114754092</v>
      </c>
      <c r="T98" s="75">
        <f t="shared" si="9"/>
        <v>6.3573875711648393E-9</v>
      </c>
      <c r="U98" s="74">
        <f>($C$7*$C$15*$F$8*($F$9+$F$10*$F$11)/$D98^2*T98*10^6)</f>
        <v>1.5257730170795616E-4</v>
      </c>
      <c r="V98" s="74">
        <f>$F98/$G$27+$G98/$G$28+$H98/$G$29+$I98/$G$30</f>
        <v>7.0224719101123592</v>
      </c>
      <c r="W98" s="75">
        <f t="shared" si="10"/>
        <v>9.4957241494880226E-8</v>
      </c>
      <c r="X98" s="76">
        <f>($C$7*$C$15*$G$8*($G$9+$G$10*$G$11)/$D98^2*W98*10^6)</f>
        <v>2.278973795877126E-3</v>
      </c>
      <c r="Y98" s="355">
        <f t="shared" si="11"/>
        <v>5.9757939131184837E-2</v>
      </c>
      <c r="Z98" s="333">
        <f>SUM(Y96:Y99)</f>
        <v>0.52249470541710541</v>
      </c>
      <c r="AA98" s="334">
        <f>Z98*52/10^3</f>
        <v>2.7169724681689482E-2</v>
      </c>
      <c r="AG98" s="328"/>
      <c r="AH98" s="328"/>
      <c r="AI98" s="328"/>
      <c r="AJ98" s="328"/>
      <c r="AK98" s="328"/>
      <c r="AL98" s="328"/>
      <c r="AP98" s="222"/>
      <c r="AQ98" s="211"/>
      <c r="AR98" s="222"/>
      <c r="AS98" s="222"/>
      <c r="AT98" s="225"/>
      <c r="AU98" s="225"/>
      <c r="AV98" s="225"/>
      <c r="AW98" s="225"/>
      <c r="AX98" s="225"/>
      <c r="AY98" s="300"/>
      <c r="AZ98" s="300"/>
    </row>
    <row r="99" spans="1:54" s="212" customFormat="1" ht="30" hidden="1" customHeight="1" thickBot="1" x14ac:dyDescent="0.3">
      <c r="A99" s="312"/>
      <c r="B99" s="312"/>
      <c r="C99" s="318"/>
      <c r="D99" s="1837"/>
      <c r="E99" s="1837"/>
      <c r="F99" s="1837"/>
      <c r="G99" s="1837"/>
      <c r="H99" s="1837"/>
      <c r="I99" s="1837"/>
      <c r="J99" s="74"/>
      <c r="K99" s="75"/>
      <c r="L99" s="74"/>
      <c r="M99" s="74"/>
      <c r="N99" s="75"/>
      <c r="O99" s="74"/>
      <c r="P99" s="74"/>
      <c r="Q99" s="75"/>
      <c r="R99" s="74"/>
      <c r="S99" s="74"/>
      <c r="T99" s="75"/>
      <c r="U99" s="74"/>
      <c r="V99" s="74"/>
      <c r="W99" s="75"/>
      <c r="X99" s="76"/>
      <c r="Y99" s="365"/>
      <c r="Z99" s="344"/>
      <c r="AA99" s="345"/>
      <c r="AG99" s="328"/>
      <c r="AH99" s="328"/>
      <c r="AI99" s="328"/>
      <c r="AJ99" s="328"/>
      <c r="AK99" s="328"/>
      <c r="AL99" s="328"/>
      <c r="AP99" s="222"/>
      <c r="AQ99" s="211"/>
      <c r="AR99" s="222"/>
      <c r="AS99" s="222"/>
      <c r="AT99" s="225"/>
      <c r="AU99" s="225"/>
      <c r="AV99" s="225"/>
      <c r="AW99" s="225"/>
      <c r="AX99" s="225"/>
      <c r="AY99" s="300"/>
      <c r="AZ99" s="300"/>
    </row>
    <row r="100" spans="1:54" s="212" customFormat="1" ht="30" customHeight="1" x14ac:dyDescent="0.25">
      <c r="A100" s="322"/>
      <c r="B100" s="322"/>
      <c r="C100" s="323" t="s">
        <v>569</v>
      </c>
      <c r="D100" s="1836">
        <v>6</v>
      </c>
      <c r="E100" s="1836">
        <v>1</v>
      </c>
      <c r="F100" s="1836">
        <v>250</v>
      </c>
      <c r="G100" s="1836">
        <v>0</v>
      </c>
      <c r="H100" s="1836">
        <v>0</v>
      </c>
      <c r="I100" s="1836">
        <v>0</v>
      </c>
      <c r="J100" s="74">
        <f>IF($F100=0,0,1+($F100-$C$21)/$C$22)+$G100/$C$23+$H100/$C$24+$I100/$C$25</f>
        <v>7.4545454545454541</v>
      </c>
      <c r="K100" s="75">
        <f t="shared" si="6"/>
        <v>3.5111917342151263E-8</v>
      </c>
      <c r="L100" s="74">
        <f>($C$7*$C$14*$C$8*$E100/$D100^2*K100*10^6)</f>
        <v>7.8026482982558355E-3</v>
      </c>
      <c r="M100" s="74">
        <f>IF($F100=0,0,1+($F100-$D$21)/$D$22)+$G100/$D$23+$H100/$D$24+$I100/$D$25</f>
        <v>6.6486486486486482</v>
      </c>
      <c r="N100" s="75">
        <f t="shared" si="7"/>
        <v>2.2456979955397711E-7</v>
      </c>
      <c r="O100" s="74">
        <f>($C$7*$D$14*$D$8*$E100/$D100^2*N100*10^6)</f>
        <v>4.99043999008838E-2</v>
      </c>
      <c r="P100" s="74">
        <f>IF($F$39=0,0,1+($F100-$E$21)/$E$22)+$G100/$E$23+$H100/$E$24+$I100/$E$25</f>
        <v>5.7674418604651159</v>
      </c>
      <c r="Q100" s="75">
        <f t="shared" si="8"/>
        <v>1.7082763938087111E-6</v>
      </c>
      <c r="R100" s="74">
        <f>($C$7*$D$14*$E$8*$E100/$D100^2*Q100*10^6)</f>
        <v>0.37961697640193576</v>
      </c>
      <c r="S100" s="74">
        <f>IF($F100=0,0,1+($F100-$F$21)/$F$22)+$G100/$F$23+$H100/$F$24+$I100/$F$25</f>
        <v>9.1481481481481488</v>
      </c>
      <c r="T100" s="75">
        <f t="shared" si="9"/>
        <v>7.1097094323124171E-10</v>
      </c>
      <c r="U100" s="74">
        <f>($C$7*$F$14*$F$8*$E100/$D100^2*T100*10^6)</f>
        <v>1.5799354294027593E-4</v>
      </c>
      <c r="V100" s="74">
        <f>IF($F100=0,0,1+($F100-$G$21)/$G$22)+$G100/$G$23+$H100/$G$24+$I100/$G$25</f>
        <v>6.9444444444444446</v>
      </c>
      <c r="W100" s="75">
        <f t="shared" si="10"/>
        <v>1.136463666385722E-7</v>
      </c>
      <c r="X100" s="76">
        <f>($C$7*$G$14*$G$8*$E100/$D100^2*W100*10^6)</f>
        <v>2.5254748141904933E-2</v>
      </c>
      <c r="Y100" s="324">
        <f>SUM(L100,O100,R100,U100,X100)</f>
        <v>0.46273676628592059</v>
      </c>
      <c r="Z100" s="325"/>
      <c r="AA100" s="326"/>
      <c r="AG100" s="328"/>
      <c r="AI100" s="328"/>
      <c r="AJ100" s="328"/>
      <c r="AK100" s="328"/>
      <c r="AL100" s="328"/>
      <c r="AP100" s="222"/>
      <c r="AQ100" s="211"/>
      <c r="AR100" s="222"/>
      <c r="AS100" s="222"/>
      <c r="AT100" s="225"/>
      <c r="AU100" s="225"/>
      <c r="AV100" s="225"/>
      <c r="AW100" s="225"/>
      <c r="AX100" s="225"/>
      <c r="AY100" s="300"/>
      <c r="AZ100" s="300"/>
    </row>
    <row r="101" spans="1:54" s="212" customFormat="1" ht="30" customHeight="1" thickBot="1" x14ac:dyDescent="0.3">
      <c r="A101" s="343" t="str">
        <f>Samenvatting!A233</f>
        <v>vrij</v>
      </c>
      <c r="B101" s="338" t="str">
        <f>Samenvatting!B233</f>
        <v>vrij te kiezen</v>
      </c>
      <c r="C101" s="331" t="s">
        <v>568</v>
      </c>
      <c r="D101" s="1836">
        <v>5</v>
      </c>
      <c r="E101" s="89"/>
      <c r="F101" s="1836">
        <v>250</v>
      </c>
      <c r="G101" s="1836">
        <v>0</v>
      </c>
      <c r="H101" s="1836">
        <v>0</v>
      </c>
      <c r="I101" s="1836">
        <v>0</v>
      </c>
      <c r="J101" s="74">
        <f>$F101/$C$27+$G101/$C$28+$H101/$C$29+$I101/$C$30</f>
        <v>7.3529411764705879</v>
      </c>
      <c r="K101" s="75">
        <f t="shared" si="6"/>
        <v>4.4366873309786093E-8</v>
      </c>
      <c r="L101" s="74">
        <f>($C$7*$C$15*$C$8*($C$9+$C$10*$C$11)/$D101^2*K101*10^6)</f>
        <v>1.0648049594348663E-3</v>
      </c>
      <c r="M101" s="74">
        <f>$F101/$D$27+$G101/$D$28+$H101/$D$29+$I101/$D$30</f>
        <v>6.5789473684210522</v>
      </c>
      <c r="N101" s="75">
        <f t="shared" si="7"/>
        <v>2.636650898730358E-7</v>
      </c>
      <c r="O101" s="74">
        <f>($C$7*$C$15*$D$8*($D$9+$D$10*$D$11)/$D101^2*N101*10^6)</f>
        <v>6.3279621569528599E-3</v>
      </c>
      <c r="P101" s="74">
        <f>$F101/$E$27+$G101/$E$28+$H101/$E$29+$I101/$E$30</f>
        <v>5.6818181818181817</v>
      </c>
      <c r="Q101" s="75">
        <f t="shared" si="8"/>
        <v>2.0805675382171676E-6</v>
      </c>
      <c r="R101" s="74">
        <f>($C$7*$C$15*$E$8*($E$9+$E$10*$E$11)/$D101^2*Q101*10^6)</f>
        <v>4.9933620917212027E-2</v>
      </c>
      <c r="S101" s="74">
        <f>$F101/$F$27+$G101/$F$28+$H101/$F$29+$I101/$F$30</f>
        <v>8.1967213114754092</v>
      </c>
      <c r="T101" s="75">
        <f t="shared" si="9"/>
        <v>6.3573875711648393E-9</v>
      </c>
      <c r="U101" s="74">
        <f>($C$7*$C$15*$F$8*($F$9+$F$10*$F$11)/$D101^2*T101*10^6)</f>
        <v>1.5257730170795616E-4</v>
      </c>
      <c r="V101" s="74">
        <f>$F101/$G$27+$G101/$G$28+$H101/$G$29+$I101/$G$30</f>
        <v>7.0224719101123592</v>
      </c>
      <c r="W101" s="75">
        <f t="shared" si="10"/>
        <v>9.4957241494880226E-8</v>
      </c>
      <c r="X101" s="76">
        <f>($C$7*$C$15*$G$8*($G$9+$G$10*$G$11)/$D101^2*W101*10^6)</f>
        <v>2.278973795877126E-3</v>
      </c>
      <c r="Y101" s="339">
        <f>SUM(L101,O101,R101,U101,X101)</f>
        <v>5.9757939131184837E-2</v>
      </c>
      <c r="Z101" s="333">
        <f>SUM(Y99:Y102)</f>
        <v>0.52249470541710541</v>
      </c>
      <c r="AA101" s="334">
        <f>Z101*52/10^3</f>
        <v>2.7169724681689482E-2</v>
      </c>
      <c r="AG101" s="328"/>
      <c r="AH101" s="328"/>
      <c r="AI101" s="328"/>
      <c r="AJ101" s="328"/>
      <c r="AK101" s="328"/>
      <c r="AL101" s="328"/>
      <c r="AP101" s="222"/>
      <c r="AQ101" s="211"/>
      <c r="AR101" s="222"/>
      <c r="AS101" s="222"/>
      <c r="AT101" s="225"/>
      <c r="AU101" s="225"/>
      <c r="AV101" s="225"/>
      <c r="AW101" s="225"/>
      <c r="AX101" s="225"/>
      <c r="AY101" s="300"/>
      <c r="AZ101" s="300"/>
    </row>
    <row r="102" spans="1:54" s="225" customFormat="1" ht="30" hidden="1" customHeight="1" x14ac:dyDescent="0.25">
      <c r="A102" s="673"/>
      <c r="B102" s="674"/>
      <c r="C102" s="675"/>
      <c r="D102" s="676"/>
      <c r="E102" s="676"/>
      <c r="F102" s="676"/>
      <c r="G102" s="676"/>
      <c r="H102" s="676"/>
      <c r="I102" s="676"/>
      <c r="J102" s="677"/>
      <c r="K102" s="678"/>
      <c r="L102" s="677"/>
      <c r="M102" s="677"/>
      <c r="N102" s="678"/>
      <c r="O102" s="677"/>
      <c r="P102" s="677"/>
      <c r="Q102" s="678"/>
      <c r="R102" s="677"/>
      <c r="S102" s="677"/>
      <c r="T102" s="678"/>
      <c r="U102" s="677"/>
      <c r="V102" s="677"/>
      <c r="W102" s="678"/>
      <c r="X102" s="677"/>
      <c r="Y102" s="369"/>
      <c r="Z102" s="233"/>
      <c r="AA102" s="233"/>
      <c r="AG102" s="328"/>
      <c r="AH102" s="328"/>
      <c r="AI102" s="328"/>
      <c r="AJ102" s="328"/>
      <c r="AK102" s="328"/>
      <c r="AL102" s="328"/>
      <c r="AP102" s="222"/>
      <c r="AQ102" s="211"/>
      <c r="AR102" s="222"/>
      <c r="AS102" s="222"/>
      <c r="AY102" s="300"/>
      <c r="AZ102" s="300"/>
    </row>
    <row r="103" spans="1:54" s="225" customFormat="1" ht="19.5" customHeight="1" thickBot="1" x14ac:dyDescent="0.3">
      <c r="A103" s="222"/>
      <c r="B103" s="222"/>
      <c r="C103" s="368"/>
      <c r="D103" s="57"/>
      <c r="E103" s="57"/>
      <c r="F103" s="57"/>
      <c r="G103" s="57"/>
      <c r="H103" s="57"/>
      <c r="I103" s="57"/>
      <c r="J103" s="369"/>
      <c r="K103" s="328"/>
      <c r="L103" s="369"/>
      <c r="M103" s="369"/>
      <c r="N103" s="328"/>
      <c r="O103" s="369"/>
      <c r="P103" s="369"/>
      <c r="Q103" s="328"/>
      <c r="R103" s="369"/>
      <c r="S103" s="369"/>
      <c r="T103" s="328"/>
      <c r="U103" s="369"/>
      <c r="V103" s="369"/>
      <c r="W103" s="328"/>
      <c r="X103" s="369"/>
      <c r="Y103" s="369"/>
      <c r="Z103" s="233"/>
      <c r="AA103" s="233"/>
      <c r="AG103" s="328"/>
      <c r="AH103" s="328"/>
      <c r="AI103" s="328"/>
      <c r="AJ103" s="328"/>
      <c r="AK103" s="328"/>
      <c r="AL103" s="328"/>
      <c r="AP103" s="222"/>
      <c r="AQ103" s="211"/>
      <c r="AR103" s="222"/>
      <c r="AS103" s="222"/>
      <c r="AY103" s="300"/>
      <c r="AZ103" s="300"/>
    </row>
    <row r="104" spans="1:54" ht="19.5" customHeight="1" x14ac:dyDescent="0.25">
      <c r="A104" s="373" t="s">
        <v>363</v>
      </c>
      <c r="B104" s="374"/>
      <c r="C104" s="375"/>
      <c r="D104" s="376"/>
      <c r="E104" s="377"/>
      <c r="F104" s="378"/>
      <c r="G104" s="379"/>
      <c r="H104" s="379"/>
      <c r="I104" s="379"/>
      <c r="J104" s="379"/>
      <c r="K104" s="379"/>
      <c r="L104" s="380"/>
      <c r="M104" s="380"/>
      <c r="N104" s="379"/>
      <c r="O104" s="379"/>
      <c r="P104" s="379"/>
      <c r="Q104" s="379"/>
      <c r="R104" s="379"/>
      <c r="S104" s="381"/>
      <c r="T104" s="379"/>
      <c r="U104" s="379"/>
      <c r="V104" s="379"/>
      <c r="W104" s="379"/>
      <c r="X104" s="379"/>
      <c r="Y104" s="379"/>
      <c r="Z104" s="379"/>
      <c r="AA104" s="216"/>
      <c r="AB104" s="297"/>
      <c r="AC104" s="216"/>
      <c r="AD104" s="216"/>
      <c r="AE104" s="216"/>
      <c r="AF104" s="216"/>
      <c r="AG104" s="382"/>
      <c r="AH104" s="382"/>
      <c r="AI104" s="382"/>
      <c r="AJ104" s="383"/>
      <c r="AK104" s="383"/>
      <c r="AL104" s="383"/>
      <c r="AM104" s="383"/>
      <c r="AN104" s="383"/>
      <c r="AO104" s="383"/>
      <c r="AP104" s="383"/>
      <c r="AQ104" s="383"/>
      <c r="AR104" s="382"/>
      <c r="AS104" s="382"/>
      <c r="AT104" s="382"/>
      <c r="AU104" s="382"/>
      <c r="AV104" s="186"/>
    </row>
    <row r="105" spans="1:54" ht="19.5" customHeight="1" thickBot="1" x14ac:dyDescent="0.3">
      <c r="A105" s="384"/>
      <c r="B105" s="385"/>
      <c r="C105" s="386"/>
      <c r="D105" s="387"/>
      <c r="E105" s="388"/>
      <c r="F105" s="388"/>
      <c r="G105" s="388"/>
      <c r="H105" s="288"/>
      <c r="I105" s="288"/>
      <c r="J105" s="288"/>
      <c r="K105" s="288"/>
      <c r="L105" s="299"/>
      <c r="M105" s="299"/>
      <c r="N105" s="288"/>
      <c r="O105" s="288"/>
      <c r="P105" s="288"/>
      <c r="Q105" s="288"/>
      <c r="R105" s="288"/>
      <c r="S105" s="289"/>
      <c r="T105" s="288"/>
      <c r="U105" s="288"/>
      <c r="V105" s="288"/>
      <c r="W105" s="288"/>
      <c r="X105" s="288"/>
      <c r="Y105" s="288"/>
      <c r="Z105" s="288"/>
      <c r="AA105" s="222"/>
      <c r="AB105" s="211"/>
      <c r="AC105" s="222"/>
      <c r="AD105" s="222"/>
      <c r="AE105" s="222"/>
      <c r="AF105" s="222"/>
      <c r="AG105" s="187"/>
      <c r="AH105" s="187"/>
      <c r="AI105" s="187"/>
      <c r="AJ105" s="282"/>
      <c r="AK105" s="282"/>
      <c r="AL105" s="282"/>
      <c r="AM105" s="282"/>
      <c r="AN105" s="282"/>
      <c r="AO105" s="282"/>
      <c r="AP105" s="282"/>
      <c r="AQ105" s="282"/>
      <c r="AR105" s="187"/>
      <c r="AS105" s="187"/>
      <c r="AT105" s="187"/>
      <c r="AU105" s="187"/>
      <c r="AV105" s="186"/>
    </row>
    <row r="106" spans="1:54" ht="19.5" customHeight="1" x14ac:dyDescent="0.25">
      <c r="A106" s="215" t="s">
        <v>247</v>
      </c>
      <c r="B106" s="389"/>
      <c r="C106" s="389"/>
      <c r="D106" s="389"/>
      <c r="E106" s="389"/>
      <c r="F106" s="389"/>
      <c r="G106" s="1845" t="s">
        <v>387</v>
      </c>
      <c r="H106" s="288"/>
      <c r="I106" s="288"/>
      <c r="J106" s="288"/>
      <c r="K106" s="288"/>
      <c r="L106" s="299"/>
      <c r="M106" s="299"/>
      <c r="N106" s="288"/>
      <c r="O106" s="288"/>
      <c r="P106" s="288"/>
      <c r="Q106" s="288"/>
      <c r="R106" s="288"/>
      <c r="S106" s="289"/>
      <c r="T106" s="288"/>
      <c r="U106" s="288"/>
      <c r="V106" s="288"/>
      <c r="W106" s="288"/>
      <c r="X106" s="288"/>
      <c r="Y106" s="288"/>
      <c r="Z106" s="288"/>
      <c r="AA106" s="222"/>
      <c r="AB106" s="211"/>
      <c r="AC106" s="222"/>
      <c r="AD106" s="222"/>
      <c r="AE106" s="222"/>
      <c r="AF106" s="222"/>
      <c r="AG106" s="187"/>
      <c r="AH106" s="187"/>
      <c r="AI106" s="187"/>
      <c r="AJ106" s="282"/>
      <c r="AK106" s="282"/>
      <c r="AL106" s="282"/>
      <c r="AM106" s="282"/>
      <c r="AN106" s="282"/>
      <c r="AO106" s="282"/>
      <c r="AP106" s="282"/>
      <c r="AQ106" s="282"/>
      <c r="AR106" s="187"/>
      <c r="AS106" s="187"/>
      <c r="AT106" s="187"/>
      <c r="AU106" s="187"/>
      <c r="AV106" s="186"/>
    </row>
    <row r="107" spans="1:54" ht="19.5" customHeight="1" thickBot="1" x14ac:dyDescent="0.3">
      <c r="A107" s="226" t="s">
        <v>246</v>
      </c>
      <c r="B107" s="390"/>
      <c r="C107" s="390"/>
      <c r="D107" s="390"/>
      <c r="E107" s="390"/>
      <c r="F107" s="390"/>
      <c r="G107" s="1846">
        <v>1</v>
      </c>
      <c r="H107" s="288"/>
      <c r="I107" s="288"/>
      <c r="J107" s="288"/>
      <c r="K107" s="288"/>
      <c r="L107" s="299"/>
      <c r="M107" s="299"/>
      <c r="N107" s="288"/>
      <c r="O107" s="288"/>
      <c r="P107" s="288"/>
      <c r="Q107" s="288"/>
      <c r="R107" s="288"/>
      <c r="S107" s="289"/>
      <c r="T107" s="288"/>
      <c r="U107" s="288"/>
      <c r="V107" s="288"/>
      <c r="W107" s="288"/>
      <c r="X107" s="288"/>
      <c r="Y107" s="288"/>
      <c r="Z107" s="288"/>
      <c r="AA107" s="222"/>
      <c r="AB107" s="211"/>
      <c r="AC107" s="222"/>
      <c r="AD107" s="222"/>
      <c r="AE107" s="222"/>
      <c r="AF107" s="222"/>
      <c r="AG107" s="187"/>
      <c r="AH107" s="187"/>
      <c r="AI107" s="187"/>
      <c r="AJ107" s="282"/>
      <c r="AK107" s="282"/>
      <c r="AL107" s="282"/>
      <c r="AM107" s="282"/>
      <c r="AN107" s="282"/>
      <c r="AO107" s="282"/>
      <c r="AP107" s="282"/>
      <c r="AQ107" s="282"/>
      <c r="AR107" s="187"/>
      <c r="AS107" s="187"/>
      <c r="AT107" s="187"/>
      <c r="AU107" s="187"/>
      <c r="AV107" s="186"/>
    </row>
    <row r="108" spans="1:54" ht="19.5" customHeight="1" thickBot="1" x14ac:dyDescent="0.3">
      <c r="A108" s="221"/>
      <c r="B108" s="225"/>
      <c r="C108" s="225"/>
      <c r="D108" s="225"/>
      <c r="E108" s="225"/>
      <c r="F108" s="225"/>
      <c r="G108" s="57"/>
      <c r="H108" s="288"/>
      <c r="I108" s="288"/>
      <c r="J108" s="288"/>
      <c r="K108" s="288"/>
      <c r="L108" s="225"/>
      <c r="M108" s="187"/>
      <c r="N108" s="187"/>
      <c r="O108" s="187"/>
      <c r="P108" s="187"/>
      <c r="Q108" s="187"/>
      <c r="R108" s="288"/>
      <c r="Y108" s="288"/>
      <c r="Z108" s="288"/>
      <c r="AA108" s="222"/>
      <c r="AB108" s="211"/>
      <c r="AC108" s="222"/>
      <c r="AD108" s="222"/>
      <c r="AE108" s="222"/>
      <c r="AF108" s="222"/>
      <c r="AG108" s="187"/>
      <c r="AH108" s="187"/>
      <c r="AI108" s="187"/>
      <c r="AJ108" s="282"/>
      <c r="AK108" s="282"/>
      <c r="AL108" s="282"/>
      <c r="AM108" s="282"/>
      <c r="AN108" s="282"/>
      <c r="AO108" s="282"/>
      <c r="AP108" s="282"/>
      <c r="AQ108" s="282"/>
      <c r="AR108" s="187"/>
      <c r="AS108" s="187"/>
      <c r="AT108" s="187"/>
      <c r="AU108" s="187"/>
      <c r="AV108" s="186"/>
    </row>
    <row r="109" spans="1:54" s="212" customFormat="1" ht="19.5" customHeight="1" thickBot="1" x14ac:dyDescent="0.3">
      <c r="A109" s="391" t="s">
        <v>243</v>
      </c>
      <c r="B109" s="392"/>
      <c r="C109" s="216"/>
      <c r="D109" s="216"/>
      <c r="E109" s="393"/>
      <c r="F109" s="216"/>
      <c r="G109" s="389"/>
      <c r="H109" s="216"/>
      <c r="I109" s="297"/>
      <c r="J109" s="394"/>
      <c r="K109" s="395"/>
      <c r="L109" s="396" t="s">
        <v>163</v>
      </c>
      <c r="M109" s="379"/>
      <c r="N109" s="379"/>
      <c r="O109" s="397"/>
      <c r="Q109" s="396" t="s">
        <v>581</v>
      </c>
      <c r="R109" s="398"/>
      <c r="S109" s="389"/>
      <c r="T109" s="389"/>
      <c r="U109" s="399"/>
      <c r="Y109" s="400"/>
      <c r="Z109" s="400"/>
      <c r="AA109" s="400"/>
      <c r="AB109" s="400"/>
      <c r="AC109" s="400"/>
      <c r="AD109" s="400"/>
      <c r="AE109" s="225"/>
      <c r="AF109" s="299"/>
      <c r="AG109" s="299"/>
      <c r="AH109" s="225"/>
      <c r="AI109" s="299"/>
      <c r="AJ109" s="299"/>
      <c r="AK109" s="225"/>
      <c r="AL109" s="299"/>
      <c r="AM109" s="299"/>
      <c r="AN109" s="225"/>
      <c r="AO109" s="299"/>
      <c r="AP109" s="299"/>
      <c r="AQ109" s="225"/>
      <c r="AR109" s="299"/>
      <c r="AS109" s="299"/>
      <c r="AT109" s="220"/>
      <c r="AU109" s="211"/>
      <c r="AV109" s="221"/>
      <c r="AW109" s="222"/>
      <c r="AX109" s="225"/>
      <c r="AY109" s="225"/>
      <c r="AZ109" s="225"/>
      <c r="BA109" s="225"/>
      <c r="BB109" s="225"/>
    </row>
    <row r="110" spans="1:54" s="212" customFormat="1" ht="19.5" customHeight="1" thickBot="1" x14ac:dyDescent="0.3">
      <c r="A110" s="401"/>
      <c r="B110" s="222"/>
      <c r="C110" s="225"/>
      <c r="D110" s="240"/>
      <c r="E110" s="402"/>
      <c r="F110" s="403" t="s">
        <v>55</v>
      </c>
      <c r="G110" s="211"/>
      <c r="H110" s="222"/>
      <c r="I110" s="211"/>
      <c r="J110" s="404"/>
      <c r="K110" s="395"/>
      <c r="L110" s="405" t="s">
        <v>577</v>
      </c>
      <c r="M110" s="406"/>
      <c r="N110" s="406"/>
      <c r="O110" s="407"/>
      <c r="Q110" s="408" t="s">
        <v>579</v>
      </c>
      <c r="R110" s="398"/>
      <c r="S110" s="389"/>
      <c r="T110" s="389"/>
      <c r="U110" s="399"/>
      <c r="Y110" s="400"/>
      <c r="Z110" s="400"/>
      <c r="AA110" s="400"/>
      <c r="AB110" s="400"/>
      <c r="AC110" s="400"/>
      <c r="AD110" s="400"/>
      <c r="AE110" s="225"/>
      <c r="AF110" s="299"/>
      <c r="AG110" s="299"/>
      <c r="AH110" s="225"/>
      <c r="AI110" s="299"/>
      <c r="AJ110" s="299"/>
      <c r="AK110" s="225"/>
      <c r="AL110" s="299"/>
      <c r="AM110" s="299"/>
      <c r="AN110" s="225"/>
      <c r="AO110" s="299"/>
      <c r="AP110" s="299"/>
      <c r="AQ110" s="225"/>
      <c r="AR110" s="299"/>
      <c r="AS110" s="299"/>
      <c r="AT110" s="220"/>
      <c r="AU110" s="211"/>
      <c r="AV110" s="221"/>
      <c r="AW110" s="222"/>
      <c r="AX110" s="225"/>
      <c r="AY110" s="225"/>
      <c r="AZ110" s="225"/>
      <c r="BA110" s="225"/>
      <c r="BB110" s="225"/>
    </row>
    <row r="111" spans="1:54" s="212" customFormat="1" ht="19.5" customHeight="1" thickBot="1" x14ac:dyDescent="0.3">
      <c r="A111" s="221"/>
      <c r="B111" s="308" t="s">
        <v>68</v>
      </c>
      <c r="C111" s="409" t="s">
        <v>81</v>
      </c>
      <c r="D111" s="410"/>
      <c r="E111" s="58">
        <v>0.5</v>
      </c>
      <c r="F111" s="411">
        <f>$C$4</f>
        <v>6</v>
      </c>
      <c r="G111" s="411">
        <f>$D$4</f>
        <v>10</v>
      </c>
      <c r="H111" s="411">
        <f>$E$4</f>
        <v>18</v>
      </c>
      <c r="I111" s="411" t="str">
        <f>$F$4</f>
        <v>6 FFF</v>
      </c>
      <c r="J111" s="412" t="str">
        <f>$G$4</f>
        <v>10 FFF</v>
      </c>
      <c r="K111" s="395"/>
      <c r="L111" s="413"/>
      <c r="M111" s="414" t="s">
        <v>38</v>
      </c>
      <c r="N111" s="415" t="s">
        <v>38</v>
      </c>
      <c r="O111" s="416" t="s">
        <v>156</v>
      </c>
      <c r="Q111" s="1847">
        <v>5.6999999999999999E-16</v>
      </c>
      <c r="R111" s="390"/>
      <c r="S111" s="390"/>
      <c r="T111" s="390"/>
      <c r="U111" s="417"/>
      <c r="Y111" s="400"/>
      <c r="Z111" s="400"/>
      <c r="AA111" s="400"/>
      <c r="AB111" s="400"/>
      <c r="AC111" s="400"/>
      <c r="AD111" s="400"/>
      <c r="AE111" s="225"/>
      <c r="AF111" s="299"/>
      <c r="AG111" s="299"/>
      <c r="AH111" s="225"/>
      <c r="AI111" s="299"/>
      <c r="AJ111" s="299"/>
      <c r="AK111" s="225"/>
      <c r="AL111" s="299"/>
      <c r="AM111" s="299"/>
      <c r="AN111" s="225"/>
      <c r="AO111" s="299"/>
      <c r="AP111" s="299"/>
      <c r="AQ111" s="225"/>
      <c r="AR111" s="299"/>
      <c r="AS111" s="299"/>
      <c r="AT111" s="220"/>
      <c r="AU111" s="211"/>
      <c r="AV111" s="221"/>
      <c r="AW111" s="222"/>
      <c r="AX111" s="225"/>
      <c r="AY111" s="225"/>
      <c r="AZ111" s="225"/>
      <c r="BA111" s="225"/>
      <c r="BB111" s="225"/>
    </row>
    <row r="112" spans="1:54" s="212" customFormat="1" ht="19.5" customHeight="1" thickBot="1" x14ac:dyDescent="0.3">
      <c r="A112" s="418" t="s">
        <v>293</v>
      </c>
      <c r="B112" s="419" t="s">
        <v>282</v>
      </c>
      <c r="C112" s="420">
        <f>IF($G$106="parallel",75,30)</f>
        <v>75</v>
      </c>
      <c r="D112" s="421"/>
      <c r="E112" s="422"/>
      <c r="F112" s="423">
        <f>IF($G$106="parallel",VLOOKUP($F$111,reflectiecoefficienten!$A$11:$F$20,2),VLOOKUP($F$111,reflectiecoefficienten!$A$28:$F$37,2))</f>
        <v>2.7000000000000001E-3</v>
      </c>
      <c r="G112" s="423">
        <f>IF($G$106="parallel",VLOOKUP($G$111,reflectiecoefficienten!$A$11:$F$20,2),VLOOKUP($G$111,reflectiecoefficienten!$A$28:$F$37,2))</f>
        <v>2.0999999999999999E-3</v>
      </c>
      <c r="H112" s="423">
        <f>IF($G$106="parallel",VLOOKUP($H$111,reflectiecoefficienten!$A$11:$F$20,2),VLOOKUP($H$111,reflectiecoefficienten!$A$28:$F$37,2))</f>
        <v>1.6000000000000001E-3</v>
      </c>
      <c r="I112" s="424">
        <f>IF($G$106="parallel",VLOOKUP($I$111,reflectiecoefficienten!$A$11:$F$20,2),VLOOKUP($I$111,reflectiecoefficienten!$A$28:$F$37,2))</f>
        <v>3.5000000000000001E-3</v>
      </c>
      <c r="J112" s="425">
        <f>IF($G$106="parallel",VLOOKUP($J$111,reflectiecoefficienten!$A$11:$F$20,2),VLOOKUP($J$111,reflectiecoefficienten!$A$28:$F$37,2))</f>
        <v>3.3E-3</v>
      </c>
      <c r="K112" s="395"/>
      <c r="L112" s="257"/>
      <c r="M112" s="312" t="s">
        <v>578</v>
      </c>
      <c r="N112" s="308" t="s">
        <v>33</v>
      </c>
      <c r="O112" s="309" t="s">
        <v>245</v>
      </c>
      <c r="Q112" s="426" t="s">
        <v>580</v>
      </c>
      <c r="R112" s="400"/>
      <c r="S112" s="225"/>
      <c r="T112" s="225"/>
      <c r="U112" s="427"/>
      <c r="Y112" s="400"/>
      <c r="Z112" s="400"/>
      <c r="AA112" s="400"/>
      <c r="AB112" s="400"/>
      <c r="AC112" s="400"/>
      <c r="AD112" s="400"/>
      <c r="AE112" s="225"/>
      <c r="AF112" s="299"/>
      <c r="AG112" s="299"/>
      <c r="AH112" s="225"/>
      <c r="AI112" s="299"/>
      <c r="AJ112" s="299"/>
      <c r="AK112" s="225"/>
      <c r="AL112" s="299"/>
      <c r="AM112" s="299"/>
      <c r="AN112" s="225"/>
      <c r="AO112" s="299"/>
      <c r="AP112" s="299"/>
      <c r="AQ112" s="225"/>
      <c r="AR112" s="299"/>
      <c r="AS112" s="299"/>
      <c r="AT112" s="220"/>
      <c r="AU112" s="211"/>
      <c r="AV112" s="221"/>
      <c r="AW112" s="222"/>
      <c r="AX112" s="225"/>
      <c r="AY112" s="225"/>
      <c r="AZ112" s="225"/>
      <c r="BA112" s="225"/>
      <c r="BB112" s="225"/>
    </row>
    <row r="113" spans="1:54" s="212" customFormat="1" ht="19.5" customHeight="1" thickBot="1" x14ac:dyDescent="0.3">
      <c r="A113" s="428" t="s">
        <v>294</v>
      </c>
      <c r="B113" s="179" t="s">
        <v>282</v>
      </c>
      <c r="C113" s="308">
        <v>75</v>
      </c>
      <c r="D113" s="421"/>
      <c r="E113" s="429"/>
      <c r="F113" s="423">
        <f>IF($G$106="parallel",VLOOKUP($F$111,reflectiecoefficienten!$A$11:$F$20,3),VLOOKUP($F$111,reflectiecoefficienten!$A$28:$F$37,3))</f>
        <v>2.7000000000000001E-3</v>
      </c>
      <c r="G113" s="423">
        <f>IF($G$106="parallel",VLOOKUP($G$111,reflectiecoefficienten!$A$11:$F$20,3),VLOOKUP($G$111,reflectiecoefficienten!$A$28:$F$37,3))</f>
        <v>2.0999999999999999E-3</v>
      </c>
      <c r="H113" s="423">
        <f>IF($G$106="parallel",VLOOKUP($H$111,reflectiecoefficienten!$A$11:$F$20,3),VLOOKUP($H$111,reflectiecoefficienten!$A$28:$F$37,3))</f>
        <v>1.6000000000000001E-3</v>
      </c>
      <c r="I113" s="424">
        <f>IF($G$106="parallel",VLOOKUP($I$111,reflectiecoefficienten!$A$11:$F$20,3),VLOOKUP($I$111,reflectiecoefficienten!$A$28:$F$37,3))</f>
        <v>3.5000000000000001E-3</v>
      </c>
      <c r="J113" s="425">
        <f>IF($G$106="parallel",VLOOKUP($J$111,reflectiecoefficienten!$A$11:$F$20,3),VLOOKUP($J$111,reflectiecoefficienten!$A$28:$F$37,3))</f>
        <v>3.3E-3</v>
      </c>
      <c r="K113" s="395"/>
      <c r="L113" s="307" t="s">
        <v>55</v>
      </c>
      <c r="M113" s="430">
        <v>0.5</v>
      </c>
      <c r="N113" s="415">
        <v>0.1</v>
      </c>
      <c r="O113" s="416">
        <v>3.6</v>
      </c>
      <c r="Q113" s="1848">
        <v>6.2</v>
      </c>
      <c r="R113" s="431"/>
      <c r="S113" s="390"/>
      <c r="T113" s="390"/>
      <c r="U113" s="417"/>
      <c r="Y113" s="400"/>
      <c r="Z113" s="400"/>
      <c r="AA113" s="400"/>
      <c r="AB113" s="400"/>
      <c r="AC113" s="400"/>
      <c r="AD113" s="400"/>
      <c r="AE113" s="225"/>
      <c r="AF113" s="299"/>
      <c r="AG113" s="299"/>
      <c r="AH113" s="225"/>
      <c r="AI113" s="299"/>
      <c r="AJ113" s="299"/>
      <c r="AK113" s="225"/>
      <c r="AL113" s="299"/>
      <c r="AM113" s="299"/>
      <c r="AN113" s="225"/>
      <c r="AO113" s="299"/>
      <c r="AP113" s="299"/>
      <c r="AQ113" s="225"/>
      <c r="AR113" s="299"/>
      <c r="AS113" s="299"/>
      <c r="AT113" s="220"/>
      <c r="AU113" s="211"/>
      <c r="AV113" s="221"/>
      <c r="AW113" s="222"/>
      <c r="AX113" s="225"/>
      <c r="AY113" s="225"/>
      <c r="AZ113" s="225"/>
      <c r="BA113" s="225"/>
      <c r="BB113" s="225"/>
    </row>
    <row r="114" spans="1:54" s="212" customFormat="1" ht="19.5" customHeight="1" thickBot="1" x14ac:dyDescent="0.3">
      <c r="A114" s="428" t="s">
        <v>295</v>
      </c>
      <c r="B114" s="308" t="str">
        <f>IF($G$106="parallel","loodrecht",45)</f>
        <v>loodrecht</v>
      </c>
      <c r="C114" s="308">
        <f>IF($G$106="parallel",75,0)</f>
        <v>75</v>
      </c>
      <c r="D114" s="421"/>
      <c r="E114" s="432">
        <f>IF($G$106="parallel",VLOOKUP($E$111,reflectiecoefficienten!$A$11:$F$20,4),VLOOKUP($E$111,reflectiecoefficienten!$A$28:$F$37,4))</f>
        <v>8.0000000000000002E-3</v>
      </c>
      <c r="F114" s="433"/>
      <c r="G114" s="423"/>
      <c r="H114" s="423"/>
      <c r="I114" s="424"/>
      <c r="J114" s="425"/>
      <c r="K114" s="395"/>
      <c r="L114" s="434" t="s">
        <v>3</v>
      </c>
      <c r="M114" s="263">
        <f>VLOOKUP($M$113,'TVT''s afscherming'!$A$10:$J$23,5)</f>
        <v>5.5</v>
      </c>
      <c r="N114" s="435">
        <f>VLOOKUP($N$113,'TVT''s afscherming'!$A$45:$J$45,3)</f>
        <v>37</v>
      </c>
      <c r="O114" s="436">
        <f>VLOOKUP($O$113,'TVT''s afscherming'!$A$47:$J$47,3)</f>
        <v>13.5</v>
      </c>
      <c r="R114" s="400"/>
      <c r="Y114" s="400"/>
      <c r="Z114" s="400"/>
      <c r="AA114" s="400"/>
      <c r="AB114" s="400"/>
      <c r="AC114" s="400"/>
      <c r="AD114" s="400"/>
      <c r="AE114" s="225"/>
      <c r="AF114" s="299"/>
      <c r="AG114" s="299"/>
      <c r="AH114" s="225"/>
      <c r="AI114" s="299"/>
      <c r="AJ114" s="299"/>
      <c r="AK114" s="225"/>
      <c r="AL114" s="299"/>
      <c r="AM114" s="299"/>
      <c r="AN114" s="225"/>
      <c r="AO114" s="299"/>
      <c r="AP114" s="299"/>
      <c r="AQ114" s="225"/>
      <c r="AR114" s="299"/>
      <c r="AS114" s="299"/>
      <c r="AT114" s="220"/>
      <c r="AU114" s="211"/>
      <c r="AV114" s="221"/>
      <c r="AW114" s="222"/>
      <c r="AX114" s="225"/>
      <c r="AY114" s="225"/>
      <c r="AZ114" s="225"/>
      <c r="BA114" s="225"/>
      <c r="BB114" s="225"/>
    </row>
    <row r="115" spans="1:54" s="212" customFormat="1" ht="19.5" customHeight="1" thickBot="1" x14ac:dyDescent="0.3">
      <c r="A115" s="428" t="s">
        <v>296</v>
      </c>
      <c r="B115" s="308">
        <v>45</v>
      </c>
      <c r="C115" s="308">
        <v>0</v>
      </c>
      <c r="D115" s="421"/>
      <c r="E115" s="432">
        <f>IF($G$106="parallel",VLOOKUP($E$111,reflectiecoefficienten!$A$11:$F$20,5),VLOOKUP($E$111,reflectiecoefficienten!$A$28:$F$37,5))</f>
        <v>2.1999999999999999E-2</v>
      </c>
      <c r="F115" s="423">
        <f>IF($G$106="parallel",VLOOKUP($F$111,reflectiecoefficienten!$A$11:$F$20,5),VLOOKUP($F$111,reflectiecoefficienten!$A$28:$F$37,5))</f>
        <v>6.4000000000000003E-3</v>
      </c>
      <c r="G115" s="423">
        <f>IF($G$106="parallel",VLOOKUP($G$111,reflectiecoefficienten!$A$11:$F$20,5),VLOOKUP($G$111,reflectiecoefficienten!$A$28:$F$37,5))</f>
        <v>5.1000000000000004E-3</v>
      </c>
      <c r="H115" s="423">
        <f>IF($G$106="parallel",VLOOKUP($H$111,reflectiecoefficienten!$A$11:$F$20,5),VLOOKUP($H$111,reflectiecoefficienten!$A$28:$F$37,5))</f>
        <v>4.4999999999999997E-3</v>
      </c>
      <c r="I115" s="424">
        <f>IF($G$106="parallel",VLOOKUP($I$111,reflectiecoefficienten!$A$11:$F$20,5),VLOOKUP($I$111,reflectiecoefficienten!$A$28:$F$37,5))</f>
        <v>8.3000000000000001E-3</v>
      </c>
      <c r="J115" s="425">
        <f>IF($G$106="parallel",VLOOKUP($J$111,reflectiecoefficienten!$A$11:$F$20,5),VLOOKUP($J$111,reflectiecoefficienten!$A$28:$F$37,5))</f>
        <v>7.3000000000000001E-3</v>
      </c>
      <c r="K115" s="395"/>
      <c r="L115" s="307" t="s">
        <v>22</v>
      </c>
      <c r="M115" s="263">
        <f>VLOOKUP($M$113,'TVT''s afscherming'!$A$10:$J$23,6)</f>
        <v>1.6</v>
      </c>
      <c r="N115" s="263">
        <f>VLOOKUP($N$113,'TVT''s afscherming'!$A$45:$J$45,4)</f>
        <v>37</v>
      </c>
      <c r="O115" s="437">
        <f>IF(M134&gt;5,'TVT''s afscherming'!$D$48,'TVT''s afscherming'!$D$47)</f>
        <v>0.6</v>
      </c>
      <c r="R115" s="400"/>
      <c r="Y115" s="400"/>
      <c r="Z115" s="400"/>
      <c r="AA115" s="400"/>
      <c r="AB115" s="400"/>
      <c r="AC115" s="400"/>
      <c r="AD115" s="400"/>
      <c r="AE115" s="225"/>
      <c r="AF115" s="299"/>
      <c r="AG115" s="299"/>
      <c r="AH115" s="225"/>
      <c r="AI115" s="299"/>
      <c r="AJ115" s="299"/>
      <c r="AK115" s="225"/>
      <c r="AL115" s="299"/>
      <c r="AM115" s="299"/>
      <c r="AN115" s="225"/>
      <c r="AO115" s="299"/>
      <c r="AP115" s="299"/>
      <c r="AQ115" s="225"/>
      <c r="AR115" s="299"/>
      <c r="AS115" s="299"/>
      <c r="AT115" s="220"/>
      <c r="AU115" s="211"/>
      <c r="AV115" s="221"/>
      <c r="AW115" s="222"/>
      <c r="AX115" s="225"/>
      <c r="AY115" s="225"/>
      <c r="AZ115" s="225"/>
      <c r="BA115" s="225"/>
      <c r="BB115" s="225"/>
    </row>
    <row r="116" spans="1:54" s="212" customFormat="1" ht="19.5" customHeight="1" thickBot="1" x14ac:dyDescent="0.3">
      <c r="A116" s="428" t="s">
        <v>297</v>
      </c>
      <c r="B116" s="179" t="s">
        <v>282</v>
      </c>
      <c r="C116" s="308">
        <v>75</v>
      </c>
      <c r="D116" s="222"/>
      <c r="E116" s="424">
        <f>IF(G107=1,1,(IF($G$106="parallel",VLOOKUP($E$111,reflectiecoefficienten!$A$11:$F$20,6),VLOOKUP($E$111,reflectiecoefficienten!$A$28:$F$37,6))))</f>
        <v>1</v>
      </c>
      <c r="F116" s="429"/>
      <c r="G116" s="423"/>
      <c r="H116" s="424"/>
      <c r="I116" s="424"/>
      <c r="J116" s="425"/>
      <c r="K116" s="395"/>
      <c r="L116" s="438" t="s">
        <v>39</v>
      </c>
      <c r="M116" s="439"/>
      <c r="N116" s="276">
        <f>VLOOKUP($N$113,'TVT''s afscherming'!$A$45:$J$45,5)</f>
        <v>4.5</v>
      </c>
      <c r="O116" s="440"/>
      <c r="R116" s="400"/>
      <c r="Y116" s="400"/>
      <c r="Z116" s="400"/>
      <c r="AA116" s="400"/>
      <c r="AB116" s="400"/>
      <c r="AC116" s="400"/>
      <c r="AD116" s="400"/>
      <c r="AE116" s="225"/>
      <c r="AF116" s="299"/>
      <c r="AG116" s="299"/>
      <c r="AH116" s="225"/>
      <c r="AI116" s="299"/>
      <c r="AJ116" s="299"/>
      <c r="AK116" s="225"/>
      <c r="AL116" s="299"/>
      <c r="AM116" s="299"/>
      <c r="AN116" s="225"/>
      <c r="AO116" s="299"/>
      <c r="AP116" s="299"/>
      <c r="AQ116" s="225"/>
      <c r="AR116" s="299"/>
      <c r="AS116" s="299"/>
      <c r="AT116" s="220"/>
      <c r="AU116" s="211"/>
      <c r="AV116" s="221"/>
      <c r="AW116" s="222"/>
      <c r="AX116" s="225"/>
      <c r="AY116" s="225"/>
      <c r="AZ116" s="225"/>
      <c r="BA116" s="225"/>
      <c r="BB116" s="225"/>
    </row>
    <row r="117" spans="1:54" s="212" customFormat="1" ht="19.5" customHeight="1" thickBot="1" x14ac:dyDescent="0.3">
      <c r="A117" s="441"/>
      <c r="B117" s="442"/>
      <c r="C117" s="443"/>
      <c r="D117" s="444"/>
      <c r="E117" s="445"/>
      <c r="F117" s="446"/>
      <c r="G117" s="445"/>
      <c r="H117" s="445"/>
      <c r="I117" s="445"/>
      <c r="J117" s="445"/>
      <c r="K117" s="395"/>
      <c r="R117" s="400"/>
      <c r="Y117" s="400"/>
      <c r="Z117" s="400"/>
      <c r="AA117" s="400"/>
      <c r="AB117" s="400"/>
      <c r="AC117" s="400"/>
      <c r="AD117" s="400"/>
      <c r="AE117" s="225"/>
      <c r="AF117" s="299"/>
      <c r="AG117" s="299"/>
      <c r="AH117" s="225"/>
      <c r="AI117" s="299"/>
      <c r="AJ117" s="299"/>
      <c r="AK117" s="225"/>
      <c r="AL117" s="299"/>
      <c r="AM117" s="299"/>
      <c r="AN117" s="225"/>
      <c r="AO117" s="299"/>
      <c r="AP117" s="299"/>
      <c r="AQ117" s="225"/>
      <c r="AR117" s="299"/>
      <c r="AS117" s="299"/>
      <c r="AT117" s="220"/>
      <c r="AU117" s="211"/>
      <c r="AV117" s="221"/>
      <c r="AW117" s="222"/>
      <c r="AX117" s="225"/>
      <c r="AY117" s="225"/>
      <c r="AZ117" s="225"/>
      <c r="BA117" s="225"/>
      <c r="BB117" s="225"/>
    </row>
    <row r="118" spans="1:54" s="212" customFormat="1" ht="19.5" customHeight="1" x14ac:dyDescent="0.25">
      <c r="A118" s="447" t="s">
        <v>280</v>
      </c>
      <c r="B118" s="272"/>
      <c r="C118" s="222"/>
      <c r="D118" s="222"/>
      <c r="E118" s="310"/>
      <c r="F118" s="448" t="s">
        <v>55</v>
      </c>
      <c r="J118" s="449"/>
      <c r="K118" s="395"/>
      <c r="R118" s="400"/>
      <c r="S118" s="400"/>
      <c r="T118" s="400"/>
      <c r="U118" s="400"/>
      <c r="V118" s="400"/>
      <c r="W118" s="400"/>
      <c r="X118" s="400"/>
      <c r="Y118" s="400"/>
      <c r="Z118" s="400"/>
      <c r="AA118" s="400"/>
      <c r="AB118" s="400"/>
      <c r="AC118" s="400"/>
      <c r="AD118" s="400"/>
      <c r="AE118" s="225"/>
      <c r="AF118" s="299"/>
      <c r="AG118" s="299"/>
      <c r="AH118" s="225"/>
      <c r="AI118" s="299"/>
      <c r="AJ118" s="299"/>
      <c r="AK118" s="225"/>
      <c r="AL118" s="299"/>
      <c r="AM118" s="299"/>
      <c r="AN118" s="225"/>
      <c r="AO118" s="299"/>
      <c r="AP118" s="299"/>
      <c r="AQ118" s="225"/>
      <c r="AR118" s="299"/>
      <c r="AS118" s="299"/>
      <c r="AT118" s="220"/>
      <c r="AU118" s="211"/>
      <c r="AV118" s="221"/>
      <c r="AW118" s="222"/>
      <c r="AX118" s="225"/>
      <c r="AY118" s="225"/>
      <c r="AZ118" s="225"/>
      <c r="BA118" s="225"/>
      <c r="BB118" s="225"/>
    </row>
    <row r="119" spans="1:54" s="212" customFormat="1" ht="19.5" customHeight="1" x14ac:dyDescent="0.25">
      <c r="A119" s="221" t="s">
        <v>291</v>
      </c>
      <c r="B119" s="220"/>
      <c r="C119" s="450" t="s">
        <v>289</v>
      </c>
      <c r="D119" s="266"/>
      <c r="E119" s="451"/>
      <c r="F119" s="411">
        <f>$C$4</f>
        <v>6</v>
      </c>
      <c r="G119" s="269">
        <f>$D$4</f>
        <v>10</v>
      </c>
      <c r="H119" s="269">
        <f>$E$4</f>
        <v>18</v>
      </c>
      <c r="I119" s="411" t="str">
        <f>$F$4</f>
        <v>6 FFF</v>
      </c>
      <c r="J119" s="412" t="str">
        <f>$G$4</f>
        <v>10 FFF</v>
      </c>
      <c r="K119" s="395"/>
      <c r="L119" s="211"/>
      <c r="M119" s="452"/>
      <c r="N119" s="453"/>
      <c r="O119" s="453"/>
      <c r="P119" s="453"/>
      <c r="Q119" s="453"/>
      <c r="R119" s="400"/>
      <c r="S119" s="400"/>
      <c r="T119" s="400"/>
      <c r="U119" s="400"/>
      <c r="V119" s="400"/>
      <c r="W119" s="400"/>
      <c r="X119" s="400"/>
      <c r="Y119" s="400"/>
      <c r="Z119" s="400"/>
      <c r="AA119" s="400"/>
      <c r="AB119" s="400"/>
      <c r="AC119" s="400"/>
      <c r="AD119" s="400"/>
      <c r="AE119" s="225"/>
      <c r="AF119" s="299"/>
      <c r="AG119" s="299"/>
      <c r="AH119" s="225"/>
      <c r="AI119" s="299"/>
      <c r="AJ119" s="299"/>
      <c r="AK119" s="225"/>
      <c r="AL119" s="299"/>
      <c r="AM119" s="299"/>
      <c r="AN119" s="225"/>
      <c r="AO119" s="299"/>
      <c r="AP119" s="299"/>
      <c r="AQ119" s="225"/>
      <c r="AR119" s="299"/>
      <c r="AS119" s="299"/>
      <c r="AT119" s="220"/>
      <c r="AU119" s="211"/>
      <c r="AV119" s="221"/>
      <c r="AW119" s="222"/>
      <c r="AX119" s="225"/>
      <c r="AY119" s="225"/>
      <c r="AZ119" s="225"/>
      <c r="BA119" s="225"/>
      <c r="BB119" s="225"/>
    </row>
    <row r="120" spans="1:54" s="212" customFormat="1" ht="19.5" customHeight="1" x14ac:dyDescent="0.25">
      <c r="A120" s="454" t="s">
        <v>281</v>
      </c>
      <c r="B120" s="455"/>
      <c r="C120" s="456" t="s">
        <v>287</v>
      </c>
      <c r="D120" s="457"/>
      <c r="E120" s="458"/>
      <c r="F120" s="423">
        <f>VLOOKUP($F$119,patientscatterfactoren!$A$18:$I$29,5)</f>
        <v>1.39E-3</v>
      </c>
      <c r="G120" s="423">
        <f>VLOOKUP($G$119,patientscatterfactoren!$A$18:$I$29,5)</f>
        <v>1.3500000000000001E-3</v>
      </c>
      <c r="H120" s="423">
        <f>VLOOKUP($H$119,patientscatterfactoren!$A$18:$I$29,5)</f>
        <v>8.6399999999999997E-4</v>
      </c>
      <c r="I120" s="423">
        <f>VLOOKUP($I$119,patientscatterfactoren!$A$18:$I$29,5)</f>
        <v>1.2999999999999999E-3</v>
      </c>
      <c r="J120" s="425">
        <f>VLOOKUP($J$119,patientscatterfactoren!$A$18:$I$29,5)</f>
        <v>1.1999999999999999E-3</v>
      </c>
      <c r="K120" s="395"/>
      <c r="L120" s="211"/>
      <c r="M120" s="453"/>
      <c r="N120" s="453"/>
      <c r="O120" s="453"/>
      <c r="P120" s="453"/>
      <c r="Q120" s="453"/>
      <c r="R120" s="400"/>
      <c r="S120" s="400"/>
      <c r="T120" s="400"/>
      <c r="U120" s="400"/>
      <c r="V120" s="400"/>
      <c r="W120" s="400"/>
      <c r="X120" s="400"/>
      <c r="Y120" s="400"/>
      <c r="Z120" s="400"/>
      <c r="AA120" s="400"/>
      <c r="AB120" s="400"/>
      <c r="AC120" s="400"/>
      <c r="AD120" s="400"/>
      <c r="AE120" s="225"/>
      <c r="AF120" s="299"/>
      <c r="AG120" s="299"/>
      <c r="AH120" s="225"/>
      <c r="AI120" s="299"/>
      <c r="AJ120" s="299"/>
      <c r="AK120" s="225"/>
      <c r="AL120" s="299"/>
      <c r="AM120" s="299"/>
      <c r="AN120" s="225"/>
      <c r="AO120" s="299"/>
      <c r="AP120" s="299"/>
      <c r="AQ120" s="225"/>
      <c r="AR120" s="299"/>
      <c r="AS120" s="299"/>
      <c r="AT120" s="220"/>
      <c r="AU120" s="211"/>
      <c r="AV120" s="221"/>
      <c r="AW120" s="222"/>
      <c r="AX120" s="225"/>
      <c r="AY120" s="225"/>
      <c r="AZ120" s="225"/>
      <c r="BA120" s="225"/>
      <c r="BB120" s="225"/>
    </row>
    <row r="121" spans="1:54" s="212" customFormat="1" ht="19.5" customHeight="1" x14ac:dyDescent="0.25">
      <c r="A121" s="459" t="s">
        <v>284</v>
      </c>
      <c r="B121" s="272"/>
      <c r="C121" s="460" t="s">
        <v>285</v>
      </c>
      <c r="D121" s="222"/>
      <c r="E121" s="461"/>
      <c r="F121" s="423">
        <f>VLOOKUP($F$119,patientscatterfactoren!$A$18:$I$29,7)</f>
        <v>4.26E-4</v>
      </c>
      <c r="G121" s="423">
        <f>VLOOKUP($G$119,patientscatterfactoren!$A$18:$I$29,7)</f>
        <v>3.8099999999999999E-4</v>
      </c>
      <c r="H121" s="423">
        <f>VLOOKUP($H$119,patientscatterfactoren!$A$18:$I$29,7)</f>
        <v>1.8900000000000001E-4</v>
      </c>
      <c r="I121" s="423">
        <f>VLOOKUP($I$119,patientscatterfactoren!$A$18:$I$29,7)</f>
        <v>4.46E-4</v>
      </c>
      <c r="J121" s="425">
        <f>VLOOKUP($J$119,patientscatterfactoren!$A$18:$I$29,7)</f>
        <v>4.0299999999999998E-4</v>
      </c>
      <c r="K121" s="395"/>
      <c r="L121" s="211"/>
      <c r="M121" s="453"/>
      <c r="N121" s="453"/>
      <c r="O121" s="453"/>
      <c r="P121" s="453"/>
      <c r="Q121" s="453"/>
      <c r="R121" s="400"/>
      <c r="S121" s="400"/>
      <c r="T121" s="400"/>
      <c r="U121" s="400"/>
      <c r="V121" s="400"/>
      <c r="W121" s="400"/>
      <c r="X121" s="400"/>
      <c r="Y121" s="400"/>
      <c r="Z121" s="400"/>
      <c r="AA121" s="400"/>
      <c r="AB121" s="400"/>
      <c r="AC121" s="400"/>
      <c r="AD121" s="400"/>
      <c r="AE121" s="225"/>
      <c r="AF121" s="299"/>
      <c r="AG121" s="299"/>
      <c r="AH121" s="225"/>
      <c r="AI121" s="299"/>
      <c r="AJ121" s="299"/>
      <c r="AK121" s="225"/>
      <c r="AL121" s="299"/>
      <c r="AM121" s="299"/>
      <c r="AN121" s="225"/>
      <c r="AO121" s="299"/>
      <c r="AP121" s="299"/>
      <c r="AQ121" s="225"/>
      <c r="AR121" s="299"/>
      <c r="AS121" s="299"/>
      <c r="AT121" s="220"/>
      <c r="AU121" s="211"/>
      <c r="AV121" s="221"/>
      <c r="AW121" s="222"/>
      <c r="AX121" s="225"/>
      <c r="AY121" s="225"/>
      <c r="AZ121" s="225"/>
      <c r="BA121" s="225"/>
      <c r="BB121" s="225"/>
    </row>
    <row r="122" spans="1:54" s="212" customFormat="1" ht="19.5" customHeight="1" thickBot="1" x14ac:dyDescent="0.3">
      <c r="A122" s="459" t="s">
        <v>286</v>
      </c>
      <c r="B122" s="272"/>
      <c r="C122" s="460" t="s">
        <v>288</v>
      </c>
      <c r="D122" s="222"/>
      <c r="E122" s="462"/>
      <c r="F122" s="423">
        <f>VLOOKUP($F$119,patientscatterfactoren!$A$18:$I$29,8)</f>
        <v>2.9999999999999997E-4</v>
      </c>
      <c r="G122" s="423">
        <f>VLOOKUP($G$119,patientscatterfactoren!$A$18:$I$29,8)</f>
        <v>3.0200000000000002E-4</v>
      </c>
      <c r="H122" s="463">
        <f>VLOOKUP($H$119,patientscatterfactoren!$A$18:$I$29,8)</f>
        <v>1.2400000000000001E-4</v>
      </c>
      <c r="I122" s="463">
        <f>VLOOKUP($I$119,patientscatterfactoren!$A$18:$I$29,8)</f>
        <v>3.4200000000000002E-4</v>
      </c>
      <c r="J122" s="464">
        <f>VLOOKUP($J$119,patientscatterfactoren!$A$18:$I$29,8)</f>
        <v>3.8200000000000002E-4</v>
      </c>
      <c r="K122" s="395"/>
      <c r="L122" s="211"/>
      <c r="M122" s="453"/>
      <c r="N122" s="453"/>
      <c r="O122" s="453"/>
      <c r="P122" s="453"/>
      <c r="Q122" s="453"/>
      <c r="R122" s="400"/>
      <c r="S122" s="400"/>
      <c r="T122" s="400"/>
      <c r="U122" s="400"/>
      <c r="V122" s="400"/>
      <c r="W122" s="400"/>
      <c r="X122" s="400"/>
      <c r="Y122" s="400"/>
      <c r="Z122" s="400"/>
      <c r="AA122" s="400"/>
      <c r="AB122" s="400"/>
      <c r="AC122" s="400"/>
      <c r="AD122" s="400"/>
      <c r="AE122" s="225"/>
      <c r="AF122" s="299"/>
      <c r="AG122" s="299"/>
      <c r="AH122" s="225"/>
      <c r="AI122" s="299"/>
      <c r="AJ122" s="299"/>
      <c r="AK122" s="225"/>
      <c r="AL122" s="299"/>
      <c r="AM122" s="299"/>
      <c r="AN122" s="225"/>
      <c r="AO122" s="299"/>
      <c r="AP122" s="299"/>
      <c r="AQ122" s="225"/>
      <c r="AR122" s="299"/>
      <c r="AS122" s="299"/>
      <c r="AT122" s="220"/>
      <c r="AU122" s="211"/>
      <c r="AV122" s="221"/>
      <c r="AW122" s="222"/>
      <c r="AX122" s="225"/>
      <c r="AY122" s="225"/>
      <c r="AZ122" s="225"/>
      <c r="BA122" s="225"/>
      <c r="BB122" s="225"/>
    </row>
    <row r="123" spans="1:54" s="212" customFormat="1" ht="19.5" customHeight="1" thickBot="1" x14ac:dyDescent="0.3">
      <c r="A123" s="465"/>
      <c r="B123" s="466"/>
      <c r="C123" s="466"/>
      <c r="D123" s="444"/>
      <c r="E123" s="445"/>
      <c r="F123" s="445"/>
      <c r="G123" s="445"/>
      <c r="H123" s="467"/>
      <c r="I123" s="467"/>
      <c r="J123" s="467"/>
      <c r="K123" s="395"/>
      <c r="L123" s="395"/>
      <c r="M123" s="400"/>
      <c r="N123" s="400"/>
      <c r="O123" s="400"/>
      <c r="P123" s="400"/>
      <c r="Q123" s="400"/>
      <c r="R123" s="400"/>
      <c r="S123" s="400"/>
      <c r="T123" s="400"/>
      <c r="U123" s="400"/>
      <c r="V123" s="400"/>
      <c r="W123" s="400"/>
      <c r="X123" s="400"/>
      <c r="Y123" s="400"/>
      <c r="Z123" s="400"/>
      <c r="AA123" s="400"/>
      <c r="AB123" s="400"/>
      <c r="AC123" s="400"/>
      <c r="AD123" s="400"/>
      <c r="AE123" s="225"/>
      <c r="AF123" s="299"/>
      <c r="AG123" s="299"/>
      <c r="AH123" s="225"/>
      <c r="AI123" s="299"/>
      <c r="AJ123" s="299"/>
      <c r="AK123" s="225"/>
      <c r="AL123" s="299"/>
      <c r="AM123" s="299"/>
      <c r="AN123" s="225"/>
      <c r="AO123" s="299"/>
      <c r="AP123" s="299"/>
      <c r="AQ123" s="225"/>
      <c r="AR123" s="299"/>
      <c r="AS123" s="299"/>
      <c r="AT123" s="220"/>
      <c r="AU123" s="211"/>
      <c r="AV123" s="221"/>
      <c r="AW123" s="222"/>
      <c r="AX123" s="225"/>
      <c r="AY123" s="225"/>
      <c r="AZ123" s="225"/>
      <c r="BA123" s="225"/>
      <c r="BB123" s="225"/>
    </row>
    <row r="124" spans="1:54" s="212" customFormat="1" ht="19.5" customHeight="1" x14ac:dyDescent="0.25">
      <c r="A124" s="428" t="s">
        <v>244</v>
      </c>
      <c r="B124" s="225"/>
      <c r="C124" s="225"/>
      <c r="D124" s="211"/>
      <c r="E124" s="211"/>
      <c r="F124" s="225"/>
      <c r="G124" s="427"/>
      <c r="H124" s="225"/>
      <c r="I124" s="225"/>
      <c r="J124" s="222"/>
      <c r="K124" s="395"/>
      <c r="L124" s="395"/>
      <c r="M124" s="400"/>
      <c r="N124" s="400"/>
      <c r="O124" s="400"/>
      <c r="P124" s="400"/>
      <c r="Q124" s="400"/>
      <c r="R124" s="400"/>
      <c r="S124" s="400"/>
      <c r="T124" s="400"/>
      <c r="U124" s="400"/>
      <c r="V124" s="400"/>
      <c r="W124" s="400"/>
      <c r="X124" s="400"/>
      <c r="Y124" s="400"/>
      <c r="Z124" s="400"/>
      <c r="AA124" s="400"/>
      <c r="AB124" s="400"/>
      <c r="AC124" s="400"/>
      <c r="AD124" s="400"/>
      <c r="AE124" s="225"/>
      <c r="AF124" s="299"/>
      <c r="AG124" s="299"/>
      <c r="AH124" s="225"/>
      <c r="AI124" s="299"/>
      <c r="AJ124" s="299"/>
      <c r="AK124" s="225"/>
      <c r="AL124" s="299"/>
      <c r="AM124" s="299"/>
      <c r="AN124" s="225"/>
      <c r="AO124" s="299"/>
      <c r="AP124" s="299"/>
      <c r="AQ124" s="225"/>
      <c r="AR124" s="299"/>
      <c r="AS124" s="299"/>
      <c r="AT124" s="220"/>
      <c r="AU124" s="211"/>
      <c r="AV124" s="221"/>
      <c r="AW124" s="222"/>
      <c r="AX124" s="225"/>
      <c r="AY124" s="225"/>
      <c r="AZ124" s="225"/>
      <c r="BA124" s="225"/>
      <c r="BB124" s="225"/>
    </row>
    <row r="125" spans="1:54" s="212" customFormat="1" ht="19.5" customHeight="1" x14ac:dyDescent="0.25">
      <c r="A125" s="401" t="s">
        <v>241</v>
      </c>
      <c r="B125" s="267"/>
      <c r="C125" s="222"/>
      <c r="D125" s="222"/>
      <c r="E125" s="222"/>
      <c r="F125" s="222"/>
      <c r="G125" s="1849">
        <v>0.5</v>
      </c>
      <c r="H125" s="225"/>
      <c r="I125" s="225"/>
      <c r="J125" s="222"/>
      <c r="K125" s="395"/>
      <c r="L125" s="395"/>
      <c r="M125" s="400"/>
      <c r="N125" s="400"/>
      <c r="O125" s="400"/>
      <c r="P125" s="400"/>
      <c r="Q125" s="400"/>
      <c r="R125" s="400"/>
      <c r="S125" s="400"/>
      <c r="T125" s="400"/>
      <c r="U125" s="400"/>
      <c r="V125" s="400"/>
      <c r="W125" s="400"/>
      <c r="X125" s="400"/>
      <c r="Y125" s="400"/>
      <c r="Z125" s="400"/>
      <c r="AA125" s="400"/>
      <c r="AB125" s="400"/>
      <c r="AC125" s="400"/>
      <c r="AD125" s="400"/>
      <c r="AE125" s="225"/>
      <c r="AF125" s="299"/>
      <c r="AG125" s="299"/>
      <c r="AH125" s="225"/>
      <c r="AI125" s="299"/>
      <c r="AJ125" s="299"/>
      <c r="AK125" s="225"/>
      <c r="AL125" s="299"/>
      <c r="AM125" s="299"/>
      <c r="AN125" s="225"/>
      <c r="AO125" s="299"/>
      <c r="AP125" s="299"/>
      <c r="AQ125" s="225"/>
      <c r="AR125" s="299"/>
      <c r="AS125" s="299"/>
      <c r="AT125" s="220"/>
      <c r="AU125" s="211"/>
      <c r="AV125" s="221"/>
      <c r="AW125" s="222"/>
      <c r="AX125" s="225"/>
      <c r="AY125" s="225"/>
      <c r="AZ125" s="225"/>
      <c r="BA125" s="225"/>
      <c r="BB125" s="225"/>
    </row>
    <row r="126" spans="1:54" s="212" customFormat="1" ht="19.5" customHeight="1" thickBot="1" x14ac:dyDescent="0.3">
      <c r="A126" s="468" t="s">
        <v>242</v>
      </c>
      <c r="B126" s="388"/>
      <c r="C126" s="388"/>
      <c r="D126" s="388"/>
      <c r="E126" s="388"/>
      <c r="F126" s="388"/>
      <c r="G126" s="1850">
        <v>0.32</v>
      </c>
      <c r="H126" s="225"/>
      <c r="I126" s="225"/>
      <c r="J126" s="222"/>
      <c r="K126" s="395"/>
      <c r="L126" s="395"/>
      <c r="M126" s="400"/>
      <c r="N126" s="400"/>
      <c r="O126" s="400"/>
      <c r="P126" s="400"/>
      <c r="Q126" s="400"/>
      <c r="R126" s="400"/>
      <c r="S126" s="400"/>
      <c r="T126" s="400"/>
      <c r="U126" s="400"/>
      <c r="V126" s="400"/>
      <c r="W126" s="400"/>
      <c r="X126" s="400"/>
      <c r="Y126" s="400"/>
      <c r="Z126" s="400"/>
      <c r="AA126" s="400"/>
      <c r="AB126" s="400"/>
      <c r="AC126" s="400"/>
      <c r="AD126" s="225"/>
      <c r="AE126" s="299"/>
      <c r="AF126" s="299"/>
      <c r="AG126" s="225"/>
      <c r="AH126" s="299"/>
      <c r="AI126" s="299"/>
      <c r="AJ126" s="225"/>
      <c r="AK126" s="299"/>
      <c r="AL126" s="299"/>
      <c r="AM126" s="225"/>
      <c r="AN126" s="299"/>
      <c r="AO126" s="299"/>
      <c r="AP126" s="225"/>
      <c r="AQ126" s="299"/>
      <c r="AR126" s="299"/>
      <c r="AS126" s="220"/>
      <c r="AT126" s="211"/>
      <c r="AU126" s="404"/>
      <c r="AV126" s="222"/>
      <c r="AW126" s="225"/>
      <c r="AX126" s="225"/>
      <c r="AY126" s="225"/>
      <c r="AZ126" s="225"/>
      <c r="BA126" s="225"/>
    </row>
    <row r="127" spans="1:54" s="212" customFormat="1" ht="19.5" customHeight="1" x14ac:dyDescent="0.25">
      <c r="A127" s="469"/>
      <c r="B127" s="400"/>
      <c r="C127" s="400"/>
      <c r="D127" s="400"/>
      <c r="E127" s="400"/>
      <c r="F127" s="400"/>
      <c r="G127" s="395"/>
      <c r="H127" s="395"/>
      <c r="I127" s="395"/>
      <c r="J127" s="395"/>
      <c r="K127" s="395"/>
      <c r="L127" s="395"/>
      <c r="M127" s="400"/>
      <c r="N127" s="400"/>
      <c r="O127" s="400"/>
      <c r="P127" s="400"/>
      <c r="Q127" s="400"/>
      <c r="R127" s="400"/>
      <c r="S127" s="400"/>
      <c r="T127" s="400"/>
      <c r="U127" s="400"/>
      <c r="V127" s="400"/>
      <c r="W127" s="400"/>
      <c r="X127" s="400"/>
      <c r="Y127" s="400"/>
      <c r="Z127" s="400"/>
      <c r="AA127" s="400"/>
      <c r="AB127" s="400"/>
      <c r="AC127" s="400"/>
      <c r="AD127" s="400"/>
      <c r="AE127" s="472"/>
      <c r="AF127" s="473">
        <f>$C$4</f>
        <v>6</v>
      </c>
      <c r="AG127" s="474"/>
      <c r="AH127" s="475"/>
      <c r="AI127" s="473">
        <f>$D$4</f>
        <v>10</v>
      </c>
      <c r="AJ127" s="474"/>
      <c r="AK127" s="476"/>
      <c r="AL127" s="473">
        <f>$E$4</f>
        <v>18</v>
      </c>
      <c r="AM127" s="474"/>
      <c r="AN127" s="476"/>
      <c r="AO127" s="473" t="str">
        <f>$F$4</f>
        <v>6 FFF</v>
      </c>
      <c r="AP127" s="474"/>
      <c r="AQ127" s="476"/>
      <c r="AR127" s="473" t="str">
        <f>$G$4</f>
        <v>10 FFF</v>
      </c>
      <c r="AS127" s="473"/>
      <c r="AT127" s="477" t="s">
        <v>16</v>
      </c>
      <c r="AU127" s="478"/>
      <c r="AV127" s="222"/>
      <c r="AW127" s="222"/>
      <c r="AX127" s="225"/>
      <c r="AY127" s="225"/>
      <c r="AZ127" s="225"/>
      <c r="BA127" s="225"/>
      <c r="BB127" s="225"/>
    </row>
    <row r="128" spans="1:54" s="212" customFormat="1" ht="19.5" customHeight="1" x14ac:dyDescent="0.2">
      <c r="A128" s="479" t="s">
        <v>50</v>
      </c>
      <c r="B128" s="480" t="s">
        <v>15</v>
      </c>
      <c r="C128" s="481" t="s">
        <v>25</v>
      </c>
      <c r="D128" s="482" t="s">
        <v>158</v>
      </c>
      <c r="E128" s="483"/>
      <c r="F128" s="484" t="s">
        <v>386</v>
      </c>
      <c r="G128" s="485"/>
      <c r="H128" s="482"/>
      <c r="I128" s="482"/>
      <c r="J128" s="482"/>
      <c r="K128" s="482"/>
      <c r="L128" s="482"/>
      <c r="M128" s="486"/>
      <c r="N128" s="487" t="s">
        <v>381</v>
      </c>
      <c r="O128" s="484"/>
      <c r="P128" s="484" t="s">
        <v>386</v>
      </c>
      <c r="Q128" s="488"/>
      <c r="R128" s="488"/>
      <c r="S128" s="482"/>
      <c r="T128" s="482"/>
      <c r="U128" s="486"/>
      <c r="V128" s="489" t="s">
        <v>525</v>
      </c>
      <c r="W128" s="301" t="s">
        <v>524</v>
      </c>
      <c r="X128" s="1990" t="s">
        <v>77</v>
      </c>
      <c r="Y128" s="1991"/>
      <c r="Z128" s="1992"/>
      <c r="AA128" s="490"/>
      <c r="AB128" s="491"/>
      <c r="AC128" s="492" t="s">
        <v>334</v>
      </c>
      <c r="AD128" s="485"/>
      <c r="AE128" s="493"/>
      <c r="AF128" s="420" t="s">
        <v>206</v>
      </c>
      <c r="AG128" s="420" t="s">
        <v>16</v>
      </c>
      <c r="AH128" s="420" t="s">
        <v>86</v>
      </c>
      <c r="AI128" s="420" t="s">
        <v>206</v>
      </c>
      <c r="AJ128" s="420" t="s">
        <v>16</v>
      </c>
      <c r="AK128" s="420" t="s">
        <v>86</v>
      </c>
      <c r="AL128" s="420" t="s">
        <v>206</v>
      </c>
      <c r="AM128" s="420" t="s">
        <v>16</v>
      </c>
      <c r="AN128" s="420" t="s">
        <v>86</v>
      </c>
      <c r="AO128" s="420" t="s">
        <v>206</v>
      </c>
      <c r="AP128" s="420" t="s">
        <v>16</v>
      </c>
      <c r="AQ128" s="420" t="s">
        <v>86</v>
      </c>
      <c r="AR128" s="420" t="s">
        <v>206</v>
      </c>
      <c r="AS128" s="420" t="s">
        <v>16</v>
      </c>
      <c r="AT128" s="494"/>
      <c r="AU128" s="495" t="s">
        <v>11</v>
      </c>
      <c r="AV128" s="222"/>
      <c r="AW128" s="222"/>
      <c r="AX128" s="225"/>
      <c r="AY128" s="225"/>
      <c r="AZ128" s="225"/>
      <c r="BA128" s="225"/>
      <c r="BB128" s="225"/>
    </row>
    <row r="129" spans="1:90" s="212" customFormat="1" ht="19.5" customHeight="1" thickBot="1" x14ac:dyDescent="0.25">
      <c r="A129" s="496"/>
      <c r="B129" s="497"/>
      <c r="C129" s="498"/>
      <c r="D129" s="499" t="s">
        <v>367</v>
      </c>
      <c r="E129" s="498" t="s">
        <v>364</v>
      </c>
      <c r="F129" s="498" t="s">
        <v>370</v>
      </c>
      <c r="G129" s="499" t="s">
        <v>368</v>
      </c>
      <c r="H129" s="498" t="s">
        <v>365</v>
      </c>
      <c r="I129" s="499" t="s">
        <v>369</v>
      </c>
      <c r="J129" s="498" t="s">
        <v>371</v>
      </c>
      <c r="K129" s="498" t="s">
        <v>366</v>
      </c>
      <c r="L129" s="498" t="s">
        <v>373</v>
      </c>
      <c r="M129" s="498" t="s">
        <v>372</v>
      </c>
      <c r="N129" s="498" t="s">
        <v>374</v>
      </c>
      <c r="O129" s="498" t="s">
        <v>375</v>
      </c>
      <c r="P129" s="498" t="s">
        <v>376</v>
      </c>
      <c r="Q129" s="498" t="s">
        <v>377</v>
      </c>
      <c r="R129" s="498" t="s">
        <v>378</v>
      </c>
      <c r="S129" s="498" t="s">
        <v>382</v>
      </c>
      <c r="T129" s="498" t="s">
        <v>379</v>
      </c>
      <c r="U129" s="498" t="s">
        <v>380</v>
      </c>
      <c r="V129" s="498" t="s">
        <v>526</v>
      </c>
      <c r="W129" s="308" t="s">
        <v>528</v>
      </c>
      <c r="X129" s="500" t="s">
        <v>1</v>
      </c>
      <c r="Y129" s="501" t="s">
        <v>61</v>
      </c>
      <c r="Z129" s="502" t="s">
        <v>3</v>
      </c>
      <c r="AA129" s="502" t="s">
        <v>22</v>
      </c>
      <c r="AB129" s="502" t="s">
        <v>3</v>
      </c>
      <c r="AC129" s="503" t="s">
        <v>22</v>
      </c>
      <c r="AD129" s="504" t="s">
        <v>39</v>
      </c>
      <c r="AE129" s="505" t="s">
        <v>208</v>
      </c>
      <c r="AF129" s="505" t="s">
        <v>207</v>
      </c>
      <c r="AG129" s="506" t="s">
        <v>174</v>
      </c>
      <c r="AH129" s="505" t="s">
        <v>208</v>
      </c>
      <c r="AI129" s="505" t="s">
        <v>207</v>
      </c>
      <c r="AJ129" s="506" t="s">
        <v>174</v>
      </c>
      <c r="AK129" s="507" t="s">
        <v>208</v>
      </c>
      <c r="AL129" s="507" t="s">
        <v>207</v>
      </c>
      <c r="AM129" s="179" t="s">
        <v>174</v>
      </c>
      <c r="AN129" s="507" t="s">
        <v>208</v>
      </c>
      <c r="AO129" s="507" t="s">
        <v>207</v>
      </c>
      <c r="AP129" s="179" t="s">
        <v>174</v>
      </c>
      <c r="AQ129" s="507" t="s">
        <v>208</v>
      </c>
      <c r="AR129" s="507" t="s">
        <v>207</v>
      </c>
      <c r="AS129" s="179" t="s">
        <v>174</v>
      </c>
      <c r="AT129" s="508" t="s">
        <v>174</v>
      </c>
      <c r="AU129" s="509" t="s">
        <v>166</v>
      </c>
      <c r="AV129" s="211"/>
      <c r="AW129" s="222"/>
      <c r="AX129" s="225"/>
      <c r="AY129" s="225"/>
      <c r="AZ129" s="225"/>
      <c r="BA129" s="225"/>
      <c r="BB129" s="225"/>
    </row>
    <row r="130" spans="1:90" s="212" customFormat="1" ht="30" customHeight="1" thickBot="1" x14ac:dyDescent="0.3">
      <c r="A130" s="510" t="str">
        <f>A73</f>
        <v>L2</v>
      </c>
      <c r="B130" s="511" t="str">
        <f>B73</f>
        <v>ingang labyrint linac 2</v>
      </c>
      <c r="C130" s="512" t="s">
        <v>200</v>
      </c>
      <c r="D130" s="1851">
        <v>5</v>
      </c>
      <c r="E130" s="111"/>
      <c r="F130" s="116"/>
      <c r="G130" s="1851">
        <v>10</v>
      </c>
      <c r="H130" s="120"/>
      <c r="I130" s="1853">
        <v>10</v>
      </c>
      <c r="J130" s="123"/>
      <c r="K130" s="1982">
        <v>1</v>
      </c>
      <c r="L130" s="114"/>
      <c r="M130" s="113"/>
      <c r="N130" s="1851">
        <v>4</v>
      </c>
      <c r="O130" s="120"/>
      <c r="P130" s="1851">
        <v>5</v>
      </c>
      <c r="Q130" s="134"/>
      <c r="R130" s="1828">
        <v>2</v>
      </c>
      <c r="S130" s="137"/>
      <c r="T130" s="114"/>
      <c r="U130" s="138"/>
      <c r="V130" s="141"/>
      <c r="W130" s="1828">
        <v>0.25</v>
      </c>
      <c r="X130" s="149"/>
      <c r="Y130" s="150"/>
      <c r="Z130" s="151"/>
      <c r="AA130" s="152"/>
      <c r="AB130" s="1984">
        <v>0</v>
      </c>
      <c r="AC130" s="1987">
        <v>0</v>
      </c>
      <c r="AD130" s="168"/>
      <c r="AE130" s="171">
        <f>$AB130/$M$114+$AC130/$M$115</f>
        <v>0</v>
      </c>
      <c r="AF130" s="97">
        <f t="shared" ref="AF130:AF135" si="12">10^(-AE130)</f>
        <v>1</v>
      </c>
      <c r="AG130" s="91">
        <f>$C$7*$C$14*$C$8*$W$130/$D$130^2*$N$130*$F$112/$G$130^2*$P$130*$E$114/$I$130^2*$R$130*$E$116/$K$130^2*AF130*10^6</f>
        <v>6.9119999999999997E-3</v>
      </c>
      <c r="AH130" s="91">
        <f>$AB130/$M$114+$AC130/$M$115</f>
        <v>0</v>
      </c>
      <c r="AI130" s="97">
        <f t="shared" ref="AI130:AI135" si="13">10^(-AH130)</f>
        <v>1</v>
      </c>
      <c r="AJ130" s="91">
        <f>$C$7*$D$14*$D$8*$W$130/$D$130^2*$N$130*$G$112/$G$130^2*$P$130*$E$114/$I$130^2*$R$130*$E$116/$K$130^2*AI130*10^6</f>
        <v>5.3760000000000006E-3</v>
      </c>
      <c r="AK130" s="91">
        <f>$AB130/$M$114+$AC130/$M$115</f>
        <v>0</v>
      </c>
      <c r="AL130" s="97">
        <f t="shared" ref="AL130:AL135" si="14">10^(-AK130)</f>
        <v>1</v>
      </c>
      <c r="AM130" s="91">
        <f>$C$7*$E$14*$E$8*$W$130/$D$130^2*$N$130*$H$112/$G$130^2*$P$130*$E$114/$I$130^2*$R$130*$E$116/$K$130^2*AL130*10^6</f>
        <v>4.0960000000000015E-3</v>
      </c>
      <c r="AN130" s="91">
        <f>$AB130/$M$114+$AC130/$M$115</f>
        <v>0</v>
      </c>
      <c r="AO130" s="97">
        <f t="shared" ref="AO130:AO135" si="15">10^(-AN130)</f>
        <v>1</v>
      </c>
      <c r="AP130" s="91">
        <f>$C$7*$F$14*$F$8*$W$130/$D$130^2*$N$130*$I$112/$G$130^2*$P$130*$E$114/$I$130^2*$R$130*$E$116/$K$130^2*AO130*10^6</f>
        <v>8.9600000000000009E-3</v>
      </c>
      <c r="AQ130" s="91">
        <f>$AB130/$M$114+$AC130/$M$115</f>
        <v>0</v>
      </c>
      <c r="AR130" s="97">
        <f t="shared" ref="AR130:AR135" si="16">10^(-AQ130)</f>
        <v>1</v>
      </c>
      <c r="AS130" s="76">
        <f>$C$7*$G$14*$G$8*$W$130/$D$130^2*$N$130*$J$112/$G$130^2*$P$130*$E$114/$I$130^2*$R$130*$E$116/$K$130^2*AR130*10^6</f>
        <v>8.4480000000000006E-3</v>
      </c>
      <c r="AT130" s="513">
        <f t="shared" ref="AT130:AT135" si="17">SUM(AG130,AJ130,AM130,AP130,AS130)</f>
        <v>3.3792000000000003E-2</v>
      </c>
      <c r="AU130" s="514">
        <f>SUM(AT130:AT136)*52/10^3</f>
        <v>15.505920420432142</v>
      </c>
      <c r="AV130" s="222"/>
      <c r="AW130" s="222"/>
      <c r="AX130" s="225"/>
      <c r="AY130" s="225"/>
      <c r="AZ130" s="225"/>
      <c r="BA130" s="225"/>
      <c r="BB130" s="225"/>
    </row>
    <row r="131" spans="1:90" s="212" customFormat="1" ht="30" customHeight="1" thickBot="1" x14ac:dyDescent="0.3">
      <c r="A131" s="447"/>
      <c r="B131" s="460"/>
      <c r="C131" s="515" t="s">
        <v>536</v>
      </c>
      <c r="D131" s="107"/>
      <c r="E131" s="1852">
        <v>1</v>
      </c>
      <c r="F131" s="117"/>
      <c r="G131" s="118"/>
      <c r="H131" s="1828">
        <v>5</v>
      </c>
      <c r="I131" s="122"/>
      <c r="J131" s="124"/>
      <c r="K131" s="2030"/>
      <c r="L131" s="127"/>
      <c r="M131" s="128"/>
      <c r="N131" s="129"/>
      <c r="O131" s="1828">
        <v>5</v>
      </c>
      <c r="P131" s="133"/>
      <c r="Q131" s="133"/>
      <c r="R131" s="1828">
        <v>2</v>
      </c>
      <c r="S131" s="139"/>
      <c r="T131" s="132"/>
      <c r="U131" s="140"/>
      <c r="V131" s="142"/>
      <c r="W131" s="1828">
        <v>0.25</v>
      </c>
      <c r="X131" s="1856">
        <v>200</v>
      </c>
      <c r="Y131" s="1856">
        <v>0</v>
      </c>
      <c r="Z131" s="1857">
        <v>0</v>
      </c>
      <c r="AA131" s="1857">
        <v>0</v>
      </c>
      <c r="AB131" s="1985"/>
      <c r="AC131" s="1988"/>
      <c r="AD131" s="169"/>
      <c r="AE131" s="171">
        <f>IF($X131=0,0,1+($X131-$C$21)/$C$22)+$Y131/$C$23+$Z131/$C$24+$AA131/$C$25+$AB130/$M$114+$AC130/$M$115</f>
        <v>5.9393939393939394</v>
      </c>
      <c r="AF131" s="97">
        <f t="shared" si="12"/>
        <v>1.1497569953977332E-6</v>
      </c>
      <c r="AG131" s="91">
        <f>$C$7*$C$14*$C$8*$W$131/$E$131^2*$O$131*$F$113/$H$131^2*$R$131*$E$116/$K$130^2*AF131*10^6</f>
        <v>2.4834751100591044E-3</v>
      </c>
      <c r="AH131" s="91">
        <f>IF($X131=0,0,1+($X131-$D$21)/$D$22)+$Y131/$D$23+$Z131/$D$24+$AB130/$M$114+$AC130/$M$115</f>
        <v>5.2972972972972974</v>
      </c>
      <c r="AI131" s="97">
        <f t="shared" si="13"/>
        <v>5.0431594871713543E-6</v>
      </c>
      <c r="AJ131" s="91">
        <f>$C$7*$D$14*$D$8*$W$131/$E$131^2*$O$131*$G$113/$H$131^2*$R$131*$E$116/$K$130^2*AI131*10^6</f>
        <v>8.4725079384478739E-3</v>
      </c>
      <c r="AK131" s="91">
        <f>IF($X131=0,0,1+($X131-$E$21)/$E$22)+$Y131/$E$23+$Z131/$E$24+$AB130/$M$114+$AC130/$M$115</f>
        <v>4.6046511627906979</v>
      </c>
      <c r="AL131" s="97">
        <f t="shared" si="14"/>
        <v>2.485128426980553E-5</v>
      </c>
      <c r="AM131" s="91">
        <f>$C$7*$E$14*$E$8*$W$131/$E$131^2*$O$131*$H$113/$H$131^2*$R$131*$E$116/$K$130^2*AL131*10^6</f>
        <v>3.1809643865351081E-2</v>
      </c>
      <c r="AN131" s="91">
        <f>IF($X131=0,0,1+($X131-$F$21)/$F$22)+$Y131/$F$23+$Z131/$E$24+$AB130/$M$114+$AC130/$M$115</f>
        <v>7.2962962962962967</v>
      </c>
      <c r="AO131" s="97">
        <f t="shared" si="15"/>
        <v>5.0547968211912231E-8</v>
      </c>
      <c r="AP131" s="91">
        <f>$C$7*$F$14*$F$8*$W$131/$E$131^2*$O$131*$I$113/$H$131^2*$R$131*$E$116/$K$130^2*AO131*10^6</f>
        <v>1.4153431099335427E-4</v>
      </c>
      <c r="AQ131" s="91">
        <f>IF($X131=0,0,1+($X131-$G$21)/$G$22)+$Y131/$G$23+$Z131/$G$24+$AB130/$M$114+$AC130/$M$115</f>
        <v>5.5555555555555554</v>
      </c>
      <c r="AR131" s="97">
        <f t="shared" si="16"/>
        <v>2.782559402207123E-6</v>
      </c>
      <c r="AS131" s="76">
        <f>$C$7*$G$14*$G$8*$W$131/$E$131^2*$O$131*$J$113/$H$131^2*$R$131*$E$116/$K$130^2*AR131*10^6</f>
        <v>7.3459568218268044E-3</v>
      </c>
      <c r="AT131" s="513">
        <f t="shared" si="17"/>
        <v>5.0253118046678216E-2</v>
      </c>
      <c r="AU131" s="516"/>
      <c r="AV131" s="222"/>
      <c r="AW131" s="222"/>
      <c r="AX131" s="225"/>
      <c r="AY131" s="225"/>
      <c r="AZ131" s="225"/>
      <c r="BA131" s="225"/>
      <c r="BB131" s="225"/>
    </row>
    <row r="132" spans="1:90" s="212" customFormat="1" ht="30" customHeight="1" thickBot="1" x14ac:dyDescent="0.3">
      <c r="A132" s="221"/>
      <c r="B132" s="517"/>
      <c r="C132" s="518" t="s">
        <v>537</v>
      </c>
      <c r="D132" s="108"/>
      <c r="E132" s="112"/>
      <c r="F132" s="1987">
        <v>5</v>
      </c>
      <c r="G132" s="119"/>
      <c r="H132" s="121"/>
      <c r="I132" s="113"/>
      <c r="J132" s="1980">
        <v>10</v>
      </c>
      <c r="K132" s="2030"/>
      <c r="L132" s="114"/>
      <c r="M132" s="113"/>
      <c r="N132" s="119"/>
      <c r="O132" s="121"/>
      <c r="P132" s="113"/>
      <c r="Q132" s="1980">
        <v>5</v>
      </c>
      <c r="R132" s="1982">
        <v>2</v>
      </c>
      <c r="S132" s="137"/>
      <c r="T132" s="114"/>
      <c r="U132" s="138"/>
      <c r="V132" s="143"/>
      <c r="W132" s="144">
        <v>1</v>
      </c>
      <c r="X132" s="153"/>
      <c r="Y132" s="154"/>
      <c r="Z132" s="155"/>
      <c r="AA132" s="156"/>
      <c r="AB132" s="1985"/>
      <c r="AC132" s="1988"/>
      <c r="AD132" s="168"/>
      <c r="AE132" s="91">
        <f>$AB130/$M$114+$AC130/$M$115</f>
        <v>0</v>
      </c>
      <c r="AF132" s="97">
        <f t="shared" si="12"/>
        <v>1</v>
      </c>
      <c r="AG132" s="91">
        <f>$C$7*$C$15*$C$8*($C$9+$C$10*$C$11)*$W$132/$F$132^2*$Q$132*$F$115/$J$132^2*$R$132*$E$116/$K$130^2*AF132*10^6</f>
        <v>15.360000000000005</v>
      </c>
      <c r="AH132" s="91">
        <f>$AB130/$M$114+$AC130/$M$115</f>
        <v>0</v>
      </c>
      <c r="AI132" s="97">
        <f t="shared" si="13"/>
        <v>1</v>
      </c>
      <c r="AJ132" s="91">
        <f>$C$7*$C$15*$D$8*($D$9+$D$10*$D$11)*$W$132/$F$132^2*$Q$132*$G$115/$J$132^2*$R$132*$E$116/$K$130^2*AI132*10^6</f>
        <v>12.240000000000004</v>
      </c>
      <c r="AK132" s="91">
        <f>$AB130/$M$114+$AC130/$M$115</f>
        <v>0</v>
      </c>
      <c r="AL132" s="97">
        <f t="shared" si="14"/>
        <v>1</v>
      </c>
      <c r="AM132" s="91">
        <f>$C$7*$C$15*$E$8*($E$9+$E$10*$E$11)*$W$132/$F$132^2*$Q$132*$H$115/$J$132^2*$R$132*$E$116/$K$130^2*AL132*10^6</f>
        <v>10.800000000000002</v>
      </c>
      <c r="AN132" s="91">
        <f>$AB130/$M$114+$AC130/$M$115</f>
        <v>0</v>
      </c>
      <c r="AO132" s="97">
        <f t="shared" si="15"/>
        <v>1</v>
      </c>
      <c r="AP132" s="91">
        <f>$C$7*$C$15*$F$8*($F$9+$F$10*$F$11)*$W$132/$F$132^2*$Q$132*$I$115/$J$132^2*$R$132*$E$116/$K$130^2*AO132*10^6</f>
        <v>19.920000000000002</v>
      </c>
      <c r="AQ132" s="91">
        <f>$AB130/$M$114+$AC130/$M$115</f>
        <v>0</v>
      </c>
      <c r="AR132" s="97">
        <f t="shared" si="16"/>
        <v>1</v>
      </c>
      <c r="AS132" s="76">
        <f>$C$7*$C$15*$G$8*($G$9+$G$10*$G$11)*$W$132/$F$132^2*$Q$132*$J$115/$J$132^2*$R$132*$E$116/$K$130^2*AR132*10^6</f>
        <v>17.520000000000003</v>
      </c>
      <c r="AT132" s="519">
        <f t="shared" si="17"/>
        <v>75.840000000000018</v>
      </c>
      <c r="AU132" s="516"/>
      <c r="AV132" s="222"/>
      <c r="AW132" s="520"/>
      <c r="AX132" s="222"/>
      <c r="AY132" s="211"/>
      <c r="AZ132" s="222"/>
      <c r="BA132" s="222"/>
      <c r="BB132" s="225"/>
    </row>
    <row r="133" spans="1:90" s="212" customFormat="1" ht="30" customHeight="1" thickBot="1" x14ac:dyDescent="0.3">
      <c r="A133" s="221"/>
      <c r="B133" s="517"/>
      <c r="C133" s="521" t="s">
        <v>523</v>
      </c>
      <c r="D133" s="108"/>
      <c r="E133" s="113"/>
      <c r="F133" s="2029"/>
      <c r="G133" s="119"/>
      <c r="H133" s="114"/>
      <c r="I133" s="113"/>
      <c r="J133" s="1981"/>
      <c r="K133" s="1983"/>
      <c r="L133" s="114"/>
      <c r="M133" s="113"/>
      <c r="N133" s="119"/>
      <c r="O133" s="114"/>
      <c r="P133" s="113"/>
      <c r="Q133" s="1981"/>
      <c r="R133" s="1983"/>
      <c r="S133" s="137"/>
      <c r="T133" s="114"/>
      <c r="U133" s="113"/>
      <c r="V133" s="1855">
        <f>20*20</f>
        <v>400</v>
      </c>
      <c r="W133" s="1828">
        <v>0.25</v>
      </c>
      <c r="X133" s="157"/>
      <c r="Y133" s="158"/>
      <c r="Z133" s="159"/>
      <c r="AA133" s="160"/>
      <c r="AB133" s="1985"/>
      <c r="AC133" s="1988"/>
      <c r="AD133" s="168"/>
      <c r="AE133" s="98">
        <f>$AB130/$M$114+$AC130/$M$115</f>
        <v>0</v>
      </c>
      <c r="AF133" s="97">
        <f t="shared" si="12"/>
        <v>1</v>
      </c>
      <c r="AG133" s="91">
        <f>$C$7*$C$8*$W$133*$F$120*$V$133/400*$E$115*$E$116*$Q$132*$R$132/1/1/$F$132^2/$J$132^2/$K$130^2*AF133*10^6</f>
        <v>6.1159999999999988</v>
      </c>
      <c r="AH133" s="98">
        <f>$AB130/$M$114+$AC130/$M$115</f>
        <v>0</v>
      </c>
      <c r="AI133" s="97">
        <f t="shared" si="13"/>
        <v>1</v>
      </c>
      <c r="AJ133" s="91">
        <f>$C$7*$D$8*$W$133*$G$120*$V$133/400*$E$115*$E$116*$Q$132*$R$132/1/1/$F$132^2/$J$132^2/$K$130^2*AI133*10^6</f>
        <v>5.9399999999999995</v>
      </c>
      <c r="AK133" s="98">
        <f>$AB130/$M$114+$AC130/$M$115</f>
        <v>0</v>
      </c>
      <c r="AL133" s="97">
        <f t="shared" si="14"/>
        <v>1</v>
      </c>
      <c r="AM133" s="91">
        <f>$C$7*$E$8*$W$133*$H$120*$V$133/400*$E$115*$E$116*$Q$132*$R$132/1/1/$F$132^2/$J$132^2/$K$130^2*AL133*10^6</f>
        <v>3.8015999999999992</v>
      </c>
      <c r="AN133" s="98">
        <f>$AB130/$M$114+$AC130/$M$115</f>
        <v>0</v>
      </c>
      <c r="AO133" s="97">
        <f t="shared" si="15"/>
        <v>1</v>
      </c>
      <c r="AP133" s="91">
        <f>$C$7*$F$8*$W$133*$I$120*$V$133/400*$E$115*$E$116*$R$132*$Q$132/1/1/$F$132^2/$J$132^2/$K$130^2*AO133*10^6</f>
        <v>5.7200000000000006</v>
      </c>
      <c r="AQ133" s="98">
        <f>$AB130/$M$114+$AC130/$M$115</f>
        <v>0</v>
      </c>
      <c r="AR133" s="97">
        <f t="shared" si="16"/>
        <v>1</v>
      </c>
      <c r="AS133" s="76">
        <f>$C$7*$G$8*$W$133*$J$120*$V$133/400*$E$115*$E$116*$Q$132*$R$132/1/1/$F$132^2/$J$132^2/$K$130^2*AR133*10^6</f>
        <v>5.2799999999999994</v>
      </c>
      <c r="AT133" s="513">
        <f t="shared" si="17"/>
        <v>26.857599999999998</v>
      </c>
      <c r="AU133" s="516"/>
      <c r="AV133" s="222"/>
      <c r="AW133" s="520"/>
      <c r="AX133" s="222"/>
      <c r="AY133" s="211"/>
      <c r="AZ133" s="222"/>
      <c r="BA133" s="222"/>
      <c r="BB133" s="225"/>
      <c r="BC133" s="225"/>
      <c r="BD133" s="225"/>
      <c r="BE133" s="225"/>
      <c r="BF133" s="225"/>
      <c r="BG133" s="300"/>
      <c r="BH133" s="300"/>
      <c r="BI133" s="300"/>
      <c r="BJ133" s="522"/>
      <c r="BK133" s="522"/>
      <c r="BL133" s="522"/>
    </row>
    <row r="134" spans="1:90" s="212" customFormat="1" ht="30" customHeight="1" x14ac:dyDescent="0.25">
      <c r="A134" s="221"/>
      <c r="B134" s="517"/>
      <c r="C134" s="523" t="s">
        <v>33</v>
      </c>
      <c r="D134" s="109"/>
      <c r="E134" s="114"/>
      <c r="F134" s="114"/>
      <c r="G134" s="114"/>
      <c r="H134" s="114"/>
      <c r="I134" s="114"/>
      <c r="J134" s="114"/>
      <c r="K134" s="125"/>
      <c r="L134" s="2028">
        <v>5</v>
      </c>
      <c r="M134" s="2028">
        <v>10</v>
      </c>
      <c r="N134" s="130"/>
      <c r="O134" s="132"/>
      <c r="P134" s="132"/>
      <c r="Q134" s="132"/>
      <c r="R134" s="135"/>
      <c r="S134" s="1851">
        <v>225</v>
      </c>
      <c r="T134" s="1854">
        <v>1</v>
      </c>
      <c r="U134" s="1851">
        <v>1</v>
      </c>
      <c r="V134" s="145"/>
      <c r="W134" s="146"/>
      <c r="X134" s="161"/>
      <c r="Y134" s="162"/>
      <c r="Z134" s="122"/>
      <c r="AA134" s="163"/>
      <c r="AB134" s="1985"/>
      <c r="AC134" s="1988"/>
      <c r="AD134" s="1858">
        <v>0</v>
      </c>
      <c r="AE134" s="91">
        <f>$AB130/$N$114+$AC130/$N$115+$AD134/$N$116</f>
        <v>0</v>
      </c>
      <c r="AF134" s="97">
        <f t="shared" si="12"/>
        <v>1</v>
      </c>
      <c r="AG134" s="91">
        <f>$C$7*$C$8*($C$9+$C$10*$C$11)*0.0000000000000024*($C$16*$C$17*10^12/(4*PI()*$L$134^2)+5.4*$C$16*$C$17*10^12/(2*PI()*$S$134)+1.3*$C$17*10^12/(2*PI()*$S$134))*(SQRT($T$134/$U$134)*((1.64*10^(-$M$134/1.9)+10^(-$M$134/(2.06*SQRT($U$134))))*(1-$G$125)*$AF$134*10^6))</f>
        <v>0.11345901793121269</v>
      </c>
      <c r="AH134" s="91">
        <f>$AB130/$N$114+$AC130/$N$115+$AD134/$N$116</f>
        <v>0</v>
      </c>
      <c r="AI134" s="97">
        <f t="shared" si="13"/>
        <v>1</v>
      </c>
      <c r="AJ134" s="91">
        <f>$C$7*$D$8*($D$9+$D$10*$D$11)*0.0000000000000024*($C$16*$D$17*10^12/(4*PI()*$L$134^2)+5.4*$C$16*$D$17*10^12/(2*PI()*$S$134)+1.3*$D$17*10^12/(2*PI()*$S$134))*(SQRT($T$134/$U$134)*((1.64*10^(-$M$134/1.9)+10^(-$M$134/(2.06*SQRT($U$134))))*(1-$G$125)*$AI$134*10^6))</f>
        <v>0.11345901793121269</v>
      </c>
      <c r="AK134" s="91">
        <f>$AB130/$N$114+$AC130/$N$115+$AD134/$N$116</f>
        <v>0</v>
      </c>
      <c r="AL134" s="97">
        <f t="shared" si="14"/>
        <v>1</v>
      </c>
      <c r="AM134" s="91">
        <f>$C$7*$E$8*($E$9+$E$10*$E$11)*0.0000000000000024*($C$16*$E$17*10^12/(4*PI()*$L$134^2)+5.4*$C$16*$E$17*10^12/(2*PI()*$S$134)+1.3*$E$17*10^12/(2*PI()*$S$134))*(SQRT($T$134/$U$134)*((1.64*10^(-$M$134/1.9)+10^(-$M$134/(2.06*SQRT($U$134))))*(1-$G$125)*$AL$134*10^6))</f>
        <v>0.11345901793121269</v>
      </c>
      <c r="AN134" s="91">
        <f>$AB130/$N$114+$AC130/$N$115+$AD134/$N$116</f>
        <v>0</v>
      </c>
      <c r="AO134" s="97">
        <f t="shared" si="15"/>
        <v>1</v>
      </c>
      <c r="AP134" s="91">
        <f>$C$7*$F$8*($F$9+$F$10*$F$11)*0.0000000000000024*($C$16*$F$17*10^12/(4*PI()*$L$134^2)+5.4*$C$16*$F$17*10^12/(2*PI()*$S$134)+1.3*$F$17*10^12/(2*PI()*$S$134))*(SQRT($T$134/$U$134)*((1.64*10^(-$M$134/1.9)+10^(-$M$134/(2.06*SQRT($U$134))))*(1-$G$125)*$AO$134*10^6))</f>
        <v>0.11345901793121269</v>
      </c>
      <c r="AQ134" s="91">
        <f>$AB130/$N$114+$AC130/$N$115+$AD134/$N$116</f>
        <v>0</v>
      </c>
      <c r="AR134" s="97">
        <f t="shared" si="16"/>
        <v>1</v>
      </c>
      <c r="AS134" s="76">
        <f>$C$7*$G$8*($G$9+$G$10*$G$11)*0.0000000000000024*($C$16*$G$17*10^12/(4*PI()*$L$134^2)+5.4*$C$16*$G$17*10^12/(2*PI()*$S$134)+1.3*$G$17*10^12/(2*PI()*$S$134))*(SQRT($T$134/$U$134)*((1.64*10^(-$M$134/1.9)+10^(-$M$134/(2.06*SQRT($U$134))))*(1-$G$125)*$AR$134*10^6))</f>
        <v>0.11345901793121269</v>
      </c>
      <c r="AT134" s="513">
        <f t="shared" si="17"/>
        <v>0.56729508965606346</v>
      </c>
      <c r="AU134" s="516"/>
      <c r="AV134" s="222"/>
      <c r="AW134" s="189"/>
      <c r="AX134" s="222"/>
      <c r="AY134" s="211"/>
      <c r="AZ134" s="222"/>
      <c r="BA134" s="222"/>
      <c r="BB134" s="225"/>
      <c r="BC134" s="225"/>
      <c r="BD134" s="225"/>
      <c r="BE134" s="225"/>
      <c r="BF134" s="225"/>
      <c r="BG134" s="300"/>
      <c r="BH134" s="300"/>
      <c r="BI134" s="300"/>
      <c r="BJ134" s="522"/>
      <c r="BK134" s="522"/>
      <c r="BL134" s="522"/>
    </row>
    <row r="135" spans="1:90" s="212" customFormat="1" ht="30" customHeight="1" thickBot="1" x14ac:dyDescent="0.3">
      <c r="A135" s="226"/>
      <c r="B135" s="524"/>
      <c r="C135" s="525" t="s">
        <v>157</v>
      </c>
      <c r="D135" s="110"/>
      <c r="E135" s="115"/>
      <c r="F135" s="115"/>
      <c r="G135" s="115"/>
      <c r="H135" s="115"/>
      <c r="I135" s="115"/>
      <c r="J135" s="115"/>
      <c r="K135" s="126"/>
      <c r="L135" s="1989"/>
      <c r="M135" s="1989"/>
      <c r="N135" s="131"/>
      <c r="O135" s="115"/>
      <c r="P135" s="115"/>
      <c r="Q135" s="136"/>
      <c r="R135" s="136"/>
      <c r="S135" s="115"/>
      <c r="T135" s="115"/>
      <c r="U135" s="126"/>
      <c r="V135" s="147"/>
      <c r="W135" s="148"/>
      <c r="X135" s="164"/>
      <c r="Y135" s="165"/>
      <c r="Z135" s="166"/>
      <c r="AA135" s="167"/>
      <c r="AB135" s="1986"/>
      <c r="AC135" s="1989"/>
      <c r="AD135" s="170"/>
      <c r="AE135" s="172">
        <f>$AB130/$O$114+$AC130/$O$115</f>
        <v>0</v>
      </c>
      <c r="AF135" s="173">
        <f t="shared" si="12"/>
        <v>1</v>
      </c>
      <c r="AG135" s="174">
        <f>$C$7*$C$8*($C$9+$C$10*$C$11)*$Q$111*($C$16*$C$17*10^12/(4*PI()*$L$134^2)+5.4*$C$16*$C$17*10^12/(2*PI()*$S$134)+1.3*$C$17*10^12/(2*PI()*$S$134))*10^-($M$134/$Q$113)*(1-$G$126)*AF135*10^6</f>
        <v>38.968367421659991</v>
      </c>
      <c r="AH135" s="172">
        <f>$AB130/$O$114+$AC130/$O$115</f>
        <v>0</v>
      </c>
      <c r="AI135" s="173">
        <f t="shared" si="13"/>
        <v>1</v>
      </c>
      <c r="AJ135" s="175">
        <f>$C$7*$D$8*($D$9+$D$10*$D$11)*$Q$111*($C$16*$D$17*10^12/(4*PI()*$L$134^2)+5.4*$C$16*$D$17*10^12/(2*PI()*$S$134)+1.3*$D$17*10^12/(2*PI()*$S$134))*10^-($M$134/$Q$113)*(1-$G$126)*AI135*10^6</f>
        <v>38.968367421659991</v>
      </c>
      <c r="AK135" s="176">
        <f>$AB130/$O$114+$AC130/$O$115</f>
        <v>0</v>
      </c>
      <c r="AL135" s="173">
        <f t="shared" si="14"/>
        <v>1</v>
      </c>
      <c r="AM135" s="175">
        <f>$C$7*$E$8*($E$9+$E$10*$E$11)*$Q$111*($C$16*$E$17*10^12/(4*PI()*$L$134^2)+5.4*$C$16*$E$17*10^12/(2*PI()*$S$134)+1.3*$E$17*10^12/(2*PI()*$S$134))*10^-($M$134/$Q$113)*(1-$G$126)*AL135*10^6</f>
        <v>38.968367421659991</v>
      </c>
      <c r="AN135" s="172">
        <f>$AB130/$O$114+$AC130/$O$115</f>
        <v>0</v>
      </c>
      <c r="AO135" s="173">
        <f t="shared" si="15"/>
        <v>1</v>
      </c>
      <c r="AP135" s="175">
        <f>$C$7*$F$8*($F$9+$F$10*$F$11)*$Q$111*($C$16*$F$17*10^12/(4*PI()*$L$134^2)+5.4*$C$16*$F$17*10^12/(2*PI()*$S$134)+1.3*$F$17*10^12/(2*PI()*$S$134))*10^-($M$134/$Q$113)*(1-$G$126)*AO135*10^6</f>
        <v>38.968367421659991</v>
      </c>
      <c r="AQ135" s="172">
        <f>$AB130/$O$114+$AC130/$O$115</f>
        <v>0</v>
      </c>
      <c r="AR135" s="173">
        <f t="shared" si="16"/>
        <v>1</v>
      </c>
      <c r="AS135" s="177">
        <f>$C$7*$G$8*($G$9+$G$10*$G$11)*$Q$111*($C$16*$G$17*10^12/(4*PI()*$L$134^2)+5.4*$C$16*$G$17*10^12/(2*PI()*$S$134)+1.3*$G$17*10^12/(2*PI()*$S$134))*10^-($M$134/$Q$113)*(1-$G$126)*AR135*10^6</f>
        <v>38.968367421659991</v>
      </c>
      <c r="AT135" s="526">
        <f t="shared" si="17"/>
        <v>194.84183710829996</v>
      </c>
      <c r="AU135" s="527"/>
      <c r="AV135" s="222"/>
      <c r="AW135" s="189"/>
      <c r="AX135" s="222"/>
      <c r="AY135" s="211"/>
      <c r="AZ135" s="222"/>
      <c r="BA135" s="222"/>
      <c r="BB135" s="225"/>
      <c r="BC135" s="225"/>
      <c r="BD135" s="225"/>
      <c r="BE135" s="225"/>
      <c r="BF135" s="225"/>
      <c r="BG135" s="300"/>
      <c r="BH135" s="300"/>
      <c r="BI135" s="300"/>
      <c r="BJ135" s="522"/>
      <c r="BK135" s="522"/>
      <c r="BL135" s="522"/>
    </row>
    <row r="136" spans="1:90" s="212" customFormat="1" ht="30" hidden="1" customHeight="1" x14ac:dyDescent="0.25">
      <c r="A136" s="222"/>
      <c r="B136" s="222"/>
      <c r="C136" s="282"/>
      <c r="D136" s="282"/>
      <c r="E136" s="211"/>
      <c r="F136" s="211"/>
      <c r="G136" s="211"/>
      <c r="H136" s="211"/>
      <c r="I136" s="211"/>
      <c r="J136" s="211"/>
      <c r="K136" s="211"/>
      <c r="L136" s="57"/>
      <c r="M136" s="57"/>
      <c r="N136" s="211"/>
      <c r="O136" s="211"/>
      <c r="P136" s="211"/>
      <c r="Q136" s="211"/>
      <c r="R136" s="211"/>
      <c r="S136" s="211"/>
      <c r="T136" s="211"/>
      <c r="U136" s="211"/>
      <c r="V136" s="211"/>
      <c r="W136" s="211"/>
      <c r="X136" s="453"/>
      <c r="Y136" s="528"/>
      <c r="Z136" s="57"/>
      <c r="AA136" s="57"/>
      <c r="AB136" s="57"/>
      <c r="AC136" s="57"/>
      <c r="AD136" s="529"/>
      <c r="AE136" s="369"/>
      <c r="AF136" s="328"/>
      <c r="AG136" s="530"/>
      <c r="AH136" s="369"/>
      <c r="AI136" s="328"/>
      <c r="AJ136" s="530"/>
      <c r="AK136" s="369"/>
      <c r="AL136" s="328"/>
      <c r="AM136" s="530"/>
      <c r="AN136" s="369"/>
      <c r="AO136" s="328"/>
      <c r="AP136" s="530"/>
      <c r="AQ136" s="369"/>
      <c r="AR136" s="328"/>
      <c r="AS136" s="530"/>
      <c r="AT136" s="531"/>
      <c r="AU136" s="233"/>
      <c r="AV136" s="222"/>
      <c r="AW136" s="189"/>
      <c r="AX136" s="222"/>
      <c r="AY136" s="211"/>
      <c r="AZ136" s="222"/>
      <c r="BA136" s="222"/>
      <c r="BB136" s="225"/>
      <c r="BC136" s="225"/>
      <c r="BD136" s="225"/>
      <c r="BE136" s="225"/>
      <c r="BF136" s="225"/>
      <c r="BG136" s="300"/>
      <c r="BH136" s="300"/>
      <c r="BI136" s="300"/>
      <c r="BJ136" s="522"/>
      <c r="BK136" s="522"/>
      <c r="BL136" s="522"/>
    </row>
    <row r="137" spans="1:90" s="212" customFormat="1" ht="19.5" customHeight="1" x14ac:dyDescent="0.25">
      <c r="A137" s="222"/>
      <c r="B137" s="222"/>
      <c r="C137" s="282"/>
      <c r="D137" s="282"/>
      <c r="E137" s="211"/>
      <c r="F137" s="211"/>
      <c r="G137" s="211"/>
      <c r="H137" s="211"/>
      <c r="I137" s="211"/>
      <c r="J137" s="211"/>
      <c r="K137" s="211"/>
      <c r="L137" s="211"/>
      <c r="M137" s="211"/>
      <c r="N137" s="211"/>
      <c r="O137" s="211"/>
      <c r="P137" s="211"/>
      <c r="Q137" s="211"/>
      <c r="R137" s="211"/>
      <c r="S137" s="211"/>
      <c r="T137" s="211"/>
      <c r="U137" s="211"/>
      <c r="V137" s="211"/>
      <c r="W137" s="211"/>
      <c r="X137" s="57"/>
      <c r="Y137" s="453"/>
      <c r="Z137" s="528"/>
      <c r="AA137" s="57"/>
      <c r="AB137" s="57"/>
      <c r="AC137" s="57"/>
      <c r="AD137" s="57"/>
      <c r="AE137" s="529"/>
      <c r="AF137" s="369"/>
      <c r="AG137" s="328"/>
      <c r="AH137" s="530"/>
      <c r="AI137" s="369"/>
      <c r="AJ137" s="328"/>
      <c r="AK137" s="530"/>
      <c r="AL137" s="369"/>
      <c r="AM137" s="328"/>
      <c r="AN137" s="530"/>
      <c r="AO137" s="369"/>
      <c r="AP137" s="328"/>
      <c r="AQ137" s="530"/>
      <c r="AR137" s="369"/>
      <c r="AS137" s="328"/>
      <c r="AT137" s="530"/>
      <c r="AU137" s="369"/>
      <c r="AV137" s="233"/>
      <c r="AW137" s="222"/>
      <c r="AX137" s="189"/>
      <c r="AY137" s="222"/>
      <c r="AZ137" s="211"/>
      <c r="BA137" s="222"/>
      <c r="BB137" s="222"/>
      <c r="BC137" s="225"/>
      <c r="BD137" s="225"/>
      <c r="BE137" s="225"/>
      <c r="BF137" s="225"/>
      <c r="BG137" s="225"/>
      <c r="BH137" s="300"/>
      <c r="BI137" s="300"/>
      <c r="BJ137" s="300"/>
      <c r="BK137" s="522"/>
      <c r="BL137" s="522"/>
      <c r="BM137" s="522"/>
    </row>
    <row r="138" spans="1:90" s="212" customFormat="1" ht="19.5" customHeight="1" x14ac:dyDescent="0.25">
      <c r="A138" s="222"/>
      <c r="B138" s="222"/>
      <c r="C138" s="282"/>
      <c r="D138" s="282"/>
      <c r="E138" s="211"/>
      <c r="F138" s="211"/>
      <c r="G138" s="211"/>
      <c r="H138" s="211"/>
      <c r="I138" s="211"/>
      <c r="J138" s="211"/>
      <c r="K138" s="211"/>
      <c r="L138" s="211"/>
      <c r="M138" s="211"/>
      <c r="N138" s="211"/>
      <c r="O138" s="211"/>
      <c r="P138" s="211"/>
      <c r="Q138" s="211"/>
      <c r="R138" s="211"/>
      <c r="S138" s="211"/>
      <c r="T138" s="211"/>
      <c r="U138" s="211"/>
      <c r="V138" s="211"/>
      <c r="W138" s="57"/>
      <c r="X138" s="453"/>
      <c r="Y138" s="528"/>
      <c r="Z138" s="57"/>
      <c r="AA138" s="57"/>
      <c r="AB138" s="57"/>
      <c r="AC138" s="529"/>
      <c r="AD138" s="369"/>
      <c r="AE138" s="328"/>
      <c r="AF138" s="530"/>
      <c r="AG138" s="369"/>
      <c r="AH138" s="328"/>
      <c r="AI138" s="530"/>
      <c r="AJ138" s="369"/>
      <c r="AK138" s="328"/>
      <c r="AL138" s="530"/>
      <c r="AM138" s="369"/>
      <c r="AN138" s="328"/>
      <c r="AO138" s="530"/>
      <c r="AP138" s="369"/>
      <c r="AQ138" s="328"/>
      <c r="AR138" s="530"/>
      <c r="AS138" s="369"/>
      <c r="AT138" s="233"/>
      <c r="AU138" s="222"/>
      <c r="AV138" s="189"/>
      <c r="AW138" s="222"/>
      <c r="AX138" s="211"/>
      <c r="AY138" s="222"/>
      <c r="AZ138" s="222"/>
      <c r="BA138" s="225"/>
      <c r="BB138" s="225"/>
      <c r="BC138" s="225"/>
      <c r="BD138" s="225"/>
      <c r="BE138" s="225"/>
      <c r="BF138" s="300"/>
      <c r="BG138" s="300"/>
      <c r="BH138" s="300"/>
      <c r="BI138" s="522"/>
      <c r="BJ138" s="522"/>
      <c r="BK138" s="522"/>
    </row>
    <row r="139" spans="1:90" s="212" customFormat="1" ht="19.5" customHeight="1" thickBot="1" x14ac:dyDescent="0.3">
      <c r="A139" s="532" t="s">
        <v>645</v>
      </c>
      <c r="B139" s="533"/>
      <c r="C139" s="310"/>
      <c r="D139" s="57"/>
      <c r="E139" s="57"/>
      <c r="F139" s="57"/>
      <c r="G139" s="57"/>
      <c r="H139" s="57"/>
      <c r="I139" s="57"/>
      <c r="J139" s="57"/>
      <c r="K139" s="57"/>
      <c r="L139" s="529"/>
      <c r="M139" s="529"/>
      <c r="N139" s="529"/>
      <c r="O139" s="530"/>
      <c r="P139" s="328"/>
      <c r="Q139" s="369"/>
      <c r="R139" s="369"/>
      <c r="S139" s="328"/>
      <c r="T139" s="369"/>
      <c r="U139" s="369"/>
      <c r="V139" s="328"/>
      <c r="W139" s="369"/>
      <c r="X139" s="369"/>
      <c r="Y139" s="328"/>
      <c r="Z139" s="369"/>
      <c r="AA139" s="369"/>
      <c r="AB139" s="328"/>
      <c r="AC139" s="369"/>
      <c r="AD139" s="369"/>
      <c r="AE139" s="328"/>
      <c r="AF139" s="233"/>
      <c r="AG139" s="222"/>
      <c r="AH139" s="189"/>
      <c r="AI139" s="222"/>
      <c r="AJ139" s="211"/>
      <c r="AK139" s="222"/>
      <c r="AL139" s="222"/>
      <c r="AM139" s="225"/>
      <c r="AN139" s="225"/>
      <c r="AO139" s="225"/>
      <c r="AP139" s="225"/>
      <c r="AQ139" s="225"/>
      <c r="AR139" s="300"/>
      <c r="AS139" s="300"/>
      <c r="AT139" s="300"/>
      <c r="AU139" s="300"/>
      <c r="AV139" s="300"/>
      <c r="AW139" s="300"/>
      <c r="AX139" s="225"/>
      <c r="AY139" s="225"/>
      <c r="AZ139" s="225"/>
      <c r="BA139" s="225"/>
      <c r="BB139" s="225"/>
      <c r="BC139" s="225"/>
      <c r="BD139" s="225"/>
      <c r="BE139" s="225"/>
      <c r="BF139" s="225"/>
      <c r="BG139" s="225"/>
      <c r="BH139" s="225"/>
      <c r="BI139" s="225"/>
      <c r="BJ139" s="225"/>
      <c r="BK139" s="225"/>
      <c r="BL139" s="225"/>
    </row>
    <row r="140" spans="1:90" ht="19.5" customHeight="1" x14ac:dyDescent="0.25">
      <c r="C140" s="534"/>
      <c r="D140" s="535"/>
      <c r="E140" s="535"/>
      <c r="F140" s="535"/>
      <c r="G140" s="535"/>
      <c r="H140" s="536"/>
      <c r="I140" s="536"/>
      <c r="J140" s="536"/>
      <c r="K140" s="536"/>
      <c r="L140" s="536"/>
      <c r="M140" s="537"/>
      <c r="N140" s="473">
        <f>$C$4</f>
        <v>6</v>
      </c>
      <c r="O140" s="293"/>
      <c r="P140" s="2005">
        <f>$D$4</f>
        <v>10</v>
      </c>
      <c r="Q140" s="2006"/>
      <c r="R140" s="2007"/>
      <c r="S140" s="2005">
        <f>$E$4</f>
        <v>18</v>
      </c>
      <c r="T140" s="2006"/>
      <c r="U140" s="2007"/>
      <c r="V140" s="2005" t="str">
        <f>$F$4</f>
        <v>6 FFF</v>
      </c>
      <c r="W140" s="2006"/>
      <c r="X140" s="2007"/>
      <c r="Y140" s="2005" t="str">
        <f>$G$4</f>
        <v>10 FFF</v>
      </c>
      <c r="Z140" s="2006"/>
      <c r="AA140" s="2033"/>
      <c r="AB140" s="1995" t="s">
        <v>16</v>
      </c>
      <c r="AC140" s="1996"/>
      <c r="AD140" s="1997"/>
      <c r="AE140" s="538"/>
      <c r="AF140" s="538"/>
      <c r="AG140" s="538"/>
      <c r="AH140" s="538"/>
    </row>
    <row r="141" spans="1:90" s="212" customFormat="1" ht="19.5" customHeight="1" x14ac:dyDescent="0.25">
      <c r="A141" s="415" t="s">
        <v>50</v>
      </c>
      <c r="B141" s="415" t="s">
        <v>15</v>
      </c>
      <c r="C141" s="539" t="s">
        <v>25</v>
      </c>
      <c r="D141" s="402" t="s">
        <v>158</v>
      </c>
      <c r="E141" s="310"/>
      <c r="F141" s="540"/>
      <c r="G141" s="541" t="s">
        <v>529</v>
      </c>
      <c r="H141" s="301" t="s">
        <v>524</v>
      </c>
      <c r="I141" s="542"/>
      <c r="J141" s="541" t="s">
        <v>77</v>
      </c>
      <c r="K141" s="541"/>
      <c r="L141" s="543"/>
      <c r="M141" s="1998" t="s">
        <v>216</v>
      </c>
      <c r="N141" s="301" t="s">
        <v>206</v>
      </c>
      <c r="O141" s="301" t="s">
        <v>16</v>
      </c>
      <c r="P141" s="1998" t="s">
        <v>216</v>
      </c>
      <c r="Q141" s="301" t="s">
        <v>206</v>
      </c>
      <c r="R141" s="301" t="s">
        <v>16</v>
      </c>
      <c r="S141" s="1998" t="s">
        <v>216</v>
      </c>
      <c r="T141" s="301" t="s">
        <v>206</v>
      </c>
      <c r="U141" s="301" t="s">
        <v>16</v>
      </c>
      <c r="V141" s="1998" t="s">
        <v>216</v>
      </c>
      <c r="W141" s="301" t="s">
        <v>206</v>
      </c>
      <c r="X141" s="301" t="s">
        <v>16</v>
      </c>
      <c r="Y141" s="1998" t="s">
        <v>216</v>
      </c>
      <c r="Z141" s="301" t="s">
        <v>206</v>
      </c>
      <c r="AA141" s="304" t="s">
        <v>16</v>
      </c>
      <c r="AB141" s="544" t="s">
        <v>23</v>
      </c>
      <c r="AC141" s="1993" t="s">
        <v>178</v>
      </c>
      <c r="AD141" s="1994"/>
      <c r="AE141" s="538"/>
      <c r="AF141" s="538"/>
      <c r="AG141" s="538"/>
      <c r="AH141" s="538"/>
      <c r="AI141" s="538"/>
      <c r="AJ141" s="538"/>
      <c r="AK141" s="538"/>
      <c r="AL141" s="538"/>
      <c r="AM141" s="538"/>
      <c r="AN141" s="538"/>
      <c r="AO141" s="538"/>
      <c r="AP141" s="538"/>
      <c r="AQ141" s="538"/>
      <c r="AR141" s="538"/>
      <c r="AS141" s="545"/>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69"/>
      <c r="BO141" s="233"/>
      <c r="BP141" s="233"/>
      <c r="BQ141" s="222"/>
      <c r="BR141" s="233"/>
      <c r="BS141" s="222"/>
      <c r="BT141" s="211"/>
      <c r="BU141" s="222"/>
      <c r="BV141" s="222"/>
      <c r="BW141" s="225"/>
      <c r="BX141" s="225"/>
      <c r="BY141" s="225"/>
      <c r="BZ141" s="225"/>
      <c r="CA141" s="225"/>
      <c r="CB141" s="300"/>
      <c r="CC141" s="300"/>
      <c r="CD141" s="300"/>
      <c r="CE141" s="522"/>
      <c r="CF141" s="522"/>
      <c r="CG141" s="522"/>
    </row>
    <row r="142" spans="1:90" s="212" customFormat="1" ht="19.5" customHeight="1" thickBot="1" x14ac:dyDescent="0.3">
      <c r="A142" s="308"/>
      <c r="B142" s="308"/>
      <c r="C142" s="546"/>
      <c r="D142" s="313" t="s">
        <v>383</v>
      </c>
      <c r="E142" s="313" t="s">
        <v>384</v>
      </c>
      <c r="F142" s="313" t="s">
        <v>385</v>
      </c>
      <c r="G142" s="541" t="s">
        <v>28</v>
      </c>
      <c r="H142" s="312" t="s">
        <v>528</v>
      </c>
      <c r="I142" s="542" t="s">
        <v>2</v>
      </c>
      <c r="J142" s="547" t="s">
        <v>61</v>
      </c>
      <c r="K142" s="541" t="s">
        <v>3</v>
      </c>
      <c r="L142" s="547" t="s">
        <v>22</v>
      </c>
      <c r="M142" s="1999"/>
      <c r="N142" s="314" t="s">
        <v>207</v>
      </c>
      <c r="O142" s="315" t="s">
        <v>174</v>
      </c>
      <c r="P142" s="1999"/>
      <c r="Q142" s="314" t="s">
        <v>207</v>
      </c>
      <c r="R142" s="315" t="s">
        <v>174</v>
      </c>
      <c r="S142" s="1999"/>
      <c r="T142" s="314" t="s">
        <v>207</v>
      </c>
      <c r="U142" s="315" t="s">
        <v>174</v>
      </c>
      <c r="V142" s="1999"/>
      <c r="W142" s="314" t="s">
        <v>207</v>
      </c>
      <c r="X142" s="315" t="s">
        <v>174</v>
      </c>
      <c r="Y142" s="1999"/>
      <c r="Z142" s="314" t="s">
        <v>207</v>
      </c>
      <c r="AA142" s="178" t="s">
        <v>174</v>
      </c>
      <c r="AB142" s="548" t="s">
        <v>173</v>
      </c>
      <c r="AC142" s="679" t="s">
        <v>173</v>
      </c>
      <c r="AD142" s="550" t="s">
        <v>166</v>
      </c>
      <c r="AE142" s="538"/>
      <c r="AF142" s="538"/>
      <c r="AG142" s="538"/>
      <c r="AH142" s="538"/>
      <c r="AI142" s="551"/>
      <c r="AJ142" s="538"/>
      <c r="AK142" s="538"/>
      <c r="AL142" s="538"/>
      <c r="AM142" s="538"/>
      <c r="AN142" s="538"/>
      <c r="AO142" s="538"/>
      <c r="AP142" s="538"/>
      <c r="AQ142" s="538"/>
      <c r="AR142" s="538"/>
      <c r="AS142" s="538"/>
      <c r="AT142" s="538"/>
      <c r="AU142" s="538"/>
      <c r="AV142" s="538"/>
      <c r="AW142" s="538"/>
      <c r="AX142" s="545"/>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69"/>
      <c r="BT142" s="233"/>
      <c r="BU142" s="233"/>
      <c r="BV142" s="222"/>
      <c r="BW142" s="233"/>
      <c r="BX142" s="222"/>
      <c r="BY142" s="211"/>
      <c r="BZ142" s="222"/>
      <c r="CA142" s="222"/>
      <c r="CB142" s="225"/>
      <c r="CC142" s="225"/>
      <c r="CD142" s="225"/>
      <c r="CE142" s="225"/>
      <c r="CF142" s="225"/>
      <c r="CG142" s="300"/>
      <c r="CH142" s="300"/>
      <c r="CI142" s="300"/>
      <c r="CJ142" s="522"/>
      <c r="CK142" s="522"/>
      <c r="CL142" s="522"/>
    </row>
    <row r="143" spans="1:90" s="212" customFormat="1" ht="19.5" hidden="1" customHeight="1" thickBot="1" x14ac:dyDescent="0.3">
      <c r="A143" s="367"/>
      <c r="B143" s="367"/>
      <c r="C143" s="576"/>
      <c r="D143" s="576"/>
      <c r="E143" s="576"/>
      <c r="F143" s="576"/>
      <c r="G143" s="680"/>
      <c r="H143" s="367"/>
      <c r="I143" s="681"/>
      <c r="J143" s="367"/>
      <c r="K143" s="680"/>
      <c r="L143" s="367"/>
      <c r="M143" s="576"/>
      <c r="N143" s="75"/>
      <c r="O143" s="89"/>
      <c r="P143" s="576"/>
      <c r="Q143" s="75"/>
      <c r="R143" s="89"/>
      <c r="S143" s="576"/>
      <c r="T143" s="75"/>
      <c r="U143" s="89"/>
      <c r="V143" s="576"/>
      <c r="W143" s="75"/>
      <c r="X143" s="89"/>
      <c r="Y143" s="576"/>
      <c r="Z143" s="75"/>
      <c r="AA143" s="90"/>
      <c r="AB143" s="319"/>
      <c r="AC143" s="442"/>
      <c r="AD143" s="682"/>
      <c r="AI143" s="300"/>
      <c r="AX143" s="225"/>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69"/>
      <c r="BT143" s="233"/>
      <c r="BU143" s="233"/>
      <c r="BV143" s="222"/>
      <c r="BW143" s="233"/>
      <c r="BX143" s="222"/>
      <c r="BY143" s="211"/>
      <c r="BZ143" s="222"/>
      <c r="CA143" s="222"/>
      <c r="CB143" s="225"/>
      <c r="CC143" s="225"/>
      <c r="CD143" s="225"/>
      <c r="CE143" s="225"/>
      <c r="CF143" s="225"/>
      <c r="CG143" s="300"/>
      <c r="CH143" s="300"/>
      <c r="CI143" s="300"/>
      <c r="CJ143" s="522"/>
      <c r="CK143" s="522"/>
      <c r="CL143" s="522"/>
    </row>
    <row r="144" spans="1:90" s="212" customFormat="1" ht="30" customHeight="1" x14ac:dyDescent="0.25">
      <c r="A144" s="552"/>
      <c r="B144" s="322"/>
      <c r="C144" s="323" t="s">
        <v>569</v>
      </c>
      <c r="D144" s="1836">
        <v>1</v>
      </c>
      <c r="E144" s="89"/>
      <c r="F144" s="89"/>
      <c r="G144" s="89"/>
      <c r="H144" s="1836">
        <v>0.25</v>
      </c>
      <c r="I144" s="1836">
        <v>250</v>
      </c>
      <c r="J144" s="1836">
        <v>0</v>
      </c>
      <c r="K144" s="1836">
        <v>0</v>
      </c>
      <c r="L144" s="1836">
        <v>0</v>
      </c>
      <c r="M144" s="91">
        <f>IF($I144=0,0,1+($I144-$C$21)/$C$22)+$J144/$C$23+$K144/$C$24+$L144/$C$25</f>
        <v>7.4545454545454541</v>
      </c>
      <c r="N144" s="92">
        <f t="shared" ref="N144:N162" si="18">10^(-M144)</f>
        <v>3.5111917342151263E-8</v>
      </c>
      <c r="O144" s="93">
        <f>$C$7*$C$14*$C$8*$H144/$D144^2*N144*10^6</f>
        <v>7.022383468430253E-2</v>
      </c>
      <c r="P144" s="91">
        <f>IF($I144=0,0,1+($I144-$D$21)/$D$22)+$J144/$D$23+$K144/$D$24+$L144/$D$25</f>
        <v>6.6486486486486482</v>
      </c>
      <c r="Q144" s="92">
        <f t="shared" ref="Q144:Q162" si="19">10^(-P144)</f>
        <v>2.2456979955397711E-7</v>
      </c>
      <c r="R144" s="93">
        <f>$C$7*$D$14*$D$8*$H144/$D144^2*$Q144*10^6</f>
        <v>0.4491395991079542</v>
      </c>
      <c r="S144" s="93">
        <f>IF($I144=0,0,1+(I144-$E$21)/$E$22)+$J144/$E$23+K144/$E$24+$L144/$E$25</f>
        <v>5.7674418604651159</v>
      </c>
      <c r="T144" s="92">
        <f t="shared" ref="T144:T162" si="20">10^(-S144)</f>
        <v>1.7082763938087111E-6</v>
      </c>
      <c r="U144" s="93">
        <f>$C$7*$E$14*$E$8*$H144/$D144^2*$T144*10^6</f>
        <v>3.4165527876174222</v>
      </c>
      <c r="V144" s="93">
        <f>IF($I144=0,0,1+(I144-$F$21)/$F$22)+$J144/$F$23+K144/$F$24+$L144/$F$25</f>
        <v>9.1481481481481488</v>
      </c>
      <c r="W144" s="92">
        <f t="shared" ref="W144:W162" si="21">10^(-V144)</f>
        <v>7.1097094323124171E-10</v>
      </c>
      <c r="X144" s="93">
        <f>$C$7*$F$14*$F$8*$H144/$D144^2*$W144*10^6</f>
        <v>1.4219418864624834E-3</v>
      </c>
      <c r="Y144" s="93">
        <f>IF($I144=0,0,1+(I144-$G$21)/$G$22)+$J144/$G$23+K144/$G$24+$L144/$G$25</f>
        <v>6.9444444444444446</v>
      </c>
      <c r="Z144" s="92">
        <f t="shared" ref="Z144:Z162" si="22">10^(-Y144)</f>
        <v>1.136463666385722E-7</v>
      </c>
      <c r="AA144" s="94">
        <f>$C$7*$G$14*$G$8*$H144/$D144^2*$Z144*10^6</f>
        <v>0.22729273327714439</v>
      </c>
      <c r="AB144" s="553">
        <f>SUM(O144,R144,U144,X144,AA144)</f>
        <v>4.1646308965732857</v>
      </c>
      <c r="AC144" s="554"/>
      <c r="AD144" s="555"/>
      <c r="AE144" s="538"/>
      <c r="AF144" s="538"/>
      <c r="AG144" s="538"/>
      <c r="AH144" s="556"/>
      <c r="AI144" s="551"/>
      <c r="AJ144" s="551"/>
      <c r="AK144" s="551"/>
      <c r="AL144" s="538"/>
      <c r="AM144" s="538"/>
      <c r="AN144" s="538"/>
      <c r="AO144" s="538"/>
      <c r="AP144" s="538"/>
      <c r="AQ144" s="538"/>
      <c r="AR144" s="538"/>
      <c r="AS144" s="538"/>
      <c r="AT144" s="538"/>
      <c r="AU144" s="538"/>
      <c r="AV144" s="538"/>
      <c r="AW144" s="538"/>
      <c r="AX144" s="545"/>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69"/>
      <c r="BT144" s="233"/>
      <c r="BU144" s="233"/>
      <c r="BV144" s="222"/>
      <c r="BW144" s="222"/>
      <c r="BX144" s="222"/>
      <c r="BY144" s="211"/>
      <c r="BZ144" s="222"/>
      <c r="CA144" s="222"/>
      <c r="CB144" s="225"/>
      <c r="CC144" s="225"/>
      <c r="CD144" s="225"/>
      <c r="CE144" s="225"/>
      <c r="CF144" s="225"/>
      <c r="CG144" s="300"/>
      <c r="CH144" s="300"/>
      <c r="CI144" s="300"/>
      <c r="CJ144" s="522"/>
      <c r="CK144" s="522"/>
      <c r="CL144" s="522"/>
    </row>
    <row r="145" spans="1:90" s="212" customFormat="1" ht="30" customHeight="1" x14ac:dyDescent="0.25">
      <c r="A145" s="557" t="str">
        <f>Samenvatting!A332</f>
        <v>T1</v>
      </c>
      <c r="B145" s="558" t="str">
        <f>Samenvatting!B332</f>
        <v>terreingrens 1</v>
      </c>
      <c r="C145" s="331" t="s">
        <v>568</v>
      </c>
      <c r="D145" s="1836">
        <v>25</v>
      </c>
      <c r="E145" s="89"/>
      <c r="F145" s="89"/>
      <c r="G145" s="89"/>
      <c r="H145" s="559"/>
      <c r="I145" s="1836">
        <v>250</v>
      </c>
      <c r="J145" s="1836">
        <v>0</v>
      </c>
      <c r="K145" s="1836">
        <v>0</v>
      </c>
      <c r="L145" s="1836">
        <v>0</v>
      </c>
      <c r="M145" s="93">
        <f>$I145/$C$27+$J145/$C$28+K145/$C$29+$L145/$C$30</f>
        <v>7.3529411764705879</v>
      </c>
      <c r="N145" s="92">
        <f t="shared" si="18"/>
        <v>4.4366873309786093E-8</v>
      </c>
      <c r="O145" s="93">
        <f>$C$7*$C$15*$C$8*($C$9+$C$10*$C$11)/$D145^2*$N145*10^6</f>
        <v>4.2592198377394652E-5</v>
      </c>
      <c r="P145" s="93">
        <f>$I145/$D$27+$J145/$D$28+K145/$D$29+$L145/$D$30</f>
        <v>6.5789473684210522</v>
      </c>
      <c r="Q145" s="92">
        <f t="shared" si="19"/>
        <v>2.636650898730358E-7</v>
      </c>
      <c r="R145" s="93">
        <f>$C$7*$C$15*$D$8*($D$9+$D$10*$D$11)/$D145^2*$Q145*10^6</f>
        <v>2.5311848627811444E-4</v>
      </c>
      <c r="S145" s="93">
        <f>$I145/$E$27+$J145/$E$28+K145/$E$29+$L145/$E$30</f>
        <v>5.6818181818181817</v>
      </c>
      <c r="T145" s="92">
        <f t="shared" si="20"/>
        <v>2.0805675382171676E-6</v>
      </c>
      <c r="U145" s="93">
        <f>$C$7*$C$15*$E$8*($E$9+$E$10*$E$11)/$D145^2*$T145*10^6</f>
        <v>1.9973448366884814E-3</v>
      </c>
      <c r="V145" s="93">
        <f>$I145/$F$27+$J145/$F$28+K145/$F$29+$L145/$F$30</f>
        <v>8.1967213114754092</v>
      </c>
      <c r="W145" s="92">
        <f t="shared" si="21"/>
        <v>6.3573875711648393E-9</v>
      </c>
      <c r="X145" s="93">
        <f>$C$7*$C$15*$F$8*($F$9+$F$10*$F$11)/$D145^2*$W145*10^6</f>
        <v>6.1030920683182469E-6</v>
      </c>
      <c r="Y145" s="93">
        <f>$I145/$G$27+$J145/$G$28+K145/$G$29+$L145/$G$30</f>
        <v>7.0224719101123592</v>
      </c>
      <c r="Z145" s="92">
        <f t="shared" si="22"/>
        <v>9.4957241494880226E-8</v>
      </c>
      <c r="AA145" s="94">
        <f>$C$7*$C$15*$G$8*($G$9+$G$10*$G$11)/$D145^2*$Z145*10^6</f>
        <v>9.1158951835085031E-5</v>
      </c>
      <c r="AB145" s="560">
        <f>SUM(O145,R145,U145,X145,AA145)</f>
        <v>2.3903175652473939E-3</v>
      </c>
      <c r="AC145" s="561">
        <f>SUM(AB143:AB148)</f>
        <v>4.1670929152189826</v>
      </c>
      <c r="AD145" s="562">
        <f>AC145*52/10^3</f>
        <v>0.2166888315913871</v>
      </c>
      <c r="AE145" s="538"/>
      <c r="AF145" s="538"/>
      <c r="AG145" s="538"/>
      <c r="AH145" s="556"/>
      <c r="AI145" s="563"/>
      <c r="AJ145" s="551"/>
      <c r="AK145" s="551"/>
      <c r="AL145" s="538"/>
      <c r="AM145" s="538"/>
      <c r="AN145" s="538"/>
      <c r="AO145" s="538"/>
      <c r="AP145" s="538"/>
      <c r="AQ145" s="538"/>
      <c r="AR145" s="538"/>
      <c r="AS145" s="538"/>
      <c r="AT145" s="538"/>
      <c r="AU145" s="538"/>
      <c r="AV145" s="538"/>
      <c r="AW145" s="538"/>
      <c r="AX145" s="545"/>
      <c r="AY145" s="545"/>
      <c r="AZ145" s="545"/>
      <c r="BA145" s="545"/>
      <c r="BB145" s="328"/>
      <c r="BC145" s="328"/>
      <c r="BD145" s="328"/>
      <c r="BE145" s="328"/>
      <c r="BF145" s="328"/>
      <c r="BG145" s="328"/>
      <c r="BH145" s="328"/>
      <c r="BI145" s="328"/>
      <c r="BJ145" s="328"/>
      <c r="BK145" s="328"/>
      <c r="BL145" s="328"/>
      <c r="BM145" s="328"/>
      <c r="BN145" s="328"/>
      <c r="BO145" s="328"/>
      <c r="BP145" s="328"/>
      <c r="BQ145" s="328"/>
      <c r="BR145" s="328"/>
      <c r="BS145" s="369"/>
      <c r="BT145" s="233"/>
      <c r="BU145" s="233"/>
      <c r="BV145" s="222"/>
      <c r="BW145" s="222"/>
      <c r="BX145" s="222"/>
      <c r="BY145" s="211"/>
      <c r="BZ145" s="222"/>
      <c r="CA145" s="222"/>
      <c r="CB145" s="225"/>
      <c r="CC145" s="225"/>
      <c r="CD145" s="225"/>
      <c r="CE145" s="225"/>
      <c r="CF145" s="225"/>
      <c r="CG145" s="300"/>
      <c r="CH145" s="300"/>
      <c r="CI145" s="300"/>
      <c r="CJ145" s="522"/>
      <c r="CK145" s="522"/>
      <c r="CL145" s="522"/>
    </row>
    <row r="146" spans="1:90" s="212" customFormat="1" ht="30" customHeight="1" x14ac:dyDescent="0.25">
      <c r="A146" s="557"/>
      <c r="B146" s="558"/>
      <c r="C146" s="331" t="s">
        <v>26</v>
      </c>
      <c r="D146" s="564"/>
      <c r="E146" s="1836">
        <v>11</v>
      </c>
      <c r="F146" s="89">
        <f>D145</f>
        <v>25</v>
      </c>
      <c r="G146" s="1836">
        <v>15</v>
      </c>
      <c r="H146" s="1836">
        <v>0.25</v>
      </c>
      <c r="I146" s="1836">
        <v>210</v>
      </c>
      <c r="J146" s="1836">
        <v>0</v>
      </c>
      <c r="K146" s="1836">
        <v>0</v>
      </c>
      <c r="L146" s="1836">
        <v>0</v>
      </c>
      <c r="M146" s="93">
        <f>IF($I146=0,0,1+(I146-$C$21)/$C$22)+$J146/$C$23+K146/$C$24+$L146/$C$25</f>
        <v>6.2424242424242422</v>
      </c>
      <c r="N146" s="92">
        <f t="shared" si="18"/>
        <v>5.722367659350211E-7</v>
      </c>
      <c r="O146" s="95">
        <f>2.5*0.01*$C$7*$C$14*$C$8*$H146*(2*PI()*(1-COS($G146/180*PI())))^1.3/$E146^2/$F146^2*N146*10^6</f>
        <v>5.101138747051231E-8</v>
      </c>
      <c r="P146" s="91">
        <f>IF($I146=0,0,1+($I146-$D$21)/$D$22)+$J146/$D$23+$K146/$D$24+$L146/$D$25</f>
        <v>5.5675675675675675</v>
      </c>
      <c r="Q146" s="92">
        <f t="shared" si="19"/>
        <v>2.7066520700332395E-6</v>
      </c>
      <c r="R146" s="95">
        <f>2.5*0.01*$C$7*$D$14*$D$8*$H146*(2*PI()*(1-COS($G146/180*PI())))^1.3/$E146^2/$F146^2*Q146*10^6</f>
        <v>2.4128138160910826E-7</v>
      </c>
      <c r="S146" s="93">
        <f>IF($I146=0,0,1+(I146-$E$21)/$E$22)+$J146/$E$23+K146/$E$24+$L146/$E$25</f>
        <v>4.8372093023255811</v>
      </c>
      <c r="T146" s="92">
        <f t="shared" si="20"/>
        <v>1.4547578108480478E-5</v>
      </c>
      <c r="U146" s="95">
        <f>2.5*0.01*$C$7*$E$14*$E$8*$H146*(2*PI()*(1-COS($G146/180*PI())))^1.3/$E146^2/$F146^2*T146*10^6</f>
        <v>1.2968270964496306E-6</v>
      </c>
      <c r="V146" s="93">
        <f>IF($I146=0,0,1+(I146-$F$21)/$F$22)+$J146/$F$23+K146/$F$24+$L146/$F$25</f>
        <v>7.666666666666667</v>
      </c>
      <c r="W146" s="92">
        <f t="shared" si="21"/>
        <v>2.1544346900318783E-8</v>
      </c>
      <c r="X146" s="95">
        <f>2.5*0.01*$C$7*$F$14*$F$8*$H146*(2*PI()*(1-COS($G146/180*PI())))^1.3/$E146^2/$F146^2*W146*10^6</f>
        <v>1.920545992418962E-9</v>
      </c>
      <c r="Y146" s="93">
        <f>IF($I146=0,0,1+(I146-$G$21)/$G$22)+$J146/$G$23+K146/$G$24+$L146/$G$25</f>
        <v>5.833333333333333</v>
      </c>
      <c r="Z146" s="92">
        <f t="shared" si="22"/>
        <v>1.4677992676220696E-6</v>
      </c>
      <c r="AA146" s="96">
        <f>2.5*0.01*$C$7*$G$14*$G$8*$H146*(2*PI()*(1-COS($G146/180*PI())))^1.3/$E146^2/$F146^2*Z146*10^6</f>
        <v>1.3084527528960935E-7</v>
      </c>
      <c r="AB146" s="560">
        <f>SUM(O146,R146,U146,X146,AA146)</f>
        <v>1.7218856868112794E-6</v>
      </c>
      <c r="AC146" s="565"/>
      <c r="AD146" s="566"/>
      <c r="AE146" s="538"/>
      <c r="AF146" s="538"/>
      <c r="AG146" s="567"/>
      <c r="AH146" s="538"/>
      <c r="AI146" s="563"/>
      <c r="AJ146" s="545"/>
      <c r="AK146" s="545"/>
      <c r="AL146" s="538"/>
      <c r="AM146" s="538"/>
      <c r="AN146" s="538"/>
      <c r="AO146" s="538"/>
      <c r="AP146" s="538"/>
      <c r="AQ146" s="538"/>
      <c r="AR146" s="538"/>
      <c r="AS146" s="538"/>
      <c r="AT146" s="538"/>
      <c r="AU146" s="538"/>
      <c r="AV146" s="538"/>
      <c r="AW146" s="538"/>
      <c r="AX146" s="545"/>
      <c r="AY146" s="545"/>
      <c r="AZ146" s="545"/>
      <c r="BA146" s="545"/>
      <c r="BB146" s="328"/>
      <c r="BC146" s="328"/>
      <c r="BD146" s="328"/>
      <c r="BE146" s="328"/>
      <c r="BF146" s="328"/>
      <c r="BG146" s="328"/>
      <c r="BH146" s="328"/>
      <c r="BI146" s="328"/>
      <c r="BJ146" s="328"/>
      <c r="BK146" s="328"/>
      <c r="BL146" s="328"/>
      <c r="BM146" s="328"/>
      <c r="BN146" s="328"/>
      <c r="BO146" s="328"/>
      <c r="BP146" s="328"/>
      <c r="BQ146" s="328"/>
      <c r="BR146" s="328"/>
      <c r="BS146" s="369"/>
      <c r="BT146" s="233"/>
      <c r="BU146" s="233"/>
      <c r="BV146" s="222"/>
      <c r="BW146" s="222"/>
      <c r="BX146" s="222"/>
      <c r="BY146" s="211"/>
      <c r="BZ146" s="222"/>
      <c r="CA146" s="222"/>
      <c r="CB146" s="225"/>
      <c r="CC146" s="225"/>
      <c r="CD146" s="225"/>
      <c r="CE146" s="225"/>
      <c r="CF146" s="225"/>
      <c r="CG146" s="300"/>
      <c r="CH146" s="300"/>
      <c r="CI146" s="300"/>
      <c r="CJ146" s="522"/>
      <c r="CK146" s="522"/>
      <c r="CL146" s="522"/>
    </row>
    <row r="147" spans="1:90" s="538" customFormat="1" ht="30" customHeight="1" thickBot="1" x14ac:dyDescent="0.3">
      <c r="A147" s="557"/>
      <c r="B147" s="558"/>
      <c r="C147" s="331" t="s">
        <v>27</v>
      </c>
      <c r="D147" s="89"/>
      <c r="E147" s="1836">
        <v>10</v>
      </c>
      <c r="F147" s="89"/>
      <c r="G147" s="1836">
        <v>60</v>
      </c>
      <c r="H147" s="568"/>
      <c r="I147" s="1836">
        <v>190</v>
      </c>
      <c r="J147" s="1836">
        <v>0</v>
      </c>
      <c r="K147" s="1836">
        <v>0</v>
      </c>
      <c r="L147" s="1836">
        <v>0</v>
      </c>
      <c r="M147" s="93">
        <f>$I147/$C$27+$J147/$C$28+K147/$C$29+$L147/$C$30</f>
        <v>5.5882352941176467</v>
      </c>
      <c r="N147" s="92">
        <f t="shared" si="18"/>
        <v>2.580861540418073E-6</v>
      </c>
      <c r="O147" s="95">
        <f>2.5*0.01*$C$7*$C$15*$C$8*($C$9+$C$10*$C$11)*(2*PI()*(1-COS($G147/180*PI())))^1.3/E$147^2/$F146^2*N147*10^6</f>
        <v>2.7432840731901286E-6</v>
      </c>
      <c r="P147" s="93">
        <f>$I147/$D$27+$J147/$D$28+K147/$D$29+$L147/$D$30</f>
        <v>5</v>
      </c>
      <c r="Q147" s="92">
        <f t="shared" si="19"/>
        <v>1.0000000000000001E-5</v>
      </c>
      <c r="R147" s="95">
        <f>2.5*0.01*$C$7*$C$15*$D$8*($D$9+$D$10*$D$11)*(2*PI()*(1-COS($G147/180*PI())))^1.3/$E147^2/$F146^2*Q147*10^6</f>
        <v>1.0629334546733355E-5</v>
      </c>
      <c r="S147" s="93">
        <f>$I147/$E$27+$J147/$E$28+K147/$E$29+$L147/$E$30</f>
        <v>4.3181818181818183</v>
      </c>
      <c r="T147" s="92">
        <f t="shared" si="20"/>
        <v>4.8063808630643867E-5</v>
      </c>
      <c r="U147" s="95">
        <f>2.5*0.01*$C$7*$C$15*$E$8*($E$9+$E$10*$E$11)*(2*PI()*(1-COS($G147/180*PI())))^1.3/$E147^2/$F146^2*T147*10^6</f>
        <v>5.1088630152528366E-5</v>
      </c>
      <c r="V147" s="93">
        <f>$I147/$F$27+$J147/$F$28+K147/$F$29+$L147/$F$30</f>
        <v>6.2295081967213113</v>
      </c>
      <c r="W147" s="92">
        <f t="shared" si="21"/>
        <v>5.8951085074002664E-7</v>
      </c>
      <c r="X147" s="95">
        <f>2.5*0.01*$C$7*$C$15*$F$8*($F$9+$F$10*$F$11)*(2*PI()*(1-COS($G147/180*PI())))^1.3/$E147^2/$F146^2*W147*10^6</f>
        <v>6.2661080514451354E-7</v>
      </c>
      <c r="Y147" s="93">
        <f>$I147/$G$27+$J147/$G$28+K147/$G$29+$L147/$G$30</f>
        <v>5.3370786516853927</v>
      </c>
      <c r="Z147" s="92">
        <f t="shared" si="22"/>
        <v>4.6017322765137984E-6</v>
      </c>
      <c r="AA147" s="96">
        <f>2.5*0.01*$C$7*$C$15*$G$8*($G$9+$G$10*$G$11)*(2*PI()*(1-COS($G147/180*PI())))^1.3/$E147^2/$F146^2*Z147*10^6</f>
        <v>4.891335186156605E-6</v>
      </c>
      <c r="AB147" s="569">
        <f>SUM(O147,R147,U147,X147,AA147)</f>
        <v>6.9979194763752965E-5</v>
      </c>
      <c r="AC147" s="570"/>
      <c r="AD147" s="571"/>
      <c r="AH147" s="572"/>
      <c r="AI147" s="573"/>
      <c r="AJ147" s="563"/>
      <c r="AK147" s="551"/>
      <c r="AX147" s="545"/>
      <c r="AY147" s="545"/>
      <c r="AZ147" s="545"/>
      <c r="BA147" s="545"/>
      <c r="BB147" s="545"/>
      <c r="BC147" s="545"/>
      <c r="BD147" s="545"/>
      <c r="BE147" s="545"/>
      <c r="BF147" s="545"/>
      <c r="BG147" s="545"/>
      <c r="BH147" s="545"/>
      <c r="BI147" s="545"/>
      <c r="BJ147" s="545"/>
      <c r="BK147" s="545"/>
      <c r="BL147" s="545"/>
      <c r="BM147" s="545"/>
      <c r="BN147" s="545"/>
      <c r="BO147" s="545"/>
      <c r="BP147" s="545"/>
      <c r="BQ147" s="545"/>
      <c r="BR147" s="545"/>
      <c r="BS147" s="545"/>
      <c r="BT147" s="545"/>
      <c r="BU147" s="545"/>
      <c r="BV147" s="545"/>
      <c r="BW147" s="545"/>
      <c r="BX147" s="545"/>
      <c r="BY147" s="545"/>
      <c r="BZ147" s="545"/>
    </row>
    <row r="148" spans="1:90" s="212" customFormat="1" ht="30" hidden="1" customHeight="1" thickBot="1" x14ac:dyDescent="0.3">
      <c r="A148" s="574"/>
      <c r="B148" s="575"/>
      <c r="C148" s="576"/>
      <c r="D148" s="89"/>
      <c r="E148" s="89"/>
      <c r="F148" s="89"/>
      <c r="G148" s="89"/>
      <c r="H148" s="1837"/>
      <c r="I148" s="1837"/>
      <c r="J148" s="1837"/>
      <c r="K148" s="1837"/>
      <c r="L148" s="1837"/>
      <c r="M148" s="91"/>
      <c r="N148" s="97"/>
      <c r="O148" s="98"/>
      <c r="P148" s="91"/>
      <c r="Q148" s="97"/>
      <c r="R148" s="98"/>
      <c r="S148" s="91"/>
      <c r="T148" s="97"/>
      <c r="U148" s="98"/>
      <c r="V148" s="91"/>
      <c r="W148" s="97"/>
      <c r="X148" s="98"/>
      <c r="Y148" s="91"/>
      <c r="Z148" s="97"/>
      <c r="AA148" s="99"/>
      <c r="AB148" s="577"/>
      <c r="AC148" s="578"/>
      <c r="AD148" s="579"/>
      <c r="AH148" s="580"/>
      <c r="AI148" s="581"/>
      <c r="AJ148" s="282"/>
      <c r="AK148" s="300"/>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row>
    <row r="149" spans="1:90" s="212" customFormat="1" ht="30" customHeight="1" x14ac:dyDescent="0.25">
      <c r="A149" s="552"/>
      <c r="B149" s="322"/>
      <c r="C149" s="323" t="s">
        <v>569</v>
      </c>
      <c r="D149" s="1836">
        <v>1</v>
      </c>
      <c r="E149" s="89"/>
      <c r="F149" s="89"/>
      <c r="G149" s="89"/>
      <c r="H149" s="1836">
        <v>0.25</v>
      </c>
      <c r="I149" s="1836">
        <v>250</v>
      </c>
      <c r="J149" s="1836">
        <v>0</v>
      </c>
      <c r="K149" s="1836">
        <v>0</v>
      </c>
      <c r="L149" s="1836">
        <v>0</v>
      </c>
      <c r="M149" s="91">
        <f>IF($I149=0,0,1+($I149-$C$21)/$C$22)+$J149/$C$23+$K149/$C$24+$L149/$C$25</f>
        <v>7.4545454545454541</v>
      </c>
      <c r="N149" s="92">
        <f t="shared" si="18"/>
        <v>3.5111917342151263E-8</v>
      </c>
      <c r="O149" s="93">
        <f>$C$7*$C$14*$C$8*$H149/$D149^2*N149*10^6</f>
        <v>7.022383468430253E-2</v>
      </c>
      <c r="P149" s="91">
        <f>IF($I149=0,0,1+($I149-$D$21)/$D$22)+$J149/$D$23+$K149/$D$24+$L149/$D$25</f>
        <v>6.6486486486486482</v>
      </c>
      <c r="Q149" s="92">
        <f t="shared" si="19"/>
        <v>2.2456979955397711E-7</v>
      </c>
      <c r="R149" s="93">
        <f>$C$7*$D$14*$D$8*$H149/$D149^2*$Q149*10^6</f>
        <v>0.4491395991079542</v>
      </c>
      <c r="S149" s="93">
        <f>IF($I149=0,0,1+(I149-$E$21)/$E$22)+$J149/$E$23+K149/$E$24+$L149/$E$25</f>
        <v>5.7674418604651159</v>
      </c>
      <c r="T149" s="92">
        <f t="shared" si="20"/>
        <v>1.7082763938087111E-6</v>
      </c>
      <c r="U149" s="93">
        <f>$C$7*$E$14*$E$8*$H149/$D149^2*$T149*10^6</f>
        <v>3.4165527876174222</v>
      </c>
      <c r="V149" s="93">
        <f>IF($I149=0,0,1+(I149-$F$21)/$F$22)+$J149/$F$23+K149/$F$24+$L149/$F$25</f>
        <v>9.1481481481481488</v>
      </c>
      <c r="W149" s="92">
        <f t="shared" si="21"/>
        <v>7.1097094323124171E-10</v>
      </c>
      <c r="X149" s="93">
        <f>$C$7*$F$14*$F$8*$H149/$D149^2*$W149*10^6</f>
        <v>1.4219418864624834E-3</v>
      </c>
      <c r="Y149" s="93">
        <f>IF($I149=0,0,1+(I149-$G$21)/$G$22)+$J149/$G$23+K149/$G$24+$L149/$G$25</f>
        <v>6.9444444444444446</v>
      </c>
      <c r="Z149" s="92">
        <f t="shared" si="22"/>
        <v>1.136463666385722E-7</v>
      </c>
      <c r="AA149" s="94">
        <f>$C$7*$G$14*$G$8*$H149/$D149^2*$Z149*10^6</f>
        <v>0.22729273327714439</v>
      </c>
      <c r="AB149" s="553">
        <f>SUM(O149,R149,U149,X149,AA149)</f>
        <v>4.1646308965732857</v>
      </c>
      <c r="AC149" s="554"/>
      <c r="AD149" s="555"/>
      <c r="AE149" s="538"/>
      <c r="AF149" s="538"/>
      <c r="AG149" s="538"/>
      <c r="AH149" s="556"/>
      <c r="AI149" s="551"/>
      <c r="AJ149" s="551"/>
      <c r="AK149" s="551"/>
      <c r="AL149" s="538"/>
      <c r="AM149" s="538"/>
      <c r="AN149" s="538"/>
      <c r="AO149" s="538"/>
      <c r="AP149" s="538"/>
      <c r="AQ149" s="538"/>
      <c r="AR149" s="538"/>
      <c r="AS149" s="538"/>
      <c r="AT149" s="538"/>
      <c r="AU149" s="538"/>
      <c r="AV149" s="538"/>
      <c r="AW149" s="538"/>
      <c r="AX149" s="545"/>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69"/>
      <c r="BT149" s="233"/>
      <c r="BU149" s="233"/>
      <c r="BV149" s="222"/>
      <c r="BW149" s="222"/>
      <c r="BX149" s="222"/>
      <c r="BY149" s="211"/>
      <c r="BZ149" s="222"/>
      <c r="CA149" s="222"/>
      <c r="CB149" s="225"/>
      <c r="CC149" s="225"/>
      <c r="CD149" s="225"/>
      <c r="CE149" s="225"/>
      <c r="CF149" s="225"/>
      <c r="CG149" s="300"/>
      <c r="CH149" s="300"/>
      <c r="CI149" s="300"/>
      <c r="CJ149" s="522"/>
      <c r="CK149" s="522"/>
      <c r="CL149" s="522"/>
    </row>
    <row r="150" spans="1:90" s="212" customFormat="1" ht="30" customHeight="1" x14ac:dyDescent="0.25">
      <c r="A150" s="557" t="str">
        <f>Samenvatting!A343</f>
        <v>T2</v>
      </c>
      <c r="B150" s="558" t="str">
        <f>Samenvatting!B343</f>
        <v>terreingrens 2</v>
      </c>
      <c r="C150" s="331" t="s">
        <v>568</v>
      </c>
      <c r="D150" s="1836">
        <v>25</v>
      </c>
      <c r="E150" s="89"/>
      <c r="F150" s="89"/>
      <c r="G150" s="89"/>
      <c r="H150" s="559"/>
      <c r="I150" s="1836">
        <v>250</v>
      </c>
      <c r="J150" s="1836">
        <v>0</v>
      </c>
      <c r="K150" s="1836">
        <v>0</v>
      </c>
      <c r="L150" s="1836">
        <v>0</v>
      </c>
      <c r="M150" s="93">
        <f>$I150/$C$27+$J150/$C$28+K150/$C$29+$L150/$C$30</f>
        <v>7.3529411764705879</v>
      </c>
      <c r="N150" s="92">
        <f t="shared" si="18"/>
        <v>4.4366873309786093E-8</v>
      </c>
      <c r="O150" s="93">
        <f>$C$7*$C$15*$C$8*($C$9+$C$10*$C$11)/$D150^2*$N150*10^6</f>
        <v>4.2592198377394652E-5</v>
      </c>
      <c r="P150" s="93">
        <f>$I150/$D$27+$J150/$D$28+K150/$D$29+$L150/$D$30</f>
        <v>6.5789473684210522</v>
      </c>
      <c r="Q150" s="92">
        <f t="shared" si="19"/>
        <v>2.636650898730358E-7</v>
      </c>
      <c r="R150" s="93">
        <f>$C$7*$C$15*$D$8*($D$9+$D$10*$D$11)/$D150^2*$Q150*10^6</f>
        <v>2.5311848627811444E-4</v>
      </c>
      <c r="S150" s="93">
        <f>$I150/$E$27+$J150/$E$28+K150/$E$29+$L150/$E$30</f>
        <v>5.6818181818181817</v>
      </c>
      <c r="T150" s="92">
        <f t="shared" si="20"/>
        <v>2.0805675382171676E-6</v>
      </c>
      <c r="U150" s="93">
        <f>$C$7*$C$15*$E$8*($E$9+$E$10*$E$11)/$D150^2*$T150*10^6</f>
        <v>1.9973448366884814E-3</v>
      </c>
      <c r="V150" s="93">
        <f>$I150/$F$27+$J150/$F$28+K150/$F$29+$L150/$F$30</f>
        <v>8.1967213114754092</v>
      </c>
      <c r="W150" s="92">
        <f t="shared" si="21"/>
        <v>6.3573875711648393E-9</v>
      </c>
      <c r="X150" s="93">
        <f>$C$7*$C$15*$F$8*($F$9+$F$10*$F$11)/$D150^2*$W150*10^6</f>
        <v>6.1030920683182469E-6</v>
      </c>
      <c r="Y150" s="93">
        <f>$I150/$G$27+$J150/$G$28+K150/$G$29+$L150/$G$30</f>
        <v>7.0224719101123592</v>
      </c>
      <c r="Z150" s="92">
        <f t="shared" si="22"/>
        <v>9.4957241494880226E-8</v>
      </c>
      <c r="AA150" s="94">
        <f>$C$7*$C$15*$G$8*($G$9+$G$10*$G$11)/$D150^2*$Z150*10^6</f>
        <v>9.1158951835085031E-5</v>
      </c>
      <c r="AB150" s="560">
        <f>SUM(O150,R150,U150,X150,AA150)</f>
        <v>2.3903175652473939E-3</v>
      </c>
      <c r="AC150" s="561">
        <f>SUM(AB148:AB153)</f>
        <v>4.1670929152189826</v>
      </c>
      <c r="AD150" s="562">
        <f>AC150*52/10^3</f>
        <v>0.2166888315913871</v>
      </c>
      <c r="AE150" s="538"/>
      <c r="AF150" s="538"/>
      <c r="AG150" s="538"/>
      <c r="AH150" s="556"/>
      <c r="AI150" s="563"/>
      <c r="AJ150" s="551"/>
      <c r="AK150" s="551"/>
      <c r="AL150" s="538"/>
      <c r="AM150" s="538"/>
      <c r="AN150" s="538"/>
      <c r="AO150" s="538"/>
      <c r="AP150" s="538"/>
      <c r="AQ150" s="538"/>
      <c r="AR150" s="538"/>
      <c r="AS150" s="538"/>
      <c r="AT150" s="538"/>
      <c r="AU150" s="538"/>
      <c r="AV150" s="538"/>
      <c r="AW150" s="538"/>
      <c r="AX150" s="545"/>
      <c r="AY150" s="545"/>
      <c r="AZ150" s="545"/>
      <c r="BA150" s="545"/>
      <c r="BB150" s="328"/>
      <c r="BC150" s="328"/>
      <c r="BD150" s="328"/>
      <c r="BE150" s="328"/>
      <c r="BF150" s="328"/>
      <c r="BG150" s="328"/>
      <c r="BH150" s="328"/>
      <c r="BI150" s="328"/>
      <c r="BJ150" s="328"/>
      <c r="BK150" s="328"/>
      <c r="BL150" s="328"/>
      <c r="BM150" s="328"/>
      <c r="BN150" s="328"/>
      <c r="BO150" s="328"/>
      <c r="BP150" s="328"/>
      <c r="BQ150" s="328"/>
      <c r="BR150" s="328"/>
      <c r="BS150" s="369"/>
      <c r="BT150" s="233"/>
      <c r="BU150" s="233"/>
      <c r="BV150" s="222"/>
      <c r="BW150" s="222"/>
      <c r="BX150" s="222"/>
      <c r="BY150" s="211"/>
      <c r="BZ150" s="222"/>
      <c r="CA150" s="222"/>
      <c r="CB150" s="225"/>
      <c r="CC150" s="225"/>
      <c r="CD150" s="225"/>
      <c r="CE150" s="225"/>
      <c r="CF150" s="225"/>
      <c r="CG150" s="300"/>
      <c r="CH150" s="300"/>
      <c r="CI150" s="300"/>
      <c r="CJ150" s="522"/>
      <c r="CK150" s="522"/>
      <c r="CL150" s="522"/>
    </row>
    <row r="151" spans="1:90" s="212" customFormat="1" ht="30" customHeight="1" x14ac:dyDescent="0.25">
      <c r="A151" s="557"/>
      <c r="B151" s="558"/>
      <c r="C151" s="331" t="s">
        <v>26</v>
      </c>
      <c r="D151" s="564"/>
      <c r="E151" s="89">
        <f>E146</f>
        <v>11</v>
      </c>
      <c r="F151" s="89">
        <f>D150</f>
        <v>25</v>
      </c>
      <c r="G151" s="1836">
        <v>15</v>
      </c>
      <c r="H151" s="1836">
        <v>0.25</v>
      </c>
      <c r="I151" s="1836">
        <v>210</v>
      </c>
      <c r="J151" s="1836">
        <v>0</v>
      </c>
      <c r="K151" s="1836">
        <v>0</v>
      </c>
      <c r="L151" s="1836">
        <v>0</v>
      </c>
      <c r="M151" s="93">
        <f>IF($I151=0,0,1+(I151-$C$21)/$C$22)+$J151/$C$23+K151/$C$24+$L151/$C$25</f>
        <v>6.2424242424242422</v>
      </c>
      <c r="N151" s="92">
        <f t="shared" si="18"/>
        <v>5.722367659350211E-7</v>
      </c>
      <c r="O151" s="95">
        <f>2.5*0.01*$C$7*$C$14*$C$8*$H151*(2*PI()*(1-COS($G151/180*PI())))^1.3/$E151^2/$F151^2*N151*10^6</f>
        <v>5.101138747051231E-8</v>
      </c>
      <c r="P151" s="91">
        <f>IF($I151=0,0,1+($I151-$D$21)/$D$22)+$J151/$D$23+$K151/$D$24+$L151/$D$25</f>
        <v>5.5675675675675675</v>
      </c>
      <c r="Q151" s="92">
        <f t="shared" si="19"/>
        <v>2.7066520700332395E-6</v>
      </c>
      <c r="R151" s="95">
        <f>2.5*0.01*$C$7*$D$14*$D$8*$H151*(2*PI()*(1-COS($G151/180*PI())))^1.3/$E151^2/$F151^2*Q151*10^6</f>
        <v>2.4128138160910826E-7</v>
      </c>
      <c r="S151" s="93">
        <f>IF($I151=0,0,1+(I151-$E$21)/$E$22)+$J151/$E$23+K151/$E$24+$L151/$E$25</f>
        <v>4.8372093023255811</v>
      </c>
      <c r="T151" s="92">
        <f t="shared" si="20"/>
        <v>1.4547578108480478E-5</v>
      </c>
      <c r="U151" s="95">
        <f>2.5*0.01*$C$7*$E$14*$E$8*$H151*(2*PI()*(1-COS($G151/180*PI())))^1.3/$E151^2/$F151^2*T151*10^6</f>
        <v>1.2968270964496306E-6</v>
      </c>
      <c r="V151" s="93">
        <f>IF($I151=0,0,1+(I151-$F$21)/$F$22)+$J151/$F$23+K151/$F$24+$L151/$F$25</f>
        <v>7.666666666666667</v>
      </c>
      <c r="W151" s="92">
        <f t="shared" si="21"/>
        <v>2.1544346900318783E-8</v>
      </c>
      <c r="X151" s="95">
        <f>2.5*0.01*$C$7*$F$14*$F$8*$H151*(2*PI()*(1-COS($G151/180*PI())))^1.3/$E151^2/$F151^2*W151*10^6</f>
        <v>1.920545992418962E-9</v>
      </c>
      <c r="Y151" s="93">
        <f>IF($I151=0,0,1+(I151-$G$21)/$G$22)+$J151/$G$23+K151/$G$24+$L151/$G$25</f>
        <v>5.833333333333333</v>
      </c>
      <c r="Z151" s="92">
        <f t="shared" si="22"/>
        <v>1.4677992676220696E-6</v>
      </c>
      <c r="AA151" s="96">
        <f>2.5*0.01*$C$7*$G$14*$G$8*$H151*(2*PI()*(1-COS($G151/180*PI())))^1.3/$E151^2/$F151^2*Z151*10^6</f>
        <v>1.3084527528960935E-7</v>
      </c>
      <c r="AB151" s="560">
        <f>SUM(O151,R151,U151,X151,AA151)</f>
        <v>1.7218856868112794E-6</v>
      </c>
      <c r="AC151" s="565"/>
      <c r="AD151" s="566"/>
      <c r="AE151" s="538"/>
      <c r="AF151" s="538"/>
      <c r="AG151" s="567"/>
      <c r="AH151" s="538"/>
      <c r="AI151" s="563"/>
      <c r="AJ151" s="545"/>
      <c r="AK151" s="545"/>
      <c r="AL151" s="538"/>
      <c r="AM151" s="538"/>
      <c r="AN151" s="538"/>
      <c r="AO151" s="538"/>
      <c r="AP151" s="538"/>
      <c r="AQ151" s="538"/>
      <c r="AR151" s="538"/>
      <c r="AS151" s="538"/>
      <c r="AT151" s="538"/>
      <c r="AU151" s="538"/>
      <c r="AV151" s="538"/>
      <c r="AW151" s="538"/>
      <c r="AX151" s="545"/>
      <c r="AY151" s="545"/>
      <c r="AZ151" s="545"/>
      <c r="BA151" s="545"/>
      <c r="BB151" s="328"/>
      <c r="BC151" s="328"/>
      <c r="BD151" s="328"/>
      <c r="BE151" s="328"/>
      <c r="BF151" s="328"/>
      <c r="BG151" s="328"/>
      <c r="BH151" s="328"/>
      <c r="BI151" s="328"/>
      <c r="BJ151" s="328"/>
      <c r="BK151" s="328"/>
      <c r="BL151" s="328"/>
      <c r="BM151" s="328"/>
      <c r="BN151" s="328"/>
      <c r="BO151" s="328"/>
      <c r="BP151" s="328"/>
      <c r="BQ151" s="328"/>
      <c r="BR151" s="328"/>
      <c r="BS151" s="369"/>
      <c r="BT151" s="233"/>
      <c r="BU151" s="233"/>
      <c r="BV151" s="222"/>
      <c r="BW151" s="222"/>
      <c r="BX151" s="222"/>
      <c r="BY151" s="211"/>
      <c r="BZ151" s="222"/>
      <c r="CA151" s="222"/>
      <c r="CB151" s="225"/>
      <c r="CC151" s="225"/>
      <c r="CD151" s="225"/>
      <c r="CE151" s="225"/>
      <c r="CF151" s="225"/>
      <c r="CG151" s="300"/>
      <c r="CH151" s="300"/>
      <c r="CI151" s="300"/>
      <c r="CJ151" s="522"/>
      <c r="CK151" s="522"/>
      <c r="CL151" s="522"/>
    </row>
    <row r="152" spans="1:90" s="538" customFormat="1" ht="30" customHeight="1" thickBot="1" x14ac:dyDescent="0.3">
      <c r="A152" s="557"/>
      <c r="B152" s="558"/>
      <c r="C152" s="331" t="s">
        <v>27</v>
      </c>
      <c r="D152" s="89"/>
      <c r="E152" s="89">
        <f>E147</f>
        <v>10</v>
      </c>
      <c r="F152" s="89"/>
      <c r="G152" s="1836">
        <v>60</v>
      </c>
      <c r="H152" s="568"/>
      <c r="I152" s="1836">
        <v>190</v>
      </c>
      <c r="J152" s="1836">
        <v>0</v>
      </c>
      <c r="K152" s="1836">
        <v>0</v>
      </c>
      <c r="L152" s="1836">
        <v>0</v>
      </c>
      <c r="M152" s="93">
        <f>$I152/$C$27+$J152/$C$28+K152/$C$29+$L152/$C$30</f>
        <v>5.5882352941176467</v>
      </c>
      <c r="N152" s="92">
        <f t="shared" si="18"/>
        <v>2.580861540418073E-6</v>
      </c>
      <c r="O152" s="95">
        <f>2.5*0.01*$C$7*$C$15*$C$8*($C$9+$C$10*$C$11)*(2*PI()*(1-COS($G152/180*PI())))^1.3/E$147^2/$F151^2*N152*10^6</f>
        <v>2.7432840731901286E-6</v>
      </c>
      <c r="P152" s="93">
        <f>$I152/$D$27+$J152/$D$28+K152/$D$29+$L152/$D$30</f>
        <v>5</v>
      </c>
      <c r="Q152" s="92">
        <f t="shared" si="19"/>
        <v>1.0000000000000001E-5</v>
      </c>
      <c r="R152" s="95">
        <f>2.5*0.01*$C$7*$C$15*$D$8*($D$9+$D$10*$D$11)*(2*PI()*(1-COS($G152/180*PI())))^1.3/$E152^2/$F151^2*Q152*10^6</f>
        <v>1.0629334546733355E-5</v>
      </c>
      <c r="S152" s="93">
        <f>$I152/$E$27+$J152/$E$28+K152/$E$29+$L152/$E$30</f>
        <v>4.3181818181818183</v>
      </c>
      <c r="T152" s="92">
        <f t="shared" si="20"/>
        <v>4.8063808630643867E-5</v>
      </c>
      <c r="U152" s="95">
        <f>2.5*0.01*$C$7*$C$15*$E$8*($E$9+$E$10*$E$11)*(2*PI()*(1-COS($G152/180*PI())))^1.3/$E152^2/$F151^2*T152*10^6</f>
        <v>5.1088630152528366E-5</v>
      </c>
      <c r="V152" s="93">
        <f>$I152/$F$27+$J152/$F$28+K152/$F$29+$L152/$F$30</f>
        <v>6.2295081967213113</v>
      </c>
      <c r="W152" s="92">
        <f t="shared" si="21"/>
        <v>5.8951085074002664E-7</v>
      </c>
      <c r="X152" s="95">
        <f>2.5*0.01*$C$7*$C$15*$F$8*($F$9+$F$10*$F$11)*(2*PI()*(1-COS($G152/180*PI())))^1.3/$E152^2/$F151^2*W152*10^6</f>
        <v>6.2661080514451354E-7</v>
      </c>
      <c r="Y152" s="93">
        <f>$I152/$G$27+$J152/$G$28+K152/$G$29+$L152/$G$30</f>
        <v>5.3370786516853927</v>
      </c>
      <c r="Z152" s="92">
        <f t="shared" si="22"/>
        <v>4.6017322765137984E-6</v>
      </c>
      <c r="AA152" s="96">
        <f>2.5*0.01*$C$7*$C$15*$G$8*($G$9+$G$10*$G$11)*(2*PI()*(1-COS($G152/180*PI())))^1.3/$E152^2/$F151^2*Z152*10^6</f>
        <v>4.891335186156605E-6</v>
      </c>
      <c r="AB152" s="569">
        <f>SUM(O152,R152,U152,X152,AA152)</f>
        <v>6.9979194763752965E-5</v>
      </c>
      <c r="AC152" s="570"/>
      <c r="AD152" s="571"/>
      <c r="AH152" s="572"/>
      <c r="AI152" s="573"/>
      <c r="AJ152" s="563"/>
      <c r="AK152" s="551"/>
      <c r="AX152" s="545"/>
      <c r="AY152" s="545"/>
      <c r="AZ152" s="545"/>
      <c r="BA152" s="545"/>
      <c r="BB152" s="545"/>
      <c r="BC152" s="545"/>
      <c r="BD152" s="545"/>
      <c r="BE152" s="545"/>
      <c r="BF152" s="545"/>
      <c r="BG152" s="545"/>
      <c r="BH152" s="545"/>
      <c r="BI152" s="545"/>
      <c r="BJ152" s="545"/>
      <c r="BK152" s="545"/>
      <c r="BL152" s="545"/>
      <c r="BM152" s="545"/>
      <c r="BN152" s="545"/>
      <c r="BO152" s="545"/>
      <c r="BP152" s="545"/>
      <c r="BQ152" s="545"/>
      <c r="BR152" s="545"/>
      <c r="BS152" s="545"/>
      <c r="BT152" s="545"/>
      <c r="BU152" s="545"/>
      <c r="BV152" s="545"/>
      <c r="BW152" s="545"/>
      <c r="BX152" s="545"/>
      <c r="BY152" s="545"/>
      <c r="BZ152" s="545"/>
    </row>
    <row r="153" spans="1:90" s="212" customFormat="1" ht="30" hidden="1" customHeight="1" thickBot="1" x14ac:dyDescent="0.3">
      <c r="A153" s="574"/>
      <c r="B153" s="575"/>
      <c r="C153" s="576"/>
      <c r="D153" s="89"/>
      <c r="E153" s="89"/>
      <c r="F153" s="89"/>
      <c r="G153" s="89"/>
      <c r="H153" s="1837"/>
      <c r="I153" s="1837"/>
      <c r="J153" s="1837"/>
      <c r="K153" s="1837"/>
      <c r="L153" s="1837"/>
      <c r="M153" s="91"/>
      <c r="N153" s="97"/>
      <c r="O153" s="98"/>
      <c r="P153" s="91"/>
      <c r="Q153" s="97"/>
      <c r="R153" s="98"/>
      <c r="S153" s="91"/>
      <c r="T153" s="97"/>
      <c r="U153" s="98"/>
      <c r="V153" s="91"/>
      <c r="W153" s="97"/>
      <c r="X153" s="98"/>
      <c r="Y153" s="91"/>
      <c r="Z153" s="97"/>
      <c r="AA153" s="99"/>
      <c r="AB153" s="577"/>
      <c r="AC153" s="578"/>
      <c r="AD153" s="579"/>
      <c r="AH153" s="580"/>
      <c r="AI153" s="581"/>
      <c r="AJ153" s="282"/>
      <c r="AK153" s="300"/>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row>
    <row r="154" spans="1:90" s="212" customFormat="1" ht="30" customHeight="1" x14ac:dyDescent="0.25">
      <c r="A154" s="552"/>
      <c r="B154" s="322"/>
      <c r="C154" s="323" t="s">
        <v>569</v>
      </c>
      <c r="D154" s="1836">
        <v>1</v>
      </c>
      <c r="E154" s="89"/>
      <c r="F154" s="89"/>
      <c r="G154" s="89"/>
      <c r="H154" s="1836">
        <v>0.25</v>
      </c>
      <c r="I154" s="1836">
        <v>250</v>
      </c>
      <c r="J154" s="1836">
        <v>0</v>
      </c>
      <c r="K154" s="1836">
        <v>0</v>
      </c>
      <c r="L154" s="1836">
        <v>0</v>
      </c>
      <c r="M154" s="91">
        <f>IF($I154=0,0,1+($I154-$C$21)/$C$22)+$J154/$C$23+$K154/$C$24+$L154/$C$25</f>
        <v>7.4545454545454541</v>
      </c>
      <c r="N154" s="92">
        <f t="shared" si="18"/>
        <v>3.5111917342151263E-8</v>
      </c>
      <c r="O154" s="93">
        <f>$C$7*$C$14*$C$8*$H154/$D154^2*N154*10^6</f>
        <v>7.022383468430253E-2</v>
      </c>
      <c r="P154" s="91">
        <f>IF($I154=0,0,1+($I154-$D$21)/$D$22)+$J154/$D$23+$K154/$D$24+$L154/$D$25</f>
        <v>6.6486486486486482</v>
      </c>
      <c r="Q154" s="92">
        <f t="shared" si="19"/>
        <v>2.2456979955397711E-7</v>
      </c>
      <c r="R154" s="93">
        <f>$C$7*$D$14*$D$8*$H154/$D154^2*$Q154*10^6</f>
        <v>0.4491395991079542</v>
      </c>
      <c r="S154" s="93">
        <f>IF($I154=0,0,1+(I154-$E$21)/$E$22)+$J154/$E$23+K154/$E$24+$L154/$E$25</f>
        <v>5.7674418604651159</v>
      </c>
      <c r="T154" s="92">
        <f t="shared" si="20"/>
        <v>1.7082763938087111E-6</v>
      </c>
      <c r="U154" s="93">
        <f>$C$7*$E$14*$E$8*$H154/$D154^2*$T154*10^6</f>
        <v>3.4165527876174222</v>
      </c>
      <c r="V154" s="93">
        <f>IF($I154=0,0,1+(I154-$F$21)/$F$22)+$J154/$F$23+K154/$F$24+$L154/$F$25</f>
        <v>9.1481481481481488</v>
      </c>
      <c r="W154" s="92">
        <f t="shared" si="21"/>
        <v>7.1097094323124171E-10</v>
      </c>
      <c r="X154" s="93">
        <f>$C$7*$F$14*$F$8*$H154/$D154^2*$W154*10^6</f>
        <v>1.4219418864624834E-3</v>
      </c>
      <c r="Y154" s="93">
        <f>IF($I154=0,0,1+(I154-$G$21)/$G$22)+$J154/$G$23+K154/$G$24+$L154/$G$25</f>
        <v>6.9444444444444446</v>
      </c>
      <c r="Z154" s="92">
        <f t="shared" si="22"/>
        <v>1.136463666385722E-7</v>
      </c>
      <c r="AA154" s="94">
        <f>$C$7*$G$14*$G$8*$H154/$D154^2*$Z154*10^6</f>
        <v>0.22729273327714439</v>
      </c>
      <c r="AB154" s="553">
        <f>SUM(O154,R154,U154,X154,AA154)</f>
        <v>4.1646308965732857</v>
      </c>
      <c r="AC154" s="554"/>
      <c r="AD154" s="555"/>
      <c r="AE154" s="538"/>
      <c r="AF154" s="538"/>
      <c r="AG154" s="538"/>
      <c r="AH154" s="556"/>
      <c r="AI154" s="551"/>
      <c r="AJ154" s="551"/>
      <c r="AK154" s="551"/>
      <c r="AL154" s="538"/>
      <c r="AM154" s="538"/>
      <c r="AN154" s="538"/>
      <c r="AO154" s="538"/>
      <c r="AP154" s="538"/>
      <c r="AQ154" s="538"/>
      <c r="AR154" s="538"/>
      <c r="AS154" s="538"/>
      <c r="AT154" s="538"/>
      <c r="AU154" s="538"/>
      <c r="AV154" s="538"/>
      <c r="AW154" s="538"/>
      <c r="AX154" s="545"/>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69"/>
      <c r="BT154" s="233"/>
      <c r="BU154" s="233"/>
      <c r="BV154" s="222"/>
      <c r="BW154" s="222"/>
      <c r="BX154" s="222"/>
      <c r="BY154" s="211"/>
      <c r="BZ154" s="222"/>
      <c r="CA154" s="222"/>
      <c r="CB154" s="225"/>
      <c r="CC154" s="225"/>
      <c r="CD154" s="225"/>
      <c r="CE154" s="225"/>
      <c r="CF154" s="225"/>
      <c r="CG154" s="300"/>
      <c r="CH154" s="300"/>
      <c r="CI154" s="300"/>
      <c r="CJ154" s="522"/>
      <c r="CK154" s="522"/>
      <c r="CL154" s="522"/>
    </row>
    <row r="155" spans="1:90" s="212" customFormat="1" ht="30" customHeight="1" x14ac:dyDescent="0.25">
      <c r="A155" s="557" t="str">
        <f>Samenvatting!A354</f>
        <v>T3</v>
      </c>
      <c r="B155" s="558" t="str">
        <f>Samenvatting!B354</f>
        <v>terreingrens 3</v>
      </c>
      <c r="C155" s="331" t="s">
        <v>568</v>
      </c>
      <c r="D155" s="1836">
        <v>25</v>
      </c>
      <c r="E155" s="89"/>
      <c r="F155" s="89"/>
      <c r="G155" s="89"/>
      <c r="H155" s="559"/>
      <c r="I155" s="1836">
        <v>250</v>
      </c>
      <c r="J155" s="1836">
        <v>0</v>
      </c>
      <c r="K155" s="1836">
        <v>0</v>
      </c>
      <c r="L155" s="1836">
        <v>0</v>
      </c>
      <c r="M155" s="93">
        <f>$I155/$C$27+$J155/$C$28+K155/$C$29+$L155/$C$30</f>
        <v>7.3529411764705879</v>
      </c>
      <c r="N155" s="92">
        <f t="shared" si="18"/>
        <v>4.4366873309786093E-8</v>
      </c>
      <c r="O155" s="93">
        <f>$C$7*$C$15*$C$8*($C$9+$C$10*$C$11)/$D155^2*$N155*10^6</f>
        <v>4.2592198377394652E-5</v>
      </c>
      <c r="P155" s="93">
        <f>$I155/$D$27+$J155/$D$28+K155/$D$29+$L155/$D$30</f>
        <v>6.5789473684210522</v>
      </c>
      <c r="Q155" s="92">
        <f t="shared" si="19"/>
        <v>2.636650898730358E-7</v>
      </c>
      <c r="R155" s="93">
        <f>$C$7*$C$15*$D$8*($D$9+$D$10*$D$11)/$D155^2*$Q155*10^6</f>
        <v>2.5311848627811444E-4</v>
      </c>
      <c r="S155" s="93">
        <f>$I155/$E$27+$J155/$E$28+K155/$E$29+$L155/$E$30</f>
        <v>5.6818181818181817</v>
      </c>
      <c r="T155" s="92">
        <f t="shared" si="20"/>
        <v>2.0805675382171676E-6</v>
      </c>
      <c r="U155" s="93">
        <f>$C$7*$C$15*$E$8*($E$9+$E$10*$E$11)/$D155^2*$T155*10^6</f>
        <v>1.9973448366884814E-3</v>
      </c>
      <c r="V155" s="93">
        <f>$I155/$F$27+$J155/$F$28+K155/$F$29+$L155/$F$30</f>
        <v>8.1967213114754092</v>
      </c>
      <c r="W155" s="92">
        <f t="shared" si="21"/>
        <v>6.3573875711648393E-9</v>
      </c>
      <c r="X155" s="93">
        <f>$C$7*$C$15*$F$8*($F$9+$F$10*$F$11)/$D155^2*$W155*10^6</f>
        <v>6.1030920683182469E-6</v>
      </c>
      <c r="Y155" s="93">
        <f>$I155/$G$27+$J155/$G$28+K155/$G$29+$L155/$G$30</f>
        <v>7.0224719101123592</v>
      </c>
      <c r="Z155" s="92">
        <f t="shared" si="22"/>
        <v>9.4957241494880226E-8</v>
      </c>
      <c r="AA155" s="94">
        <f>$C$7*$C$15*$G$8*($G$9+$G$10*$G$11)/$D155^2*$Z155*10^6</f>
        <v>9.1158951835085031E-5</v>
      </c>
      <c r="AB155" s="560">
        <f>SUM(O155,R155,U155,X155,AA155)</f>
        <v>2.3903175652473939E-3</v>
      </c>
      <c r="AC155" s="561">
        <f>SUM(AB153:AB158)</f>
        <v>4.1670929152189826</v>
      </c>
      <c r="AD155" s="562">
        <f>AC155*52/10^3</f>
        <v>0.2166888315913871</v>
      </c>
      <c r="AE155" s="538"/>
      <c r="AF155" s="538"/>
      <c r="AG155" s="538"/>
      <c r="AH155" s="556"/>
      <c r="AI155" s="563"/>
      <c r="AJ155" s="551"/>
      <c r="AK155" s="551"/>
      <c r="AL155" s="538"/>
      <c r="AM155" s="538"/>
      <c r="AN155" s="538"/>
      <c r="AO155" s="538"/>
      <c r="AP155" s="538"/>
      <c r="AQ155" s="538"/>
      <c r="AR155" s="538"/>
      <c r="AS155" s="538"/>
      <c r="AT155" s="538"/>
      <c r="AU155" s="538"/>
      <c r="AV155" s="538"/>
      <c r="AW155" s="538"/>
      <c r="AX155" s="545"/>
      <c r="AY155" s="545"/>
      <c r="AZ155" s="545"/>
      <c r="BA155" s="545"/>
      <c r="BB155" s="328"/>
      <c r="BC155" s="328"/>
      <c r="BD155" s="328"/>
      <c r="BE155" s="328"/>
      <c r="BF155" s="328"/>
      <c r="BG155" s="328"/>
      <c r="BH155" s="328"/>
      <c r="BI155" s="328"/>
      <c r="BJ155" s="328"/>
      <c r="BK155" s="328"/>
      <c r="BL155" s="328"/>
      <c r="BM155" s="328"/>
      <c r="BN155" s="328"/>
      <c r="BO155" s="328"/>
      <c r="BP155" s="328"/>
      <c r="BQ155" s="328"/>
      <c r="BR155" s="328"/>
      <c r="BS155" s="369"/>
      <c r="BT155" s="233"/>
      <c r="BU155" s="233"/>
      <c r="BV155" s="222"/>
      <c r="BW155" s="222"/>
      <c r="BX155" s="222"/>
      <c r="BY155" s="211"/>
      <c r="BZ155" s="222"/>
      <c r="CA155" s="222"/>
      <c r="CB155" s="225"/>
      <c r="CC155" s="225"/>
      <c r="CD155" s="225"/>
      <c r="CE155" s="225"/>
      <c r="CF155" s="225"/>
      <c r="CG155" s="300"/>
      <c r="CH155" s="300"/>
      <c r="CI155" s="300"/>
      <c r="CJ155" s="522"/>
      <c r="CK155" s="522"/>
      <c r="CL155" s="522"/>
    </row>
    <row r="156" spans="1:90" s="212" customFormat="1" ht="30" customHeight="1" x14ac:dyDescent="0.25">
      <c r="A156" s="557"/>
      <c r="B156" s="558"/>
      <c r="C156" s="331" t="s">
        <v>26</v>
      </c>
      <c r="D156" s="564"/>
      <c r="E156" s="89">
        <f>E146</f>
        <v>11</v>
      </c>
      <c r="F156" s="89">
        <f>D155</f>
        <v>25</v>
      </c>
      <c r="G156" s="1836">
        <v>15</v>
      </c>
      <c r="H156" s="1836">
        <v>0.25</v>
      </c>
      <c r="I156" s="1836">
        <v>210</v>
      </c>
      <c r="J156" s="1836">
        <v>0</v>
      </c>
      <c r="K156" s="1836">
        <v>0</v>
      </c>
      <c r="L156" s="1836">
        <v>0</v>
      </c>
      <c r="M156" s="93">
        <f>IF($I156=0,0,1+(I156-$C$21)/$C$22)+$J156/$C$23+K156/$C$24+$L156/$C$25</f>
        <v>6.2424242424242422</v>
      </c>
      <c r="N156" s="92">
        <f t="shared" si="18"/>
        <v>5.722367659350211E-7</v>
      </c>
      <c r="O156" s="95">
        <f>2.5*0.01*$C$7*$C$14*$C$8*$H156*(2*PI()*(1-COS($G156/180*PI())))^1.3/$E156^2/$F156^2*N156*10^6</f>
        <v>5.101138747051231E-8</v>
      </c>
      <c r="P156" s="91">
        <f>IF($I156=0,0,1+($I156-$D$21)/$D$22)+$J156/$D$23+$K156/$D$24+$L156/$D$25</f>
        <v>5.5675675675675675</v>
      </c>
      <c r="Q156" s="92">
        <f t="shared" si="19"/>
        <v>2.7066520700332395E-6</v>
      </c>
      <c r="R156" s="95">
        <f>2.5*0.01*$C$7*$D$14*$D$8*$H156*(2*PI()*(1-COS($G156/180*PI())))^1.3/$E156^2/$F156^2*Q156*10^6</f>
        <v>2.4128138160910826E-7</v>
      </c>
      <c r="S156" s="93">
        <f>IF($I156=0,0,1+(I156-$E$21)/$E$22)+$J156/$E$23+K156/$E$24+$L156/$E$25</f>
        <v>4.8372093023255811</v>
      </c>
      <c r="T156" s="92">
        <f t="shared" si="20"/>
        <v>1.4547578108480478E-5</v>
      </c>
      <c r="U156" s="95">
        <f>2.5*0.01*$C$7*$E$14*$E$8*$H156*(2*PI()*(1-COS($G156/180*PI())))^1.3/$E156^2/$F156^2*T156*10^6</f>
        <v>1.2968270964496306E-6</v>
      </c>
      <c r="V156" s="93">
        <f>IF($I156=0,0,1+(I156-$F$21)/$F$22)+$J156/$F$23+K156/$F$24+$L156/$F$25</f>
        <v>7.666666666666667</v>
      </c>
      <c r="W156" s="92">
        <f t="shared" si="21"/>
        <v>2.1544346900318783E-8</v>
      </c>
      <c r="X156" s="95">
        <f>2.5*0.01*$C$7*$F$14*$F$8*$H156*(2*PI()*(1-COS($G156/180*PI())))^1.3/$E156^2/$F156^2*W156*10^6</f>
        <v>1.920545992418962E-9</v>
      </c>
      <c r="Y156" s="93">
        <f>IF($I156=0,0,1+(I156-$G$21)/$G$22)+$J156/$G$23+K156/$G$24+$L156/$G$25</f>
        <v>5.833333333333333</v>
      </c>
      <c r="Z156" s="92">
        <f t="shared" si="22"/>
        <v>1.4677992676220696E-6</v>
      </c>
      <c r="AA156" s="96">
        <f>2.5*0.01*$C$7*$G$14*$G$8*$H156*(2*PI()*(1-COS($G156/180*PI())))^1.3/$E156^2/$F156^2*Z156*10^6</f>
        <v>1.3084527528960935E-7</v>
      </c>
      <c r="AB156" s="560">
        <f>SUM(O156,R156,U156,X156,AA156)</f>
        <v>1.7218856868112794E-6</v>
      </c>
      <c r="AC156" s="565"/>
      <c r="AD156" s="566"/>
      <c r="AE156" s="538"/>
      <c r="AF156" s="538"/>
      <c r="AG156" s="567"/>
      <c r="AH156" s="538"/>
      <c r="AI156" s="563"/>
      <c r="AJ156" s="545"/>
      <c r="AK156" s="545"/>
      <c r="AL156" s="538"/>
      <c r="AM156" s="538"/>
      <c r="AN156" s="538"/>
      <c r="AO156" s="538"/>
      <c r="AP156" s="538"/>
      <c r="AQ156" s="538"/>
      <c r="AR156" s="538"/>
      <c r="AS156" s="538"/>
      <c r="AT156" s="538"/>
      <c r="AU156" s="538"/>
      <c r="AV156" s="538"/>
      <c r="AW156" s="538"/>
      <c r="AX156" s="545"/>
      <c r="AY156" s="545"/>
      <c r="AZ156" s="545"/>
      <c r="BA156" s="545"/>
      <c r="BB156" s="328"/>
      <c r="BC156" s="328"/>
      <c r="BD156" s="328"/>
      <c r="BE156" s="328"/>
      <c r="BF156" s="328"/>
      <c r="BG156" s="328"/>
      <c r="BH156" s="328"/>
      <c r="BI156" s="328"/>
      <c r="BJ156" s="328"/>
      <c r="BK156" s="328"/>
      <c r="BL156" s="328"/>
      <c r="BM156" s="328"/>
      <c r="BN156" s="328"/>
      <c r="BO156" s="328"/>
      <c r="BP156" s="328"/>
      <c r="BQ156" s="328"/>
      <c r="BR156" s="328"/>
      <c r="BS156" s="369"/>
      <c r="BT156" s="233"/>
      <c r="BU156" s="233"/>
      <c r="BV156" s="222"/>
      <c r="BW156" s="222"/>
      <c r="BX156" s="222"/>
      <c r="BY156" s="211"/>
      <c r="BZ156" s="222"/>
      <c r="CA156" s="222"/>
      <c r="CB156" s="225"/>
      <c r="CC156" s="225"/>
      <c r="CD156" s="225"/>
      <c r="CE156" s="225"/>
      <c r="CF156" s="225"/>
      <c r="CG156" s="300"/>
      <c r="CH156" s="300"/>
      <c r="CI156" s="300"/>
      <c r="CJ156" s="522"/>
      <c r="CK156" s="522"/>
      <c r="CL156" s="522"/>
    </row>
    <row r="157" spans="1:90" s="538" customFormat="1" ht="30" customHeight="1" thickBot="1" x14ac:dyDescent="0.3">
      <c r="A157" s="557"/>
      <c r="B157" s="558"/>
      <c r="C157" s="331" t="s">
        <v>27</v>
      </c>
      <c r="D157" s="89"/>
      <c r="E157" s="89">
        <f>E147</f>
        <v>10</v>
      </c>
      <c r="F157" s="89"/>
      <c r="G157" s="1836">
        <v>60</v>
      </c>
      <c r="H157" s="568"/>
      <c r="I157" s="1836">
        <v>190</v>
      </c>
      <c r="J157" s="1836">
        <v>0</v>
      </c>
      <c r="K157" s="1836">
        <v>0</v>
      </c>
      <c r="L157" s="1836">
        <v>0</v>
      </c>
      <c r="M157" s="93">
        <f>$I157/$C$27+$J157/$C$28+K157/$C$29+$L157/$C$30</f>
        <v>5.5882352941176467</v>
      </c>
      <c r="N157" s="92">
        <f t="shared" si="18"/>
        <v>2.580861540418073E-6</v>
      </c>
      <c r="O157" s="95">
        <f>2.5*0.01*$C$7*$C$15*$C$8*($C$9+$C$10*$C$11)*(2*PI()*(1-COS($G157/180*PI())))^1.3/E$147^2/$F156^2*N157*10^6</f>
        <v>2.7432840731901286E-6</v>
      </c>
      <c r="P157" s="93">
        <f>$I157/$D$27+$J157/$D$28+K157/$D$29+$L157/$D$30</f>
        <v>5</v>
      </c>
      <c r="Q157" s="92">
        <f t="shared" si="19"/>
        <v>1.0000000000000001E-5</v>
      </c>
      <c r="R157" s="95">
        <f>2.5*0.01*$C$7*$C$15*$D$8*($D$9+$D$10*$D$11)*(2*PI()*(1-COS($G157/180*PI())))^1.3/$E157^2/$F156^2*Q157*10^6</f>
        <v>1.0629334546733355E-5</v>
      </c>
      <c r="S157" s="93">
        <f>$I157/$E$27+$J157/$E$28+K157/$E$29+$L157/$E$30</f>
        <v>4.3181818181818183</v>
      </c>
      <c r="T157" s="92">
        <f t="shared" si="20"/>
        <v>4.8063808630643867E-5</v>
      </c>
      <c r="U157" s="95">
        <f>2.5*0.01*$C$7*$C$15*$E$8*($E$9+$E$10*$E$11)*(2*PI()*(1-COS($G157/180*PI())))^1.3/$E157^2/$F156^2*T157*10^6</f>
        <v>5.1088630152528366E-5</v>
      </c>
      <c r="V157" s="93">
        <f>$I157/$F$27+$J157/$F$28+K157/$F$29+$L157/$F$30</f>
        <v>6.2295081967213113</v>
      </c>
      <c r="W157" s="92">
        <f t="shared" si="21"/>
        <v>5.8951085074002664E-7</v>
      </c>
      <c r="X157" s="95">
        <f>2.5*0.01*$C$7*$C$15*$F$8*($F$9+$F$10*$F$11)*(2*PI()*(1-COS($G157/180*PI())))^1.3/$E157^2/$F156^2*W157*10^6</f>
        <v>6.2661080514451354E-7</v>
      </c>
      <c r="Y157" s="93">
        <f>$I157/$G$27+$J157/$G$28+K157/$G$29+$L157/$G$30</f>
        <v>5.3370786516853927</v>
      </c>
      <c r="Z157" s="92">
        <f t="shared" si="22"/>
        <v>4.6017322765137984E-6</v>
      </c>
      <c r="AA157" s="96">
        <f>2.5*0.01*$C$7*$C$15*$G$8*($G$9+$G$10*$G$11)*(2*PI()*(1-COS($G157/180*PI())))^1.3/$E157^2/$F156^2*Z157*10^6</f>
        <v>4.891335186156605E-6</v>
      </c>
      <c r="AB157" s="569">
        <f>SUM(O157,R157,U157,X157,AA157)</f>
        <v>6.9979194763752965E-5</v>
      </c>
      <c r="AC157" s="570"/>
      <c r="AD157" s="571"/>
      <c r="AH157" s="572"/>
      <c r="AI157" s="573"/>
      <c r="AJ157" s="563"/>
      <c r="AK157" s="551"/>
      <c r="AX157" s="545"/>
      <c r="AY157" s="545"/>
      <c r="AZ157" s="545"/>
      <c r="BA157" s="545"/>
      <c r="BB157" s="545"/>
      <c r="BC157" s="545"/>
      <c r="BD157" s="545"/>
      <c r="BE157" s="545"/>
      <c r="BF157" s="545"/>
      <c r="BG157" s="545"/>
      <c r="BH157" s="545"/>
      <c r="BI157" s="545"/>
      <c r="BJ157" s="545"/>
      <c r="BK157" s="545"/>
      <c r="BL157" s="545"/>
      <c r="BM157" s="545"/>
      <c r="BN157" s="545"/>
      <c r="BO157" s="545"/>
      <c r="BP157" s="545"/>
      <c r="BQ157" s="545"/>
      <c r="BR157" s="545"/>
      <c r="BS157" s="545"/>
      <c r="BT157" s="545"/>
      <c r="BU157" s="545"/>
      <c r="BV157" s="545"/>
      <c r="BW157" s="545"/>
      <c r="BX157" s="545"/>
      <c r="BY157" s="545"/>
      <c r="BZ157" s="545"/>
    </row>
    <row r="158" spans="1:90" s="212" customFormat="1" ht="30" hidden="1" customHeight="1" thickBot="1" x14ac:dyDescent="0.3">
      <c r="A158" s="574"/>
      <c r="B158" s="575"/>
      <c r="C158" s="576"/>
      <c r="D158" s="89"/>
      <c r="E158" s="89"/>
      <c r="F158" s="89"/>
      <c r="G158" s="89"/>
      <c r="H158" s="1837"/>
      <c r="I158" s="1837"/>
      <c r="J158" s="1837"/>
      <c r="K158" s="1837"/>
      <c r="L158" s="1837"/>
      <c r="M158" s="91"/>
      <c r="N158" s="97"/>
      <c r="O158" s="98"/>
      <c r="P158" s="91"/>
      <c r="Q158" s="97"/>
      <c r="R158" s="98"/>
      <c r="S158" s="91"/>
      <c r="T158" s="97"/>
      <c r="U158" s="98"/>
      <c r="V158" s="91"/>
      <c r="W158" s="97"/>
      <c r="X158" s="98"/>
      <c r="Y158" s="91"/>
      <c r="Z158" s="97"/>
      <c r="AA158" s="99"/>
      <c r="AB158" s="577"/>
      <c r="AC158" s="578"/>
      <c r="AD158" s="579"/>
      <c r="AH158" s="580"/>
      <c r="AI158" s="581"/>
      <c r="AJ158" s="282"/>
      <c r="AK158" s="300"/>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row>
    <row r="159" spans="1:90" s="212" customFormat="1" ht="30" customHeight="1" x14ac:dyDescent="0.25">
      <c r="A159" s="552"/>
      <c r="B159" s="322"/>
      <c r="C159" s="323" t="s">
        <v>569</v>
      </c>
      <c r="D159" s="1836">
        <v>1</v>
      </c>
      <c r="E159" s="89"/>
      <c r="F159" s="89"/>
      <c r="G159" s="89"/>
      <c r="H159" s="1836">
        <v>0.25</v>
      </c>
      <c r="I159" s="1836">
        <v>250</v>
      </c>
      <c r="J159" s="1836">
        <v>0</v>
      </c>
      <c r="K159" s="1836">
        <v>0</v>
      </c>
      <c r="L159" s="1836">
        <v>0</v>
      </c>
      <c r="M159" s="91">
        <f>IF($I159=0,0,1+($I159-$C$21)/$C$22)+$J159/$C$23+$K159/$C$24+$L159/$C$25</f>
        <v>7.4545454545454541</v>
      </c>
      <c r="N159" s="92">
        <f t="shared" si="18"/>
        <v>3.5111917342151263E-8</v>
      </c>
      <c r="O159" s="93">
        <f>$C$7*$C$14*$C$8*$H159/$D159^2*N159*10^6</f>
        <v>7.022383468430253E-2</v>
      </c>
      <c r="P159" s="91">
        <f>IF($I159=0,0,1+($I159-$D$21)/$D$22)+$J159/$D$23+$K159/$D$24+$L159/$D$25</f>
        <v>6.6486486486486482</v>
      </c>
      <c r="Q159" s="92">
        <f t="shared" si="19"/>
        <v>2.2456979955397711E-7</v>
      </c>
      <c r="R159" s="93">
        <f>$C$7*$D$14*$D$8*$H159/$D159^2*$Q159*10^6</f>
        <v>0.4491395991079542</v>
      </c>
      <c r="S159" s="93">
        <f>IF($I159=0,0,1+(I159-$E$21)/$E$22)+$J159/$E$23+K159/$E$24+$L159/$E$25</f>
        <v>5.7674418604651159</v>
      </c>
      <c r="T159" s="92">
        <f t="shared" si="20"/>
        <v>1.7082763938087111E-6</v>
      </c>
      <c r="U159" s="93">
        <f>$C$7*$E$14*$E$8*$H159/$D159^2*$T159*10^6</f>
        <v>3.4165527876174222</v>
      </c>
      <c r="V159" s="93">
        <f>IF($I159=0,0,1+(I159-$F$21)/$F$22)+$J159/$F$23+K159/$F$24+$L159/$F$25</f>
        <v>9.1481481481481488</v>
      </c>
      <c r="W159" s="92">
        <f t="shared" si="21"/>
        <v>7.1097094323124171E-10</v>
      </c>
      <c r="X159" s="93">
        <f>$C$7*$F$14*$F$8*$H159/$D159^2*$W159*10^6</f>
        <v>1.4219418864624834E-3</v>
      </c>
      <c r="Y159" s="93">
        <f>IF($I159=0,0,1+(I159-$G$21)/$G$22)+$J159/$G$23+K159/$G$24+$L159/$G$25</f>
        <v>6.9444444444444446</v>
      </c>
      <c r="Z159" s="92">
        <f t="shared" si="22"/>
        <v>1.136463666385722E-7</v>
      </c>
      <c r="AA159" s="94">
        <f>$C$7*$G$14*$G$8*$H159/$D159^2*$Z159*10^6</f>
        <v>0.22729273327714439</v>
      </c>
      <c r="AB159" s="553">
        <f>SUM(O159,R159,U159,X159,AA159)</f>
        <v>4.1646308965732857</v>
      </c>
      <c r="AC159" s="554"/>
      <c r="AD159" s="555"/>
      <c r="AE159" s="538"/>
      <c r="AF159" s="538"/>
      <c r="AG159" s="538"/>
      <c r="AH159" s="556"/>
      <c r="AI159" s="551"/>
      <c r="AJ159" s="551"/>
      <c r="AK159" s="551"/>
      <c r="AL159" s="538"/>
      <c r="AM159" s="538"/>
      <c r="AN159" s="538"/>
      <c r="AO159" s="538"/>
      <c r="AP159" s="538"/>
      <c r="AQ159" s="538"/>
      <c r="AR159" s="538"/>
      <c r="AS159" s="538"/>
      <c r="AT159" s="538"/>
      <c r="AU159" s="538"/>
      <c r="AV159" s="538"/>
      <c r="AW159" s="538"/>
      <c r="AX159" s="545"/>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69"/>
      <c r="BT159" s="233"/>
      <c r="BU159" s="233"/>
      <c r="BV159" s="222"/>
      <c r="BW159" s="222"/>
      <c r="BX159" s="222"/>
      <c r="BY159" s="211"/>
      <c r="BZ159" s="222"/>
      <c r="CA159" s="222"/>
      <c r="CB159" s="225"/>
      <c r="CC159" s="225"/>
      <c r="CD159" s="225"/>
      <c r="CE159" s="225"/>
      <c r="CF159" s="225"/>
      <c r="CG159" s="300"/>
      <c r="CH159" s="300"/>
      <c r="CI159" s="300"/>
      <c r="CJ159" s="522"/>
      <c r="CK159" s="522"/>
      <c r="CL159" s="522"/>
    </row>
    <row r="160" spans="1:90" s="212" customFormat="1" ht="30" customHeight="1" x14ac:dyDescent="0.25">
      <c r="A160" s="557" t="str">
        <f>Samenvatting!A365</f>
        <v>T4</v>
      </c>
      <c r="B160" s="558" t="str">
        <f>Samenvatting!B365</f>
        <v>terreingrens 4</v>
      </c>
      <c r="C160" s="331" t="s">
        <v>568</v>
      </c>
      <c r="D160" s="1836">
        <v>25</v>
      </c>
      <c r="E160" s="89"/>
      <c r="F160" s="89"/>
      <c r="G160" s="89"/>
      <c r="H160" s="559"/>
      <c r="I160" s="1836">
        <v>250</v>
      </c>
      <c r="J160" s="1836">
        <v>0</v>
      </c>
      <c r="K160" s="1836">
        <v>0</v>
      </c>
      <c r="L160" s="1836">
        <v>0</v>
      </c>
      <c r="M160" s="93">
        <f>$I160/$C$27+$J160/$C$28+K160/$C$29+$L160/$C$30</f>
        <v>7.3529411764705879</v>
      </c>
      <c r="N160" s="92">
        <f t="shared" si="18"/>
        <v>4.4366873309786093E-8</v>
      </c>
      <c r="O160" s="93">
        <f>$C$7*$C$15*$C$8*($C$9+$C$10*$C$11)/$D160^2*$N160*10^6</f>
        <v>4.2592198377394652E-5</v>
      </c>
      <c r="P160" s="93">
        <f>$I160/$D$27+$J160/$D$28+$K160/$D$29+$L160/$D$30</f>
        <v>6.5789473684210522</v>
      </c>
      <c r="Q160" s="92">
        <f t="shared" si="19"/>
        <v>2.636650898730358E-7</v>
      </c>
      <c r="R160" s="93">
        <f>$C$7*$C$15*$D$8*($D$9+$D$10*$D$11)/$D160^2*$Q160*10^6</f>
        <v>2.5311848627811444E-4</v>
      </c>
      <c r="S160" s="93">
        <f>$I160/$E$27+$J160/$E$28+K160/$E$29+$L160/$E$30</f>
        <v>5.6818181818181817</v>
      </c>
      <c r="T160" s="92">
        <f t="shared" si="20"/>
        <v>2.0805675382171676E-6</v>
      </c>
      <c r="U160" s="93">
        <f>$C$7*$C$15*$E$8*($E$9+$E$10*$E$11)/$D160^2*$T160*10^6</f>
        <v>1.9973448366884814E-3</v>
      </c>
      <c r="V160" s="93">
        <f>$I160/$F$27+$J160/$F$28+K160/$F$29+$L160/$F$30</f>
        <v>8.1967213114754092</v>
      </c>
      <c r="W160" s="92">
        <f t="shared" si="21"/>
        <v>6.3573875711648393E-9</v>
      </c>
      <c r="X160" s="93">
        <f>$C$7*$C$15*$F$8*($F$9+$F$10*$F$11)/$D160^2*$W160*10^6</f>
        <v>6.1030920683182469E-6</v>
      </c>
      <c r="Y160" s="93">
        <f>$I160/$G$27+$J160/$G$28+K160/$G$29+$L160/$G$30</f>
        <v>7.0224719101123592</v>
      </c>
      <c r="Z160" s="92">
        <f t="shared" si="22"/>
        <v>9.4957241494880226E-8</v>
      </c>
      <c r="AA160" s="94">
        <f>$C$7*$C$15*$G$8*($G$9+$G$10*$G$11)/$D160^2*$Z160*10^6</f>
        <v>9.1158951835085031E-5</v>
      </c>
      <c r="AB160" s="560">
        <f>SUM(O160,R160,U160,X160,AA160)</f>
        <v>2.3903175652473939E-3</v>
      </c>
      <c r="AC160" s="561">
        <f>SUM(AB158:AB163)</f>
        <v>4.1670929152189826</v>
      </c>
      <c r="AD160" s="562">
        <f>AC160*52/10^3</f>
        <v>0.2166888315913871</v>
      </c>
      <c r="AE160" s="538"/>
      <c r="AF160" s="538"/>
      <c r="AG160" s="538"/>
      <c r="AH160" s="556"/>
      <c r="AI160" s="563"/>
      <c r="AJ160" s="551"/>
      <c r="AK160" s="551"/>
      <c r="AL160" s="538"/>
      <c r="AM160" s="538"/>
      <c r="AN160" s="538"/>
      <c r="AO160" s="538"/>
      <c r="AP160" s="538"/>
      <c r="AQ160" s="538"/>
      <c r="AR160" s="538"/>
      <c r="AS160" s="538"/>
      <c r="AT160" s="538"/>
      <c r="AU160" s="538"/>
      <c r="AV160" s="538"/>
      <c r="AW160" s="538"/>
      <c r="AX160" s="545"/>
      <c r="AY160" s="545"/>
      <c r="AZ160" s="545"/>
      <c r="BA160" s="545"/>
      <c r="BB160" s="328"/>
      <c r="BC160" s="328"/>
      <c r="BD160" s="328"/>
      <c r="BE160" s="328"/>
      <c r="BF160" s="328"/>
      <c r="BG160" s="328"/>
      <c r="BH160" s="328"/>
      <c r="BI160" s="328"/>
      <c r="BJ160" s="328"/>
      <c r="BK160" s="328"/>
      <c r="BL160" s="328"/>
      <c r="BM160" s="328"/>
      <c r="BN160" s="328"/>
      <c r="BO160" s="328"/>
      <c r="BP160" s="328"/>
      <c r="BQ160" s="328"/>
      <c r="BR160" s="328"/>
      <c r="BS160" s="369"/>
      <c r="BT160" s="233"/>
      <c r="BU160" s="233"/>
      <c r="BV160" s="222"/>
      <c r="BW160" s="222"/>
      <c r="BX160" s="222"/>
      <c r="BY160" s="211"/>
      <c r="BZ160" s="222"/>
      <c r="CA160" s="222"/>
      <c r="CB160" s="225"/>
      <c r="CC160" s="225"/>
      <c r="CD160" s="225"/>
      <c r="CE160" s="225"/>
      <c r="CF160" s="225"/>
      <c r="CG160" s="300"/>
      <c r="CH160" s="300"/>
      <c r="CI160" s="300"/>
      <c r="CJ160" s="522"/>
      <c r="CK160" s="522"/>
      <c r="CL160" s="522"/>
    </row>
    <row r="161" spans="1:90" s="212" customFormat="1" ht="30" customHeight="1" x14ac:dyDescent="0.25">
      <c r="A161" s="557"/>
      <c r="B161" s="558"/>
      <c r="C161" s="331" t="s">
        <v>26</v>
      </c>
      <c r="D161" s="564"/>
      <c r="E161" s="89">
        <f>E146</f>
        <v>11</v>
      </c>
      <c r="F161" s="89">
        <f>D160</f>
        <v>25</v>
      </c>
      <c r="G161" s="1836">
        <v>15</v>
      </c>
      <c r="H161" s="1836">
        <v>0.25</v>
      </c>
      <c r="I161" s="1836">
        <v>210</v>
      </c>
      <c r="J161" s="1836">
        <v>0</v>
      </c>
      <c r="K161" s="1836">
        <v>0</v>
      </c>
      <c r="L161" s="1836">
        <v>0</v>
      </c>
      <c r="M161" s="93">
        <f>IF($I161=0,0,1+(I161-$C$21)/$C$22)+$J161/$C$23+K161/$C$24+$L161/$C$25</f>
        <v>6.2424242424242422</v>
      </c>
      <c r="N161" s="92">
        <f t="shared" si="18"/>
        <v>5.722367659350211E-7</v>
      </c>
      <c r="O161" s="95">
        <f>2.5*0.01*$C$7*$C$14*$C$8*$H161*(2*PI()*(1-COS($G161/180*PI())))^1.3/$E161^2/$F161^2*N161*10^6</f>
        <v>5.101138747051231E-8</v>
      </c>
      <c r="P161" s="91">
        <f>IF($I161=0,0,1+($I161-$D$21)/$D$22)+$J161/$D$23+$K161/$D$24+$L161/$D$25</f>
        <v>5.5675675675675675</v>
      </c>
      <c r="Q161" s="92">
        <f t="shared" si="19"/>
        <v>2.7066520700332395E-6</v>
      </c>
      <c r="R161" s="95">
        <f>2.5*0.01*$C$7*$D$14*$D$8*$H161*(2*PI()*(1-COS($G161/180*PI())))^1.3/$E161^2/$F161^2*Q161*10^6</f>
        <v>2.4128138160910826E-7</v>
      </c>
      <c r="S161" s="93">
        <f>IF($I161=0,0,1+(I161-$E$21)/$E$22)+$J161/$E$23+K161/$E$24+$L161/$E$25</f>
        <v>4.8372093023255811</v>
      </c>
      <c r="T161" s="92">
        <f t="shared" si="20"/>
        <v>1.4547578108480478E-5</v>
      </c>
      <c r="U161" s="95">
        <f>2.5*0.01*$C$7*$E$14*$E$8*$H161*(2*PI()*(1-COS($G161/180*PI())))^1.3/$E161^2/$F161^2*T161*10^6</f>
        <v>1.2968270964496306E-6</v>
      </c>
      <c r="V161" s="93">
        <f>IF($I161=0,0,1+(I161-$F$21)/$F$22)+$J161/$F$23+K161/$F$24+$L161/$F$25</f>
        <v>7.666666666666667</v>
      </c>
      <c r="W161" s="92">
        <f t="shared" si="21"/>
        <v>2.1544346900318783E-8</v>
      </c>
      <c r="X161" s="95">
        <f>2.5*0.01*$C$7*$F$14*$F$8*$H161*(2*PI()*(1-COS($G161/180*PI())))^1.3/$E161^2/$F161^2*W161*10^6</f>
        <v>1.920545992418962E-9</v>
      </c>
      <c r="Y161" s="93">
        <f>IF($I161=0,0,1+(I161-$G$21)/$G$22)+$J161/$G$23+K161/$G$24+$L161/$G$25</f>
        <v>5.833333333333333</v>
      </c>
      <c r="Z161" s="92">
        <f t="shared" si="22"/>
        <v>1.4677992676220696E-6</v>
      </c>
      <c r="AA161" s="96">
        <f>2.5*0.01*$C$7*$G$14*$G$8*$H161*(2*PI()*(1-COS($G161/180*PI())))^1.3/$E161^2/$F161^2*Z161*10^6</f>
        <v>1.3084527528960935E-7</v>
      </c>
      <c r="AB161" s="560">
        <f>SUM(O161,R161,U161,X161,AA161)</f>
        <v>1.7218856868112794E-6</v>
      </c>
      <c r="AC161" s="565"/>
      <c r="AD161" s="566"/>
      <c r="AE161" s="538"/>
      <c r="AF161" s="538"/>
      <c r="AG161" s="567"/>
      <c r="AH161" s="538"/>
      <c r="AI161" s="563"/>
      <c r="AJ161" s="545"/>
      <c r="AK161" s="545"/>
      <c r="AL161" s="538"/>
      <c r="AM161" s="538"/>
      <c r="AN161" s="538"/>
      <c r="AO161" s="538"/>
      <c r="AP161" s="538"/>
      <c r="AQ161" s="538"/>
      <c r="AR161" s="538"/>
      <c r="AS161" s="538"/>
      <c r="AT161" s="538"/>
      <c r="AU161" s="538"/>
      <c r="AV161" s="538"/>
      <c r="AW161" s="538"/>
      <c r="AX161" s="545"/>
      <c r="AY161" s="545"/>
      <c r="AZ161" s="545"/>
      <c r="BA161" s="545"/>
      <c r="BB161" s="328"/>
      <c r="BC161" s="328"/>
      <c r="BD161" s="328"/>
      <c r="BE161" s="328"/>
      <c r="BF161" s="328"/>
      <c r="BG161" s="328"/>
      <c r="BH161" s="328"/>
      <c r="BI161" s="328"/>
      <c r="BJ161" s="328"/>
      <c r="BK161" s="328"/>
      <c r="BL161" s="328"/>
      <c r="BM161" s="328"/>
      <c r="BN161" s="328"/>
      <c r="BO161" s="328"/>
      <c r="BP161" s="328"/>
      <c r="BQ161" s="328"/>
      <c r="BR161" s="328"/>
      <c r="BS161" s="369"/>
      <c r="BT161" s="233"/>
      <c r="BU161" s="233"/>
      <c r="BV161" s="222"/>
      <c r="BW161" s="222"/>
      <c r="BX161" s="222"/>
      <c r="BY161" s="211"/>
      <c r="BZ161" s="222"/>
      <c r="CA161" s="222"/>
      <c r="CB161" s="225"/>
      <c r="CC161" s="225"/>
      <c r="CD161" s="225"/>
      <c r="CE161" s="225"/>
      <c r="CF161" s="225"/>
      <c r="CG161" s="300"/>
      <c r="CH161" s="300"/>
      <c r="CI161" s="300"/>
      <c r="CJ161" s="522"/>
      <c r="CK161" s="522"/>
      <c r="CL161" s="522"/>
    </row>
    <row r="162" spans="1:90" s="538" customFormat="1" ht="30" customHeight="1" thickBot="1" x14ac:dyDescent="0.3">
      <c r="A162" s="683"/>
      <c r="B162" s="665"/>
      <c r="C162" s="584" t="s">
        <v>27</v>
      </c>
      <c r="D162" s="58"/>
      <c r="E162" s="58">
        <f>E147</f>
        <v>10</v>
      </c>
      <c r="F162" s="58"/>
      <c r="G162" s="1859">
        <v>60</v>
      </c>
      <c r="H162" s="56"/>
      <c r="I162" s="1859">
        <v>190</v>
      </c>
      <c r="J162" s="1859">
        <v>0</v>
      </c>
      <c r="K162" s="1859">
        <v>0</v>
      </c>
      <c r="L162" s="1859">
        <v>0</v>
      </c>
      <c r="M162" s="100">
        <f>$I162/$C$27+$J162/$C$28+K162/$C$29+$L162/$C$30</f>
        <v>5.5882352941176467</v>
      </c>
      <c r="N162" s="101">
        <f t="shared" si="18"/>
        <v>2.580861540418073E-6</v>
      </c>
      <c r="O162" s="102">
        <f>2.5*0.01*$C$7*$C$15*$C$8*($C$9+$C$10*$C$11)*(2*PI()*(1-COS($G162/180*PI())))^1.3/E$147^2/$F161^2*N162*10^6</f>
        <v>2.7432840731901286E-6</v>
      </c>
      <c r="P162" s="100">
        <f>$I162/$D$27+$J162/$D$28+$K162/$D$29+$L162/$D$30</f>
        <v>5</v>
      </c>
      <c r="Q162" s="101">
        <f t="shared" si="19"/>
        <v>1.0000000000000001E-5</v>
      </c>
      <c r="R162" s="102">
        <f>2.5*0.01*$C$7*$C$15*$D$8*($D$9+$D$10*$D$11)*(2*PI()*(1-COS($G162/180*PI())))^1.3/$E162^2/$F161^2*Q162*10^6</f>
        <v>1.0629334546733355E-5</v>
      </c>
      <c r="S162" s="100">
        <f>$I162/$E$27+$J162/$E$28+K162/$E$29+$L162/$E$30</f>
        <v>4.3181818181818183</v>
      </c>
      <c r="T162" s="101">
        <f t="shared" si="20"/>
        <v>4.8063808630643867E-5</v>
      </c>
      <c r="U162" s="102">
        <f>2.5*0.01*$C$7*$C$15*$E$8*($E$9+$E$10*$E$11)*(2*PI()*(1-COS($G162/180*PI())))^1.3/$E162^2/$F161^2*T162*10^6</f>
        <v>5.1088630152528366E-5</v>
      </c>
      <c r="V162" s="100">
        <f>$I162/$F$27+$J162/$F$28+K162/$F$29+$L162/$F$30</f>
        <v>6.2295081967213113</v>
      </c>
      <c r="W162" s="101">
        <f t="shared" si="21"/>
        <v>5.8951085074002664E-7</v>
      </c>
      <c r="X162" s="102">
        <f>2.5*0.01*$C$7*$C$15*$F$8*($F$9+$F$10*$F$11)*(2*PI()*(1-COS($G162/180*PI())))^1.3/$E162^2/$F161^2*W162*10^6</f>
        <v>6.2661080514451354E-7</v>
      </c>
      <c r="Y162" s="100">
        <f>$I162/$G$27+$J162/$G$28+K162/$G$29+$L162/$G$30</f>
        <v>5.3370786516853927</v>
      </c>
      <c r="Z162" s="101">
        <f t="shared" si="22"/>
        <v>4.6017322765137984E-6</v>
      </c>
      <c r="AA162" s="103">
        <f>2.5*0.01*$C$7*$C$15*$G$8*($G$9+$G$10*$G$11)*(2*PI()*(1-COS($G162/180*PI())))^1.3/$E162^2/$F161^2*Z162*10^6</f>
        <v>4.891335186156605E-6</v>
      </c>
      <c r="AB162" s="569">
        <f>SUM(O162,R162,U162,X162,AA162)</f>
        <v>6.9979194763752965E-5</v>
      </c>
      <c r="AC162" s="570"/>
      <c r="AD162" s="571"/>
      <c r="AH162" s="572"/>
      <c r="AI162" s="573"/>
      <c r="AJ162" s="563"/>
      <c r="AK162" s="551"/>
      <c r="AX162" s="545"/>
      <c r="AY162" s="545"/>
      <c r="AZ162" s="545"/>
      <c r="BA162" s="545"/>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row>
    <row r="163" spans="1:90" s="212" customFormat="1" ht="30" hidden="1" customHeight="1" x14ac:dyDescent="0.25">
      <c r="A163" s="57"/>
      <c r="B163" s="220"/>
      <c r="C163" s="310"/>
      <c r="D163" s="57"/>
      <c r="E163" s="57"/>
      <c r="F163" s="57"/>
      <c r="G163" s="57"/>
      <c r="H163" s="57"/>
      <c r="I163" s="57"/>
      <c r="J163" s="57"/>
      <c r="K163" s="57"/>
      <c r="L163" s="57"/>
      <c r="M163" s="369"/>
      <c r="N163" s="328"/>
      <c r="O163" s="586"/>
      <c r="P163" s="369"/>
      <c r="Q163" s="328"/>
      <c r="R163" s="586"/>
      <c r="S163" s="369"/>
      <c r="T163" s="328"/>
      <c r="U163" s="586"/>
      <c r="V163" s="369"/>
      <c r="W163" s="328"/>
      <c r="X163" s="586"/>
      <c r="Y163" s="369"/>
      <c r="Z163" s="328"/>
      <c r="AA163" s="586"/>
      <c r="AB163" s="328"/>
      <c r="AC163" s="587"/>
      <c r="AD163" s="225"/>
      <c r="AH163" s="580"/>
      <c r="AI163" s="581"/>
      <c r="AJ163" s="282"/>
      <c r="AK163" s="300"/>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row>
    <row r="164" spans="1:90" s="538" customFormat="1" ht="19.5" customHeight="1" x14ac:dyDescent="0.25">
      <c r="A164" s="517"/>
      <c r="B164" s="222"/>
      <c r="C164" s="201"/>
      <c r="D164" s="201"/>
      <c r="E164" s="201"/>
      <c r="F164" s="201"/>
      <c r="G164" s="201"/>
      <c r="H164" s="201"/>
      <c r="I164" s="201"/>
      <c r="J164" s="201"/>
      <c r="K164" s="201"/>
      <c r="L164" s="201"/>
      <c r="M164" s="201"/>
      <c r="N164" s="201"/>
      <c r="O164" s="201"/>
      <c r="P164" s="201"/>
      <c r="Q164" s="201"/>
      <c r="R164" s="201"/>
      <c r="S164" s="201"/>
      <c r="T164" s="201"/>
      <c r="U164" s="201"/>
      <c r="V164" s="201"/>
      <c r="W164" s="189"/>
      <c r="X164" s="189"/>
      <c r="Y164" s="189"/>
      <c r="Z164" s="189"/>
      <c r="AA164" s="189"/>
      <c r="AB164" s="189"/>
      <c r="AC164" s="202"/>
      <c r="AD164" s="202"/>
      <c r="AE164" s="202"/>
      <c r="AF164" s="202"/>
    </row>
    <row r="165" spans="1:90" s="212" customFormat="1" ht="19.5" customHeight="1" x14ac:dyDescent="0.25">
      <c r="A165" s="222"/>
      <c r="B165" s="222"/>
      <c r="C165" s="222"/>
      <c r="D165" s="222"/>
      <c r="E165" s="222"/>
      <c r="F165" s="222"/>
      <c r="G165" s="222"/>
      <c r="H165" s="222"/>
      <c r="I165" s="272"/>
      <c r="J165" s="588"/>
      <c r="K165" s="589"/>
      <c r="L165" s="288"/>
      <c r="M165" s="590"/>
      <c r="N165" s="591"/>
      <c r="O165" s="590"/>
      <c r="P165" s="592"/>
      <c r="Q165" s="201"/>
      <c r="R165" s="201"/>
      <c r="S165" s="201"/>
      <c r="T165" s="201"/>
      <c r="U165" s="201"/>
      <c r="V165" s="189"/>
      <c r="W165" s="593"/>
      <c r="X165" s="593"/>
      <c r="Y165" s="594"/>
      <c r="Z165" s="189"/>
      <c r="AA165" s="189"/>
      <c r="AB165" s="551"/>
      <c r="AC165" s="551"/>
      <c r="AD165" s="538"/>
      <c r="AE165" s="538"/>
      <c r="AF165" s="189"/>
      <c r="AG165" s="222"/>
      <c r="AH165" s="211"/>
      <c r="AI165" s="222"/>
      <c r="AJ165" s="222"/>
      <c r="AK165" s="225"/>
      <c r="AL165" s="225"/>
      <c r="AM165" s="225"/>
      <c r="AN165" s="225"/>
      <c r="AO165" s="225"/>
      <c r="AP165" s="300"/>
      <c r="AQ165" s="300"/>
      <c r="AR165" s="300"/>
      <c r="AS165" s="300"/>
      <c r="AT165" s="300"/>
      <c r="AU165" s="300"/>
      <c r="AV165" s="225"/>
      <c r="AW165" s="225"/>
      <c r="AX165" s="225"/>
      <c r="AY165" s="225"/>
      <c r="AZ165" s="225"/>
      <c r="BA165" s="225"/>
      <c r="BB165" s="225"/>
      <c r="BC165" s="225"/>
      <c r="BD165" s="225"/>
      <c r="BE165" s="225"/>
      <c r="BF165" s="225"/>
      <c r="BG165" s="225"/>
      <c r="BH165" s="225"/>
      <c r="BI165" s="225"/>
      <c r="BJ165" s="225"/>
    </row>
    <row r="166" spans="1:90" s="212" customFormat="1" ht="19.5" customHeight="1" x14ac:dyDescent="0.25">
      <c r="A166" s="595" t="s">
        <v>418</v>
      </c>
      <c r="B166" s="595"/>
      <c r="C166" s="596"/>
      <c r="D166" s="288"/>
      <c r="E166" s="288"/>
      <c r="F166" s="288"/>
      <c r="G166" s="288"/>
      <c r="H166" s="288"/>
      <c r="I166" s="288"/>
      <c r="J166" s="288"/>
      <c r="K166" s="288"/>
      <c r="L166" s="288"/>
      <c r="M166" s="288"/>
      <c r="N166" s="288"/>
      <c r="O166" s="288"/>
      <c r="P166" s="288"/>
      <c r="Q166" s="288"/>
      <c r="R166" s="288"/>
      <c r="S166" s="288"/>
      <c r="T166" s="288"/>
      <c r="U166" s="288"/>
      <c r="V166" s="222"/>
      <c r="W166" s="222"/>
      <c r="X166" s="222"/>
      <c r="Y166" s="222"/>
      <c r="Z166" s="222"/>
      <c r="AA166" s="222"/>
      <c r="AB166" s="187"/>
      <c r="AC166" s="187"/>
      <c r="AD166" s="187"/>
      <c r="AE166" s="187"/>
      <c r="AF166" s="222"/>
      <c r="AG166" s="587"/>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row>
    <row r="167" spans="1:90" s="604" customFormat="1" ht="19.5" customHeight="1" x14ac:dyDescent="0.25">
      <c r="A167" s="597"/>
      <c r="B167" s="598"/>
      <c r="C167" s="599"/>
      <c r="D167" s="599"/>
      <c r="E167" s="599"/>
      <c r="F167" s="600"/>
      <c r="G167" s="600"/>
      <c r="H167" s="600"/>
      <c r="I167" s="601"/>
      <c r="J167" s="600"/>
      <c r="K167" s="602"/>
      <c r="L167" s="603"/>
      <c r="M167" s="603"/>
    </row>
    <row r="168" spans="1:90" s="212" customFormat="1" ht="19.5" customHeight="1" x14ac:dyDescent="0.25">
      <c r="A168" s="605" t="s">
        <v>322</v>
      </c>
      <c r="C168" s="288"/>
      <c r="D168" s="288"/>
      <c r="E168" s="288"/>
      <c r="F168" s="288"/>
      <c r="G168" s="288"/>
      <c r="H168" s="288"/>
      <c r="I168" s="288"/>
      <c r="J168" s="288"/>
      <c r="K168" s="288"/>
      <c r="L168" s="288"/>
      <c r="M168" s="288"/>
      <c r="N168" s="288"/>
      <c r="O168" s="288"/>
      <c r="P168" s="288"/>
      <c r="Q168" s="288"/>
      <c r="R168" s="288"/>
      <c r="S168" s="288"/>
      <c r="T168" s="288"/>
      <c r="U168" s="288"/>
      <c r="V168" s="222"/>
      <c r="W168" s="222"/>
      <c r="X168" s="222"/>
      <c r="Y168" s="222"/>
      <c r="Z168" s="222"/>
      <c r="AA168" s="222"/>
      <c r="AB168" s="222"/>
      <c r="AC168" s="222"/>
      <c r="AD168" s="222"/>
      <c r="AE168" s="222"/>
      <c r="AF168" s="538"/>
      <c r="AG168" s="538"/>
      <c r="AH168" s="538"/>
      <c r="AI168" s="538"/>
      <c r="AJ168" s="538"/>
      <c r="AK168" s="538"/>
      <c r="AL168" s="538"/>
      <c r="AM168" s="538"/>
      <c r="AN168" s="538"/>
      <c r="AO168" s="538"/>
      <c r="AP168" s="545"/>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69"/>
      <c r="BL168" s="233"/>
      <c r="BM168" s="233"/>
      <c r="BN168" s="222"/>
      <c r="BO168" s="233"/>
      <c r="BP168" s="222"/>
      <c r="BQ168" s="211"/>
      <c r="BR168" s="222"/>
      <c r="BS168" s="222"/>
      <c r="BT168" s="225"/>
      <c r="BU168" s="225"/>
      <c r="BV168" s="225"/>
      <c r="BW168" s="225"/>
      <c r="BX168" s="225"/>
      <c r="BY168" s="300"/>
      <c r="BZ168" s="300"/>
      <c r="CA168" s="300"/>
      <c r="CB168" s="522"/>
      <c r="CC168" s="522"/>
      <c r="CD168" s="522"/>
    </row>
    <row r="169" spans="1:90" s="222" customFormat="1" ht="19.5" customHeight="1" x14ac:dyDescent="0.25">
      <c r="A169" s="301"/>
      <c r="B169" s="305"/>
      <c r="C169" s="302"/>
      <c r="D169" s="606" t="s">
        <v>261</v>
      </c>
      <c r="E169" s="607" t="s">
        <v>323</v>
      </c>
      <c r="F169" s="608"/>
      <c r="G169" s="609" t="s">
        <v>224</v>
      </c>
      <c r="H169" s="608" t="s">
        <v>329</v>
      </c>
      <c r="I169" s="2014" t="s">
        <v>260</v>
      </c>
      <c r="J169" s="2015"/>
      <c r="K169" s="607" t="s">
        <v>260</v>
      </c>
      <c r="L169" s="288"/>
      <c r="M169" s="288"/>
      <c r="N169" s="288"/>
      <c r="O169" s="288"/>
      <c r="P169" s="610"/>
      <c r="Q169" s="288"/>
      <c r="R169" s="288"/>
      <c r="S169" s="610"/>
      <c r="T169" s="288"/>
      <c r="U169" s="288"/>
      <c r="V169" s="610"/>
      <c r="W169" s="288"/>
      <c r="X169" s="288"/>
      <c r="Y169" s="288"/>
      <c r="Z169" s="288"/>
      <c r="AB169" s="288"/>
      <c r="AC169" s="288"/>
    </row>
    <row r="170" spans="1:90" s="222" customFormat="1" ht="19.5" customHeight="1" x14ac:dyDescent="0.25">
      <c r="A170" s="308" t="s">
        <v>50</v>
      </c>
      <c r="B170" s="611" t="s">
        <v>15</v>
      </c>
      <c r="C170" s="498" t="s">
        <v>25</v>
      </c>
      <c r="D170" s="612" t="s">
        <v>356</v>
      </c>
      <c r="E170" s="613" t="s">
        <v>324</v>
      </c>
      <c r="F170" s="613" t="s">
        <v>4</v>
      </c>
      <c r="G170" s="299" t="s">
        <v>259</v>
      </c>
      <c r="H170" s="613" t="s">
        <v>87</v>
      </c>
      <c r="I170" s="614"/>
      <c r="J170" s="614" t="s">
        <v>11</v>
      </c>
      <c r="K170" s="614" t="s">
        <v>11</v>
      </c>
      <c r="L170" s="288"/>
      <c r="M170" s="288"/>
      <c r="N170" s="288"/>
      <c r="O170" s="288"/>
      <c r="P170" s="610"/>
      <c r="Q170" s="288"/>
      <c r="R170" s="288"/>
      <c r="S170" s="610"/>
      <c r="T170" s="288"/>
      <c r="U170" s="288"/>
      <c r="V170" s="610"/>
      <c r="W170" s="288"/>
      <c r="X170" s="288"/>
      <c r="Y170" s="288"/>
      <c r="Z170" s="288"/>
      <c r="AB170" s="288"/>
      <c r="AC170" s="288"/>
    </row>
    <row r="171" spans="1:90" s="222" customFormat="1" ht="19.5" customHeight="1" x14ac:dyDescent="0.25">
      <c r="A171" s="615"/>
      <c r="B171" s="616"/>
      <c r="C171" s="499"/>
      <c r="D171" s="612" t="s">
        <v>357</v>
      </c>
      <c r="E171" s="617" t="s">
        <v>325</v>
      </c>
      <c r="F171" s="617" t="s">
        <v>78</v>
      </c>
      <c r="G171" s="299" t="s">
        <v>258</v>
      </c>
      <c r="H171" s="617"/>
      <c r="I171" s="614" t="s">
        <v>337</v>
      </c>
      <c r="J171" s="614" t="s">
        <v>337</v>
      </c>
      <c r="K171" s="614" t="s">
        <v>166</v>
      </c>
      <c r="L171" s="288"/>
      <c r="M171" s="288"/>
      <c r="N171" s="288"/>
      <c r="O171" s="288"/>
      <c r="P171" s="610"/>
      <c r="Q171" s="288"/>
      <c r="R171" s="288"/>
      <c r="S171" s="610"/>
      <c r="T171" s="288"/>
      <c r="U171" s="288"/>
      <c r="V171" s="610"/>
      <c r="W171" s="288"/>
      <c r="X171" s="288"/>
      <c r="Y171" s="288"/>
      <c r="Z171" s="288"/>
      <c r="AB171" s="288"/>
      <c r="AC171" s="288"/>
    </row>
    <row r="172" spans="1:90" s="222" customFormat="1" ht="30" customHeight="1" thickBot="1" x14ac:dyDescent="0.3">
      <c r="A172" s="684"/>
      <c r="B172" s="2031" t="str">
        <f>Samenvatting!A265</f>
        <v>achterblijven in bestralingsruimte tijdens bestraling</v>
      </c>
      <c r="C172" s="619" t="s">
        <v>0</v>
      </c>
      <c r="D172" s="1860">
        <v>550</v>
      </c>
      <c r="E172" s="620"/>
      <c r="F172" s="1861">
        <v>2</v>
      </c>
      <c r="G172" s="1862">
        <v>30</v>
      </c>
      <c r="H172" s="1860">
        <v>1</v>
      </c>
      <c r="I172" s="621">
        <f>D172*$C$15/F172^2*G172/60*10</f>
        <v>0.6875</v>
      </c>
      <c r="J172" s="622">
        <f>SUM(I172:I173)</f>
        <v>2.0625</v>
      </c>
      <c r="K172" s="622">
        <f>J172*H172</f>
        <v>2.0625</v>
      </c>
      <c r="N172" s="288"/>
      <c r="O172" s="288"/>
      <c r="P172" s="288"/>
      <c r="Q172" s="288"/>
      <c r="R172" s="288"/>
      <c r="S172" s="288"/>
      <c r="T172" s="288"/>
      <c r="U172" s="288"/>
      <c r="V172" s="288"/>
      <c r="W172" s="288"/>
      <c r="X172" s="288"/>
      <c r="Y172" s="288"/>
      <c r="Z172" s="288"/>
      <c r="AA172" s="288"/>
      <c r="AB172" s="288"/>
    </row>
    <row r="173" spans="1:90" s="222" customFormat="1" ht="30" customHeight="1" thickBot="1" x14ac:dyDescent="0.3">
      <c r="A173" s="623"/>
      <c r="B173" s="2032"/>
      <c r="C173" s="619" t="s">
        <v>33</v>
      </c>
      <c r="D173" s="624"/>
      <c r="E173" s="1852">
        <f>0.01*20</f>
        <v>0.2</v>
      </c>
      <c r="F173" s="625">
        <f>F172</f>
        <v>2</v>
      </c>
      <c r="G173" s="626">
        <f>G172</f>
        <v>30</v>
      </c>
      <c r="H173" s="629"/>
      <c r="I173" s="621">
        <f>D172*E173/100/F173^2*G173/60*10</f>
        <v>1.375</v>
      </c>
      <c r="J173" s="627"/>
      <c r="K173" s="627"/>
      <c r="N173" s="288"/>
      <c r="O173" s="288"/>
      <c r="P173" s="288"/>
      <c r="Q173" s="288"/>
      <c r="R173" s="288"/>
      <c r="S173" s="288"/>
      <c r="T173" s="288"/>
      <c r="U173" s="288"/>
      <c r="V173" s="288"/>
      <c r="W173" s="288"/>
      <c r="X173" s="288"/>
      <c r="Y173" s="288"/>
      <c r="Z173" s="288"/>
      <c r="AA173" s="288"/>
      <c r="AB173" s="288"/>
    </row>
    <row r="174" spans="1:90" s="222" customFormat="1" ht="19.5" customHeight="1" x14ac:dyDescent="0.25">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189"/>
      <c r="W174" s="189"/>
      <c r="X174" s="189"/>
      <c r="Y174" s="189"/>
      <c r="Z174" s="189"/>
      <c r="AA174" s="189"/>
      <c r="AB174" s="202"/>
      <c r="AC174" s="202"/>
      <c r="AD174" s="202"/>
      <c r="AE174" s="202"/>
      <c r="AK174" s="299"/>
      <c r="AL174" s="299"/>
      <c r="AM174" s="299"/>
      <c r="AN174" s="299"/>
      <c r="AO174" s="299"/>
      <c r="AP174" s="299"/>
      <c r="AU174" s="211"/>
      <c r="AV174" s="266"/>
      <c r="BC174" s="211"/>
      <c r="BD174" s="211"/>
    </row>
    <row r="175" spans="1:90" x14ac:dyDescent="0.25">
      <c r="A175" s="605" t="s">
        <v>339</v>
      </c>
      <c r="B175" s="202"/>
      <c r="C175" s="288"/>
      <c r="D175" s="288"/>
      <c r="E175" s="288"/>
      <c r="F175" s="288"/>
      <c r="G175" s="288"/>
      <c r="H175" s="288"/>
      <c r="I175" s="288"/>
      <c r="J175" s="288"/>
      <c r="K175" s="288"/>
      <c r="L175" s="288"/>
      <c r="M175" s="288"/>
      <c r="N175" s="288"/>
      <c r="O175" s="288"/>
      <c r="P175" s="288"/>
      <c r="Q175" s="288"/>
      <c r="R175" s="288"/>
      <c r="S175" s="288"/>
      <c r="T175" s="288"/>
      <c r="U175" s="288"/>
      <c r="V175" s="222"/>
      <c r="W175" s="222"/>
      <c r="X175" s="222"/>
      <c r="Y175" s="222"/>
      <c r="Z175" s="222"/>
      <c r="AA175" s="222"/>
      <c r="AB175" s="222"/>
      <c r="AC175" s="222"/>
      <c r="AD175" s="222"/>
      <c r="AE175" s="222"/>
    </row>
    <row r="176" spans="1:90" s="187" customFormat="1" ht="19.5" customHeight="1" x14ac:dyDescent="0.25">
      <c r="A176" s="2020" t="s">
        <v>50</v>
      </c>
      <c r="B176" s="2023" t="s">
        <v>15</v>
      </c>
      <c r="C176" s="606" t="s">
        <v>261</v>
      </c>
      <c r="D176" s="607" t="s">
        <v>224</v>
      </c>
      <c r="E176" s="608" t="s">
        <v>329</v>
      </c>
      <c r="F176" s="607" t="s">
        <v>260</v>
      </c>
      <c r="G176" s="607" t="s">
        <v>260</v>
      </c>
      <c r="H176" s="628"/>
      <c r="I176" s="222"/>
      <c r="J176" s="288"/>
      <c r="K176" s="288"/>
      <c r="L176" s="288"/>
      <c r="M176" s="288"/>
      <c r="N176" s="288"/>
      <c r="O176" s="610"/>
      <c r="P176" s="288"/>
      <c r="Q176" s="288"/>
      <c r="R176" s="610"/>
      <c r="S176" s="288"/>
      <c r="T176" s="288"/>
      <c r="U176" s="610"/>
      <c r="V176" s="288"/>
      <c r="W176" s="288"/>
      <c r="X176" s="288"/>
      <c r="Y176" s="288"/>
      <c r="Z176" s="222"/>
      <c r="AA176" s="288"/>
      <c r="AB176" s="288"/>
      <c r="AC176" s="222"/>
      <c r="AD176" s="222"/>
      <c r="AE176" s="222"/>
    </row>
    <row r="177" spans="1:52" s="222" customFormat="1" ht="19.5" customHeight="1" x14ac:dyDescent="0.25">
      <c r="A177" s="2021"/>
      <c r="B177" s="2024"/>
      <c r="C177" s="2026" t="s">
        <v>340</v>
      </c>
      <c r="D177" s="613" t="s">
        <v>328</v>
      </c>
      <c r="E177" s="613" t="s">
        <v>87</v>
      </c>
      <c r="F177" s="613"/>
      <c r="G177" s="614" t="s">
        <v>11</v>
      </c>
      <c r="H177" s="628"/>
      <c r="J177" s="288"/>
      <c r="K177" s="288"/>
      <c r="L177" s="288"/>
      <c r="M177" s="288"/>
      <c r="N177" s="288"/>
      <c r="O177" s="610"/>
      <c r="P177" s="288"/>
      <c r="Q177" s="288"/>
      <c r="R177" s="610"/>
      <c r="S177" s="288"/>
      <c r="T177" s="288"/>
      <c r="U177" s="610"/>
      <c r="V177" s="288"/>
      <c r="W177" s="288"/>
      <c r="X177" s="288"/>
      <c r="Y177" s="288"/>
      <c r="AA177" s="288"/>
      <c r="AB177" s="288"/>
    </row>
    <row r="178" spans="1:52" s="222" customFormat="1" ht="19.5" customHeight="1" x14ac:dyDescent="0.25">
      <c r="A178" s="2022"/>
      <c r="B178" s="2025"/>
      <c r="C178" s="2027"/>
      <c r="D178" s="617" t="s">
        <v>229</v>
      </c>
      <c r="E178" s="617"/>
      <c r="F178" s="614" t="s">
        <v>337</v>
      </c>
      <c r="G178" s="614" t="s">
        <v>166</v>
      </c>
      <c r="H178" s="628"/>
      <c r="J178" s="288"/>
      <c r="K178" s="288"/>
      <c r="L178" s="288"/>
      <c r="M178" s="288"/>
      <c r="N178" s="288"/>
      <c r="O178" s="610"/>
      <c r="P178" s="288"/>
      <c r="Q178" s="288"/>
      <c r="R178" s="610"/>
      <c r="S178" s="288"/>
      <c r="T178" s="288"/>
      <c r="U178" s="610"/>
      <c r="V178" s="288"/>
      <c r="W178" s="288"/>
      <c r="X178" s="288"/>
      <c r="Y178" s="288"/>
      <c r="AA178" s="288"/>
      <c r="AB178" s="288"/>
    </row>
    <row r="179" spans="1:52" s="222" customFormat="1" ht="30" customHeight="1" x14ac:dyDescent="0.25">
      <c r="A179" s="630"/>
      <c r="B179" s="631" t="str">
        <f>Samenvatting!A276</f>
        <v>werken in nabijheid geactiveerde target</v>
      </c>
      <c r="C179" s="1861">
        <v>25</v>
      </c>
      <c r="D179" s="1861">
        <v>0.5</v>
      </c>
      <c r="E179" s="1861">
        <v>4</v>
      </c>
      <c r="F179" s="632">
        <f>C179*D179/10^3</f>
        <v>1.2500000000000001E-2</v>
      </c>
      <c r="G179" s="621">
        <f>F179*E179</f>
        <v>0.05</v>
      </c>
      <c r="H179" s="633"/>
      <c r="M179" s="288"/>
      <c r="N179" s="288"/>
      <c r="O179" s="288"/>
      <c r="P179" s="288"/>
      <c r="Q179" s="288"/>
      <c r="R179" s="288"/>
      <c r="S179" s="288"/>
      <c r="T179" s="288"/>
      <c r="U179" s="288"/>
      <c r="V179" s="288"/>
      <c r="W179" s="288"/>
      <c r="X179" s="288"/>
      <c r="Y179" s="288"/>
      <c r="Z179" s="288"/>
      <c r="AA179" s="288"/>
    </row>
    <row r="180" spans="1:52" s="222" customFormat="1" ht="19.5" customHeight="1" x14ac:dyDescent="0.25">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189"/>
      <c r="W180" s="189"/>
      <c r="X180" s="189"/>
      <c r="Y180" s="189"/>
      <c r="Z180" s="189"/>
      <c r="AA180" s="189"/>
      <c r="AB180" s="202"/>
      <c r="AC180" s="202"/>
      <c r="AD180" s="202"/>
      <c r="AE180" s="202"/>
    </row>
    <row r="181" spans="1:52" s="225" customFormat="1" ht="19.5" customHeight="1" x14ac:dyDescent="0.25">
      <c r="A181" s="634" t="s">
        <v>327</v>
      </c>
      <c r="C181" s="288"/>
      <c r="D181" s="288"/>
      <c r="E181" s="288"/>
      <c r="F181" s="288"/>
      <c r="G181" s="288"/>
      <c r="H181" s="288"/>
      <c r="I181" s="288"/>
      <c r="J181" s="288"/>
      <c r="K181" s="288"/>
      <c r="L181" s="288"/>
      <c r="M181" s="288"/>
      <c r="N181" s="288"/>
      <c r="O181" s="288"/>
      <c r="P181" s="288"/>
      <c r="Q181" s="288"/>
      <c r="R181" s="288"/>
      <c r="S181" s="288"/>
      <c r="T181" s="288"/>
      <c r="U181" s="288"/>
      <c r="V181" s="222"/>
      <c r="W181" s="222"/>
      <c r="X181" s="222"/>
      <c r="Y181" s="222"/>
      <c r="Z181" s="222"/>
      <c r="AA181" s="222"/>
      <c r="AB181" s="222"/>
      <c r="AC181" s="222"/>
      <c r="AD181" s="222"/>
      <c r="AE181" s="222"/>
      <c r="AG181" s="328"/>
      <c r="AI181" s="328"/>
      <c r="AJ181" s="328"/>
      <c r="AK181" s="328"/>
      <c r="AL181" s="328"/>
      <c r="AP181" s="222"/>
      <c r="AQ181" s="211"/>
      <c r="AR181" s="222"/>
      <c r="AS181" s="222"/>
      <c r="AY181" s="300"/>
      <c r="AZ181" s="300"/>
    </row>
    <row r="182" spans="1:52" s="187" customFormat="1" ht="19.5" customHeight="1" x14ac:dyDescent="0.25">
      <c r="A182" s="2020" t="s">
        <v>50</v>
      </c>
      <c r="B182" s="2023" t="s">
        <v>15</v>
      </c>
      <c r="C182" s="606" t="s">
        <v>261</v>
      </c>
      <c r="D182" s="607" t="s">
        <v>224</v>
      </c>
      <c r="E182" s="608" t="s">
        <v>329</v>
      </c>
      <c r="F182" s="607" t="s">
        <v>260</v>
      </c>
      <c r="G182" s="607" t="s">
        <v>260</v>
      </c>
      <c r="H182" s="628"/>
      <c r="I182" s="222"/>
      <c r="J182" s="288"/>
      <c r="K182" s="288"/>
      <c r="L182" s="288"/>
      <c r="M182" s="288"/>
      <c r="N182" s="288"/>
      <c r="O182" s="610"/>
      <c r="P182" s="288"/>
      <c r="Q182" s="288"/>
      <c r="R182" s="610"/>
      <c r="S182" s="288"/>
      <c r="T182" s="288"/>
      <c r="U182" s="610"/>
      <c r="V182" s="288"/>
      <c r="W182" s="288"/>
      <c r="X182" s="288"/>
      <c r="Y182" s="288"/>
      <c r="Z182" s="222"/>
      <c r="AA182" s="288"/>
      <c r="AB182" s="288"/>
      <c r="AC182" s="222"/>
      <c r="AD182" s="222"/>
      <c r="AE182" s="222"/>
    </row>
    <row r="183" spans="1:52" s="222" customFormat="1" ht="19.5" customHeight="1" x14ac:dyDescent="0.25">
      <c r="A183" s="2021"/>
      <c r="B183" s="2024"/>
      <c r="C183" s="2026" t="s">
        <v>340</v>
      </c>
      <c r="D183" s="613" t="s">
        <v>328</v>
      </c>
      <c r="E183" s="613" t="s">
        <v>87</v>
      </c>
      <c r="F183" s="613"/>
      <c r="G183" s="614" t="s">
        <v>11</v>
      </c>
      <c r="H183" s="628"/>
      <c r="J183" s="288"/>
      <c r="K183" s="288"/>
      <c r="L183" s="288"/>
      <c r="M183" s="288"/>
      <c r="N183" s="288"/>
      <c r="O183" s="610"/>
      <c r="P183" s="288"/>
      <c r="Q183" s="288"/>
      <c r="R183" s="610"/>
      <c r="S183" s="288"/>
      <c r="T183" s="288"/>
      <c r="U183" s="610"/>
      <c r="V183" s="288"/>
      <c r="W183" s="288"/>
      <c r="X183" s="288"/>
      <c r="Y183" s="288"/>
      <c r="AA183" s="288"/>
      <c r="AB183" s="288"/>
    </row>
    <row r="184" spans="1:52" s="222" customFormat="1" ht="19.5" customHeight="1" x14ac:dyDescent="0.25">
      <c r="A184" s="2022"/>
      <c r="B184" s="2025"/>
      <c r="C184" s="2027"/>
      <c r="D184" s="617" t="s">
        <v>229</v>
      </c>
      <c r="E184" s="617"/>
      <c r="F184" s="614" t="s">
        <v>337</v>
      </c>
      <c r="G184" s="614" t="s">
        <v>166</v>
      </c>
      <c r="H184" s="628"/>
      <c r="J184" s="288"/>
      <c r="K184" s="288"/>
      <c r="L184" s="288"/>
      <c r="M184" s="288"/>
      <c r="N184" s="288"/>
      <c r="O184" s="610"/>
      <c r="P184" s="288"/>
      <c r="Q184" s="288"/>
      <c r="R184" s="610"/>
      <c r="S184" s="288"/>
      <c r="T184" s="288"/>
      <c r="U184" s="610"/>
      <c r="V184" s="288"/>
      <c r="W184" s="288"/>
      <c r="X184" s="288"/>
      <c r="Y184" s="288"/>
      <c r="AA184" s="288"/>
      <c r="AB184" s="288"/>
    </row>
    <row r="185" spans="1:52" s="222" customFormat="1" ht="19.5" customHeight="1" x14ac:dyDescent="0.25">
      <c r="A185" s="623"/>
      <c r="B185" s="631" t="str">
        <f>Samenvatting!A287</f>
        <v>werken in nabijheid geactiveerde onderdelen</v>
      </c>
      <c r="C185" s="1861">
        <v>1.5</v>
      </c>
      <c r="D185" s="1861">
        <v>2</v>
      </c>
      <c r="E185" s="1861">
        <v>24</v>
      </c>
      <c r="F185" s="632">
        <f>C185*D185/10^3</f>
        <v>3.0000000000000001E-3</v>
      </c>
      <c r="G185" s="621">
        <f>F185*E185</f>
        <v>7.2000000000000008E-2</v>
      </c>
      <c r="H185" s="635"/>
      <c r="M185" s="288"/>
      <c r="N185" s="288"/>
      <c r="O185" s="288"/>
      <c r="P185" s="288"/>
      <c r="Q185" s="288"/>
      <c r="R185" s="288"/>
      <c r="S185" s="288"/>
      <c r="T185" s="288"/>
      <c r="U185" s="288"/>
      <c r="V185" s="288"/>
      <c r="W185" s="288"/>
      <c r="X185" s="288"/>
      <c r="Y185" s="288"/>
      <c r="Z185" s="288"/>
      <c r="AA185" s="288"/>
    </row>
    <row r="186" spans="1:52" s="222" customFormat="1" ht="19.5" customHeight="1" x14ac:dyDescent="0.25">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189"/>
      <c r="W186" s="189"/>
      <c r="X186" s="189"/>
      <c r="Y186" s="189"/>
      <c r="Z186" s="189"/>
      <c r="AA186" s="189"/>
      <c r="AB186" s="202"/>
      <c r="AC186" s="202"/>
      <c r="AD186" s="202"/>
      <c r="AE186" s="202"/>
    </row>
    <row r="187" spans="1:52" s="225" customFormat="1" ht="19.5" customHeight="1" thickBot="1" x14ac:dyDescent="0.3">
      <c r="A187" s="288" t="s">
        <v>326</v>
      </c>
      <c r="C187" s="636"/>
      <c r="D187" s="265"/>
      <c r="E187" s="265"/>
      <c r="F187" s="265"/>
      <c r="G187" s="265"/>
      <c r="H187" s="265"/>
      <c r="I187" s="233"/>
      <c r="J187" s="242"/>
      <c r="K187" s="233"/>
      <c r="L187" s="233"/>
      <c r="M187" s="242"/>
      <c r="N187" s="369"/>
      <c r="O187" s="222"/>
      <c r="P187" s="222"/>
      <c r="Q187" s="222"/>
      <c r="R187" s="222"/>
      <c r="T187" s="328"/>
      <c r="V187" s="328"/>
      <c r="W187" s="328"/>
      <c r="X187" s="328"/>
      <c r="Y187" s="328"/>
      <c r="AC187" s="222"/>
      <c r="AD187" s="211"/>
      <c r="AE187" s="222"/>
      <c r="AF187" s="222"/>
      <c r="AL187" s="300"/>
      <c r="AM187" s="300"/>
    </row>
    <row r="188" spans="1:52" s="225" customFormat="1" ht="19.5" customHeight="1" thickBot="1" x14ac:dyDescent="0.3">
      <c r="A188" s="2020" t="s">
        <v>50</v>
      </c>
      <c r="B188" s="2023" t="s">
        <v>15</v>
      </c>
      <c r="C188" s="1998" t="s">
        <v>25</v>
      </c>
      <c r="D188" s="1998" t="s">
        <v>158</v>
      </c>
      <c r="E188" s="2012" t="s">
        <v>527</v>
      </c>
      <c r="F188" s="685" t="s">
        <v>77</v>
      </c>
      <c r="G188" s="637"/>
      <c r="H188" s="305"/>
      <c r="I188" s="607" t="s">
        <v>224</v>
      </c>
      <c r="J188" s="608" t="s">
        <v>329</v>
      </c>
      <c r="K188" s="2016">
        <v>18</v>
      </c>
      <c r="L188" s="2017"/>
      <c r="M188" s="2018"/>
      <c r="N188" s="2003" t="s">
        <v>16</v>
      </c>
      <c r="O188" s="2004"/>
      <c r="P188" s="222"/>
      <c r="Q188" s="222"/>
      <c r="R188" s="222"/>
      <c r="T188" s="328"/>
      <c r="V188" s="328"/>
      <c r="W188" s="328"/>
      <c r="X188" s="328"/>
      <c r="Y188" s="328"/>
      <c r="AC188" s="222"/>
      <c r="AD188" s="211"/>
      <c r="AE188" s="222"/>
      <c r="AF188" s="222"/>
      <c r="AL188" s="300"/>
      <c r="AM188" s="300"/>
    </row>
    <row r="189" spans="1:52" s="222" customFormat="1" ht="19.5" customHeight="1" x14ac:dyDescent="0.25">
      <c r="A189" s="2021"/>
      <c r="B189" s="2024"/>
      <c r="C189" s="2010"/>
      <c r="D189" s="2010"/>
      <c r="E189" s="2010"/>
      <c r="F189" s="639"/>
      <c r="G189" s="211"/>
      <c r="H189" s="611"/>
      <c r="I189" s="614" t="s">
        <v>328</v>
      </c>
      <c r="J189" s="613" t="s">
        <v>87</v>
      </c>
      <c r="K189" s="312" t="s">
        <v>86</v>
      </c>
      <c r="L189" s="312" t="s">
        <v>206</v>
      </c>
      <c r="M189" s="312" t="s">
        <v>260</v>
      </c>
      <c r="N189" s="613"/>
      <c r="O189" s="614" t="s">
        <v>11</v>
      </c>
      <c r="T189" s="328"/>
      <c r="V189" s="328"/>
      <c r="W189" s="328"/>
      <c r="X189" s="328"/>
      <c r="Y189" s="328"/>
      <c r="AD189" s="211"/>
      <c r="AL189" s="211"/>
      <c r="AM189" s="211"/>
    </row>
    <row r="190" spans="1:52" s="222" customFormat="1" ht="19.5" customHeight="1" thickBot="1" x14ac:dyDescent="0.3">
      <c r="A190" s="2022"/>
      <c r="B190" s="2025"/>
      <c r="C190" s="2011"/>
      <c r="D190" s="2011"/>
      <c r="E190" s="2013"/>
      <c r="F190" s="615" t="s">
        <v>1</v>
      </c>
      <c r="G190" s="615" t="s">
        <v>61</v>
      </c>
      <c r="H190" s="615" t="s">
        <v>3</v>
      </c>
      <c r="I190" s="179" t="s">
        <v>229</v>
      </c>
      <c r="J190" s="179"/>
      <c r="K190" s="505" t="s">
        <v>208</v>
      </c>
      <c r="L190" s="505" t="s">
        <v>207</v>
      </c>
      <c r="M190" s="506" t="s">
        <v>341</v>
      </c>
      <c r="N190" s="614" t="s">
        <v>337</v>
      </c>
      <c r="O190" s="614" t="s">
        <v>166</v>
      </c>
      <c r="U190" s="328"/>
      <c r="W190" s="328"/>
      <c r="X190" s="328"/>
      <c r="Y190" s="328"/>
      <c r="Z190" s="328"/>
      <c r="AE190" s="211"/>
      <c r="AM190" s="211"/>
      <c r="AN190" s="211"/>
    </row>
    <row r="191" spans="1:52" s="222" customFormat="1" ht="30" customHeight="1" x14ac:dyDescent="0.25">
      <c r="A191" s="301"/>
      <c r="B191" s="2008" t="str">
        <f>Samenvatting!A298</f>
        <v>werkzaamheden uitvoeren in gecontroleerde ruimte (buiten de bestralingsruimte) terwijl er gestraald word: bv dak wegens reparaties</v>
      </c>
      <c r="C191" s="323" t="s">
        <v>569</v>
      </c>
      <c r="D191" s="1840">
        <v>6</v>
      </c>
      <c r="E191" s="1863">
        <v>0.25</v>
      </c>
      <c r="F191" s="1834">
        <v>250</v>
      </c>
      <c r="G191" s="1834">
        <v>0</v>
      </c>
      <c r="H191" s="1834">
        <v>0</v>
      </c>
      <c r="I191" s="640"/>
      <c r="J191" s="641"/>
      <c r="K191" s="686">
        <f>IF(K188=C4,IF($F191=0,0,1+($F191-$C$21)/$C$22)+$G191/$C$23+$H191/$C$24,IF(K188=D4,(IF($F191=0,0,1+($F191-$D$21)/$D$22)+$G191/$D$23+$H191/$D$24),IF(K188=E4,IF($F191=0,0,1+($F191-$E$21)/$E$22)+$G191/$E$23+$H191/$E$24,IF(K188=F4,IF($F191=0,0,1+($F191-$F$21)/$F$22)+$G191/$F$23+$H191/$F$24,IF(K188=G4,IF($F191=0,0,1+($F191-$G$21)/$G$22)+$G191/$G$23+$H191/$G$24,2)))))</f>
        <v>5.7674418604651159</v>
      </c>
      <c r="L191" s="72">
        <f>10^(-K191)</f>
        <v>1.7082763938087111E-6</v>
      </c>
      <c r="M191" s="71">
        <f>($C$7*$C$14*I192/40*$E191/$D191^2*L191*10^6)</f>
        <v>1.1863030512560492E-2</v>
      </c>
      <c r="N191" s="642">
        <f>M191+M192</f>
        <v>1.8104733127211996E-2</v>
      </c>
      <c r="O191" s="643">
        <f>N191*J192</f>
        <v>1.8104733127211996E-2</v>
      </c>
      <c r="U191" s="328"/>
      <c r="V191" s="328"/>
      <c r="W191" s="328"/>
      <c r="X191" s="328"/>
      <c r="Y191" s="328"/>
      <c r="Z191" s="328"/>
      <c r="AE191" s="211"/>
      <c r="AM191" s="211"/>
      <c r="AN191" s="211"/>
    </row>
    <row r="192" spans="1:52" s="222" customFormat="1" ht="30" customHeight="1" thickBot="1" x14ac:dyDescent="0.3">
      <c r="A192" s="623"/>
      <c r="B192" s="2019"/>
      <c r="C192" s="331" t="s">
        <v>568</v>
      </c>
      <c r="D192" s="1864">
        <v>5</v>
      </c>
      <c r="E192" s="644"/>
      <c r="F192" s="1865">
        <v>250</v>
      </c>
      <c r="G192" s="1865">
        <v>0</v>
      </c>
      <c r="H192" s="1865">
        <v>0</v>
      </c>
      <c r="I192" s="1866">
        <v>1</v>
      </c>
      <c r="J192" s="1867">
        <v>1</v>
      </c>
      <c r="K192" s="105">
        <f>IF(K188=$C$4,$F192/$C$27+$G192/$C$28+$H192/$C$29,IF(K188=$D$4,$F192/$D$27+$G192/$D$28+$H192/$D$29,IF(K188=$E$4,$F192/$E$27+$G192/$E$28+$H192/$E$29,IF(K188=$F$4,$F192/$F$27+$G192/$F$28+$H192/$F$29,IF(K188=$G$4,$F192/$G$27+$G192/$G$28+$H192/$G$29, )))))</f>
        <v>5.6818181818181817</v>
      </c>
      <c r="L192" s="106">
        <f>10^(-K192)</f>
        <v>2.0805675382171676E-6</v>
      </c>
      <c r="M192" s="105">
        <f>($C$7*I192/40*$C$15*($C$9+$C$10*$C$11)/$D192^2*L192*10^6)</f>
        <v>6.2417026146515033E-3</v>
      </c>
      <c r="N192" s="645"/>
      <c r="O192" s="646"/>
      <c r="U192" s="328"/>
      <c r="V192" s="328"/>
      <c r="W192" s="328"/>
      <c r="X192" s="328"/>
      <c r="Y192" s="328"/>
      <c r="Z192" s="328"/>
      <c r="AE192" s="211"/>
      <c r="AM192" s="211"/>
      <c r="AN192" s="211"/>
    </row>
    <row r="193" spans="1:31" s="222" customFormat="1" ht="30" customHeight="1" x14ac:dyDescent="0.25">
      <c r="A193" s="201"/>
      <c r="B193" s="201"/>
      <c r="C193" s="201"/>
      <c r="D193" s="201"/>
      <c r="E193" s="201"/>
      <c r="F193" s="201"/>
      <c r="G193" s="201"/>
      <c r="H193" s="201"/>
      <c r="I193" s="201"/>
      <c r="J193" s="201"/>
      <c r="K193" s="201"/>
      <c r="L193" s="201"/>
      <c r="M193" s="201"/>
      <c r="N193" s="189"/>
      <c r="O193" s="202"/>
      <c r="P193" s="202"/>
      <c r="Q193" s="202"/>
      <c r="R193" s="202"/>
    </row>
    <row r="194" spans="1:31" s="222" customFormat="1" ht="19.5" customHeight="1" x14ac:dyDescent="0.25">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189"/>
      <c r="W194" s="189"/>
      <c r="X194" s="189"/>
      <c r="Y194" s="189"/>
      <c r="Z194" s="189"/>
      <c r="AA194" s="189"/>
      <c r="AB194" s="202"/>
      <c r="AC194" s="202"/>
      <c r="AD194" s="202"/>
      <c r="AE194" s="202"/>
    </row>
    <row r="195" spans="1:31" ht="19.5" customHeight="1" x14ac:dyDescent="0.25">
      <c r="C195" s="279"/>
      <c r="D195" s="280"/>
      <c r="L195" s="647"/>
      <c r="M195" s="647"/>
      <c r="S195" s="648"/>
      <c r="U195" s="189"/>
      <c r="V195" s="190"/>
      <c r="AA195" s="202"/>
      <c r="AB195" s="538"/>
      <c r="AC195" s="538"/>
      <c r="AD195" s="538"/>
      <c r="AE195" s="538"/>
    </row>
    <row r="196" spans="1:31" ht="19.5" customHeight="1" x14ac:dyDescent="0.25"/>
    <row r="197" spans="1:31" ht="19.5" customHeight="1" x14ac:dyDescent="0.25"/>
  </sheetData>
  <sheetProtection algorithmName="SHA-512" hashValue="dPDr/uvgwJIy7tsZO//495WGfk2fx0phOE3tLFzr5mkSlYCBKggEI/9MvkuUWWBQ5trTH1IyXyHh/HzQxLZA5A==" saltValue="+Ku9zT2riK7L8Zz+s1TMhQ==" spinCount="100000" sheet="1" objects="1" scenarios="1"/>
  <mergeCells count="37">
    <mergeCell ref="B191:B192"/>
    <mergeCell ref="P140:R140"/>
    <mergeCell ref="S140:U140"/>
    <mergeCell ref="V140:X140"/>
    <mergeCell ref="Y140:AA140"/>
    <mergeCell ref="N188:O188"/>
    <mergeCell ref="K188:M188"/>
    <mergeCell ref="X128:Z128"/>
    <mergeCell ref="A182:A184"/>
    <mergeCell ref="B182:B184"/>
    <mergeCell ref="C183:C184"/>
    <mergeCell ref="M141:M142"/>
    <mergeCell ref="P141:P142"/>
    <mergeCell ref="B172:B173"/>
    <mergeCell ref="I169:J169"/>
    <mergeCell ref="A176:A178"/>
    <mergeCell ref="B176:B178"/>
    <mergeCell ref="C177:C178"/>
    <mergeCell ref="S141:S142"/>
    <mergeCell ref="V141:V142"/>
    <mergeCell ref="Y141:Y142"/>
    <mergeCell ref="Q132:Q133"/>
    <mergeCell ref="R132:R133"/>
    <mergeCell ref="AB130:AB135"/>
    <mergeCell ref="AC130:AC135"/>
    <mergeCell ref="A188:A190"/>
    <mergeCell ref="B188:B190"/>
    <mergeCell ref="C188:C190"/>
    <mergeCell ref="D188:D190"/>
    <mergeCell ref="E188:E190"/>
    <mergeCell ref="AB140:AD140"/>
    <mergeCell ref="AC141:AD141"/>
    <mergeCell ref="L134:L135"/>
    <mergeCell ref="M134:M135"/>
    <mergeCell ref="F132:F133"/>
    <mergeCell ref="J132:J133"/>
    <mergeCell ref="K130:K133"/>
  </mergeCells>
  <dataValidations count="21">
    <dataValidation allowBlank="1" showInputMessage="1" showErrorMessage="1" promptTitle="let op" prompt="Als labyrint 1 bocht heeft dan dan is er geen dz5: 1 invullen_x000a_" sqref="S131:V131 P131:Q131 K130 L131:N131"/>
    <dataValidation allowBlank="1" showInputMessage="1" showErrorMessage="1" promptTitle="let op" prompt="als versneller parallel aan het labyrint draait is er geen dp2: 1 invullen" sqref="E131:G131"/>
    <dataValidation allowBlank="1" showInputMessage="1" showErrorMessage="1" promptTitle="let op" prompt="Fr richting opp A2._x000a_Als versneller parallel aan labyrint draait dan is er geen A2: fr is dan 0" sqref="W131"/>
    <dataValidation allowBlank="1" showInputMessage="1" showErrorMessage="1" prompt="Fr richting  opp A1_x000a_" sqref="W130"/>
    <dataValidation allowBlank="1" showInputMessage="1" showErrorMessage="1" promptTitle="let op" prompt="Alleen van belang als E &gt; 10 MV (neutronenproduktie)" sqref="G125:G126"/>
    <dataValidation allowBlank="1" showInputMessage="1" showErrorMessage="1" promptTitle="let op" prompt="als er geen afstand dp is: 1 invullen_x000a_Bij de voorbeeld plattegronden is er alleen een afstand dp in fig 6. " sqref="P17"/>
    <dataValidation type="list" allowBlank="1" showInputMessage="1" showErrorMessage="1" sqref="G107:G108">
      <formula1>"1,2"</formula1>
    </dataValidation>
    <dataValidation type="list" allowBlank="1" showInputMessage="1" showErrorMessage="1" sqref="G106">
      <formula1>"parallel,loodrecht"</formula1>
    </dataValidation>
    <dataValidation allowBlank="1" showInputMessage="1" showErrorMessage="1" promptTitle="let op" prompt="is 1 las versneller parallel aan het labyrint draait" sqref="R15:R16"/>
    <dataValidation allowBlank="1" showInputMessage="1" showErrorMessage="1" promptTitle="let op" prompt="als versneller parallel aan het labyrint draait is er geen dz2:_x000a_ 1 invullen" sqref="H131:J131"/>
    <dataValidation allowBlank="1" showInputMessage="1" showErrorMessage="1" prompt="als versneller parallel aan het labyrint draait is er geen A2_x000a_: 1 invullen" sqref="O131"/>
    <dataValidation allowBlank="1" showInputMessage="1" showErrorMessage="1" promptTitle="let op" prompt="Als labyrint 1 bocht heeft dan dan is er geen A5: 1 invullen" sqref="R130:R132"/>
    <dataValidation allowBlank="1" showInputMessage="1" showErrorMessage="1" prompt="Als labyrint 1 bocht heeft dan dan is er geen A5: 1 invullen_x000a_" sqref="E116:E117"/>
    <dataValidation allowBlank="1" showInputMessage="1" showErrorMessage="1" prompt="Fr voor gantry  90 graden als versneller parallel aan labyrint draait of Fr voor gantry 270 graden als versneller loodrecht op labyrint draait _x000a_" sqref="W133"/>
    <dataValidation allowBlank="1" showInputMessage="1" showErrorMessage="1" prompt="binnenmuur labyrint" sqref="X131:AA131"/>
    <dataValidation allowBlank="1" showInputMessage="1" showErrorMessage="1" prompt="Als kort labyrint (&lt; 5m) gebruik dan 6,1 cm" sqref="O115"/>
    <dataValidation type="list" allowBlank="1" showInputMessage="1" showErrorMessage="1" prompt="Zie handleiding voor verwijzing naar literatuur._x000a_" sqref="Q113">
      <formula1>"1,3,9,5,4,6,2"</formula1>
    </dataValidation>
    <dataValidation type="list" allowBlank="1" showInputMessage="1" showErrorMessage="1" prompt="Zie handleiding voor verwijzing naar literatuur._x000a_" sqref="Q111">
      <formula1>"1,5,7E-16,6,9E-16"</formula1>
    </dataValidation>
    <dataValidation type="list" allowBlank="1" showInputMessage="1" showErrorMessage="1" sqref="K188:M188">
      <formula1>$C$4:$H$4</formula1>
    </dataValidation>
    <dataValidation allowBlank="1" showInputMessage="1" showErrorMessage="1" prompt="Stralingsweegfactor, WR = 20" sqref="E173"/>
    <dataValidation type="list" allowBlank="1" showInputMessage="1" showErrorMessage="1" prompt="als head shielding van wolfraam dan 0,85, als van lood dan 1_x000a_als geen neutronen dan ook 1" sqref="C16">
      <formula1>"0,85,1"</formula1>
    </dataValidation>
  </dataValidations>
  <pageMargins left="0.70866141732283472" right="0.70866141732283472" top="0.74803149606299213" bottom="0.74803149606299213" header="0.31496062992125984" footer="0.31496062992125984"/>
  <pageSetup paperSize="8" scale="30" orientation="landscape" r:id="rId1"/>
  <headerFooter>
    <oddFooter>&amp;C&amp;F &amp;A</oddFooter>
  </headerFooter>
  <ignoredErrors>
    <ignoredError sqref="B185 B179" unlockedFormula="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CL197"/>
  <sheetViews>
    <sheetView showGridLines="0" topLeftCell="A160" zoomScale="70" zoomScaleNormal="70" workbookViewId="0">
      <selection activeCell="D191" sqref="D191:J192"/>
    </sheetView>
  </sheetViews>
  <sheetFormatPr defaultRowHeight="15" x14ac:dyDescent="0.25"/>
  <cols>
    <col min="1" max="1" width="6.7109375" style="201" customWidth="1"/>
    <col min="2" max="2" width="20.7109375" style="201" customWidth="1"/>
    <col min="3" max="21" width="12.7109375" style="201" customWidth="1"/>
    <col min="22" max="27" width="12.7109375" style="189" customWidth="1"/>
    <col min="28" max="36" width="12.7109375" style="202" customWidth="1"/>
    <col min="37" max="37" width="10" style="202" bestFit="1" customWidth="1"/>
    <col min="38" max="38" width="12.7109375" style="202" customWidth="1"/>
    <col min="39" max="39" width="10" style="202" bestFit="1" customWidth="1"/>
    <col min="40" max="45" width="12.7109375" style="202" customWidth="1"/>
    <col min="46" max="48" width="10.140625" style="202" bestFit="1" customWidth="1"/>
    <col min="49" max="55" width="12.140625" style="202" customWidth="1"/>
    <col min="56" max="60" width="10.140625" style="202" bestFit="1" customWidth="1"/>
    <col min="61" max="16384" width="9.140625" style="202"/>
  </cols>
  <sheetData>
    <row r="1" spans="1:31" s="187" customFormat="1" ht="26.25" customHeight="1" thickBot="1" x14ac:dyDescent="0.3">
      <c r="A1" s="181" t="s">
        <v>51</v>
      </c>
      <c r="B1" s="182"/>
      <c r="C1" s="183"/>
      <c r="D1" s="182"/>
      <c r="E1" s="182"/>
      <c r="F1" s="182"/>
      <c r="G1" s="182"/>
      <c r="H1" s="182"/>
      <c r="I1" s="182"/>
      <c r="J1" s="182"/>
      <c r="K1" s="182"/>
      <c r="L1" s="182"/>
      <c r="M1" s="182"/>
      <c r="N1" s="182"/>
      <c r="O1" s="182"/>
      <c r="P1" s="182"/>
      <c r="Q1" s="182"/>
      <c r="R1" s="182"/>
      <c r="S1" s="182"/>
      <c r="T1" s="182"/>
      <c r="U1" s="182"/>
      <c r="V1" s="184"/>
      <c r="W1" s="184"/>
      <c r="X1" s="184"/>
      <c r="Y1" s="184"/>
      <c r="Z1" s="184"/>
      <c r="AA1" s="184"/>
      <c r="AB1" s="185"/>
      <c r="AC1" s="185"/>
      <c r="AD1" s="185"/>
      <c r="AE1" s="186"/>
    </row>
    <row r="2" spans="1:31" s="189" customFormat="1" ht="18.75" customHeight="1" thickBot="1" x14ac:dyDescent="0.3">
      <c r="A2" s="188"/>
      <c r="F2" s="190"/>
      <c r="G2" s="190"/>
      <c r="H2" s="190"/>
    </row>
    <row r="3" spans="1:31" s="189" customFormat="1" ht="26.25" customHeight="1" thickBot="1" x14ac:dyDescent="0.3">
      <c r="A3" s="687" t="s">
        <v>314</v>
      </c>
      <c r="B3" s="688"/>
      <c r="C3" s="1868" t="s">
        <v>313</v>
      </c>
      <c r="D3" s="1868"/>
      <c r="E3" s="1868"/>
      <c r="F3" s="1869"/>
      <c r="G3" s="1870"/>
      <c r="H3" s="190"/>
      <c r="L3" s="193"/>
      <c r="M3" s="194" t="s">
        <v>420</v>
      </c>
      <c r="N3" s="195"/>
      <c r="O3" s="195"/>
      <c r="P3" s="195"/>
      <c r="Q3" s="195"/>
      <c r="R3" s="195"/>
      <c r="S3" s="195"/>
      <c r="T3" s="195"/>
    </row>
    <row r="4" spans="1:31" s="212" customFormat="1" ht="19.5" customHeight="1" thickBot="1" x14ac:dyDescent="0.3">
      <c r="A4" s="689" t="s">
        <v>55</v>
      </c>
      <c r="B4" s="690"/>
      <c r="C4" s="691">
        <v>6</v>
      </c>
      <c r="D4" s="691">
        <v>10</v>
      </c>
      <c r="E4" s="692">
        <v>18</v>
      </c>
      <c r="F4" s="691" t="s">
        <v>188</v>
      </c>
      <c r="G4" s="693" t="s">
        <v>189</v>
      </c>
      <c r="H4" s="207"/>
      <c r="I4" s="207"/>
      <c r="L4" s="195"/>
      <c r="M4" s="194"/>
      <c r="N4" s="195"/>
      <c r="O4" s="195"/>
      <c r="P4" s="195"/>
      <c r="Q4" s="195"/>
      <c r="R4" s="195"/>
      <c r="S4" s="195"/>
      <c r="T4" s="195"/>
      <c r="AD4" s="189"/>
    </row>
    <row r="5" spans="1:31" ht="22.5" customHeight="1" x14ac:dyDescent="0.25">
      <c r="A5" s="188"/>
      <c r="C5" s="205"/>
      <c r="D5" s="205"/>
      <c r="E5" s="205"/>
      <c r="F5" s="205"/>
      <c r="G5" s="205"/>
      <c r="L5" s="210"/>
      <c r="M5" s="194" t="s">
        <v>421</v>
      </c>
      <c r="N5" s="195"/>
      <c r="O5" s="195"/>
      <c r="P5" s="195"/>
      <c r="Q5" s="195"/>
      <c r="R5" s="195"/>
      <c r="S5" s="195"/>
      <c r="T5" s="195"/>
      <c r="U5" s="189"/>
      <c r="Z5" s="202"/>
      <c r="AA5" s="202"/>
    </row>
    <row r="6" spans="1:31" ht="19.5" customHeight="1" thickBot="1" x14ac:dyDescent="0.3">
      <c r="A6" s="188" t="s">
        <v>532</v>
      </c>
      <c r="B6" s="203"/>
      <c r="C6" s="650"/>
      <c r="D6" s="651"/>
      <c r="E6" s="651"/>
      <c r="F6" s="652"/>
      <c r="G6" s="652"/>
      <c r="H6" s="207"/>
      <c r="I6" s="207"/>
      <c r="J6" s="208"/>
      <c r="K6" s="209"/>
      <c r="L6" s="214"/>
      <c r="M6" s="194"/>
      <c r="O6" s="195"/>
      <c r="P6" s="195"/>
      <c r="Q6" s="195"/>
      <c r="R6" s="195"/>
      <c r="S6" s="195"/>
      <c r="T6" s="195"/>
      <c r="AD6" s="211"/>
    </row>
    <row r="7" spans="1:31" s="212" customFormat="1" ht="19.5" customHeight="1" thickBot="1" x14ac:dyDescent="0.3">
      <c r="A7" s="215" t="s">
        <v>240</v>
      </c>
      <c r="B7" s="216"/>
      <c r="C7" s="1815">
        <f>10^3</f>
        <v>1000</v>
      </c>
      <c r="D7" s="217"/>
      <c r="E7" s="217"/>
      <c r="F7" s="217"/>
      <c r="G7" s="218"/>
      <c r="H7" s="189"/>
      <c r="I7" s="189"/>
      <c r="L7" s="219"/>
      <c r="M7" s="194" t="s">
        <v>651</v>
      </c>
      <c r="N7" s="195"/>
      <c r="O7" s="195"/>
      <c r="P7" s="195"/>
      <c r="Q7" s="195"/>
      <c r="R7" s="195"/>
      <c r="S7" s="195"/>
      <c r="T7" s="195"/>
    </row>
    <row r="8" spans="1:31" s="212" customFormat="1" ht="19.5" customHeight="1" x14ac:dyDescent="0.25">
      <c r="A8" s="215" t="s">
        <v>122</v>
      </c>
      <c r="B8" s="216"/>
      <c r="C8" s="1816">
        <v>0.2</v>
      </c>
      <c r="D8" s="1816">
        <v>0.2</v>
      </c>
      <c r="E8" s="1818">
        <v>0.2</v>
      </c>
      <c r="F8" s="1816">
        <v>0.2</v>
      </c>
      <c r="G8" s="1819">
        <v>0.2</v>
      </c>
      <c r="J8" s="220"/>
      <c r="K8" s="220"/>
      <c r="L8" s="195"/>
      <c r="M8" s="194"/>
      <c r="N8" s="195"/>
      <c r="O8" s="195"/>
      <c r="P8" s="195"/>
      <c r="Q8" s="195"/>
      <c r="R8" s="195"/>
      <c r="S8" s="195"/>
      <c r="T8" s="195"/>
    </row>
    <row r="9" spans="1:31" s="212" customFormat="1" ht="19.5" customHeight="1" x14ac:dyDescent="0.25">
      <c r="A9" s="221" t="s">
        <v>123</v>
      </c>
      <c r="B9" s="222"/>
      <c r="C9" s="1817">
        <v>0.5</v>
      </c>
      <c r="D9" s="1817">
        <v>0.5</v>
      </c>
      <c r="E9" s="1820">
        <v>0.5</v>
      </c>
      <c r="F9" s="1817">
        <v>0.5</v>
      </c>
      <c r="G9" s="1821">
        <v>0.5</v>
      </c>
      <c r="H9" s="189"/>
      <c r="I9" s="189"/>
      <c r="J9" s="220"/>
      <c r="K9" s="220"/>
      <c r="L9" s="223"/>
      <c r="M9" s="194" t="s">
        <v>422</v>
      </c>
      <c r="N9" s="195"/>
      <c r="O9" s="195"/>
      <c r="P9" s="195"/>
      <c r="Q9" s="195"/>
      <c r="R9" s="195"/>
      <c r="S9" s="195"/>
      <c r="T9" s="195"/>
    </row>
    <row r="10" spans="1:31" s="212" customFormat="1" ht="19.5" customHeight="1" x14ac:dyDescent="0.25">
      <c r="A10" s="221" t="s">
        <v>124</v>
      </c>
      <c r="B10" s="222"/>
      <c r="C10" s="178">
        <f>1-C9</f>
        <v>0.5</v>
      </c>
      <c r="D10" s="178">
        <f>1-D9</f>
        <v>0.5</v>
      </c>
      <c r="E10" s="179">
        <f>1-E9</f>
        <v>0.5</v>
      </c>
      <c r="F10" s="178">
        <f>1-F9</f>
        <v>0.5</v>
      </c>
      <c r="G10" s="180">
        <f>1-G9</f>
        <v>0.5</v>
      </c>
      <c r="H10" s="189"/>
      <c r="I10" s="189"/>
      <c r="J10" s="220"/>
      <c r="K10" s="220"/>
      <c r="L10" s="195"/>
      <c r="M10" s="195"/>
      <c r="N10" s="195"/>
      <c r="O10" s="195"/>
      <c r="P10" s="195"/>
      <c r="Q10" s="195"/>
      <c r="R10" s="195"/>
      <c r="S10" s="195"/>
      <c r="T10" s="195"/>
      <c r="U10" s="222"/>
      <c r="V10" s="225"/>
      <c r="W10" s="225"/>
      <c r="X10" s="225"/>
      <c r="Y10" s="225"/>
      <c r="Z10" s="225"/>
      <c r="AA10" s="225"/>
      <c r="AB10" s="225"/>
      <c r="AC10" s="225"/>
    </row>
    <row r="11" spans="1:31" s="212" customFormat="1" ht="19.5" customHeight="1" thickBot="1" x14ac:dyDescent="0.3">
      <c r="A11" s="226" t="s">
        <v>125</v>
      </c>
      <c r="B11" s="227"/>
      <c r="C11" s="1822">
        <v>5</v>
      </c>
      <c r="D11" s="1822">
        <v>5</v>
      </c>
      <c r="E11" s="1823">
        <v>5</v>
      </c>
      <c r="F11" s="1822">
        <v>5</v>
      </c>
      <c r="G11" s="1824">
        <v>5</v>
      </c>
      <c r="H11" s="189"/>
      <c r="I11" s="189"/>
      <c r="J11" s="220"/>
      <c r="K11" s="220"/>
      <c r="L11" s="228"/>
      <c r="M11" s="194" t="s">
        <v>650</v>
      </c>
      <c r="N11" s="195"/>
      <c r="O11" s="195"/>
      <c r="P11" s="195"/>
      <c r="Q11" s="195"/>
      <c r="R11" s="195"/>
      <c r="S11" s="195"/>
      <c r="T11" s="195"/>
      <c r="U11" s="222"/>
      <c r="V11" s="225"/>
      <c r="W11" s="225"/>
      <c r="X11" s="225"/>
      <c r="Y11" s="225"/>
      <c r="Z11" s="225"/>
      <c r="AA11" s="225"/>
      <c r="AB11" s="225"/>
      <c r="AC11" s="225"/>
    </row>
    <row r="12" spans="1:31" s="212" customFormat="1" ht="22.5" customHeight="1" x14ac:dyDescent="0.25">
      <c r="A12" s="222"/>
      <c r="B12" s="222"/>
      <c r="C12" s="229"/>
      <c r="D12" s="229"/>
      <c r="E12" s="229"/>
      <c r="F12" s="229"/>
      <c r="G12" s="229"/>
      <c r="H12" s="189"/>
      <c r="I12" s="189"/>
      <c r="J12" s="220"/>
      <c r="K12" s="220"/>
      <c r="L12" s="195"/>
      <c r="M12" s="194"/>
      <c r="N12" s="195"/>
      <c r="O12" s="195"/>
      <c r="P12" s="195"/>
      <c r="Q12" s="195"/>
      <c r="R12" s="195"/>
      <c r="S12" s="195"/>
      <c r="T12" s="195"/>
      <c r="U12" s="222"/>
      <c r="V12" s="225"/>
      <c r="W12" s="225"/>
      <c r="X12" s="225"/>
      <c r="Y12" s="225"/>
      <c r="Z12" s="225"/>
      <c r="AA12" s="225"/>
      <c r="AB12" s="225"/>
      <c r="AC12" s="225"/>
    </row>
    <row r="13" spans="1:31" s="212" customFormat="1" ht="19.5" customHeight="1" thickBot="1" x14ac:dyDescent="0.3">
      <c r="A13" s="230" t="s">
        <v>429</v>
      </c>
      <c r="B13" s="222"/>
      <c r="C13" s="231"/>
      <c r="D13" s="231"/>
      <c r="E13" s="231"/>
      <c r="F13" s="231"/>
      <c r="G13" s="231"/>
      <c r="H13" s="189"/>
      <c r="I13" s="189"/>
      <c r="J13" s="220"/>
      <c r="K13" s="220"/>
      <c r="L13" s="232"/>
      <c r="M13" s="194" t="s">
        <v>649</v>
      </c>
      <c r="N13" s="222"/>
      <c r="O13" s="222"/>
      <c r="P13" s="225"/>
      <c r="Q13" s="222"/>
      <c r="R13" s="222"/>
      <c r="S13" s="222"/>
      <c r="T13" s="233"/>
      <c r="U13" s="222"/>
      <c r="V13" s="225"/>
      <c r="W13" s="225"/>
      <c r="X13" s="225"/>
      <c r="Y13" s="225"/>
      <c r="Z13" s="225"/>
      <c r="AA13" s="225"/>
      <c r="AB13" s="225"/>
      <c r="AC13" s="225"/>
    </row>
    <row r="14" spans="1:31" s="212" customFormat="1" ht="19.5" customHeight="1" x14ac:dyDescent="0.2">
      <c r="A14" s="215" t="s">
        <v>417</v>
      </c>
      <c r="B14" s="234"/>
      <c r="C14" s="1825">
        <v>0.04</v>
      </c>
      <c r="D14" s="1825">
        <v>0.04</v>
      </c>
      <c r="E14" s="1825">
        <v>0.04</v>
      </c>
      <c r="F14" s="1825">
        <v>0.04</v>
      </c>
      <c r="G14" s="1826">
        <v>0.04</v>
      </c>
      <c r="H14" s="189"/>
      <c r="I14" s="189"/>
      <c r="L14" s="235"/>
      <c r="M14" s="194"/>
    </row>
    <row r="15" spans="1:31" s="212" customFormat="1" ht="19.5" customHeight="1" thickBot="1" x14ac:dyDescent="0.25">
      <c r="A15" s="236" t="s">
        <v>121</v>
      </c>
      <c r="B15" s="237"/>
      <c r="C15" s="1827">
        <v>1E-3</v>
      </c>
      <c r="D15" s="238"/>
      <c r="E15" s="238"/>
      <c r="F15" s="238"/>
      <c r="G15" s="239"/>
      <c r="H15" s="189"/>
      <c r="I15" s="189"/>
      <c r="J15" s="240"/>
      <c r="K15" s="225"/>
      <c r="L15" s="241"/>
      <c r="M15" s="194" t="s">
        <v>423</v>
      </c>
      <c r="N15" s="225"/>
      <c r="O15" s="225"/>
      <c r="P15" s="225"/>
      <c r="AD15" s="242"/>
    </row>
    <row r="16" spans="1:31" s="212" customFormat="1" ht="19.5" customHeight="1" thickBot="1" x14ac:dyDescent="0.25">
      <c r="A16" s="226" t="s">
        <v>652</v>
      </c>
      <c r="B16" s="227"/>
      <c r="C16" s="1828">
        <v>0.85</v>
      </c>
      <c r="D16" s="243"/>
      <c r="E16" s="243"/>
      <c r="F16" s="243"/>
      <c r="G16" s="244"/>
      <c r="H16" s="189"/>
      <c r="I16" s="189"/>
      <c r="J16" s="240"/>
      <c r="K16" s="225"/>
      <c r="L16" s="235"/>
      <c r="M16" s="194"/>
      <c r="N16" s="225"/>
      <c r="O16" s="225"/>
      <c r="P16" s="225"/>
      <c r="AD16" s="242"/>
    </row>
    <row r="17" spans="1:29" s="212" customFormat="1" ht="19.5" customHeight="1" thickBot="1" x14ac:dyDescent="0.3">
      <c r="A17" s="245" t="s">
        <v>210</v>
      </c>
      <c r="B17" s="246"/>
      <c r="C17" s="1829">
        <v>1</v>
      </c>
      <c r="D17" s="1830">
        <v>1</v>
      </c>
      <c r="E17" s="1831">
        <v>1</v>
      </c>
      <c r="F17" s="1832">
        <v>1</v>
      </c>
      <c r="G17" s="1833">
        <v>1</v>
      </c>
      <c r="J17" s="220"/>
      <c r="K17" s="220"/>
      <c r="L17" s="222"/>
      <c r="M17" s="222"/>
      <c r="N17" s="222"/>
      <c r="O17" s="222"/>
      <c r="P17" s="57"/>
      <c r="Q17" s="222"/>
    </row>
    <row r="18" spans="1:29" s="212" customFormat="1" ht="22.5" customHeight="1" x14ac:dyDescent="0.25">
      <c r="A18" s="222"/>
      <c r="B18" s="222"/>
      <c r="C18" s="229"/>
      <c r="D18" s="229"/>
      <c r="E18" s="229"/>
      <c r="F18" s="229"/>
      <c r="G18" s="229"/>
      <c r="H18" s="189"/>
      <c r="I18" s="189"/>
      <c r="J18" s="220"/>
      <c r="K18" s="220"/>
      <c r="L18" s="222"/>
      <c r="M18" s="222"/>
      <c r="N18" s="222"/>
      <c r="O18" s="222"/>
      <c r="P18" s="225"/>
      <c r="Q18" s="222"/>
      <c r="R18" s="222"/>
      <c r="S18" s="222"/>
      <c r="T18" s="233"/>
      <c r="U18" s="222"/>
      <c r="V18" s="225"/>
      <c r="W18" s="225"/>
      <c r="X18" s="225"/>
      <c r="Y18" s="225"/>
      <c r="Z18" s="225"/>
      <c r="AA18" s="225"/>
      <c r="AB18" s="225"/>
      <c r="AC18" s="225"/>
    </row>
    <row r="19" spans="1:29" s="212" customFormat="1" ht="19.5" customHeight="1" thickBot="1" x14ac:dyDescent="0.3">
      <c r="A19" s="247" t="s">
        <v>419</v>
      </c>
      <c r="B19" s="222"/>
      <c r="C19" s="231"/>
      <c r="D19" s="231"/>
      <c r="E19" s="231"/>
      <c r="F19" s="231"/>
      <c r="G19" s="231"/>
      <c r="H19" s="189"/>
      <c r="I19" s="189"/>
      <c r="J19" s="220"/>
      <c r="K19" s="220"/>
      <c r="L19" s="222"/>
      <c r="M19" s="222"/>
      <c r="N19" s="222"/>
      <c r="O19" s="222"/>
      <c r="P19" s="225"/>
      <c r="Q19" s="222"/>
      <c r="R19" s="222"/>
      <c r="S19" s="222"/>
      <c r="T19" s="233"/>
      <c r="U19" s="222"/>
      <c r="V19" s="225"/>
      <c r="W19" s="225"/>
      <c r="X19" s="225"/>
      <c r="Y19" s="225"/>
      <c r="Z19" s="225"/>
      <c r="AA19" s="225"/>
      <c r="AB19" s="225"/>
      <c r="AC19" s="225"/>
    </row>
    <row r="20" spans="1:29" s="212" customFormat="1" ht="19.5" customHeight="1" x14ac:dyDescent="0.25">
      <c r="A20" s="248"/>
      <c r="B20" s="249"/>
      <c r="C20" s="250" t="s">
        <v>20</v>
      </c>
      <c r="D20" s="251"/>
      <c r="E20" s="251"/>
      <c r="F20" s="251"/>
      <c r="G20" s="252"/>
      <c r="H20" s="221"/>
      <c r="I20" s="222"/>
      <c r="J20" s="220"/>
      <c r="K20" s="220"/>
      <c r="L20" s="222"/>
      <c r="M20" s="222"/>
      <c r="N20" s="222"/>
      <c r="O20" s="222"/>
      <c r="P20" s="225"/>
      <c r="Q20" s="222"/>
      <c r="R20" s="222"/>
      <c r="S20" s="222"/>
      <c r="T20" s="233"/>
      <c r="U20" s="222"/>
      <c r="V20" s="225"/>
      <c r="W20" s="225"/>
      <c r="X20" s="225"/>
      <c r="Y20" s="225"/>
      <c r="Z20" s="225"/>
      <c r="AA20" s="225"/>
      <c r="AB20" s="225"/>
      <c r="AC20" s="225"/>
    </row>
    <row r="21" spans="1:29" s="212" customFormat="1" ht="19.5" customHeight="1" x14ac:dyDescent="0.25">
      <c r="A21" s="221"/>
      <c r="B21" s="253" t="s">
        <v>266</v>
      </c>
      <c r="C21" s="254">
        <f>VLOOKUP($C$4,'TVT''s afscherming'!$A$10:$J$23,2)</f>
        <v>37</v>
      </c>
      <c r="D21" s="255">
        <f>VLOOKUP($D$4,'TVT''s afscherming'!$A$10:$J$23,2)</f>
        <v>41</v>
      </c>
      <c r="E21" s="255">
        <f>VLOOKUP($E$4,'TVT''s afscherming'!$A$10:$J$23,2)</f>
        <v>45</v>
      </c>
      <c r="F21" s="255">
        <f>VLOOKUP($F$4,'TVT''s afscherming'!$A$10:$J$23,2)</f>
        <v>30</v>
      </c>
      <c r="G21" s="256">
        <f>VLOOKUP($G$4,'TVT''s afscherming'!$A$10:$J$23,2)</f>
        <v>36</v>
      </c>
      <c r="H21" s="221"/>
      <c r="I21" s="225"/>
      <c r="J21" s="220"/>
      <c r="K21" s="220"/>
      <c r="L21" s="222"/>
      <c r="M21" s="222"/>
      <c r="N21" s="222"/>
      <c r="O21" s="222"/>
      <c r="P21" s="225"/>
      <c r="Q21" s="222"/>
      <c r="R21" s="222"/>
      <c r="S21" s="222"/>
      <c r="T21" s="233"/>
      <c r="U21" s="222"/>
      <c r="V21" s="225"/>
      <c r="W21" s="225"/>
      <c r="X21" s="225"/>
      <c r="Y21" s="225"/>
      <c r="Z21" s="225"/>
      <c r="AA21" s="225"/>
      <c r="AB21" s="225"/>
      <c r="AC21" s="225"/>
    </row>
    <row r="22" spans="1:29" s="262" customFormat="1" ht="19.5" customHeight="1" x14ac:dyDescent="0.25">
      <c r="A22" s="257"/>
      <c r="B22" s="222" t="s">
        <v>267</v>
      </c>
      <c r="C22" s="258">
        <f>VLOOKUP($C$4,'TVT''s afscherming'!$A$10:$J$23,3)</f>
        <v>33</v>
      </c>
      <c r="D22" s="258">
        <f>VLOOKUP($D$4,'TVT''s afscherming'!$A$10:$J$23,3)</f>
        <v>37</v>
      </c>
      <c r="E22" s="258">
        <f>VLOOKUP($E$4,'TVT''s afscherming'!$A$10:$J$23,3)</f>
        <v>43</v>
      </c>
      <c r="F22" s="258">
        <f>VLOOKUP($F$4,'TVT''s afscherming'!$A$10:$J$23,3)</f>
        <v>27</v>
      </c>
      <c r="G22" s="259">
        <f>VLOOKUP($G$4,'TVT''s afscherming'!$A$10:$J$23,3)</f>
        <v>36</v>
      </c>
      <c r="H22" s="260"/>
      <c r="I22" s="261"/>
      <c r="J22" s="220"/>
      <c r="K22" s="220"/>
      <c r="L22" s="222"/>
      <c r="M22" s="222"/>
      <c r="N22" s="222"/>
      <c r="O22" s="222"/>
      <c r="P22" s="261"/>
      <c r="Q22" s="222"/>
      <c r="R22" s="222"/>
      <c r="S22" s="222"/>
      <c r="U22" s="222"/>
      <c r="V22" s="222"/>
      <c r="W22" s="222"/>
      <c r="X22" s="261"/>
      <c r="Y22" s="261"/>
      <c r="Z22" s="225"/>
      <c r="AA22" s="225"/>
      <c r="AB22" s="225"/>
      <c r="AC22" s="225"/>
    </row>
    <row r="23" spans="1:29" s="262" customFormat="1" ht="19.5" customHeight="1" x14ac:dyDescent="0.25">
      <c r="A23" s="221"/>
      <c r="B23" s="211" t="s">
        <v>61</v>
      </c>
      <c r="C23" s="263">
        <f>VLOOKUP($C$4,'TVT''s afscherming'!$A$10:$J$23,4)</f>
        <v>24.2</v>
      </c>
      <c r="D23" s="258">
        <f>VLOOKUP($D$4,'TVT''s afscherming'!$A$10:$J$23,4)</f>
        <v>27</v>
      </c>
      <c r="E23" s="258">
        <f>VLOOKUP($E$4,'TVT''s afscherming'!$A$10:$J$23,4)</f>
        <v>27</v>
      </c>
      <c r="F23" s="258">
        <f>VLOOKUP($F$4,'TVT''s afscherming'!$A$10:$J$23,4)</f>
        <v>19.7</v>
      </c>
      <c r="G23" s="259">
        <f>VLOOKUP($G$4,'TVT''s afscherming'!$A$10:$J$23,4)</f>
        <v>23.6</v>
      </c>
      <c r="H23" s="264"/>
      <c r="I23" s="261"/>
      <c r="J23" s="220"/>
      <c r="K23" s="220"/>
      <c r="L23" s="222"/>
      <c r="M23" s="222"/>
      <c r="N23" s="222"/>
      <c r="O23" s="222"/>
      <c r="P23" s="261"/>
      <c r="Q23" s="222"/>
      <c r="R23" s="222"/>
      <c r="S23" s="222"/>
      <c r="U23" s="222"/>
      <c r="V23" s="222"/>
      <c r="W23" s="222"/>
      <c r="X23" s="261"/>
      <c r="Y23" s="261"/>
      <c r="Z23" s="261"/>
      <c r="AA23" s="225"/>
      <c r="AB23" s="225"/>
      <c r="AC23" s="225"/>
    </row>
    <row r="24" spans="1:29" s="212" customFormat="1" ht="19.5" customHeight="1" x14ac:dyDescent="0.25">
      <c r="A24" s="221"/>
      <c r="B24" s="211" t="s">
        <v>3</v>
      </c>
      <c r="C24" s="263">
        <f>VLOOKUP($C$4,'TVT''s afscherming'!$A$10:$J$23,5)</f>
        <v>9.9</v>
      </c>
      <c r="D24" s="258">
        <f>VLOOKUP($D$4,'TVT''s afscherming'!$A$10:$J$23,5)</f>
        <v>10</v>
      </c>
      <c r="E24" s="258">
        <f>VLOOKUP($E$4,'TVT''s afscherming'!$A$10:$J$23,5)</f>
        <v>11</v>
      </c>
      <c r="F24" s="258">
        <f>VLOOKUP($F$4,'TVT''s afscherming'!$A$10:$J$23,5)</f>
        <v>10.199999999999999</v>
      </c>
      <c r="G24" s="259">
        <f>VLOOKUP($G$4,'TVT''s afscherming'!$A$10:$J$23,5)</f>
        <v>10.199999999999999</v>
      </c>
      <c r="H24" s="257"/>
      <c r="I24" s="225"/>
      <c r="J24" s="220"/>
      <c r="K24" s="220"/>
      <c r="L24" s="222"/>
      <c r="M24" s="222"/>
      <c r="N24" s="222"/>
      <c r="O24" s="261"/>
      <c r="P24" s="225"/>
      <c r="Q24" s="262"/>
      <c r="R24" s="262"/>
      <c r="S24" s="262"/>
      <c r="T24" s="233"/>
      <c r="U24" s="222"/>
      <c r="V24" s="265"/>
      <c r="W24" s="266"/>
      <c r="X24" s="225"/>
      <c r="Y24" s="225"/>
      <c r="Z24" s="261"/>
      <c r="AA24" s="225"/>
      <c r="AB24" s="225"/>
      <c r="AC24" s="225"/>
    </row>
    <row r="25" spans="1:29" s="212" customFormat="1" ht="19.5" customHeight="1" x14ac:dyDescent="0.25">
      <c r="A25" s="221"/>
      <c r="B25" s="211" t="s">
        <v>22</v>
      </c>
      <c r="C25" s="263">
        <f>VLOOKUP($C$4,'TVT''s afscherming'!$A$10:$J$23,6)</f>
        <v>5.7</v>
      </c>
      <c r="D25" s="258">
        <f>VLOOKUP($D$4,'TVT''s afscherming'!$A$10:$J$23,6)</f>
        <v>5.7</v>
      </c>
      <c r="E25" s="258">
        <f>VLOOKUP($E$4,'TVT''s afscherming'!$A$10:$J$23,6)</f>
        <v>5.6</v>
      </c>
      <c r="F25" s="258">
        <f>VLOOKUP($F$4,'TVT''s afscherming'!$A$10:$J$23,6)</f>
        <v>5.7</v>
      </c>
      <c r="G25" s="259">
        <f>VLOOKUP($G$4,'TVT''s afscherming'!$A$10:$J$23,6)</f>
        <v>5.7</v>
      </c>
      <c r="H25" s="257"/>
      <c r="I25" s="225"/>
      <c r="J25" s="267"/>
      <c r="K25" s="267"/>
      <c r="L25" s="222"/>
      <c r="M25" s="222"/>
      <c r="N25" s="222"/>
      <c r="O25" s="261"/>
      <c r="P25" s="225"/>
      <c r="Q25" s="262"/>
      <c r="R25" s="262"/>
      <c r="S25" s="262"/>
      <c r="U25" s="222"/>
      <c r="V25" s="222"/>
      <c r="W25" s="222"/>
      <c r="X25" s="225"/>
      <c r="Y25" s="225"/>
      <c r="Z25" s="225"/>
      <c r="AA25" s="225"/>
      <c r="AB25" s="225"/>
      <c r="AC25" s="225"/>
    </row>
    <row r="26" spans="1:29" s="212" customFormat="1" ht="19.5" customHeight="1" x14ac:dyDescent="0.25">
      <c r="A26" s="257"/>
      <c r="B26" s="268"/>
      <c r="C26" s="269" t="s">
        <v>139</v>
      </c>
      <c r="D26" s="270"/>
      <c r="E26" s="270"/>
      <c r="F26" s="270"/>
      <c r="G26" s="271"/>
      <c r="H26" s="257"/>
      <c r="I26" s="225"/>
      <c r="J26" s="240"/>
      <c r="K26" s="225"/>
      <c r="L26" s="225"/>
      <c r="M26" s="225"/>
      <c r="N26" s="225"/>
      <c r="O26" s="225"/>
      <c r="P26" s="225"/>
      <c r="Q26" s="225"/>
      <c r="S26" s="222"/>
      <c r="U26" s="222"/>
      <c r="V26" s="222"/>
      <c r="W26" s="222"/>
      <c r="X26" s="225"/>
      <c r="Y26" s="225"/>
      <c r="Z26" s="225"/>
      <c r="AA26" s="225"/>
      <c r="AB26" s="225"/>
      <c r="AC26" s="225"/>
    </row>
    <row r="27" spans="1:29" s="212" customFormat="1" ht="19.5" customHeight="1" x14ac:dyDescent="0.25">
      <c r="A27" s="257"/>
      <c r="B27" s="253" t="s">
        <v>2</v>
      </c>
      <c r="C27" s="254">
        <f>VLOOKUP($C$4,'TVT''s afscherming'!$A$10:$J$23,7)</f>
        <v>34</v>
      </c>
      <c r="D27" s="254">
        <f>VLOOKUP($D$4,'TVT''s afscherming'!$A$10:$J$23,7)</f>
        <v>38</v>
      </c>
      <c r="E27" s="255">
        <f>VLOOKUP($E$4,'TVT''s afscherming'!$A$10:$J$23,7)</f>
        <v>44</v>
      </c>
      <c r="F27" s="254">
        <f>VLOOKUP($F$4,'TVT''s afscherming'!$A$10:$J$23,7)</f>
        <v>30.5</v>
      </c>
      <c r="G27" s="256">
        <f>VLOOKUP($G$4,'TVT''s afscherming'!$A$10:$J$23,7)</f>
        <v>35.6</v>
      </c>
      <c r="H27" s="257"/>
      <c r="I27" s="225"/>
      <c r="J27" s="272"/>
      <c r="K27" s="272"/>
      <c r="L27" s="222"/>
      <c r="M27" s="222"/>
      <c r="N27" s="222"/>
      <c r="O27" s="222"/>
      <c r="P27" s="225"/>
      <c r="Q27" s="222"/>
      <c r="U27" s="222"/>
      <c r="V27" s="225"/>
      <c r="W27" s="225"/>
      <c r="X27" s="225"/>
      <c r="Y27" s="225"/>
      <c r="Z27" s="225"/>
      <c r="AA27" s="261"/>
      <c r="AB27" s="261"/>
      <c r="AC27" s="261"/>
    </row>
    <row r="28" spans="1:29" s="212" customFormat="1" ht="19.5" customHeight="1" x14ac:dyDescent="0.25">
      <c r="A28" s="257"/>
      <c r="B28" s="211" t="s">
        <v>61</v>
      </c>
      <c r="C28" s="263">
        <f>VLOOKUP($C$4,'TVT''s afscherming'!$A$10:$J$23,8)</f>
        <v>20</v>
      </c>
      <c r="D28" s="263">
        <f>VLOOKUP($D$4,'TVT''s afscherming'!$A$10:$J$23,8)</f>
        <v>24</v>
      </c>
      <c r="E28" s="258">
        <f>VLOOKUP($E$4,'TVT''s afscherming'!$A$10:$J$23,8)</f>
        <v>26.8</v>
      </c>
      <c r="F28" s="263">
        <f>VLOOKUP($F$4,'TVT''s afscherming'!$A$10:$J$23,8)</f>
        <v>20.3</v>
      </c>
      <c r="G28" s="259">
        <f>VLOOKUP($G$4,'TVT''s afscherming'!$A$10:$J$23,8)</f>
        <v>23.7</v>
      </c>
      <c r="J28" s="272"/>
      <c r="K28" s="272"/>
      <c r="L28" s="222"/>
      <c r="M28" s="222"/>
      <c r="N28" s="222"/>
      <c r="O28" s="222"/>
      <c r="P28" s="225"/>
      <c r="Q28" s="222"/>
      <c r="U28" s="222"/>
      <c r="V28" s="222"/>
      <c r="W28" s="222"/>
      <c r="X28" s="222"/>
    </row>
    <row r="29" spans="1:29" s="212" customFormat="1" ht="19.5" customHeight="1" x14ac:dyDescent="0.25">
      <c r="A29" s="257"/>
      <c r="B29" s="211" t="s">
        <v>3</v>
      </c>
      <c r="C29" s="263">
        <f>VLOOKUP($C$4,'TVT''s afscherming'!$A$10:$J$23,9)</f>
        <v>9.9</v>
      </c>
      <c r="D29" s="263">
        <f>VLOOKUP($D$4,'TVT''s afscherming'!$A$10:$J$23,9)</f>
        <v>10</v>
      </c>
      <c r="E29" s="258">
        <f>VLOOKUP($E$4,'TVT''s afscherming'!$A$10:$J$23,9)</f>
        <v>11</v>
      </c>
      <c r="F29" s="263">
        <f>VLOOKUP($F$4,'TVT''s afscherming'!$A$10:$J$23,9)</f>
        <v>10.199999999999999</v>
      </c>
      <c r="G29" s="259">
        <f>VLOOKUP($G$4,'TVT''s afscherming'!$A$10:$J$23,9)</f>
        <v>10.7</v>
      </c>
      <c r="I29" s="211"/>
      <c r="J29" s="272"/>
      <c r="K29" s="272"/>
      <c r="L29" s="222"/>
      <c r="M29" s="222"/>
      <c r="N29" s="222"/>
      <c r="O29" s="222"/>
      <c r="P29" s="225"/>
      <c r="Q29" s="222"/>
      <c r="U29" s="222"/>
      <c r="V29" s="222"/>
      <c r="W29" s="222"/>
      <c r="X29" s="222"/>
    </row>
    <row r="30" spans="1:29" s="212" customFormat="1" ht="19.5" customHeight="1" thickBot="1" x14ac:dyDescent="0.3">
      <c r="A30" s="273"/>
      <c r="B30" s="274" t="s">
        <v>22</v>
      </c>
      <c r="C30" s="275">
        <f>VLOOKUP($C$4,'TVT''s afscherming'!$A$10:$J$23,10)</f>
        <v>5.7</v>
      </c>
      <c r="D30" s="275">
        <f>VLOOKUP($D$4,'TVT''s afscherming'!$A$10:$J$23,10)</f>
        <v>5.7</v>
      </c>
      <c r="E30" s="276">
        <f>VLOOKUP($E$4,'TVT''s afscherming'!$A$10:$J$23,10)</f>
        <v>5.6</v>
      </c>
      <c r="F30" s="275">
        <f>VLOOKUP($F$4,'TVT''s afscherming'!$A$10:$J$23,10)</f>
        <v>5</v>
      </c>
      <c r="G30" s="277">
        <f>VLOOKUP($G$4,'TVT''s afscherming'!$A$10:$J$23,10)</f>
        <v>5.7</v>
      </c>
      <c r="J30" s="272"/>
      <c r="K30" s="272"/>
      <c r="L30" s="222"/>
      <c r="M30" s="222"/>
      <c r="N30" s="222"/>
      <c r="O30" s="222"/>
      <c r="P30" s="225"/>
      <c r="Q30" s="222"/>
      <c r="T30" s="222"/>
      <c r="U30" s="242"/>
      <c r="V30" s="222"/>
      <c r="W30" s="222"/>
      <c r="X30" s="222"/>
      <c r="Y30" s="222"/>
    </row>
    <row r="31" spans="1:29" s="212" customFormat="1" ht="19.5" customHeight="1" x14ac:dyDescent="0.25">
      <c r="A31" s="222"/>
      <c r="J31" s="272"/>
      <c r="K31" s="272"/>
      <c r="L31" s="222"/>
      <c r="M31" s="222"/>
      <c r="N31" s="222"/>
      <c r="O31" s="222"/>
      <c r="P31" s="225"/>
      <c r="Q31" s="222"/>
      <c r="T31" s="222"/>
      <c r="U31" s="242"/>
      <c r="V31" s="222"/>
      <c r="W31" s="222"/>
      <c r="X31" s="222"/>
      <c r="Y31" s="222"/>
    </row>
    <row r="32" spans="1:29" s="212" customFormat="1" ht="22.5" customHeight="1" x14ac:dyDescent="0.25">
      <c r="T32" s="222"/>
      <c r="U32" s="233"/>
      <c r="V32" s="233"/>
      <c r="W32" s="222"/>
      <c r="X32" s="222"/>
      <c r="Y32" s="222"/>
    </row>
    <row r="33" spans="1:52" s="212" customFormat="1" ht="22.5" customHeight="1" x14ac:dyDescent="0.25">
      <c r="I33" s="189"/>
      <c r="T33" s="222"/>
      <c r="U33" s="233"/>
      <c r="V33" s="233"/>
      <c r="W33" s="222"/>
      <c r="X33" s="222"/>
      <c r="Y33" s="222"/>
    </row>
    <row r="34" spans="1:52" ht="19.5" customHeight="1" thickBot="1" x14ac:dyDescent="0.3">
      <c r="A34" s="283" t="s">
        <v>506</v>
      </c>
      <c r="B34" s="284"/>
      <c r="C34" s="284"/>
      <c r="D34" s="280"/>
      <c r="L34" s="289"/>
      <c r="M34" s="290"/>
      <c r="N34" s="290"/>
      <c r="O34" s="290"/>
      <c r="P34" s="290"/>
      <c r="Q34" s="290"/>
      <c r="R34" s="290"/>
      <c r="S34" s="290"/>
      <c r="T34" s="290"/>
      <c r="U34" s="290"/>
      <c r="V34" s="290"/>
      <c r="W34" s="290"/>
      <c r="X34" s="290"/>
      <c r="AB34" s="189"/>
      <c r="AF34" s="281"/>
      <c r="AG34" s="281"/>
      <c r="AH34" s="282"/>
      <c r="AI34" s="282"/>
    </row>
    <row r="35" spans="1:52" s="212" customFormat="1" ht="19.5" customHeight="1" x14ac:dyDescent="0.25">
      <c r="J35" s="653"/>
      <c r="K35" s="292">
        <f>$C$4</f>
        <v>6</v>
      </c>
      <c r="L35" s="293"/>
      <c r="M35" s="294"/>
      <c r="N35" s="292">
        <f>$D$4</f>
        <v>10</v>
      </c>
      <c r="O35" s="293"/>
      <c r="P35" s="294"/>
      <c r="Q35" s="292">
        <f>$E$4</f>
        <v>18</v>
      </c>
      <c r="R35" s="293"/>
      <c r="S35" s="294"/>
      <c r="T35" s="292" t="str">
        <f>$F$4</f>
        <v>6 FFF</v>
      </c>
      <c r="U35" s="293"/>
      <c r="V35" s="294"/>
      <c r="W35" s="292" t="str">
        <f>$G$4</f>
        <v>10 FFF</v>
      </c>
      <c r="X35" s="295"/>
      <c r="Y35" s="296"/>
      <c r="Z35" s="297" t="s">
        <v>16</v>
      </c>
      <c r="AA35" s="298"/>
      <c r="AB35" s="257"/>
      <c r="AC35" s="225"/>
      <c r="AG35" s="299"/>
      <c r="AH35" s="299"/>
      <c r="AI35" s="299"/>
      <c r="AJ35" s="299"/>
      <c r="AK35" s="299"/>
      <c r="AL35" s="299"/>
      <c r="AP35" s="222"/>
      <c r="AQ35" s="211"/>
      <c r="AR35" s="266"/>
      <c r="AS35" s="222"/>
      <c r="AT35" s="187"/>
      <c r="AU35" s="187"/>
      <c r="AV35" s="187"/>
      <c r="AW35" s="187"/>
      <c r="AX35" s="187"/>
      <c r="AY35" s="300"/>
      <c r="AZ35" s="300"/>
    </row>
    <row r="36" spans="1:52" s="212" customFormat="1" ht="19.5" customHeight="1" x14ac:dyDescent="0.25">
      <c r="A36" s="301" t="s">
        <v>50</v>
      </c>
      <c r="B36" s="301" t="s">
        <v>15</v>
      </c>
      <c r="C36" s="302" t="s">
        <v>25</v>
      </c>
      <c r="D36" s="302" t="s">
        <v>158</v>
      </c>
      <c r="E36" s="301" t="s">
        <v>524</v>
      </c>
      <c r="F36" s="303"/>
      <c r="G36" s="304" t="s">
        <v>77</v>
      </c>
      <c r="H36" s="305"/>
      <c r="I36" s="306"/>
      <c r="J36" s="301" t="s">
        <v>86</v>
      </c>
      <c r="K36" s="301" t="s">
        <v>206</v>
      </c>
      <c r="L36" s="301" t="s">
        <v>16</v>
      </c>
      <c r="M36" s="301" t="s">
        <v>86</v>
      </c>
      <c r="N36" s="301" t="s">
        <v>206</v>
      </c>
      <c r="O36" s="301" t="s">
        <v>16</v>
      </c>
      <c r="P36" s="301" t="s">
        <v>86</v>
      </c>
      <c r="Q36" s="301" t="s">
        <v>206</v>
      </c>
      <c r="R36" s="301" t="s">
        <v>16</v>
      </c>
      <c r="S36" s="301" t="s">
        <v>86</v>
      </c>
      <c r="T36" s="301" t="s">
        <v>206</v>
      </c>
      <c r="U36" s="301" t="s">
        <v>16</v>
      </c>
      <c r="V36" s="301" t="s">
        <v>86</v>
      </c>
      <c r="W36" s="301" t="s">
        <v>206</v>
      </c>
      <c r="X36" s="301" t="s">
        <v>16</v>
      </c>
      <c r="Y36" s="307" t="s">
        <v>23</v>
      </c>
      <c r="Z36" s="308" t="s">
        <v>11</v>
      </c>
      <c r="AA36" s="309" t="s">
        <v>11</v>
      </c>
      <c r="AG36" s="310"/>
      <c r="AH36" s="310"/>
      <c r="AI36" s="310"/>
      <c r="AJ36" s="310"/>
      <c r="AK36" s="310"/>
      <c r="AL36" s="310"/>
      <c r="AP36" s="222"/>
      <c r="AQ36" s="211"/>
      <c r="AR36" s="242"/>
      <c r="AS36" s="222"/>
      <c r="AT36" s="225"/>
      <c r="AU36" s="225"/>
      <c r="AV36" s="311"/>
      <c r="AW36" s="225"/>
      <c r="AX36" s="225"/>
      <c r="AY36" s="300"/>
      <c r="AZ36" s="300"/>
    </row>
    <row r="37" spans="1:52" s="212" customFormat="1" ht="19.5" customHeight="1" thickBot="1" x14ac:dyDescent="0.3">
      <c r="A37" s="308"/>
      <c r="B37" s="308"/>
      <c r="C37" s="313"/>
      <c r="D37" s="313" t="s">
        <v>383</v>
      </c>
      <c r="E37" s="312" t="s">
        <v>528</v>
      </c>
      <c r="F37" s="312" t="s">
        <v>1</v>
      </c>
      <c r="G37" s="312" t="s">
        <v>61</v>
      </c>
      <c r="H37" s="312" t="s">
        <v>3</v>
      </c>
      <c r="I37" s="312" t="s">
        <v>22</v>
      </c>
      <c r="J37" s="314" t="s">
        <v>208</v>
      </c>
      <c r="K37" s="314" t="s">
        <v>207</v>
      </c>
      <c r="L37" s="315" t="s">
        <v>174</v>
      </c>
      <c r="M37" s="314" t="s">
        <v>208</v>
      </c>
      <c r="N37" s="314" t="s">
        <v>207</v>
      </c>
      <c r="O37" s="315" t="s">
        <v>174</v>
      </c>
      <c r="P37" s="314" t="s">
        <v>208</v>
      </c>
      <c r="Q37" s="314" t="s">
        <v>207</v>
      </c>
      <c r="R37" s="315" t="s">
        <v>174</v>
      </c>
      <c r="S37" s="314" t="s">
        <v>208</v>
      </c>
      <c r="T37" s="314" t="s">
        <v>207</v>
      </c>
      <c r="U37" s="315" t="s">
        <v>174</v>
      </c>
      <c r="V37" s="314" t="s">
        <v>208</v>
      </c>
      <c r="W37" s="314" t="s">
        <v>207</v>
      </c>
      <c r="X37" s="315" t="s">
        <v>174</v>
      </c>
      <c r="Y37" s="316" t="s">
        <v>173</v>
      </c>
      <c r="Z37" s="179" t="s">
        <v>173</v>
      </c>
      <c r="AA37" s="309" t="s">
        <v>166</v>
      </c>
      <c r="AG37" s="310"/>
      <c r="AH37" s="310"/>
      <c r="AI37" s="310"/>
      <c r="AJ37" s="310"/>
      <c r="AK37" s="310"/>
      <c r="AL37" s="310"/>
      <c r="AP37" s="222"/>
      <c r="AQ37" s="211"/>
      <c r="AR37" s="222"/>
      <c r="AS37" s="222"/>
      <c r="AT37" s="225"/>
      <c r="AU37" s="225"/>
      <c r="AV37" s="225"/>
      <c r="AW37" s="225"/>
      <c r="AX37" s="225"/>
      <c r="AY37" s="300"/>
      <c r="AZ37" s="300"/>
    </row>
    <row r="38" spans="1:52" s="212" customFormat="1" ht="19.5" hidden="1" customHeight="1" thickBot="1" x14ac:dyDescent="0.3">
      <c r="A38" s="694"/>
      <c r="B38" s="694"/>
      <c r="C38" s="695"/>
      <c r="D38" s="695"/>
      <c r="E38" s="694"/>
      <c r="F38" s="694"/>
      <c r="G38" s="694"/>
      <c r="H38" s="694"/>
      <c r="I38" s="694"/>
      <c r="J38" s="97"/>
      <c r="K38" s="97"/>
      <c r="L38" s="58"/>
      <c r="M38" s="97"/>
      <c r="N38" s="97"/>
      <c r="O38" s="58"/>
      <c r="P38" s="97"/>
      <c r="Q38" s="97"/>
      <c r="R38" s="58"/>
      <c r="S38" s="97"/>
      <c r="T38" s="97"/>
      <c r="U38" s="58"/>
      <c r="V38" s="97"/>
      <c r="W38" s="97"/>
      <c r="X38" s="696"/>
      <c r="Y38" s="319"/>
      <c r="Z38" s="320"/>
      <c r="AA38" s="321"/>
      <c r="AG38" s="310"/>
      <c r="AH38" s="310"/>
      <c r="AI38" s="310"/>
      <c r="AJ38" s="310"/>
      <c r="AK38" s="310"/>
      <c r="AL38" s="310"/>
      <c r="AP38" s="222"/>
      <c r="AQ38" s="211"/>
      <c r="AR38" s="222"/>
      <c r="AS38" s="222"/>
      <c r="AT38" s="225"/>
      <c r="AU38" s="225"/>
      <c r="AV38" s="225"/>
      <c r="AW38" s="225"/>
      <c r="AX38" s="225"/>
      <c r="AY38" s="300"/>
      <c r="AZ38" s="300"/>
    </row>
    <row r="39" spans="1:52" s="212" customFormat="1" ht="30" customHeight="1" x14ac:dyDescent="0.25">
      <c r="A39" s="322"/>
      <c r="B39" s="322"/>
      <c r="C39" s="323" t="s">
        <v>569</v>
      </c>
      <c r="D39" s="1834">
        <v>6</v>
      </c>
      <c r="E39" s="1834">
        <v>1</v>
      </c>
      <c r="F39" s="1834">
        <v>250</v>
      </c>
      <c r="G39" s="1834">
        <v>0</v>
      </c>
      <c r="H39" s="1834">
        <v>0</v>
      </c>
      <c r="I39" s="1835">
        <v>0</v>
      </c>
      <c r="J39" s="91">
        <f>IF($F39=0,0,1+($F39-$C$21)/$C$22)+$G39/$C$23+$H39/$C$24+$I39/$C$25</f>
        <v>7.4545454545454541</v>
      </c>
      <c r="K39" s="97">
        <f t="shared" ref="K39:K73" si="0">10^(-J39)</f>
        <v>3.5111917342151263E-8</v>
      </c>
      <c r="L39" s="91">
        <f>($C$7*$C$14*$C$8*$E39/$D39^2*K39*10^6)</f>
        <v>7.8026482982558355E-3</v>
      </c>
      <c r="M39" s="91">
        <f>IF($F39=0,0,1+($F39-$D$21)/$D$22)+$G39/$D$23+$H39/$D$24+$I39/$D$25</f>
        <v>6.6486486486486482</v>
      </c>
      <c r="N39" s="97">
        <f t="shared" ref="N39:N73" si="1">10^(-M39)</f>
        <v>2.2456979955397711E-7</v>
      </c>
      <c r="O39" s="91">
        <f>($C$7*$D$14*$D$8*$E39/$D39^2*N39*10^6)</f>
        <v>4.99043999008838E-2</v>
      </c>
      <c r="P39" s="91">
        <f>IF($F39=0,0,1+($F39-$E$21)/$E$22)+$G39/$E$23+$H39/$E$24+$I39/$E$25</f>
        <v>5.7674418604651159</v>
      </c>
      <c r="Q39" s="97">
        <f t="shared" ref="Q39:Q73" si="2">10^(-P39)</f>
        <v>1.7082763938087111E-6</v>
      </c>
      <c r="R39" s="91">
        <f>($C$7*$E$14*$E$8*$E39/$D39^2*Q39*10^6)</f>
        <v>0.37961697640193576</v>
      </c>
      <c r="S39" s="91">
        <f>IF($F39=0,0,1+($F39-$F$21)/$F$22)+$G39/$F$23+$H39/$F$24+$I39/$F$25</f>
        <v>9.1481481481481488</v>
      </c>
      <c r="T39" s="97">
        <f t="shared" ref="T39:T73" si="3">10^(-S39)</f>
        <v>7.1097094323124171E-10</v>
      </c>
      <c r="U39" s="91">
        <f>($C$7*$F$14*$F$8*$E39/$D39^2*T39*10^6)</f>
        <v>1.5799354294027593E-4</v>
      </c>
      <c r="V39" s="91">
        <f>IF($F39=0,0,1+($F39-$G$21)/$G$22)+$G39/$G$23+$H39/$G$24+$I39/$G$25</f>
        <v>6.9444444444444446</v>
      </c>
      <c r="W39" s="97">
        <f t="shared" ref="W39:W73" si="4">10^(-V39)</f>
        <v>1.136463666385722E-7</v>
      </c>
      <c r="X39" s="697">
        <f>($C$7*$G$14*$G$8*$E39/$D39^2*W39*10^6)</f>
        <v>2.5254748141904933E-2</v>
      </c>
      <c r="Y39" s="654">
        <f t="shared" ref="Y39:Y49" si="5">SUM(L39,O39,R39,U39,X39)</f>
        <v>0.46273676628592059</v>
      </c>
      <c r="Z39" s="325"/>
      <c r="AA39" s="326"/>
      <c r="AG39" s="328"/>
      <c r="AI39" s="328"/>
      <c r="AJ39" s="328"/>
      <c r="AK39" s="328"/>
      <c r="AL39" s="328"/>
      <c r="AP39" s="222"/>
      <c r="AQ39" s="211"/>
      <c r="AR39" s="222"/>
      <c r="AS39" s="222"/>
      <c r="AT39" s="225"/>
      <c r="AU39" s="225"/>
      <c r="AV39" s="225"/>
      <c r="AW39" s="225"/>
      <c r="AX39" s="225"/>
      <c r="AY39" s="300"/>
      <c r="AZ39" s="300"/>
    </row>
    <row r="40" spans="1:52" s="212" customFormat="1" ht="30" customHeight="1" thickBot="1" x14ac:dyDescent="0.3">
      <c r="A40" s="329" t="str">
        <f>Samenvatting!A13</f>
        <v>B1</v>
      </c>
      <c r="B40" s="330" t="str">
        <f>Samenvatting!B13</f>
        <v>bedieningsruimte Linac 1</v>
      </c>
      <c r="C40" s="331" t="s">
        <v>568</v>
      </c>
      <c r="D40" s="1836">
        <v>5</v>
      </c>
      <c r="E40" s="89"/>
      <c r="F40" s="1834">
        <v>250</v>
      </c>
      <c r="G40" s="1834">
        <v>0</v>
      </c>
      <c r="H40" s="1834">
        <v>0</v>
      </c>
      <c r="I40" s="1835">
        <v>0</v>
      </c>
      <c r="J40" s="91">
        <f>$F40/$C$27+$G40/$C$28+$H40/$C$29+$I40/$C$30</f>
        <v>7.3529411764705879</v>
      </c>
      <c r="K40" s="97">
        <f t="shared" si="0"/>
        <v>4.4366873309786093E-8</v>
      </c>
      <c r="L40" s="91">
        <f>($C$7*$C$15*$C$8*($C$9+$C$10*$C$11)/$D40^2*K40*10^6)</f>
        <v>1.0648049594348663E-3</v>
      </c>
      <c r="M40" s="91">
        <f>$F40/$D$27+$G40/$D$28+$H40/$D$29+$I40/$D$30</f>
        <v>6.5789473684210522</v>
      </c>
      <c r="N40" s="97">
        <f t="shared" si="1"/>
        <v>2.636650898730358E-7</v>
      </c>
      <c r="O40" s="91">
        <f>($C$7*$C$15*$D$8*($D$9+$D$10*$D$11)/$D40^2*N40*10^6)</f>
        <v>6.3279621569528599E-3</v>
      </c>
      <c r="P40" s="91">
        <f>$F40/$E$27+$G40/$E$28+$H40/$E$29+$I40/$E$30</f>
        <v>5.6818181818181817</v>
      </c>
      <c r="Q40" s="97">
        <f t="shared" si="2"/>
        <v>2.0805675382171676E-6</v>
      </c>
      <c r="R40" s="91">
        <f>($C$7*$C$15*$E$8*($E$9+$E$10*$E$11)/$D40^2*Q40*10^6)</f>
        <v>4.9933620917212027E-2</v>
      </c>
      <c r="S40" s="91">
        <f>$F40/$F$27+$G40/$F$28+$H40/$F$29+$I40/$F$30</f>
        <v>8.1967213114754092</v>
      </c>
      <c r="T40" s="97">
        <f t="shared" si="3"/>
        <v>6.3573875711648393E-9</v>
      </c>
      <c r="U40" s="91">
        <f>($C$7*$C$15*$F$8*($F$9+$F$10*$F$11)/$D40^2*T40*10^6)</f>
        <v>1.5257730170795616E-4</v>
      </c>
      <c r="V40" s="91">
        <f>$F40/$G$27+$G40/$G$28+$H40/$G$29+$I40/$G$30</f>
        <v>7.0224719101123592</v>
      </c>
      <c r="W40" s="97">
        <f t="shared" si="4"/>
        <v>9.4957241494880226E-8</v>
      </c>
      <c r="X40" s="697">
        <f>($C$7*$C$15*$G$8*($G$9+$G$10*$G$11)/$D40^2*W40*10^6)</f>
        <v>2.278973795877126E-3</v>
      </c>
      <c r="Y40" s="655">
        <f t="shared" si="5"/>
        <v>5.9757939131184837E-2</v>
      </c>
      <c r="Z40" s="333">
        <f>SUM(Y38:Y41)</f>
        <v>0.52249470541710541</v>
      </c>
      <c r="AA40" s="334">
        <f>Z40*52/10^3</f>
        <v>2.7169724681689482E-2</v>
      </c>
      <c r="AG40" s="328"/>
      <c r="AH40" s="328"/>
      <c r="AI40" s="328"/>
      <c r="AJ40" s="328"/>
      <c r="AK40" s="328"/>
      <c r="AL40" s="328"/>
      <c r="AP40" s="222"/>
      <c r="AQ40" s="211"/>
      <c r="AR40" s="222"/>
      <c r="AS40" s="222"/>
      <c r="AT40" s="225"/>
      <c r="AU40" s="225"/>
      <c r="AV40" s="225"/>
      <c r="AW40" s="225"/>
      <c r="AX40" s="225"/>
      <c r="AY40" s="300"/>
      <c r="AZ40" s="300"/>
    </row>
    <row r="41" spans="1:52" s="212" customFormat="1" ht="30" hidden="1" customHeight="1" thickBot="1" x14ac:dyDescent="0.3">
      <c r="A41" s="317"/>
      <c r="B41" s="317"/>
      <c r="C41" s="318"/>
      <c r="D41" s="1838"/>
      <c r="E41" s="1839"/>
      <c r="F41" s="1839"/>
      <c r="G41" s="1839"/>
      <c r="H41" s="1839"/>
      <c r="I41" s="1839"/>
      <c r="J41" s="91"/>
      <c r="K41" s="97"/>
      <c r="L41" s="91"/>
      <c r="M41" s="91"/>
      <c r="N41" s="97"/>
      <c r="O41" s="91"/>
      <c r="P41" s="91"/>
      <c r="Q41" s="97"/>
      <c r="R41" s="91"/>
      <c r="S41" s="91"/>
      <c r="T41" s="97"/>
      <c r="U41" s="91"/>
      <c r="V41" s="91"/>
      <c r="W41" s="97"/>
      <c r="X41" s="697"/>
      <c r="Y41" s="335"/>
      <c r="Z41" s="336"/>
      <c r="AA41" s="309"/>
      <c r="AG41" s="328"/>
      <c r="AH41" s="328"/>
      <c r="AI41" s="328"/>
      <c r="AJ41" s="328"/>
      <c r="AK41" s="328"/>
      <c r="AL41" s="328"/>
      <c r="AP41" s="222"/>
      <c r="AQ41" s="211"/>
      <c r="AR41" s="222"/>
      <c r="AS41" s="222"/>
      <c r="AT41" s="225"/>
      <c r="AU41" s="225"/>
      <c r="AV41" s="225"/>
      <c r="AW41" s="225"/>
      <c r="AX41" s="225"/>
      <c r="AY41" s="300"/>
      <c r="AZ41" s="300"/>
    </row>
    <row r="42" spans="1:52" s="212" customFormat="1" ht="30" customHeight="1" x14ac:dyDescent="0.25">
      <c r="A42" s="322"/>
      <c r="B42" s="322"/>
      <c r="C42" s="323" t="s">
        <v>569</v>
      </c>
      <c r="D42" s="1840">
        <v>6</v>
      </c>
      <c r="E42" s="1840">
        <v>1</v>
      </c>
      <c r="F42" s="1834">
        <v>250</v>
      </c>
      <c r="G42" s="1834">
        <v>0</v>
      </c>
      <c r="H42" s="1834">
        <v>0</v>
      </c>
      <c r="I42" s="1835">
        <v>0</v>
      </c>
      <c r="J42" s="91">
        <f>IF($F42=0,0,1+($F42-$C$21)/$C$22)+$G42/$C$23+$H42/$C$24+$I42/$C$25</f>
        <v>7.4545454545454541</v>
      </c>
      <c r="K42" s="97">
        <f t="shared" si="0"/>
        <v>3.5111917342151263E-8</v>
      </c>
      <c r="L42" s="91">
        <f>($C$7*$C$14*$C$8*$E42/$D42^2*K42*10^6)</f>
        <v>7.8026482982558355E-3</v>
      </c>
      <c r="M42" s="91">
        <f>IF($F42=0,0,1+($F42-$D$21)/$D$22)+$G42/$D$23+$H42/$D$24+$I42/$D$25</f>
        <v>6.6486486486486482</v>
      </c>
      <c r="N42" s="97">
        <f t="shared" si="1"/>
        <v>2.2456979955397711E-7</v>
      </c>
      <c r="O42" s="91">
        <f>($C$7*$D$14*$D$8*$E42/$D42^2*N42*10^6)</f>
        <v>4.99043999008838E-2</v>
      </c>
      <c r="P42" s="91">
        <f>IF($F42=0,0,1+($F42-$E$21)/$E$22)+$G42/$E$23+$H42/$E$24+$I42/$E$25</f>
        <v>5.7674418604651159</v>
      </c>
      <c r="Q42" s="97">
        <f t="shared" si="2"/>
        <v>1.7082763938087111E-6</v>
      </c>
      <c r="R42" s="91">
        <f>($C$7*$E$14*$E$8*$E42/$D42^2*Q42*10^6)</f>
        <v>0.37961697640193576</v>
      </c>
      <c r="S42" s="91">
        <f>IF($F42=0,0,1+($F42-$F$21)/$F$22)+$G42/$F$23+$H42/$F$24+$I42/$F$25</f>
        <v>9.1481481481481488</v>
      </c>
      <c r="T42" s="97">
        <f t="shared" si="3"/>
        <v>7.1097094323124171E-10</v>
      </c>
      <c r="U42" s="91">
        <f>($C$7*$F$14*$F$8*$E42/$D42^2*T42*10^6)</f>
        <v>1.5799354294027593E-4</v>
      </c>
      <c r="V42" s="91">
        <f>IF($F42=0,0,1+($F42-$G$21)/$G$22)+$G42/$G$23+$H42/$G$24+$I42/$G$25</f>
        <v>6.9444444444444446</v>
      </c>
      <c r="W42" s="97">
        <f t="shared" si="4"/>
        <v>1.136463666385722E-7</v>
      </c>
      <c r="X42" s="697">
        <f>($C$7*$G$14*$G$8*$E42/$D42^2*W42*10^6)</f>
        <v>2.5254748141904933E-2</v>
      </c>
      <c r="Y42" s="324">
        <f t="shared" si="5"/>
        <v>0.46273676628592059</v>
      </c>
      <c r="Z42" s="325"/>
      <c r="AA42" s="326"/>
      <c r="AG42" s="328"/>
      <c r="AI42" s="328"/>
      <c r="AJ42" s="328"/>
      <c r="AK42" s="328"/>
      <c r="AL42" s="328"/>
      <c r="AP42" s="222"/>
      <c r="AQ42" s="211"/>
      <c r="AR42" s="222"/>
      <c r="AS42" s="222"/>
      <c r="AT42" s="225"/>
      <c r="AU42" s="225"/>
      <c r="AV42" s="225"/>
      <c r="AW42" s="225"/>
      <c r="AX42" s="225"/>
      <c r="AY42" s="300"/>
      <c r="AZ42" s="300"/>
    </row>
    <row r="43" spans="1:52" s="212" customFormat="1" ht="30" customHeight="1" thickBot="1" x14ac:dyDescent="0.3">
      <c r="A43" s="337" t="str">
        <f>Samenvatting!A25</f>
        <v>B2</v>
      </c>
      <c r="B43" s="338" t="str">
        <f>Samenvatting!B25</f>
        <v>bedieningsruimte Linac 2</v>
      </c>
      <c r="C43" s="331" t="s">
        <v>568</v>
      </c>
      <c r="D43" s="1836">
        <v>5</v>
      </c>
      <c r="E43" s="89"/>
      <c r="F43" s="1834">
        <v>250</v>
      </c>
      <c r="G43" s="1834">
        <v>0</v>
      </c>
      <c r="H43" s="1834">
        <v>0</v>
      </c>
      <c r="I43" s="1835">
        <v>0</v>
      </c>
      <c r="J43" s="91">
        <f>$F43/$C$27+$G43/$C$28+$H43/$C$29+$I43/$C$30</f>
        <v>7.3529411764705879</v>
      </c>
      <c r="K43" s="97">
        <f t="shared" si="0"/>
        <v>4.4366873309786093E-8</v>
      </c>
      <c r="L43" s="91">
        <f>($C$7*$C$15*$C$8*($C$9+$C$10*$C$11)/$D43^2*K43*10^6)</f>
        <v>1.0648049594348663E-3</v>
      </c>
      <c r="M43" s="91">
        <f>$F43/$D$27+$G43/$D$28+$H43/$D$29+$I43/$D$30</f>
        <v>6.5789473684210522</v>
      </c>
      <c r="N43" s="97">
        <f t="shared" si="1"/>
        <v>2.636650898730358E-7</v>
      </c>
      <c r="O43" s="91">
        <f>($C$7*$C$15*$D$8*($D$9+$D$10*$D$11)/$D43^2*N43*10^6)</f>
        <v>6.3279621569528599E-3</v>
      </c>
      <c r="P43" s="91">
        <f>$F43/$E$27+$G43/$E$28+$H43/$E$29+$I43/$E$30</f>
        <v>5.6818181818181817</v>
      </c>
      <c r="Q43" s="97">
        <f t="shared" si="2"/>
        <v>2.0805675382171676E-6</v>
      </c>
      <c r="R43" s="91">
        <f>($C$7*$C$15*$E$8*($E$9+$E$10*$E$11)/$D43^2*Q43*10^6)</f>
        <v>4.9933620917212027E-2</v>
      </c>
      <c r="S43" s="91">
        <f>$F43/$F$27+$G43/$F$28+$H43/$F$29+$I43/$F$30</f>
        <v>8.1967213114754092</v>
      </c>
      <c r="T43" s="97">
        <f t="shared" si="3"/>
        <v>6.3573875711648393E-9</v>
      </c>
      <c r="U43" s="91">
        <f>($C$7*$C$15*$F$8*($F$9+$F$10*$F$11)/$D43^2*T43*10^6)</f>
        <v>1.5257730170795616E-4</v>
      </c>
      <c r="V43" s="91">
        <f>$F43/$G$27+$G43/$G$28+$H43/$G$29+$I43/$G$30</f>
        <v>7.0224719101123592</v>
      </c>
      <c r="W43" s="97">
        <f t="shared" si="4"/>
        <v>9.4957241494880226E-8</v>
      </c>
      <c r="X43" s="697">
        <f>($C$7*$C$15*$G$8*($G$9+$G$10*$G$11)/$D43^2*W43*10^6)</f>
        <v>2.278973795877126E-3</v>
      </c>
      <c r="Y43" s="339">
        <f t="shared" si="5"/>
        <v>5.9757939131184837E-2</v>
      </c>
      <c r="Z43" s="333">
        <f>SUM(Y41:Y44)</f>
        <v>0.52249470541710541</v>
      </c>
      <c r="AA43" s="334">
        <f>Z43*52/10^3</f>
        <v>2.7169724681689482E-2</v>
      </c>
      <c r="AG43" s="328"/>
      <c r="AH43" s="328"/>
      <c r="AI43" s="328"/>
      <c r="AJ43" s="328"/>
      <c r="AK43" s="328"/>
      <c r="AL43" s="328"/>
      <c r="AP43" s="222"/>
      <c r="AQ43" s="211"/>
      <c r="AR43" s="222"/>
      <c r="AS43" s="222"/>
      <c r="AT43" s="225"/>
      <c r="AU43" s="225"/>
      <c r="AV43" s="225"/>
      <c r="AW43" s="225"/>
      <c r="AX43" s="225"/>
      <c r="AY43" s="300"/>
      <c r="AZ43" s="300"/>
    </row>
    <row r="44" spans="1:52" s="212" customFormat="1" ht="30" hidden="1" customHeight="1" thickBot="1" x14ac:dyDescent="0.3">
      <c r="A44" s="317"/>
      <c r="B44" s="317"/>
      <c r="C44" s="341"/>
      <c r="D44" s="1841"/>
      <c r="E44" s="1842"/>
      <c r="F44" s="1842"/>
      <c r="G44" s="1842"/>
      <c r="H44" s="1842"/>
      <c r="I44" s="1842"/>
      <c r="J44" s="91"/>
      <c r="K44" s="97"/>
      <c r="L44" s="91"/>
      <c r="M44" s="91"/>
      <c r="N44" s="97"/>
      <c r="O44" s="91"/>
      <c r="P44" s="91"/>
      <c r="Q44" s="97"/>
      <c r="R44" s="91"/>
      <c r="S44" s="91"/>
      <c r="T44" s="97"/>
      <c r="U44" s="91"/>
      <c r="V44" s="91"/>
      <c r="W44" s="97"/>
      <c r="X44" s="697"/>
      <c r="Y44" s="316"/>
      <c r="Z44" s="344"/>
      <c r="AA44" s="345"/>
      <c r="AG44" s="328"/>
      <c r="AH44" s="328"/>
      <c r="AI44" s="328"/>
      <c r="AJ44" s="328"/>
      <c r="AK44" s="328"/>
      <c r="AL44" s="328"/>
      <c r="AP44" s="222"/>
      <c r="AQ44" s="211"/>
      <c r="AR44" s="222"/>
      <c r="AS44" s="222"/>
      <c r="AT44" s="225"/>
      <c r="AU44" s="225"/>
      <c r="AV44" s="225"/>
      <c r="AW44" s="225"/>
      <c r="AX44" s="225"/>
      <c r="AY44" s="300"/>
      <c r="AZ44" s="300"/>
    </row>
    <row r="45" spans="1:52" s="212" customFormat="1" ht="30" customHeight="1" x14ac:dyDescent="0.25">
      <c r="A45" s="322"/>
      <c r="B45" s="322"/>
      <c r="C45" s="323" t="s">
        <v>569</v>
      </c>
      <c r="D45" s="1840">
        <v>6</v>
      </c>
      <c r="E45" s="1840">
        <v>1</v>
      </c>
      <c r="F45" s="1834">
        <v>250</v>
      </c>
      <c r="G45" s="1834">
        <v>0</v>
      </c>
      <c r="H45" s="1834">
        <v>0</v>
      </c>
      <c r="I45" s="1835">
        <v>0</v>
      </c>
      <c r="J45" s="91">
        <f>IF($F45=0,0,1+($F45-$C$21)/$C$22)+$G45/$C$23+$H45/$C$24+$I45/$C$25</f>
        <v>7.4545454545454541</v>
      </c>
      <c r="K45" s="97">
        <f t="shared" si="0"/>
        <v>3.5111917342151263E-8</v>
      </c>
      <c r="L45" s="91">
        <f>($C$7*$C$14*$C$8*$E45/$D45^2*K45*10^6)</f>
        <v>7.8026482982558355E-3</v>
      </c>
      <c r="M45" s="91">
        <f>IF($F45=0,0,1+($F45-$D$21)/$D$22)+$G45/$D$23+$H45/$D$24+$I45/$D$25</f>
        <v>6.6486486486486482</v>
      </c>
      <c r="N45" s="97">
        <f t="shared" si="1"/>
        <v>2.2456979955397711E-7</v>
      </c>
      <c r="O45" s="91">
        <f>($C$7*$E$14*$D$8*$E45/$D45^2*N45*10^6)</f>
        <v>4.99043999008838E-2</v>
      </c>
      <c r="P45" s="91">
        <f>IF($F45=0,0,1+($F45-$E$21)/$E$22)+$G45/$E$23+$H45/$E$24+$I45/$E$25</f>
        <v>5.7674418604651159</v>
      </c>
      <c r="Q45" s="97">
        <f t="shared" si="2"/>
        <v>1.7082763938087111E-6</v>
      </c>
      <c r="R45" s="91">
        <f>($C$7*$E$14*$E$8*$E45/$D45^2*Q45*10^6)</f>
        <v>0.37961697640193576</v>
      </c>
      <c r="S45" s="91">
        <f>IF($F45=0,0,1+($F45-$F$21)/$F$22)+$G45/$F$23+$H45/$F$24+$I45/$F$25</f>
        <v>9.1481481481481488</v>
      </c>
      <c r="T45" s="97">
        <f t="shared" si="3"/>
        <v>7.1097094323124171E-10</v>
      </c>
      <c r="U45" s="91">
        <f>($C$7*$F$14*$F$8*$E45/$D45^2*T45*10^6)</f>
        <v>1.5799354294027593E-4</v>
      </c>
      <c r="V45" s="91">
        <f>IF($F45=0,0,1+($F45-$G$21)/$G$22)+$G45/$G$23+$H45/$G$24+$I45/$G$25</f>
        <v>6.9444444444444446</v>
      </c>
      <c r="W45" s="97">
        <f t="shared" si="4"/>
        <v>1.136463666385722E-7</v>
      </c>
      <c r="X45" s="697">
        <f>($C$7*$G$14*$G$8*$E45/$D45^2*W45*10^6)</f>
        <v>2.5254748141904933E-2</v>
      </c>
      <c r="Y45" s="324">
        <f t="shared" si="5"/>
        <v>0.46273676628592059</v>
      </c>
      <c r="Z45" s="325"/>
      <c r="AA45" s="326"/>
      <c r="AG45" s="328"/>
      <c r="AI45" s="328"/>
      <c r="AJ45" s="328"/>
      <c r="AK45" s="328"/>
      <c r="AL45" s="328"/>
      <c r="AP45" s="222"/>
      <c r="AQ45" s="211"/>
      <c r="AR45" s="222"/>
      <c r="AS45" s="222"/>
      <c r="AT45" s="225"/>
      <c r="AU45" s="225"/>
      <c r="AV45" s="225"/>
      <c r="AW45" s="225"/>
      <c r="AX45" s="225"/>
      <c r="AY45" s="300"/>
      <c r="AZ45" s="300"/>
    </row>
    <row r="46" spans="1:52" s="212" customFormat="1" ht="30" customHeight="1" thickBot="1" x14ac:dyDescent="0.3">
      <c r="A46" s="343" t="str">
        <f>Samenvatting!A37</f>
        <v>B3</v>
      </c>
      <c r="B46" s="338" t="str">
        <f>Samenvatting!B37</f>
        <v>bedieningsruimte Linac 3</v>
      </c>
      <c r="C46" s="331" t="s">
        <v>568</v>
      </c>
      <c r="D46" s="1836">
        <v>5</v>
      </c>
      <c r="E46" s="89"/>
      <c r="F46" s="1834">
        <v>250</v>
      </c>
      <c r="G46" s="1834">
        <v>0</v>
      </c>
      <c r="H46" s="1834">
        <v>0</v>
      </c>
      <c r="I46" s="1835">
        <v>0</v>
      </c>
      <c r="J46" s="91">
        <f>$F46/$C$27+$G46/$C$28+$H46/$C$29+$I46/$C$30</f>
        <v>7.3529411764705879</v>
      </c>
      <c r="K46" s="97">
        <f t="shared" si="0"/>
        <v>4.4366873309786093E-8</v>
      </c>
      <c r="L46" s="91">
        <f>($C$7*$C$15*$C$8*($C$9+$C$10*$C$11)/$D46^2*K46*10^6)</f>
        <v>1.0648049594348663E-3</v>
      </c>
      <c r="M46" s="91">
        <f>$F46/$D$27+$G46/$D$28+$H46/$D$29+$I46/$D$30</f>
        <v>6.5789473684210522</v>
      </c>
      <c r="N46" s="97">
        <f t="shared" si="1"/>
        <v>2.636650898730358E-7</v>
      </c>
      <c r="O46" s="91">
        <f>($C$7*$C$15*$D$8*($D$9+$D$10*$D$11)/$D46^2*N46*10^6)</f>
        <v>6.3279621569528599E-3</v>
      </c>
      <c r="P46" s="91">
        <f>$F46/$E$27+$G46/$E$28+$H46/$E$29+$I46/$E$30</f>
        <v>5.6818181818181817</v>
      </c>
      <c r="Q46" s="97">
        <f t="shared" si="2"/>
        <v>2.0805675382171676E-6</v>
      </c>
      <c r="R46" s="91">
        <f>($C$7*$C$15*$E$8*($E$9+$E$10*$E$11)/$D46^2*Q46*10^6)</f>
        <v>4.9933620917212027E-2</v>
      </c>
      <c r="S46" s="91">
        <f>$F46/$F$27+$G46/$F$28+$H46/$F$29+$I46/$F$30</f>
        <v>8.1967213114754092</v>
      </c>
      <c r="T46" s="97">
        <f t="shared" si="3"/>
        <v>6.3573875711648393E-9</v>
      </c>
      <c r="U46" s="91">
        <f>($C$7*$C$15*$F$8*($F$9+$F$10*$F$11)/$D46^2*T46*10^6)</f>
        <v>1.5257730170795616E-4</v>
      </c>
      <c r="V46" s="91">
        <f>$F46/$G$27+$G46/$G$28+$H46/$G$29+$I46/$G$30</f>
        <v>7.0224719101123592</v>
      </c>
      <c r="W46" s="97">
        <f t="shared" si="4"/>
        <v>9.4957241494880226E-8</v>
      </c>
      <c r="X46" s="697">
        <f>($C$7*$C$15*$G$8*($G$9+$G$10*$G$11)/$D46^2*W46*10^6)</f>
        <v>2.278973795877126E-3</v>
      </c>
      <c r="Y46" s="339">
        <f t="shared" si="5"/>
        <v>5.9757939131184837E-2</v>
      </c>
      <c r="Z46" s="333">
        <f>SUM(Y44:Y47)</f>
        <v>0.52249470541710541</v>
      </c>
      <c r="AA46" s="334">
        <f>Z46*52/10^3</f>
        <v>2.7169724681689482E-2</v>
      </c>
      <c r="AG46" s="328"/>
      <c r="AH46" s="328"/>
      <c r="AI46" s="328"/>
      <c r="AJ46" s="328"/>
      <c r="AK46" s="328"/>
      <c r="AL46" s="328"/>
      <c r="AP46" s="222"/>
      <c r="AQ46" s="211"/>
      <c r="AR46" s="222"/>
      <c r="AS46" s="222"/>
      <c r="AT46" s="225"/>
      <c r="AU46" s="225"/>
      <c r="AV46" s="225"/>
      <c r="AW46" s="225"/>
      <c r="AX46" s="225"/>
      <c r="AY46" s="300"/>
      <c r="AZ46" s="300"/>
    </row>
    <row r="47" spans="1:52" s="212" customFormat="1" ht="30" hidden="1" customHeight="1" thickBot="1" x14ac:dyDescent="0.3">
      <c r="A47" s="317"/>
      <c r="B47" s="317"/>
      <c r="C47" s="318"/>
      <c r="D47" s="1838"/>
      <c r="E47" s="1839"/>
      <c r="F47" s="1839"/>
      <c r="G47" s="1839"/>
      <c r="H47" s="1839"/>
      <c r="I47" s="1839"/>
      <c r="J47" s="91"/>
      <c r="K47" s="97"/>
      <c r="L47" s="91"/>
      <c r="M47" s="91"/>
      <c r="N47" s="97"/>
      <c r="O47" s="91"/>
      <c r="P47" s="91"/>
      <c r="Q47" s="97"/>
      <c r="R47" s="91"/>
      <c r="S47" s="91"/>
      <c r="T47" s="97"/>
      <c r="U47" s="91"/>
      <c r="V47" s="91"/>
      <c r="W47" s="97"/>
      <c r="X47" s="697"/>
      <c r="Y47" s="335"/>
      <c r="Z47" s="344"/>
      <c r="AA47" s="345"/>
      <c r="AG47" s="328"/>
      <c r="AH47" s="328"/>
      <c r="AI47" s="328"/>
      <c r="AJ47" s="328"/>
      <c r="AK47" s="328"/>
      <c r="AL47" s="328"/>
      <c r="AP47" s="222"/>
      <c r="AQ47" s="211"/>
      <c r="AR47" s="222"/>
      <c r="AS47" s="222"/>
      <c r="AT47" s="225"/>
      <c r="AU47" s="225"/>
      <c r="AV47" s="225"/>
      <c r="AW47" s="225"/>
      <c r="AX47" s="225"/>
      <c r="AY47" s="300"/>
      <c r="AZ47" s="300"/>
    </row>
    <row r="48" spans="1:52" s="212" customFormat="1" ht="30" customHeight="1" x14ac:dyDescent="0.25">
      <c r="A48" s="322"/>
      <c r="B48" s="322"/>
      <c r="C48" s="323" t="s">
        <v>569</v>
      </c>
      <c r="D48" s="1840">
        <v>6</v>
      </c>
      <c r="E48" s="1840">
        <v>1</v>
      </c>
      <c r="F48" s="1834">
        <v>250</v>
      </c>
      <c r="G48" s="1834">
        <v>0</v>
      </c>
      <c r="H48" s="1834">
        <v>0</v>
      </c>
      <c r="I48" s="1835">
        <v>0</v>
      </c>
      <c r="J48" s="91">
        <f>IF($F48=0,0,1+($F48-$C$21)/$C$22)+$G48/$C$23+$H48/$C$24+$I48/$C$25</f>
        <v>7.4545454545454541</v>
      </c>
      <c r="K48" s="97">
        <f t="shared" si="0"/>
        <v>3.5111917342151263E-8</v>
      </c>
      <c r="L48" s="91">
        <f>($C$7*$C$14*$C$8*$E48/$D48^2*K48*10^6)</f>
        <v>7.8026482982558355E-3</v>
      </c>
      <c r="M48" s="91">
        <f>IF($F48=0,0,1+($F48-$D$21)/$D$22)+$G48/$D$23+$H48/$D$24+$I48/$D$25</f>
        <v>6.6486486486486482</v>
      </c>
      <c r="N48" s="97">
        <f t="shared" si="1"/>
        <v>2.2456979955397711E-7</v>
      </c>
      <c r="O48" s="91">
        <f>($C$7*$D$14*$D$8*$E48/$D48^2*N48*10^6)</f>
        <v>4.99043999008838E-2</v>
      </c>
      <c r="P48" s="91">
        <f>IF($F48=0,0,1+($F48-$E$21)/$E$22)+$G48/$E$23+$H48/$E$24+$I48/$E$25</f>
        <v>5.7674418604651159</v>
      </c>
      <c r="Q48" s="97">
        <f t="shared" si="2"/>
        <v>1.7082763938087111E-6</v>
      </c>
      <c r="R48" s="91">
        <f>($C$7*$E$14*$E$8*$E48/$D48^2*Q48*10^6)</f>
        <v>0.37961697640193576</v>
      </c>
      <c r="S48" s="91">
        <f>IF($F48=0,0,1+($F48-$F$21)/$F$22)+$G48/$F$23+$H48/$F$24+$I48/$F$25</f>
        <v>9.1481481481481488</v>
      </c>
      <c r="T48" s="97">
        <f t="shared" si="3"/>
        <v>7.1097094323124171E-10</v>
      </c>
      <c r="U48" s="91">
        <f>($C$7*$F$14*$F$8*$E48/$D48^2*T48*10^6)</f>
        <v>1.5799354294027593E-4</v>
      </c>
      <c r="V48" s="91">
        <f>IF($F48=0,0,1+($F48-$G$21)/$G$22)+$G48/$G$23+$H48/$G$24+$I48/$G$25</f>
        <v>6.9444444444444446</v>
      </c>
      <c r="W48" s="97">
        <f t="shared" si="4"/>
        <v>1.136463666385722E-7</v>
      </c>
      <c r="X48" s="697">
        <f>($C$7*$G$14*$G$8*$E48/$D48^2*W48*10^6)</f>
        <v>2.5254748141904933E-2</v>
      </c>
      <c r="Y48" s="324">
        <f t="shared" si="5"/>
        <v>0.46273676628592059</v>
      </c>
      <c r="Z48" s="325"/>
      <c r="AA48" s="326"/>
      <c r="AG48" s="328"/>
      <c r="AI48" s="328"/>
      <c r="AJ48" s="328"/>
      <c r="AK48" s="328"/>
      <c r="AL48" s="328"/>
      <c r="AP48" s="222"/>
      <c r="AQ48" s="211"/>
      <c r="AR48" s="222"/>
      <c r="AS48" s="222"/>
      <c r="AT48" s="225"/>
      <c r="AU48" s="225"/>
      <c r="AV48" s="225"/>
      <c r="AW48" s="225"/>
      <c r="AX48" s="225"/>
      <c r="AY48" s="300"/>
      <c r="AZ48" s="300"/>
    </row>
    <row r="49" spans="1:52" s="212" customFormat="1" ht="30" customHeight="1" thickBot="1" x14ac:dyDescent="0.3">
      <c r="A49" s="343" t="str">
        <f>Samenvatting!A49</f>
        <v>B4</v>
      </c>
      <c r="B49" s="338" t="str">
        <f>Samenvatting!B49</f>
        <v>bedieningsruimte Linac 4</v>
      </c>
      <c r="C49" s="331" t="s">
        <v>568</v>
      </c>
      <c r="D49" s="1836">
        <v>5</v>
      </c>
      <c r="E49" s="89"/>
      <c r="F49" s="1834">
        <v>250</v>
      </c>
      <c r="G49" s="1834">
        <v>0</v>
      </c>
      <c r="H49" s="1834">
        <v>0</v>
      </c>
      <c r="I49" s="1835">
        <v>0</v>
      </c>
      <c r="J49" s="91">
        <f>$F49/$C$27+$G49/$C$28+$H49/$C$29+$I49/$C$30</f>
        <v>7.3529411764705879</v>
      </c>
      <c r="K49" s="97">
        <f t="shared" si="0"/>
        <v>4.4366873309786093E-8</v>
      </c>
      <c r="L49" s="91">
        <f>($C$7*$C$15*$C$8*($C$9+$C$10*$C$11)/$D49^2*K49*10^6)</f>
        <v>1.0648049594348663E-3</v>
      </c>
      <c r="M49" s="91">
        <f>$F49/$D$27+$G49/$D$28+$H49/$D$29+$I49/$D$30</f>
        <v>6.5789473684210522</v>
      </c>
      <c r="N49" s="97">
        <f t="shared" si="1"/>
        <v>2.636650898730358E-7</v>
      </c>
      <c r="O49" s="91">
        <f>($C$7*$C$15*$D$8*($D$9+$D$10*$D$11)/$D49^2*N49*10^6)</f>
        <v>6.3279621569528599E-3</v>
      </c>
      <c r="P49" s="91">
        <f>$F49/$E$27+$G49/$E$28+$H49/$E$29+$I49/$E$30</f>
        <v>5.6818181818181817</v>
      </c>
      <c r="Q49" s="97">
        <f t="shared" si="2"/>
        <v>2.0805675382171676E-6</v>
      </c>
      <c r="R49" s="91">
        <f>($C$7*$C$15*$E$8*($E$9+$E$10*$E$11)/$D49^2*Q49*10^6)</f>
        <v>4.9933620917212027E-2</v>
      </c>
      <c r="S49" s="91">
        <f>$F49/$F$27+$G49/$F$28+$H49/$F$29+$I49/$F$30</f>
        <v>8.1967213114754092</v>
      </c>
      <c r="T49" s="97">
        <f t="shared" si="3"/>
        <v>6.3573875711648393E-9</v>
      </c>
      <c r="U49" s="91">
        <f>($C$7*$C$15*$F$8*($F$9+$F$10*$F$11)/$D49^2*T49*10^6)</f>
        <v>1.5257730170795616E-4</v>
      </c>
      <c r="V49" s="91">
        <f>$F49/$G$27+$G49/$G$28+$H49/$G$29+$I49/$G$30</f>
        <v>7.0224719101123592</v>
      </c>
      <c r="W49" s="97">
        <f t="shared" si="4"/>
        <v>9.4957241494880226E-8</v>
      </c>
      <c r="X49" s="697">
        <f>($C$7*$C$15*$G$8*($G$9+$G$10*$G$11)/$D49^2*W49*10^6)</f>
        <v>2.278973795877126E-3</v>
      </c>
      <c r="Y49" s="339">
        <f t="shared" si="5"/>
        <v>5.9757939131184837E-2</v>
      </c>
      <c r="Z49" s="333">
        <f>SUM(Y47:Y50)</f>
        <v>0.52249470541710541</v>
      </c>
      <c r="AA49" s="334">
        <f>Z49*52/10^3</f>
        <v>2.7169724681689482E-2</v>
      </c>
      <c r="AG49" s="328"/>
      <c r="AH49" s="328"/>
      <c r="AI49" s="328"/>
      <c r="AJ49" s="328"/>
      <c r="AK49" s="328"/>
      <c r="AL49" s="328"/>
      <c r="AP49" s="222"/>
      <c r="AQ49" s="211"/>
      <c r="AR49" s="222"/>
      <c r="AS49" s="222"/>
      <c r="AT49" s="225"/>
      <c r="AU49" s="225"/>
      <c r="AV49" s="225"/>
      <c r="AW49" s="225"/>
      <c r="AX49" s="225"/>
      <c r="AY49" s="300"/>
      <c r="AZ49" s="300"/>
    </row>
    <row r="50" spans="1:52" s="212" customFormat="1" ht="30" hidden="1" customHeight="1" thickBot="1" x14ac:dyDescent="0.3">
      <c r="A50" s="317"/>
      <c r="B50" s="317"/>
      <c r="C50" s="318"/>
      <c r="D50" s="1838"/>
      <c r="E50" s="1839"/>
      <c r="F50" s="1839"/>
      <c r="G50" s="1839"/>
      <c r="H50" s="1839"/>
      <c r="I50" s="1839"/>
      <c r="J50" s="91"/>
      <c r="K50" s="97"/>
      <c r="L50" s="91"/>
      <c r="M50" s="91"/>
      <c r="N50" s="97"/>
      <c r="O50" s="91"/>
      <c r="P50" s="91"/>
      <c r="Q50" s="97"/>
      <c r="R50" s="91"/>
      <c r="S50" s="91"/>
      <c r="T50" s="97"/>
      <c r="U50" s="91"/>
      <c r="V50" s="91"/>
      <c r="W50" s="97"/>
      <c r="X50" s="697"/>
      <c r="Y50" s="316"/>
      <c r="Z50" s="344"/>
      <c r="AA50" s="345"/>
      <c r="AG50" s="328"/>
      <c r="AH50" s="328"/>
      <c r="AI50" s="328"/>
      <c r="AJ50" s="328"/>
      <c r="AK50" s="328"/>
      <c r="AL50" s="328"/>
      <c r="AP50" s="222"/>
      <c r="AQ50" s="211"/>
      <c r="AR50" s="222"/>
      <c r="AS50" s="222"/>
      <c r="AT50" s="225"/>
      <c r="AU50" s="225"/>
      <c r="AV50" s="225"/>
      <c r="AW50" s="225"/>
      <c r="AX50" s="225"/>
      <c r="AY50" s="300"/>
      <c r="AZ50" s="300"/>
    </row>
    <row r="51" spans="1:52" s="212" customFormat="1" ht="30" customHeight="1" x14ac:dyDescent="0.25">
      <c r="A51" s="322"/>
      <c r="B51" s="322"/>
      <c r="C51" s="323" t="s">
        <v>569</v>
      </c>
      <c r="D51" s="1840">
        <v>6</v>
      </c>
      <c r="E51" s="1840">
        <v>1</v>
      </c>
      <c r="F51" s="1834">
        <v>250</v>
      </c>
      <c r="G51" s="1834">
        <v>0</v>
      </c>
      <c r="H51" s="1834">
        <v>0</v>
      </c>
      <c r="I51" s="1835">
        <v>0</v>
      </c>
      <c r="J51" s="91">
        <f>IF($F51=0,0,1+($F51-$C$21)/$C$22)+$G51/$C$23+$H51/$C$24+$I51/$C$25</f>
        <v>7.4545454545454541</v>
      </c>
      <c r="K51" s="97">
        <f t="shared" si="0"/>
        <v>3.5111917342151263E-8</v>
      </c>
      <c r="L51" s="91">
        <f>($C$7*$C$14*$C$8*$E51/$D51^2*K51*10^6)</f>
        <v>7.8026482982558355E-3</v>
      </c>
      <c r="M51" s="91">
        <f>IF($F51=0,0,1+($F51-$D$21)/$D$22)+$G51/$D$23+$H51/$D$24+$I51/$D$25</f>
        <v>6.6486486486486482</v>
      </c>
      <c r="N51" s="97">
        <f t="shared" si="1"/>
        <v>2.2456979955397711E-7</v>
      </c>
      <c r="O51" s="91">
        <f>($C$7*$D$14*$D$8*$E51/$D51^2*N51*10^6)</f>
        <v>4.99043999008838E-2</v>
      </c>
      <c r="P51" s="91">
        <f>IF($F51=0,0,1+($F51-$E$21)/$E$22)+$G51/$E$23+$H51/$E$24+$I51/$E$25</f>
        <v>5.7674418604651159</v>
      </c>
      <c r="Q51" s="97">
        <f t="shared" si="2"/>
        <v>1.7082763938087111E-6</v>
      </c>
      <c r="R51" s="91">
        <f>($C$7*$E$14*$E$8*$E51/$D51^2*Q51*10^6)</f>
        <v>0.37961697640193576</v>
      </c>
      <c r="S51" s="91">
        <f>IF($F51=0,0,1+($F51-$F$21)/$F$22)+$G51/$F$23+$H51/$F$24+$I51/$F$25</f>
        <v>9.1481481481481488</v>
      </c>
      <c r="T51" s="97">
        <f t="shared" si="3"/>
        <v>7.1097094323124171E-10</v>
      </c>
      <c r="U51" s="91">
        <f>($C$7*$F$14*$F$8*$E51/$D51^2*T51*10^6)</f>
        <v>1.5799354294027593E-4</v>
      </c>
      <c r="V51" s="91">
        <f>IF($F51=0,0,1+($F51-$G$21)/$G$22)+$G51/$G$23+$H51/$G$24+$I51/$G$25</f>
        <v>6.9444444444444446</v>
      </c>
      <c r="W51" s="97">
        <f t="shared" si="4"/>
        <v>1.136463666385722E-7</v>
      </c>
      <c r="X51" s="697">
        <f>($C$7*$G$14*$G$8*$E51/$D51^2*W51*10^6)</f>
        <v>2.5254748141904933E-2</v>
      </c>
      <c r="Y51" s="324">
        <f>SUM(L51,O51,R51,U51,X51)</f>
        <v>0.46273676628592059</v>
      </c>
      <c r="Z51" s="325"/>
      <c r="AA51" s="326"/>
      <c r="AG51" s="328"/>
      <c r="AI51" s="328"/>
      <c r="AJ51" s="328"/>
      <c r="AK51" s="328"/>
      <c r="AL51" s="328"/>
      <c r="AP51" s="222"/>
      <c r="AQ51" s="211"/>
      <c r="AR51" s="222"/>
      <c r="AS51" s="222"/>
      <c r="AT51" s="225"/>
      <c r="AU51" s="225"/>
      <c r="AV51" s="225"/>
      <c r="AW51" s="225"/>
      <c r="AX51" s="225"/>
      <c r="AY51" s="300"/>
      <c r="AZ51" s="300"/>
    </row>
    <row r="52" spans="1:52" s="212" customFormat="1" ht="30" customHeight="1" thickBot="1" x14ac:dyDescent="0.3">
      <c r="A52" s="343" t="str">
        <f>Samenvatting!A61</f>
        <v>B5</v>
      </c>
      <c r="B52" s="346" t="str">
        <f>Samenvatting!B61</f>
        <v>bedieningsruimte Linac 5</v>
      </c>
      <c r="C52" s="331" t="s">
        <v>568</v>
      </c>
      <c r="D52" s="1843">
        <v>5</v>
      </c>
      <c r="E52" s="347"/>
      <c r="F52" s="1834">
        <v>250</v>
      </c>
      <c r="G52" s="1834">
        <v>0</v>
      </c>
      <c r="H52" s="1834">
        <v>0</v>
      </c>
      <c r="I52" s="1835">
        <v>0</v>
      </c>
      <c r="J52" s="91">
        <f>$F52/$C$27+$G52/$C$28+$H52/$C$29+$I52/$C$30</f>
        <v>7.3529411764705879</v>
      </c>
      <c r="K52" s="97">
        <f t="shared" si="0"/>
        <v>4.4366873309786093E-8</v>
      </c>
      <c r="L52" s="91">
        <f>($C$7*$C$15*$C$8*($C$9+$C$10*$C$11)/$D52^2*K52*10^6)</f>
        <v>1.0648049594348663E-3</v>
      </c>
      <c r="M52" s="91">
        <f>$F52/$D$27+$G52/$D$28+$H52/$D$29+$I52/$D$30</f>
        <v>6.5789473684210522</v>
      </c>
      <c r="N52" s="97">
        <f t="shared" si="1"/>
        <v>2.636650898730358E-7</v>
      </c>
      <c r="O52" s="91">
        <f>($C$7*$C$15*$D$8*($D$9+$D$10*$D$11)/$D52^2*N52*10^6)</f>
        <v>6.3279621569528599E-3</v>
      </c>
      <c r="P52" s="91">
        <f>$F52/$E$27+$G52/$E$28+$H52/$E$29+$I52/$E$30</f>
        <v>5.6818181818181817</v>
      </c>
      <c r="Q52" s="97">
        <f t="shared" si="2"/>
        <v>2.0805675382171676E-6</v>
      </c>
      <c r="R52" s="91">
        <f>($C$7*$C$15*$E$8*($E$9+$E$10*$E$11)/$D52^2*Q52*10^6)</f>
        <v>4.9933620917212027E-2</v>
      </c>
      <c r="S52" s="91">
        <f>$F52/$F$27+$G52/$F$28+$H52/$F$29+$I52/$F$30</f>
        <v>8.1967213114754092</v>
      </c>
      <c r="T52" s="97">
        <f t="shared" si="3"/>
        <v>6.3573875711648393E-9</v>
      </c>
      <c r="U52" s="91">
        <f>($C$7*$C$15*$F$8*($F$9+$F$10*$F$11)/$D52^2*T52*10^6)</f>
        <v>1.5257730170795616E-4</v>
      </c>
      <c r="V52" s="91">
        <f>$F52/$G$27+$G52/$G$28+$H52/$G$29+$I52/$G$30</f>
        <v>7.0224719101123592</v>
      </c>
      <c r="W52" s="97">
        <f t="shared" si="4"/>
        <v>9.4957241494880226E-8</v>
      </c>
      <c r="X52" s="697">
        <f>($C$7*$C$15*$G$8*($G$9+$G$10*$G$11)/$D52^2*W52*10^6)</f>
        <v>2.278973795877126E-3</v>
      </c>
      <c r="Y52" s="339">
        <f>SUM(L52,O52,R52,U52,X52)</f>
        <v>5.9757939131184837E-2</v>
      </c>
      <c r="Z52" s="333">
        <f>SUM(Y50:Y53)</f>
        <v>0.52249470541710541</v>
      </c>
      <c r="AA52" s="334">
        <f>Z52*52/10^3</f>
        <v>2.7169724681689482E-2</v>
      </c>
      <c r="AG52" s="328"/>
      <c r="AH52" s="328"/>
      <c r="AI52" s="328"/>
      <c r="AJ52" s="328"/>
      <c r="AK52" s="328"/>
      <c r="AL52" s="328"/>
      <c r="AP52" s="222"/>
      <c r="AQ52" s="211"/>
      <c r="AR52" s="222"/>
      <c r="AS52" s="222"/>
      <c r="AT52" s="225"/>
      <c r="AU52" s="225"/>
      <c r="AV52" s="225"/>
      <c r="AW52" s="225"/>
      <c r="AX52" s="225"/>
      <c r="AY52" s="300"/>
      <c r="AZ52" s="300"/>
    </row>
    <row r="53" spans="1:52" s="212" customFormat="1" ht="30" hidden="1" customHeight="1" thickBot="1" x14ac:dyDescent="0.3">
      <c r="A53" s="317"/>
      <c r="B53" s="317"/>
      <c r="C53" s="318"/>
      <c r="D53" s="1838"/>
      <c r="E53" s="1839"/>
      <c r="F53" s="1839"/>
      <c r="G53" s="1839"/>
      <c r="H53" s="1839"/>
      <c r="I53" s="1839"/>
      <c r="J53" s="91"/>
      <c r="K53" s="97"/>
      <c r="L53" s="91"/>
      <c r="M53" s="91"/>
      <c r="N53" s="97"/>
      <c r="O53" s="91"/>
      <c r="P53" s="91"/>
      <c r="Q53" s="97"/>
      <c r="R53" s="91"/>
      <c r="S53" s="91"/>
      <c r="T53" s="97"/>
      <c r="U53" s="91"/>
      <c r="V53" s="91"/>
      <c r="W53" s="97"/>
      <c r="X53" s="697"/>
      <c r="Y53" s="316"/>
      <c r="Z53" s="344"/>
      <c r="AA53" s="345"/>
      <c r="AG53" s="328"/>
      <c r="AH53" s="328"/>
      <c r="AI53" s="328"/>
      <c r="AJ53" s="328"/>
      <c r="AK53" s="328"/>
      <c r="AL53" s="328"/>
      <c r="AP53" s="222"/>
      <c r="AQ53" s="211"/>
      <c r="AR53" s="222"/>
      <c r="AS53" s="222"/>
      <c r="AT53" s="225"/>
      <c r="AU53" s="225"/>
      <c r="AV53" s="225"/>
      <c r="AW53" s="225"/>
      <c r="AX53" s="225"/>
      <c r="AY53" s="300"/>
      <c r="AZ53" s="300"/>
    </row>
    <row r="54" spans="1:52" s="212" customFormat="1" ht="30" customHeight="1" x14ac:dyDescent="0.25">
      <c r="A54" s="322"/>
      <c r="B54" s="322"/>
      <c r="C54" s="323" t="s">
        <v>569</v>
      </c>
      <c r="D54" s="1840">
        <v>6</v>
      </c>
      <c r="E54" s="1840">
        <v>1</v>
      </c>
      <c r="F54" s="1834">
        <v>250</v>
      </c>
      <c r="G54" s="1834">
        <v>0</v>
      </c>
      <c r="H54" s="1834">
        <v>0</v>
      </c>
      <c r="I54" s="1835">
        <v>0</v>
      </c>
      <c r="J54" s="91">
        <f>IF($F54=0,0,1+($F54-$C$21)/$C$22)+$G54/$C$23+$H54/$C$24+$I54/$C$25</f>
        <v>7.4545454545454541</v>
      </c>
      <c r="K54" s="97">
        <f t="shared" si="0"/>
        <v>3.5111917342151263E-8</v>
      </c>
      <c r="L54" s="91">
        <f>($C$7*$C$14*$C$8*$E54/$D54^2*K54*10^6)</f>
        <v>7.8026482982558355E-3</v>
      </c>
      <c r="M54" s="91">
        <f>IF($F54=0,0,1+($F54-$D$21)/$D$22)+$G54/$D$23+$H54/$D$24+$I54/$D$25</f>
        <v>6.6486486486486482</v>
      </c>
      <c r="N54" s="97">
        <f t="shared" si="1"/>
        <v>2.2456979955397711E-7</v>
      </c>
      <c r="O54" s="91">
        <f>($C$7*$D$14*$D$8*$E54/$D54^2*N54*10^6)</f>
        <v>4.99043999008838E-2</v>
      </c>
      <c r="P54" s="91">
        <f>IF($F54=0,0,1+($F54-$E$21)/$E$22)+$G54/$E$23+$H54/$E$24+$I54/$E$25</f>
        <v>5.7674418604651159</v>
      </c>
      <c r="Q54" s="97">
        <f t="shared" si="2"/>
        <v>1.7082763938087111E-6</v>
      </c>
      <c r="R54" s="91">
        <f>($C$7*$E$14*$E$8*$E54/$D54^2*Q54*10^6)</f>
        <v>0.37961697640193576</v>
      </c>
      <c r="S54" s="91">
        <f>IF($F54=0,0,1+($F54-$F$21)/$F$22)+$G54/$F$23+$H54/$F$24+$I54/$F$25</f>
        <v>9.1481481481481488</v>
      </c>
      <c r="T54" s="97">
        <f t="shared" si="3"/>
        <v>7.1097094323124171E-10</v>
      </c>
      <c r="U54" s="91">
        <f>($C$7*$F$14*$F$8*$E54/$D54^2*T54*10^6)</f>
        <v>1.5799354294027593E-4</v>
      </c>
      <c r="V54" s="91">
        <f>IF($F54=0,0,1+($F54-$G$21)/$G$22)+$G54/$G$23+$H54/$G$24+$I54/$G$25</f>
        <v>6.9444444444444446</v>
      </c>
      <c r="W54" s="97">
        <f t="shared" si="4"/>
        <v>1.136463666385722E-7</v>
      </c>
      <c r="X54" s="697">
        <f>($C$7*$G$14*$G$8*$E54/$D54^2*W54*10^6)</f>
        <v>2.5254748141904933E-2</v>
      </c>
      <c r="Y54" s="324">
        <f>SUM(L54,O54,R54,U54,X54)</f>
        <v>0.46273676628592059</v>
      </c>
      <c r="Z54" s="325"/>
      <c r="AA54" s="326"/>
      <c r="AG54" s="328"/>
      <c r="AI54" s="328"/>
      <c r="AJ54" s="328"/>
      <c r="AK54" s="328"/>
      <c r="AL54" s="328"/>
      <c r="AP54" s="222"/>
      <c r="AQ54" s="211"/>
      <c r="AR54" s="222"/>
      <c r="AS54" s="222"/>
      <c r="AT54" s="225"/>
      <c r="AU54" s="225"/>
      <c r="AV54" s="225"/>
      <c r="AW54" s="225"/>
      <c r="AX54" s="225"/>
      <c r="AY54" s="300"/>
      <c r="AZ54" s="300"/>
    </row>
    <row r="55" spans="1:52" s="212" customFormat="1" ht="30" customHeight="1" thickBot="1" x14ac:dyDescent="0.3">
      <c r="A55" s="343" t="str">
        <f>Samenvatting!A73</f>
        <v>B6</v>
      </c>
      <c r="B55" s="338" t="str">
        <f>Samenvatting!B73</f>
        <v>bedieningsruimte Linac 6</v>
      </c>
      <c r="C55" s="331" t="s">
        <v>568</v>
      </c>
      <c r="D55" s="1836">
        <v>5</v>
      </c>
      <c r="E55" s="89"/>
      <c r="F55" s="1834">
        <v>250</v>
      </c>
      <c r="G55" s="1834">
        <v>0</v>
      </c>
      <c r="H55" s="1834">
        <v>0</v>
      </c>
      <c r="I55" s="1835">
        <v>0</v>
      </c>
      <c r="J55" s="91">
        <f>$F55/$C$27+$G55/$C$28+$H55/$C$29+$I55/$C$30</f>
        <v>7.3529411764705879</v>
      </c>
      <c r="K55" s="97">
        <f t="shared" si="0"/>
        <v>4.4366873309786093E-8</v>
      </c>
      <c r="L55" s="91">
        <f>($C$7*$C$15*$C$8*($C$9+$C$10*$C$11)/$D55^2*K55*10^6)</f>
        <v>1.0648049594348663E-3</v>
      </c>
      <c r="M55" s="91">
        <f>$F55/$D$27+$G55/$D$28+$H55/$D$29+$I55/$D$30</f>
        <v>6.5789473684210522</v>
      </c>
      <c r="N55" s="97">
        <f t="shared" si="1"/>
        <v>2.636650898730358E-7</v>
      </c>
      <c r="O55" s="91">
        <f>($C$7*$C$15*$D$8*($D$9+$D$10*$D$11)/$D55^2*N55*10^6)</f>
        <v>6.3279621569528599E-3</v>
      </c>
      <c r="P55" s="91">
        <f>$F55/$E$27+$G55/$E$28+$H55/$E$29+$I55/$E$30</f>
        <v>5.6818181818181817</v>
      </c>
      <c r="Q55" s="97">
        <f t="shared" si="2"/>
        <v>2.0805675382171676E-6</v>
      </c>
      <c r="R55" s="91">
        <f>($C$7*$C$15*$E$8*($E$9+$E$10*$E$11)/$D55^2*Q55*10^6)</f>
        <v>4.9933620917212027E-2</v>
      </c>
      <c r="S55" s="91">
        <f>$F55/$F$27+$G55/$F$28+$H55/$F$29+$I55/$F$30</f>
        <v>8.1967213114754092</v>
      </c>
      <c r="T55" s="97">
        <f t="shared" si="3"/>
        <v>6.3573875711648393E-9</v>
      </c>
      <c r="U55" s="91">
        <f>($C$7*$C$15*$F$8*($F$9+$F$10*$F$11)/$D55^2*T55*10^6)</f>
        <v>1.5257730170795616E-4</v>
      </c>
      <c r="V55" s="91">
        <f>$F55/$G$27+$G55/$G$28+$H55/$G$29+$I55/$G$30</f>
        <v>7.0224719101123592</v>
      </c>
      <c r="W55" s="97">
        <f t="shared" si="4"/>
        <v>9.4957241494880226E-8</v>
      </c>
      <c r="X55" s="697">
        <f>($C$7*$C$15*$G$8*($G$9+$G$10*$G$11)/$D55^2*W55*10^6)</f>
        <v>2.278973795877126E-3</v>
      </c>
      <c r="Y55" s="339">
        <f>SUM(L55,O55,R55,U55,X55)</f>
        <v>5.9757939131184837E-2</v>
      </c>
      <c r="Z55" s="333">
        <f>SUM(Y53:Y56)</f>
        <v>0.52249470541710541</v>
      </c>
      <c r="AA55" s="334">
        <f>Z55*52/10^3</f>
        <v>2.7169724681689482E-2</v>
      </c>
      <c r="AG55" s="328"/>
      <c r="AH55" s="328"/>
      <c r="AI55" s="328"/>
      <c r="AJ55" s="328"/>
      <c r="AK55" s="328"/>
      <c r="AL55" s="328"/>
      <c r="AP55" s="222"/>
      <c r="AQ55" s="211"/>
      <c r="AR55" s="222"/>
      <c r="AS55" s="222"/>
      <c r="AT55" s="225"/>
      <c r="AU55" s="225"/>
      <c r="AV55" s="225"/>
      <c r="AW55" s="225"/>
      <c r="AX55" s="225"/>
      <c r="AY55" s="300"/>
      <c r="AZ55" s="300"/>
    </row>
    <row r="56" spans="1:52" s="212" customFormat="1" ht="30" hidden="1" customHeight="1" thickBot="1" x14ac:dyDescent="0.3">
      <c r="A56" s="317"/>
      <c r="B56" s="317"/>
      <c r="C56" s="318"/>
      <c r="D56" s="1838"/>
      <c r="E56" s="1839"/>
      <c r="F56" s="1839"/>
      <c r="G56" s="1839"/>
      <c r="H56" s="1839"/>
      <c r="I56" s="1839"/>
      <c r="J56" s="91"/>
      <c r="K56" s="97"/>
      <c r="L56" s="91"/>
      <c r="M56" s="91"/>
      <c r="N56" s="97"/>
      <c r="O56" s="91"/>
      <c r="P56" s="91"/>
      <c r="Q56" s="97"/>
      <c r="R56" s="91"/>
      <c r="S56" s="91"/>
      <c r="T56" s="97"/>
      <c r="U56" s="91"/>
      <c r="V56" s="91"/>
      <c r="W56" s="97"/>
      <c r="X56" s="697"/>
      <c r="Y56" s="316"/>
      <c r="Z56" s="344"/>
      <c r="AA56" s="345"/>
      <c r="AG56" s="328"/>
      <c r="AH56" s="328"/>
      <c r="AI56" s="328"/>
      <c r="AJ56" s="328"/>
      <c r="AK56" s="328"/>
      <c r="AL56" s="328"/>
      <c r="AP56" s="222"/>
      <c r="AQ56" s="211"/>
      <c r="AR56" s="222"/>
      <c r="AS56" s="222"/>
      <c r="AT56" s="225"/>
      <c r="AU56" s="225"/>
      <c r="AV56" s="225"/>
      <c r="AW56" s="225"/>
      <c r="AX56" s="225"/>
      <c r="AY56" s="300"/>
      <c r="AZ56" s="300"/>
    </row>
    <row r="57" spans="1:52" s="212" customFormat="1" ht="30" customHeight="1" x14ac:dyDescent="0.25">
      <c r="A57" s="322"/>
      <c r="B57" s="322"/>
      <c r="C57" s="323" t="s">
        <v>569</v>
      </c>
      <c r="D57" s="1840">
        <v>6</v>
      </c>
      <c r="E57" s="1840">
        <v>1</v>
      </c>
      <c r="F57" s="1834">
        <v>250</v>
      </c>
      <c r="G57" s="1834">
        <v>0</v>
      </c>
      <c r="H57" s="1834">
        <v>0</v>
      </c>
      <c r="I57" s="1835">
        <v>0</v>
      </c>
      <c r="J57" s="91">
        <f>IF($F57=0,0,1+($F57-$C$21)/$C$22)+$G57/$C$23+$H57/$C$24+$I57/$C$25</f>
        <v>7.4545454545454541</v>
      </c>
      <c r="K57" s="97">
        <f t="shared" si="0"/>
        <v>3.5111917342151263E-8</v>
      </c>
      <c r="L57" s="91">
        <f>($C$7*$C$14*$C$8*$E57/$D57^2*K57*10^6)</f>
        <v>7.8026482982558355E-3</v>
      </c>
      <c r="M57" s="91">
        <f>IF($F57=0,0,1+($F57-$D$21)/$D$22)+$G57/$D$23+$H57/$D$24+$I57/$D$25</f>
        <v>6.6486486486486482</v>
      </c>
      <c r="N57" s="97">
        <f t="shared" si="1"/>
        <v>2.2456979955397711E-7</v>
      </c>
      <c r="O57" s="91">
        <f>($C$7*$D$14*$D$8*$E57/$D57^2*N57*10^6)</f>
        <v>4.99043999008838E-2</v>
      </c>
      <c r="P57" s="91">
        <f>IF($F57=0,0,1+($F57-$E$21)/$E$22)+$G57/$E$23+$H57/$E$24+$I57/$E$25</f>
        <v>5.7674418604651159</v>
      </c>
      <c r="Q57" s="97">
        <f t="shared" si="2"/>
        <v>1.7082763938087111E-6</v>
      </c>
      <c r="R57" s="91">
        <f>($C$7*$E$14*$E$8*$E57/$D57^2*Q57*10^6)</f>
        <v>0.37961697640193576</v>
      </c>
      <c r="S57" s="91">
        <f>IF($F57=0,0,1+($F57-$F$21)/$F$22)+$G57/$F$23+$H57/$F$24+$I57/$F$25</f>
        <v>9.1481481481481488</v>
      </c>
      <c r="T57" s="97">
        <f t="shared" si="3"/>
        <v>7.1097094323124171E-10</v>
      </c>
      <c r="U57" s="91">
        <f>($C$7*$F$14*$F$8*$E57/$D57^2*T57*10^6)</f>
        <v>1.5799354294027593E-4</v>
      </c>
      <c r="V57" s="91">
        <f>IF($F57=0,0,1+($F57-$G$21)/$G$22)+$G57/$G$23+$H57/$G$24+$I57/$G$25</f>
        <v>6.9444444444444446</v>
      </c>
      <c r="W57" s="97">
        <f t="shared" si="4"/>
        <v>1.136463666385722E-7</v>
      </c>
      <c r="X57" s="697">
        <f>($C$7*$G$14*$G$8*$E57/$D57^2*W57*10^6)</f>
        <v>2.5254748141904933E-2</v>
      </c>
      <c r="Y57" s="324">
        <f>SUM(L57,O57,R57,U57,X57)</f>
        <v>0.46273676628592059</v>
      </c>
      <c r="Z57" s="325"/>
      <c r="AA57" s="326"/>
      <c r="AG57" s="328"/>
      <c r="AI57" s="328"/>
      <c r="AJ57" s="328"/>
      <c r="AK57" s="328"/>
      <c r="AL57" s="328"/>
      <c r="AP57" s="222"/>
      <c r="AQ57" s="211"/>
      <c r="AR57" s="222"/>
      <c r="AS57" s="222"/>
      <c r="AT57" s="225"/>
      <c r="AU57" s="225"/>
      <c r="AV57" s="225"/>
      <c r="AW57" s="225"/>
      <c r="AX57" s="225"/>
      <c r="AY57" s="300"/>
      <c r="AZ57" s="300"/>
    </row>
    <row r="58" spans="1:52" s="212" customFormat="1" ht="30" customHeight="1" thickBot="1" x14ac:dyDescent="0.3">
      <c r="A58" s="343" t="str">
        <f>Samenvatting!A85</f>
        <v>B7</v>
      </c>
      <c r="B58" s="338" t="str">
        <f>Samenvatting!B85</f>
        <v>bedieningsruimte Linac 7</v>
      </c>
      <c r="C58" s="331" t="s">
        <v>568</v>
      </c>
      <c r="D58" s="1836">
        <v>5</v>
      </c>
      <c r="E58" s="89"/>
      <c r="F58" s="1834">
        <v>250</v>
      </c>
      <c r="G58" s="1834">
        <v>0</v>
      </c>
      <c r="H58" s="1834">
        <v>0</v>
      </c>
      <c r="I58" s="1835">
        <v>0</v>
      </c>
      <c r="J58" s="91">
        <f>$F58/$C$27+$G58/$C$28+$H58/$C$29+$I58/$C$30</f>
        <v>7.3529411764705879</v>
      </c>
      <c r="K58" s="97">
        <f t="shared" si="0"/>
        <v>4.4366873309786093E-8</v>
      </c>
      <c r="L58" s="91">
        <f>($C$7*$C$15*$C$8*($C$9+$C$10*$C$11)/$D58^2*K58*10^6)</f>
        <v>1.0648049594348663E-3</v>
      </c>
      <c r="M58" s="91">
        <f>$F58/$D$27+$G58/$D$28+$H58/$D$29+$I58/$D$30</f>
        <v>6.5789473684210522</v>
      </c>
      <c r="N58" s="97">
        <f t="shared" si="1"/>
        <v>2.636650898730358E-7</v>
      </c>
      <c r="O58" s="91">
        <f>($C$7*$C$15*$D$8*($D$9+$D$10*$D$11)/$D58^2*N58*10^6)</f>
        <v>6.3279621569528599E-3</v>
      </c>
      <c r="P58" s="91">
        <f>$F58/$E$27+$G58/$E$28+$H58/$E$29+$I58/$E$30</f>
        <v>5.6818181818181817</v>
      </c>
      <c r="Q58" s="97">
        <f t="shared" si="2"/>
        <v>2.0805675382171676E-6</v>
      </c>
      <c r="R58" s="91">
        <f>($C$7*$C$15*$E$8*($E$9+$E$10*$E$11)/$D58^2*Q58*10^6)</f>
        <v>4.9933620917212027E-2</v>
      </c>
      <c r="S58" s="91">
        <f>$F58/$F$27+$G58/$F$28+$H58/$F$29+$I58/$F$30</f>
        <v>8.1967213114754092</v>
      </c>
      <c r="T58" s="97">
        <f t="shared" si="3"/>
        <v>6.3573875711648393E-9</v>
      </c>
      <c r="U58" s="91">
        <f>($C$7*$C$15*$F$8*($F$9+$F$10*$F$11)/$D58^2*T58*10^6)</f>
        <v>1.5257730170795616E-4</v>
      </c>
      <c r="V58" s="91">
        <f>$F58/$G$27+$G58/$G$28+$H58/$G$29+$I58/$G$30</f>
        <v>7.0224719101123592</v>
      </c>
      <c r="W58" s="97">
        <f t="shared" si="4"/>
        <v>9.4957241494880226E-8</v>
      </c>
      <c r="X58" s="697">
        <f>($C$7*$C$15*$G$8*($G$9+$G$10*$G$11)/$D58^2*W58*10^6)</f>
        <v>2.278973795877126E-3</v>
      </c>
      <c r="Y58" s="339">
        <f>SUM(L58,O58,R58,U58,X58)</f>
        <v>5.9757939131184837E-2</v>
      </c>
      <c r="Z58" s="333">
        <f>SUM(Y56:Y59)</f>
        <v>0.52249470541710541</v>
      </c>
      <c r="AA58" s="334">
        <f>Z58*52/10^3</f>
        <v>2.7169724681689482E-2</v>
      </c>
      <c r="AG58" s="328"/>
      <c r="AH58" s="328"/>
      <c r="AI58" s="328"/>
      <c r="AJ58" s="328"/>
      <c r="AK58" s="328"/>
      <c r="AL58" s="328"/>
      <c r="AP58" s="222"/>
      <c r="AQ58" s="211"/>
      <c r="AR58" s="222"/>
      <c r="AS58" s="222"/>
      <c r="AT58" s="225"/>
      <c r="AU58" s="225"/>
      <c r="AV58" s="225"/>
      <c r="AW58" s="225"/>
      <c r="AX58" s="225"/>
      <c r="AY58" s="300"/>
      <c r="AZ58" s="300"/>
    </row>
    <row r="59" spans="1:52" s="212" customFormat="1" ht="30" hidden="1" customHeight="1" thickBot="1" x14ac:dyDescent="0.3">
      <c r="A59" s="317"/>
      <c r="B59" s="317"/>
      <c r="C59" s="318"/>
      <c r="D59" s="1838"/>
      <c r="E59" s="1839"/>
      <c r="F59" s="1839"/>
      <c r="G59" s="1839"/>
      <c r="H59" s="1839"/>
      <c r="I59" s="1839"/>
      <c r="J59" s="91"/>
      <c r="K59" s="97"/>
      <c r="L59" s="91"/>
      <c r="M59" s="91"/>
      <c r="N59" s="97"/>
      <c r="O59" s="91"/>
      <c r="P59" s="91"/>
      <c r="Q59" s="97"/>
      <c r="R59" s="91"/>
      <c r="S59" s="91"/>
      <c r="T59" s="97"/>
      <c r="U59" s="91"/>
      <c r="V59" s="91"/>
      <c r="W59" s="97"/>
      <c r="X59" s="697"/>
      <c r="Y59" s="316"/>
      <c r="Z59" s="344"/>
      <c r="AA59" s="345"/>
      <c r="AG59" s="328"/>
      <c r="AH59" s="328"/>
      <c r="AI59" s="328"/>
      <c r="AJ59" s="328"/>
      <c r="AK59" s="328"/>
      <c r="AL59" s="328"/>
      <c r="AP59" s="222"/>
      <c r="AQ59" s="211"/>
      <c r="AR59" s="222"/>
      <c r="AS59" s="222"/>
      <c r="AT59" s="225"/>
      <c r="AU59" s="225"/>
      <c r="AV59" s="225"/>
      <c r="AW59" s="225"/>
      <c r="AX59" s="225"/>
      <c r="AY59" s="300"/>
      <c r="AZ59" s="300"/>
    </row>
    <row r="60" spans="1:52" s="212" customFormat="1" ht="30" customHeight="1" x14ac:dyDescent="0.25">
      <c r="A60" s="322"/>
      <c r="B60" s="322"/>
      <c r="C60" s="323" t="s">
        <v>569</v>
      </c>
      <c r="D60" s="1840">
        <v>6</v>
      </c>
      <c r="E60" s="1840">
        <v>1</v>
      </c>
      <c r="F60" s="1834">
        <v>250</v>
      </c>
      <c r="G60" s="1834">
        <v>0</v>
      </c>
      <c r="H60" s="1834">
        <v>0</v>
      </c>
      <c r="I60" s="1835">
        <v>0</v>
      </c>
      <c r="J60" s="91">
        <f>IF($F60=0,0,1+($F60-$C$21)/$C$22)+$G60/$C$23+$H60/$C$24+$I60/$C$25</f>
        <v>7.4545454545454541</v>
      </c>
      <c r="K60" s="97">
        <f t="shared" si="0"/>
        <v>3.5111917342151263E-8</v>
      </c>
      <c r="L60" s="91">
        <f>($C$7*$C$14*$C$8*$E60/$D60^2*K60*10^6)</f>
        <v>7.8026482982558355E-3</v>
      </c>
      <c r="M60" s="91">
        <f>IF($F60=0,0,1+($F60-$D$21)/$D$22)+$G60/$D$23+$H60/$D$24+$I60/$D$25</f>
        <v>6.6486486486486482</v>
      </c>
      <c r="N60" s="97">
        <f t="shared" si="1"/>
        <v>2.2456979955397711E-7</v>
      </c>
      <c r="O60" s="91">
        <f>($C$7*$D$14*$D$8*$E60/$D60^2*N60*10^6)</f>
        <v>4.99043999008838E-2</v>
      </c>
      <c r="P60" s="91">
        <f>IF($F60=0,0,1+($F60-$E$21)/$E$22)+$G60/$E$23+$H60/$E$24+$I60/$E$25</f>
        <v>5.7674418604651159</v>
      </c>
      <c r="Q60" s="97">
        <f t="shared" si="2"/>
        <v>1.7082763938087111E-6</v>
      </c>
      <c r="R60" s="91">
        <f>($C$7*$E$14*$E$8*$E60/$D60^2*Q60*10^6)</f>
        <v>0.37961697640193576</v>
      </c>
      <c r="S60" s="91">
        <f>IF($F60=0,0,1+($F60-$F$21)/$F$22)+$G60/$F$23+$H60/$F$24+$I60/$F$25</f>
        <v>9.1481481481481488</v>
      </c>
      <c r="T60" s="97">
        <f t="shared" si="3"/>
        <v>7.1097094323124171E-10</v>
      </c>
      <c r="U60" s="91">
        <f>($C$7*$F$14*$F$8*$E60/$D60^2*T60*10^6)</f>
        <v>1.5799354294027593E-4</v>
      </c>
      <c r="V60" s="91">
        <f>IF($F60=0,0,1+($F60-$G$21)/$G$22)+$G60/$G$23+$H60/$G$24+$I60/$G$25</f>
        <v>6.9444444444444446</v>
      </c>
      <c r="W60" s="97">
        <f t="shared" si="4"/>
        <v>1.136463666385722E-7</v>
      </c>
      <c r="X60" s="697">
        <f>($C$7*$G$14*$G$8*$E60/$D60^2*W60*10^6)</f>
        <v>2.5254748141904933E-2</v>
      </c>
      <c r="Y60" s="324">
        <f>SUM(L60,O60,R60,U60,X60)</f>
        <v>0.46273676628592059</v>
      </c>
      <c r="Z60" s="325"/>
      <c r="AA60" s="326"/>
      <c r="AG60" s="328"/>
      <c r="AI60" s="328"/>
      <c r="AJ60" s="328"/>
      <c r="AK60" s="328"/>
      <c r="AL60" s="328"/>
      <c r="AP60" s="222"/>
      <c r="AQ60" s="211"/>
      <c r="AR60" s="222"/>
      <c r="AS60" s="222"/>
      <c r="AT60" s="225"/>
      <c r="AU60" s="225"/>
      <c r="AV60" s="225"/>
      <c r="AW60" s="225"/>
      <c r="AX60" s="225"/>
      <c r="AY60" s="300"/>
      <c r="AZ60" s="300"/>
    </row>
    <row r="61" spans="1:52" s="212" customFormat="1" ht="30" customHeight="1" thickBot="1" x14ac:dyDescent="0.3">
      <c r="A61" s="343" t="str">
        <f>Samenvatting!A97</f>
        <v>B8</v>
      </c>
      <c r="B61" s="338" t="str">
        <f>Samenvatting!B97</f>
        <v>bedieningsruimte Linac 8</v>
      </c>
      <c r="C61" s="331" t="s">
        <v>568</v>
      </c>
      <c r="D61" s="1836">
        <v>5</v>
      </c>
      <c r="E61" s="89"/>
      <c r="F61" s="1834">
        <v>250</v>
      </c>
      <c r="G61" s="1834">
        <v>0</v>
      </c>
      <c r="H61" s="1834">
        <v>0</v>
      </c>
      <c r="I61" s="1835">
        <v>0</v>
      </c>
      <c r="J61" s="91">
        <f>$F61/$C$27+$G61/$C$28+$H61/$C$29+$I61/$C$30</f>
        <v>7.3529411764705879</v>
      </c>
      <c r="K61" s="97">
        <f t="shared" si="0"/>
        <v>4.4366873309786093E-8</v>
      </c>
      <c r="L61" s="91">
        <f>($C$7*$C$15*$C$8*($C$9+$C$10*$C$11)/$D61^2*K61*10^6)</f>
        <v>1.0648049594348663E-3</v>
      </c>
      <c r="M61" s="91">
        <f>$F61/$D$27+$G61/$D$28+$H61/$D$29+$I61/$D$30</f>
        <v>6.5789473684210522</v>
      </c>
      <c r="N61" s="97">
        <f t="shared" si="1"/>
        <v>2.636650898730358E-7</v>
      </c>
      <c r="O61" s="91">
        <f>($C$7*$C$15*$D$8*($D$9+$D$10*$D$11)/$D61^2*N61*10^6)</f>
        <v>6.3279621569528599E-3</v>
      </c>
      <c r="P61" s="91">
        <f>$F61/$E$27+$G61/$E$28+$H61/$E$29+$I61/$E$30</f>
        <v>5.6818181818181817</v>
      </c>
      <c r="Q61" s="97">
        <f t="shared" si="2"/>
        <v>2.0805675382171676E-6</v>
      </c>
      <c r="R61" s="91">
        <f>($C$7*$C$15*$E$8*($E$9+$E$10*$E$11)/$D61^2*Q61*10^6)</f>
        <v>4.9933620917212027E-2</v>
      </c>
      <c r="S61" s="91">
        <f>$F61/$F$27+$G61/$F$28+$H61/$F$29+$I61/$F$30</f>
        <v>8.1967213114754092</v>
      </c>
      <c r="T61" s="97">
        <f t="shared" si="3"/>
        <v>6.3573875711648393E-9</v>
      </c>
      <c r="U61" s="91">
        <f>($C$7*$C$15*$F$8*($F$9+$F$10*$F$11)/$D61^2*T61*10^6)</f>
        <v>1.5257730170795616E-4</v>
      </c>
      <c r="V61" s="91">
        <f>$F61/$G$27+$G61/$G$28+$H61/$G$29+$I61/$G$30</f>
        <v>7.0224719101123592</v>
      </c>
      <c r="W61" s="97">
        <f t="shared" si="4"/>
        <v>9.4957241494880226E-8</v>
      </c>
      <c r="X61" s="697">
        <f>($C$7*$C$15*$G$8*($G$9+$G$10*$G$11)/$D61^2*W61*10^6)</f>
        <v>2.278973795877126E-3</v>
      </c>
      <c r="Y61" s="339">
        <f>SUM(L61,O61,R61,U61,X61)</f>
        <v>5.9757939131184837E-2</v>
      </c>
      <c r="Z61" s="333">
        <f>SUM(Y59:Y62)</f>
        <v>0.52249470541710541</v>
      </c>
      <c r="AA61" s="334">
        <f>Z61*52/10^3</f>
        <v>2.7169724681689482E-2</v>
      </c>
      <c r="AG61" s="328"/>
      <c r="AH61" s="328"/>
      <c r="AI61" s="328"/>
      <c r="AJ61" s="328"/>
      <c r="AK61" s="328"/>
      <c r="AL61" s="328"/>
      <c r="AP61" s="222"/>
      <c r="AQ61" s="211"/>
      <c r="AR61" s="222"/>
      <c r="AS61" s="222"/>
      <c r="AT61" s="225"/>
      <c r="AU61" s="225"/>
      <c r="AV61" s="225"/>
      <c r="AW61" s="225"/>
      <c r="AX61" s="225"/>
      <c r="AY61" s="300"/>
      <c r="AZ61" s="300"/>
    </row>
    <row r="62" spans="1:52" s="212" customFormat="1" ht="30" hidden="1" customHeight="1" thickBot="1" x14ac:dyDescent="0.3">
      <c r="A62" s="317"/>
      <c r="B62" s="317"/>
      <c r="C62" s="318"/>
      <c r="D62" s="1838"/>
      <c r="E62" s="1839"/>
      <c r="F62" s="1839"/>
      <c r="G62" s="1839"/>
      <c r="H62" s="1839"/>
      <c r="I62" s="1839"/>
      <c r="J62" s="91"/>
      <c r="K62" s="97"/>
      <c r="L62" s="91"/>
      <c r="M62" s="91"/>
      <c r="N62" s="97"/>
      <c r="O62" s="91"/>
      <c r="P62" s="91"/>
      <c r="Q62" s="97"/>
      <c r="R62" s="91"/>
      <c r="S62" s="91"/>
      <c r="T62" s="97"/>
      <c r="U62" s="91"/>
      <c r="V62" s="91"/>
      <c r="W62" s="97"/>
      <c r="X62" s="697"/>
      <c r="Y62" s="316"/>
      <c r="Z62" s="344"/>
      <c r="AA62" s="345"/>
      <c r="AG62" s="328"/>
      <c r="AH62" s="328"/>
      <c r="AI62" s="328"/>
      <c r="AJ62" s="328"/>
      <c r="AK62" s="328"/>
      <c r="AL62" s="328"/>
      <c r="AP62" s="222"/>
      <c r="AQ62" s="211"/>
      <c r="AR62" s="222"/>
      <c r="AS62" s="222"/>
      <c r="AT62" s="225"/>
      <c r="AU62" s="225"/>
      <c r="AV62" s="225"/>
      <c r="AW62" s="225"/>
      <c r="AX62" s="225"/>
      <c r="AY62" s="300"/>
      <c r="AZ62" s="300"/>
    </row>
    <row r="63" spans="1:52" s="212" customFormat="1" ht="30" customHeight="1" x14ac:dyDescent="0.25">
      <c r="A63" s="322"/>
      <c r="B63" s="322"/>
      <c r="C63" s="323" t="s">
        <v>569</v>
      </c>
      <c r="D63" s="1840">
        <v>6</v>
      </c>
      <c r="E63" s="1840">
        <v>1</v>
      </c>
      <c r="F63" s="1834">
        <v>250</v>
      </c>
      <c r="G63" s="1834">
        <v>0</v>
      </c>
      <c r="H63" s="1834">
        <v>0</v>
      </c>
      <c r="I63" s="1835">
        <v>0</v>
      </c>
      <c r="J63" s="91">
        <f>IF($F63=0,0,1+($F63-$C$21)/$C$22)+$G63/$C$23+$H63/$C$24+$I63/$C$25</f>
        <v>7.4545454545454541</v>
      </c>
      <c r="K63" s="97">
        <f t="shared" si="0"/>
        <v>3.5111917342151263E-8</v>
      </c>
      <c r="L63" s="91">
        <f>($C$7*$C$14*$C$8*$E63/$D63^2*K63*10^6)</f>
        <v>7.8026482982558355E-3</v>
      </c>
      <c r="M63" s="91">
        <f>IF($F63=0,0,1+($F63-$D$21)/$D$22)+$G63/$D$23+$H63/$D$24+$I63/$D$25</f>
        <v>6.6486486486486482</v>
      </c>
      <c r="N63" s="97">
        <f t="shared" si="1"/>
        <v>2.2456979955397711E-7</v>
      </c>
      <c r="O63" s="91">
        <f>($C$7*$D$14*$D$8*$E63/$D63^2*N63*10^6)</f>
        <v>4.99043999008838E-2</v>
      </c>
      <c r="P63" s="91">
        <f>IF($F63=0,0,1+($F63-$E$21)/$E$22)+$G63/$E$23+$H63/$E$24+$I63/$E$25</f>
        <v>5.7674418604651159</v>
      </c>
      <c r="Q63" s="97">
        <f t="shared" si="2"/>
        <v>1.7082763938087111E-6</v>
      </c>
      <c r="R63" s="91">
        <f>($C$7*$E$14*$E$8*$E63/$D63^2*Q63*10^6)</f>
        <v>0.37961697640193576</v>
      </c>
      <c r="S63" s="91">
        <f>IF($F63=0,0,1+($F63-$F$21)/$F$22)+$G63/$F$23+$H63/$F$24+$I63/$F$25</f>
        <v>9.1481481481481488</v>
      </c>
      <c r="T63" s="97">
        <f t="shared" si="3"/>
        <v>7.1097094323124171E-10</v>
      </c>
      <c r="U63" s="91">
        <f>($C$7*$F$14*$F$8*$E63/$D63^2*T63*10^6)</f>
        <v>1.5799354294027593E-4</v>
      </c>
      <c r="V63" s="91">
        <f>IF($F63=0,0,1+($F63-$G$21)/$G$22)+$G63/$G$23+$H63/$G$24+$I63/$G$25</f>
        <v>6.9444444444444446</v>
      </c>
      <c r="W63" s="97">
        <f t="shared" si="4"/>
        <v>1.136463666385722E-7</v>
      </c>
      <c r="X63" s="697">
        <f>($C$7*$G$14*$G$8*$E63/$D63^2*W63*10^6)</f>
        <v>2.5254748141904933E-2</v>
      </c>
      <c r="Y63" s="324">
        <f>SUM(L63,O63,R63,U63,X63)</f>
        <v>0.46273676628592059</v>
      </c>
      <c r="Z63" s="325"/>
      <c r="AA63" s="326"/>
      <c r="AG63" s="328"/>
      <c r="AI63" s="328"/>
      <c r="AJ63" s="328"/>
      <c r="AK63" s="328"/>
      <c r="AL63" s="328"/>
      <c r="AP63" s="222"/>
      <c r="AQ63" s="211"/>
      <c r="AR63" s="222"/>
      <c r="AS63" s="222"/>
      <c r="AT63" s="225"/>
      <c r="AU63" s="225"/>
      <c r="AV63" s="225"/>
      <c r="AW63" s="225"/>
      <c r="AX63" s="225"/>
      <c r="AY63" s="300"/>
      <c r="AZ63" s="300"/>
    </row>
    <row r="64" spans="1:52" s="212" customFormat="1" ht="30" customHeight="1" thickBot="1" x14ac:dyDescent="0.3">
      <c r="A64" s="343" t="str">
        <f>Samenvatting!A109</f>
        <v>B9</v>
      </c>
      <c r="B64" s="338" t="str">
        <f>Samenvatting!B109</f>
        <v>bedieningsruimte Linac 9</v>
      </c>
      <c r="C64" s="331" t="s">
        <v>568</v>
      </c>
      <c r="D64" s="1843">
        <v>5</v>
      </c>
      <c r="E64" s="347"/>
      <c r="F64" s="1834">
        <v>250</v>
      </c>
      <c r="G64" s="1834">
        <v>0</v>
      </c>
      <c r="H64" s="1834">
        <v>0</v>
      </c>
      <c r="I64" s="1835">
        <v>0</v>
      </c>
      <c r="J64" s="91">
        <f>$F64/$C$27+$G64/$C$28+$H64/$C$29+$I64/$C$30</f>
        <v>7.3529411764705879</v>
      </c>
      <c r="K64" s="97">
        <f t="shared" si="0"/>
        <v>4.4366873309786093E-8</v>
      </c>
      <c r="L64" s="91">
        <f>($C$7*$C$15*$C$8*($C$9+$C$10*$C$11)/$D64^2*K64*10^6)</f>
        <v>1.0648049594348663E-3</v>
      </c>
      <c r="M64" s="91">
        <f>$F64/$D$27+$G64/$D$28+$H64/$D$29+$I64/$D$30</f>
        <v>6.5789473684210522</v>
      </c>
      <c r="N64" s="97">
        <f t="shared" si="1"/>
        <v>2.636650898730358E-7</v>
      </c>
      <c r="O64" s="91">
        <f>($C$7*$C$15*$D$8*($D$9+$D$10*$D$11)/$D64^2*N64*10^6)</f>
        <v>6.3279621569528599E-3</v>
      </c>
      <c r="P64" s="91">
        <f>$F64/$E$27+$G64/$E$28+$H64/$E$29+$I64/$E$30</f>
        <v>5.6818181818181817</v>
      </c>
      <c r="Q64" s="97">
        <f t="shared" si="2"/>
        <v>2.0805675382171676E-6</v>
      </c>
      <c r="R64" s="91">
        <f>($C$7*$C$15*$E$8*($E$9+$E$10*$E$11)/$D64^2*Q64*10^6)</f>
        <v>4.9933620917212027E-2</v>
      </c>
      <c r="S64" s="91">
        <f>$F64/$F$27+$G64/$F$28+$H64/$F$29+$I64/$F$30</f>
        <v>8.1967213114754092</v>
      </c>
      <c r="T64" s="97">
        <f t="shared" si="3"/>
        <v>6.3573875711648393E-9</v>
      </c>
      <c r="U64" s="91">
        <f>($C$7*$C$15*$F$8*($F$9+$F$10*$F$11)/$D64^2*T64*10^6)</f>
        <v>1.5257730170795616E-4</v>
      </c>
      <c r="V64" s="91">
        <f>$F64/$G$27+$G64/$G$28+$H64/$G$29+$I64/$G$30</f>
        <v>7.0224719101123592</v>
      </c>
      <c r="W64" s="97">
        <f t="shared" si="4"/>
        <v>9.4957241494880226E-8</v>
      </c>
      <c r="X64" s="697">
        <f>($C$7*$C$15*$G$8*($G$9+$G$10*$G$11)/$D64^2*W64*10^6)</f>
        <v>2.278973795877126E-3</v>
      </c>
      <c r="Y64" s="339">
        <f>SUM(L64,O64,R64,U64,X64)</f>
        <v>5.9757939131184837E-2</v>
      </c>
      <c r="Z64" s="333">
        <f>SUM(Y62:Y65)</f>
        <v>0.52249470541710541</v>
      </c>
      <c r="AA64" s="334">
        <f>Z64*52/10^3</f>
        <v>2.7169724681689482E-2</v>
      </c>
      <c r="AG64" s="328"/>
      <c r="AH64" s="328"/>
      <c r="AI64" s="328"/>
      <c r="AJ64" s="328"/>
      <c r="AK64" s="328"/>
      <c r="AL64" s="328"/>
      <c r="AP64" s="222"/>
      <c r="AQ64" s="211"/>
      <c r="AR64" s="222"/>
      <c r="AS64" s="222"/>
      <c r="AT64" s="225"/>
      <c r="AU64" s="225"/>
      <c r="AV64" s="225"/>
      <c r="AW64" s="225"/>
      <c r="AX64" s="225"/>
      <c r="AY64" s="300"/>
      <c r="AZ64" s="300"/>
    </row>
    <row r="65" spans="1:52" s="212" customFormat="1" ht="30" hidden="1" customHeight="1" thickBot="1" x14ac:dyDescent="0.3">
      <c r="A65" s="317"/>
      <c r="B65" s="317"/>
      <c r="C65" s="318"/>
      <c r="D65" s="1838"/>
      <c r="E65" s="1839"/>
      <c r="F65" s="1839"/>
      <c r="G65" s="1839"/>
      <c r="H65" s="1839"/>
      <c r="I65" s="1839"/>
      <c r="J65" s="91"/>
      <c r="K65" s="97"/>
      <c r="L65" s="91"/>
      <c r="M65" s="91"/>
      <c r="N65" s="97"/>
      <c r="O65" s="91"/>
      <c r="P65" s="91"/>
      <c r="Q65" s="97"/>
      <c r="R65" s="91"/>
      <c r="S65" s="91"/>
      <c r="T65" s="97"/>
      <c r="U65" s="91"/>
      <c r="V65" s="91"/>
      <c r="W65" s="97"/>
      <c r="X65" s="697"/>
      <c r="Y65" s="316"/>
      <c r="Z65" s="344"/>
      <c r="AA65" s="345"/>
      <c r="AG65" s="328"/>
      <c r="AH65" s="328"/>
      <c r="AI65" s="328"/>
      <c r="AJ65" s="328"/>
      <c r="AK65" s="328"/>
      <c r="AL65" s="328"/>
      <c r="AP65" s="222"/>
      <c r="AQ65" s="211"/>
      <c r="AR65" s="222"/>
      <c r="AS65" s="222"/>
      <c r="AT65" s="225"/>
      <c r="AU65" s="225"/>
      <c r="AV65" s="225"/>
      <c r="AW65" s="225"/>
      <c r="AX65" s="225"/>
      <c r="AY65" s="300"/>
      <c r="AZ65" s="300"/>
    </row>
    <row r="66" spans="1:52" s="212" customFormat="1" ht="30" customHeight="1" x14ac:dyDescent="0.25">
      <c r="A66" s="322"/>
      <c r="B66" s="322"/>
      <c r="C66" s="323" t="s">
        <v>569</v>
      </c>
      <c r="D66" s="1840">
        <v>6</v>
      </c>
      <c r="E66" s="1840">
        <v>1</v>
      </c>
      <c r="F66" s="1834">
        <v>250</v>
      </c>
      <c r="G66" s="1834">
        <v>0</v>
      </c>
      <c r="H66" s="1834">
        <v>0</v>
      </c>
      <c r="I66" s="1835">
        <v>0</v>
      </c>
      <c r="J66" s="91">
        <f>IF($F66=0,0,1+($F66-$C$21)/$C$22)+$G66/$C$23+$H66/$C$24+$I66/$C$25</f>
        <v>7.4545454545454541</v>
      </c>
      <c r="K66" s="97">
        <f t="shared" si="0"/>
        <v>3.5111917342151263E-8</v>
      </c>
      <c r="L66" s="91">
        <f>($C$7*$C$14*$C$8*$E66/$D66^2*K66*10^6)</f>
        <v>7.8026482982558355E-3</v>
      </c>
      <c r="M66" s="91">
        <f>IF($F66=0,0,1+($F66-$D$21)/$D$22)+$G66/$D$23+$H66/$D$24+$I66/$D$25</f>
        <v>6.6486486486486482</v>
      </c>
      <c r="N66" s="97">
        <f t="shared" si="1"/>
        <v>2.2456979955397711E-7</v>
      </c>
      <c r="O66" s="91">
        <f>($C$7*$D$14*$D$8*$E66/$D66^2*N66*10^6)</f>
        <v>4.99043999008838E-2</v>
      </c>
      <c r="P66" s="91">
        <f>IF($F66=0,0,1+($F66-$E$21)/$E$22)+$G66/$E$23+$H66/$E$24+$I66/$E$25</f>
        <v>5.7674418604651159</v>
      </c>
      <c r="Q66" s="97">
        <f t="shared" si="2"/>
        <v>1.7082763938087111E-6</v>
      </c>
      <c r="R66" s="91">
        <f>($C$7*$E$14*$E$8*$E66/$D66^2*Q66*10^6)</f>
        <v>0.37961697640193576</v>
      </c>
      <c r="S66" s="91">
        <f>IF($F66=0,0,1+($F66-$F$21)/$F$22)+$G66/$F$23+$H66/$F$24+$I66/$F$25</f>
        <v>9.1481481481481488</v>
      </c>
      <c r="T66" s="97">
        <f t="shared" si="3"/>
        <v>7.1097094323124171E-10</v>
      </c>
      <c r="U66" s="91">
        <f>($C$7*$F$14*$F$8*$E66/$D66^2*T66*10^6)</f>
        <v>1.5799354294027593E-4</v>
      </c>
      <c r="V66" s="91">
        <f>IF($F66=0,0,1+($F66-$G$21)/$G$22)+$G66/$G$23+$H66/$G$24+$I66/$G$25</f>
        <v>6.9444444444444446</v>
      </c>
      <c r="W66" s="97">
        <f t="shared" si="4"/>
        <v>1.136463666385722E-7</v>
      </c>
      <c r="X66" s="697">
        <f>($C$7*$G$14*$G$8*$E66/$D66^2*W66*10^6)</f>
        <v>2.5254748141904933E-2</v>
      </c>
      <c r="Y66" s="324">
        <f>SUM(L66,O66,R66,U66,X66)</f>
        <v>0.46273676628592059</v>
      </c>
      <c r="Z66" s="325"/>
      <c r="AA66" s="326"/>
      <c r="AG66" s="328"/>
      <c r="AI66" s="328"/>
      <c r="AJ66" s="328"/>
      <c r="AK66" s="328"/>
      <c r="AL66" s="328"/>
      <c r="AP66" s="222"/>
      <c r="AQ66" s="211"/>
      <c r="AR66" s="222"/>
      <c r="AS66" s="222"/>
      <c r="AT66" s="225"/>
      <c r="AU66" s="225"/>
      <c r="AV66" s="225"/>
      <c r="AW66" s="225"/>
      <c r="AX66" s="225"/>
      <c r="AY66" s="300"/>
      <c r="AZ66" s="300"/>
    </row>
    <row r="67" spans="1:52" s="212" customFormat="1" ht="30" customHeight="1" thickBot="1" x14ac:dyDescent="0.3">
      <c r="A67" s="343" t="str">
        <f>Samenvatting!A121</f>
        <v>B10</v>
      </c>
      <c r="B67" s="656" t="str">
        <f>Samenvatting!B121</f>
        <v>bedieningsruimte Linac 10</v>
      </c>
      <c r="C67" s="331" t="s">
        <v>568</v>
      </c>
      <c r="D67" s="1836">
        <v>5</v>
      </c>
      <c r="E67" s="89"/>
      <c r="F67" s="1834">
        <v>250</v>
      </c>
      <c r="G67" s="1834">
        <v>0</v>
      </c>
      <c r="H67" s="1834">
        <v>0</v>
      </c>
      <c r="I67" s="1835">
        <v>0</v>
      </c>
      <c r="J67" s="91">
        <f>$F67/$C$27+$G67/$C$28+$H67/$C$29+$I67/$C$30</f>
        <v>7.3529411764705879</v>
      </c>
      <c r="K67" s="97">
        <f t="shared" si="0"/>
        <v>4.4366873309786093E-8</v>
      </c>
      <c r="L67" s="91">
        <f>($C$7*$C$15*$C$8*($C$9+$C$10*$C$11)/$D67^2*K67*10^6)</f>
        <v>1.0648049594348663E-3</v>
      </c>
      <c r="M67" s="91">
        <f>$F67/$D$27+$G67/$D$28+$H67/$D$29+$I67/$D$30</f>
        <v>6.5789473684210522</v>
      </c>
      <c r="N67" s="97">
        <f t="shared" si="1"/>
        <v>2.636650898730358E-7</v>
      </c>
      <c r="O67" s="91">
        <f>($C$7*$C$15*$D$8*($D$9+$D$10*$D$11)/$D67^2*N67*10^6)</f>
        <v>6.3279621569528599E-3</v>
      </c>
      <c r="P67" s="91">
        <f>$F67/$E$27+$G67/$E$28+$H67/$E$29+$I67/$E$30</f>
        <v>5.6818181818181817</v>
      </c>
      <c r="Q67" s="97">
        <f t="shared" si="2"/>
        <v>2.0805675382171676E-6</v>
      </c>
      <c r="R67" s="91">
        <f>($C$7*$C$15*$E$8*($E$9+$E$10*$E$11)/$D67^2*Q67*10^6)</f>
        <v>4.9933620917212027E-2</v>
      </c>
      <c r="S67" s="91">
        <f>$F67/$F$27+$G67/$F$28+$H67/$F$29+$I67/$F$30</f>
        <v>8.1967213114754092</v>
      </c>
      <c r="T67" s="97">
        <f t="shared" si="3"/>
        <v>6.3573875711648393E-9</v>
      </c>
      <c r="U67" s="91">
        <f>($C$7*$C$15*$F$8*($F$9+$F$10*$F$11)/$D67^2*T67*10^6)</f>
        <v>1.5257730170795616E-4</v>
      </c>
      <c r="V67" s="91">
        <f>$F67/$G$27+$G67/$G$28+$H67/$G$29+$I67/$G$30</f>
        <v>7.0224719101123592</v>
      </c>
      <c r="W67" s="97">
        <f t="shared" si="4"/>
        <v>9.4957241494880226E-8</v>
      </c>
      <c r="X67" s="697">
        <f>($C$7*$C$15*$G$8*($G$9+$G$10*$G$11)/$D67^2*W67*10^6)</f>
        <v>2.278973795877126E-3</v>
      </c>
      <c r="Y67" s="339">
        <f>SUM(L67,O67,R67,U67,X67)</f>
        <v>5.9757939131184837E-2</v>
      </c>
      <c r="Z67" s="333">
        <f>SUM(Y65:Y68)</f>
        <v>0.52249470541710541</v>
      </c>
      <c r="AA67" s="334">
        <f>Z67*52/10^3</f>
        <v>2.7169724681689482E-2</v>
      </c>
      <c r="AG67" s="328"/>
      <c r="AH67" s="328"/>
      <c r="AI67" s="328"/>
      <c r="AJ67" s="328"/>
      <c r="AK67" s="328"/>
      <c r="AL67" s="328"/>
      <c r="AP67" s="222"/>
      <c r="AQ67" s="211"/>
      <c r="AR67" s="222"/>
      <c r="AS67" s="222"/>
      <c r="AT67" s="225"/>
      <c r="AU67" s="225"/>
      <c r="AV67" s="225"/>
      <c r="AW67" s="225"/>
      <c r="AX67" s="225"/>
      <c r="AY67" s="300"/>
      <c r="AZ67" s="300"/>
    </row>
    <row r="68" spans="1:52" s="212" customFormat="1" ht="30" hidden="1" customHeight="1" thickBot="1" x14ac:dyDescent="0.3">
      <c r="A68" s="317"/>
      <c r="B68" s="317"/>
      <c r="C68" s="318"/>
      <c r="D68" s="58"/>
      <c r="E68" s="58"/>
      <c r="F68" s="58"/>
      <c r="G68" s="58"/>
      <c r="H68" s="58"/>
      <c r="I68" s="58"/>
      <c r="J68" s="91"/>
      <c r="K68" s="97"/>
      <c r="L68" s="91"/>
      <c r="M68" s="91"/>
      <c r="N68" s="97"/>
      <c r="O68" s="91"/>
      <c r="P68" s="91"/>
      <c r="Q68" s="97"/>
      <c r="R68" s="91"/>
      <c r="S68" s="91"/>
      <c r="T68" s="97"/>
      <c r="U68" s="91"/>
      <c r="V68" s="91"/>
      <c r="W68" s="97"/>
      <c r="X68" s="697"/>
      <c r="Y68" s="335"/>
      <c r="Z68" s="344"/>
      <c r="AA68" s="345"/>
      <c r="AG68" s="328"/>
      <c r="AH68" s="328"/>
      <c r="AI68" s="328"/>
      <c r="AJ68" s="328"/>
      <c r="AK68" s="328"/>
      <c r="AL68" s="328"/>
      <c r="AP68" s="222"/>
      <c r="AQ68" s="211"/>
      <c r="AR68" s="222"/>
      <c r="AS68" s="222"/>
      <c r="AT68" s="225"/>
      <c r="AU68" s="225"/>
      <c r="AV68" s="225"/>
      <c r="AW68" s="225"/>
      <c r="AX68" s="225"/>
      <c r="AY68" s="300"/>
      <c r="AZ68" s="300"/>
    </row>
    <row r="69" spans="1:52" s="212" customFormat="1" ht="30" customHeight="1" x14ac:dyDescent="0.25">
      <c r="A69" s="322"/>
      <c r="B69" s="322"/>
      <c r="C69" s="323" t="s">
        <v>569</v>
      </c>
      <c r="D69" s="1859">
        <v>6</v>
      </c>
      <c r="E69" s="1859">
        <v>1</v>
      </c>
      <c r="F69" s="1859">
        <v>250</v>
      </c>
      <c r="G69" s="1859">
        <v>0</v>
      </c>
      <c r="H69" s="1859">
        <v>0</v>
      </c>
      <c r="I69" s="1859">
        <v>0</v>
      </c>
      <c r="J69" s="91">
        <f>IF($F69=0,0,1+($F69-$C$21)/$C$22)+$G69/$C$23+$H69/$C$24+$I69/$C$25</f>
        <v>7.4545454545454541</v>
      </c>
      <c r="K69" s="97">
        <f t="shared" si="0"/>
        <v>3.5111917342151263E-8</v>
      </c>
      <c r="L69" s="91">
        <f>($C$7*$C$14*$C$8*$E69/$D69^2*K69*10^6)</f>
        <v>7.8026482982558355E-3</v>
      </c>
      <c r="M69" s="91">
        <f>IF($F69=0,0,1+($F69-$D$21)/$D$22)+$G69/$D$23+$H69/$D$24+$I69/$D$25</f>
        <v>6.6486486486486482</v>
      </c>
      <c r="N69" s="97">
        <f t="shared" si="1"/>
        <v>2.2456979955397711E-7</v>
      </c>
      <c r="O69" s="91">
        <f>($C$7*$D$14*$D$8*$E69/$D69^2*N69*10^6)</f>
        <v>4.99043999008838E-2</v>
      </c>
      <c r="P69" s="91">
        <f>IF($F69=0,0,1+($F69-$E$21)/$E$22)+$G69/$E$23+$H69/$E$24+$I69/$E$25</f>
        <v>5.7674418604651159</v>
      </c>
      <c r="Q69" s="97">
        <f t="shared" si="2"/>
        <v>1.7082763938087111E-6</v>
      </c>
      <c r="R69" s="91">
        <f>($C$7*$D$14*$E$8*$E69/$D69^2*Q69*10^6)</f>
        <v>0.37961697640193576</v>
      </c>
      <c r="S69" s="91">
        <f>IF($F69=0,0,1+($F69-$F$21)/$F$22)+$G69/$F$23+$H69/$F$24+$I69/$F$25</f>
        <v>9.1481481481481488</v>
      </c>
      <c r="T69" s="97">
        <f t="shared" si="3"/>
        <v>7.1097094323124171E-10</v>
      </c>
      <c r="U69" s="91">
        <f>($C$7*$F$14*$F$8*$E69/$D69^2*T69*10^6)</f>
        <v>1.5799354294027593E-4</v>
      </c>
      <c r="V69" s="91">
        <f>IF($F69=0,0,1+($F69-$G$21)/$G$22)+$G69/$G$23+$H69/$G$24+$I69/$G$25</f>
        <v>6.9444444444444446</v>
      </c>
      <c r="W69" s="97">
        <f t="shared" si="4"/>
        <v>1.136463666385722E-7</v>
      </c>
      <c r="X69" s="697">
        <f>($C$7*$G$14*$G$8*$E69/$D69^2*W69*10^6)</f>
        <v>2.5254748141904933E-2</v>
      </c>
      <c r="Y69" s="324">
        <f>SUM(L69,O69,R69,U69,X69)</f>
        <v>0.46273676628592059</v>
      </c>
      <c r="Z69" s="325"/>
      <c r="AA69" s="350"/>
      <c r="AG69" s="328"/>
      <c r="AI69" s="328"/>
      <c r="AJ69" s="328"/>
      <c r="AK69" s="328"/>
      <c r="AL69" s="328"/>
      <c r="AP69" s="222"/>
      <c r="AQ69" s="211"/>
      <c r="AR69" s="222"/>
      <c r="AS69" s="222"/>
      <c r="AT69" s="225"/>
      <c r="AU69" s="225"/>
      <c r="AV69" s="225"/>
      <c r="AW69" s="225"/>
      <c r="AX69" s="225"/>
      <c r="AY69" s="300"/>
      <c r="AZ69" s="300"/>
    </row>
    <row r="70" spans="1:52" s="212" customFormat="1" ht="30" customHeight="1" thickBot="1" x14ac:dyDescent="0.3">
      <c r="A70" s="329" t="str">
        <f>Samenvatting!A123</f>
        <v>L1</v>
      </c>
      <c r="B70" s="656" t="str">
        <f>Samenvatting!B123</f>
        <v>ingang labyrint linac 1</v>
      </c>
      <c r="C70" s="331" t="s">
        <v>568</v>
      </c>
      <c r="D70" s="1859">
        <v>5</v>
      </c>
      <c r="E70" s="58"/>
      <c r="F70" s="1859">
        <v>250</v>
      </c>
      <c r="G70" s="1859">
        <v>0</v>
      </c>
      <c r="H70" s="1859">
        <v>0</v>
      </c>
      <c r="I70" s="1859">
        <v>0</v>
      </c>
      <c r="J70" s="91">
        <f>$F70/$C$27+$G70/$C$28+$H70/$C$29+$I70/$C$30</f>
        <v>7.3529411764705879</v>
      </c>
      <c r="K70" s="97">
        <f t="shared" si="0"/>
        <v>4.4366873309786093E-8</v>
      </c>
      <c r="L70" s="91">
        <f>($C$7*$C$15*$C$8*($C$9+$C$10*$C$11)/$D70^2*K70*10^6)</f>
        <v>1.0648049594348663E-3</v>
      </c>
      <c r="M70" s="91">
        <f>$F70/$D$27+$G70/$D$28+$H70/$D$29+$I70/$D$30</f>
        <v>6.5789473684210522</v>
      </c>
      <c r="N70" s="97">
        <f t="shared" si="1"/>
        <v>2.636650898730358E-7</v>
      </c>
      <c r="O70" s="91">
        <f>($C$7*$C$15*$D$8*($D$9+$D$10*$D$11)/$D70^2*N70*10^6)</f>
        <v>6.3279621569528599E-3</v>
      </c>
      <c r="P70" s="91">
        <f>$F70/$E$27+$G70/$E$28+$H70/$E$29+$I70/$E$30</f>
        <v>5.6818181818181817</v>
      </c>
      <c r="Q70" s="97">
        <f t="shared" si="2"/>
        <v>2.0805675382171676E-6</v>
      </c>
      <c r="R70" s="91">
        <f>($C$7*$C$15*$E$8*($E$9+$E$10*$E$11)/$D70^2*Q70*10^6)</f>
        <v>4.9933620917212027E-2</v>
      </c>
      <c r="S70" s="91">
        <f>$F70/$F$27+$G70/$F$28+$H70/$F$29+$I70/$F$30</f>
        <v>8.1967213114754092</v>
      </c>
      <c r="T70" s="97">
        <f t="shared" si="3"/>
        <v>6.3573875711648393E-9</v>
      </c>
      <c r="U70" s="91">
        <f>($C$7*$C$15*$F$8*($F$9+$F$10*$F$11)/$D70^2*T70*10^6)</f>
        <v>1.5257730170795616E-4</v>
      </c>
      <c r="V70" s="91">
        <f>$F70/$G$27+$G70/$G$28+$H70/$G$29+$I70/$G$30</f>
        <v>7.0224719101123592</v>
      </c>
      <c r="W70" s="97">
        <f t="shared" si="4"/>
        <v>9.4957241494880226E-8</v>
      </c>
      <c r="X70" s="697">
        <f>($C$7*$C$15*$G$8*($G$9+$G$10*$G$11)/$D70^2*W70*10^6)</f>
        <v>2.278973795877126E-3</v>
      </c>
      <c r="Y70" s="339">
        <f>SUM(L70,O70,R70,U70,X70)</f>
        <v>5.9757939131184837E-2</v>
      </c>
      <c r="Z70" s="363">
        <f>SUM(Y68:Y71)</f>
        <v>0.52249470541710541</v>
      </c>
      <c r="AA70" s="334">
        <f>Z70*52/10^3</f>
        <v>2.7169724681689482E-2</v>
      </c>
      <c r="AG70" s="328"/>
      <c r="AH70" s="328"/>
      <c r="AI70" s="328"/>
      <c r="AJ70" s="328"/>
      <c r="AK70" s="328"/>
      <c r="AL70" s="328"/>
      <c r="AP70" s="222"/>
      <c r="AQ70" s="211"/>
      <c r="AR70" s="222"/>
      <c r="AS70" s="222"/>
      <c r="AT70" s="225"/>
      <c r="AU70" s="225"/>
      <c r="AV70" s="225"/>
      <c r="AW70" s="225"/>
      <c r="AX70" s="225"/>
      <c r="AY70" s="300"/>
      <c r="AZ70" s="300"/>
    </row>
    <row r="71" spans="1:52" s="212" customFormat="1" ht="30" hidden="1" customHeight="1" thickBot="1" x14ac:dyDescent="0.3">
      <c r="A71" s="317"/>
      <c r="B71" s="317"/>
      <c r="C71" s="360"/>
      <c r="D71" s="1871"/>
      <c r="E71" s="1871"/>
      <c r="F71" s="1871"/>
      <c r="G71" s="1871"/>
      <c r="H71" s="1871"/>
      <c r="I71" s="1871"/>
      <c r="J71" s="91"/>
      <c r="K71" s="97"/>
      <c r="L71" s="91"/>
      <c r="M71" s="91"/>
      <c r="N71" s="97"/>
      <c r="O71" s="91"/>
      <c r="P71" s="91"/>
      <c r="Q71" s="97"/>
      <c r="R71" s="91"/>
      <c r="S71" s="91"/>
      <c r="T71" s="97"/>
      <c r="U71" s="91"/>
      <c r="V71" s="91"/>
      <c r="W71" s="97"/>
      <c r="X71" s="697"/>
      <c r="Y71" s="577"/>
      <c r="Z71" s="659"/>
      <c r="AA71" s="660"/>
      <c r="AG71" s="328"/>
      <c r="AH71" s="328"/>
      <c r="AI71" s="328"/>
      <c r="AJ71" s="328"/>
      <c r="AK71" s="328"/>
      <c r="AL71" s="328"/>
      <c r="AP71" s="222"/>
      <c r="AQ71" s="211"/>
      <c r="AR71" s="222"/>
      <c r="AS71" s="222"/>
      <c r="AT71" s="225"/>
      <c r="AU71" s="225"/>
      <c r="AV71" s="225"/>
      <c r="AW71" s="225"/>
      <c r="AX71" s="225"/>
      <c r="AY71" s="300"/>
      <c r="AZ71" s="300"/>
    </row>
    <row r="72" spans="1:52" s="212" customFormat="1" ht="30" customHeight="1" x14ac:dyDescent="0.25">
      <c r="A72" s="322"/>
      <c r="B72" s="322"/>
      <c r="C72" s="323" t="s">
        <v>569</v>
      </c>
      <c r="D72" s="1859">
        <v>6</v>
      </c>
      <c r="E72" s="1859">
        <v>1</v>
      </c>
      <c r="F72" s="1859">
        <v>250</v>
      </c>
      <c r="G72" s="1859">
        <v>0</v>
      </c>
      <c r="H72" s="1859">
        <v>0</v>
      </c>
      <c r="I72" s="1859">
        <v>0</v>
      </c>
      <c r="J72" s="91">
        <f>IF($F72=0,0,1+($F72-$C$21)/$C$22)+$G72/$C$23+$H72/$C$24+$I72/$C$25</f>
        <v>7.4545454545454541</v>
      </c>
      <c r="K72" s="97">
        <f t="shared" si="0"/>
        <v>3.5111917342151263E-8</v>
      </c>
      <c r="L72" s="91">
        <f>($C$7*$C$14*$C$8*$E72/$D72^2*K72*10^6)</f>
        <v>7.8026482982558355E-3</v>
      </c>
      <c r="M72" s="91">
        <f>IF($F72=0,0,1+($F72-$D$21)/$D$22)+$G72/$D$23+$H72/$D$24+$I72/$D$25</f>
        <v>6.6486486486486482</v>
      </c>
      <c r="N72" s="97">
        <f t="shared" si="1"/>
        <v>2.2456979955397711E-7</v>
      </c>
      <c r="O72" s="91">
        <f>($C$7*$D$14*$D$8*$E72/$D72^2*N72*10^6)</f>
        <v>4.99043999008838E-2</v>
      </c>
      <c r="P72" s="91">
        <f>IF($F$72=0,0,1+($F72-$E$21)/$E$22)+$G72/$E$23+$H72/$E$24+$I72/$E$25</f>
        <v>5.7674418604651159</v>
      </c>
      <c r="Q72" s="97">
        <f t="shared" si="2"/>
        <v>1.7082763938087111E-6</v>
      </c>
      <c r="R72" s="91">
        <f>($C$7*$D$14*$E$8*$E72/$D72^2*Q72*10^6)</f>
        <v>0.37961697640193576</v>
      </c>
      <c r="S72" s="91">
        <f>IF($F72=0,0,1+($F72-$F$21)/$F$22)+$G72/$F$23+$H72/$F$24+$I72/$F$25</f>
        <v>9.1481481481481488</v>
      </c>
      <c r="T72" s="97">
        <f t="shared" si="3"/>
        <v>7.1097094323124171E-10</v>
      </c>
      <c r="U72" s="91">
        <f>($C$7*$F$14*$F$8*$E72/$D72^2*T72*10^6)</f>
        <v>1.5799354294027593E-4</v>
      </c>
      <c r="V72" s="91">
        <f>IF($F72=0,0,1+($F72-$G$21)/$G$22)+$G72/$G$23+$H72/$G$24+$I72/$G$25</f>
        <v>6.9444444444444446</v>
      </c>
      <c r="W72" s="97">
        <f t="shared" si="4"/>
        <v>1.136463666385722E-7</v>
      </c>
      <c r="X72" s="697">
        <f>($C$7*$G$14*$G$8*$E72/$D72^2*W72*10^6)</f>
        <v>2.5254748141904933E-2</v>
      </c>
      <c r="Y72" s="324">
        <f>SUM(L72,O72,R72,U72,X72)</f>
        <v>0.46273676628592059</v>
      </c>
      <c r="Z72" s="325"/>
      <c r="AA72" s="350"/>
      <c r="AG72" s="328"/>
      <c r="AI72" s="328"/>
      <c r="AJ72" s="328"/>
      <c r="AK72" s="328"/>
      <c r="AL72" s="328"/>
      <c r="AP72" s="222"/>
      <c r="AQ72" s="211"/>
      <c r="AR72" s="222"/>
      <c r="AS72" s="222"/>
      <c r="AT72" s="225"/>
      <c r="AU72" s="225"/>
      <c r="AV72" s="225"/>
      <c r="AW72" s="225"/>
      <c r="AX72" s="225"/>
      <c r="AY72" s="300"/>
      <c r="AZ72" s="300"/>
    </row>
    <row r="73" spans="1:52" s="212" customFormat="1" ht="30" customHeight="1" thickBot="1" x14ac:dyDescent="0.3">
      <c r="A73" s="343" t="str">
        <f>Samenvatting!A135</f>
        <v>L2</v>
      </c>
      <c r="B73" s="338" t="str">
        <f>Samenvatting!B135</f>
        <v>ingang labyrint linac 2</v>
      </c>
      <c r="C73" s="331" t="s">
        <v>568</v>
      </c>
      <c r="D73" s="1859">
        <v>5</v>
      </c>
      <c r="E73" s="58"/>
      <c r="F73" s="1859">
        <v>250</v>
      </c>
      <c r="G73" s="1859">
        <v>0</v>
      </c>
      <c r="H73" s="1859">
        <v>0</v>
      </c>
      <c r="I73" s="1859">
        <v>0</v>
      </c>
      <c r="J73" s="91">
        <f>$F73/$C$27+$G73/$C$28+$H73/$C$29+$I73/$C$30</f>
        <v>7.3529411764705879</v>
      </c>
      <c r="K73" s="97">
        <f t="shared" si="0"/>
        <v>4.4366873309786093E-8</v>
      </c>
      <c r="L73" s="91">
        <f>($C$7*$C$15*$C$8*($C$9+$C$10*$C$11)/$D73^2*K73*10^6)</f>
        <v>1.0648049594348663E-3</v>
      </c>
      <c r="M73" s="91">
        <f>$F73/$D$27+$G73/$D$28+$H73/$D$29+$I73/$D$30</f>
        <v>6.5789473684210522</v>
      </c>
      <c r="N73" s="97">
        <f t="shared" si="1"/>
        <v>2.636650898730358E-7</v>
      </c>
      <c r="O73" s="91">
        <f>($C$7*$C$15*$D$8*($D$9+$D$10*$D$11)/$D73^2*N73*10^6)</f>
        <v>6.3279621569528599E-3</v>
      </c>
      <c r="P73" s="91">
        <f>$F73/$E$27+$G73/$E$28+$H73/$E$29+$I73/$E$30</f>
        <v>5.6818181818181817</v>
      </c>
      <c r="Q73" s="97">
        <f t="shared" si="2"/>
        <v>2.0805675382171676E-6</v>
      </c>
      <c r="R73" s="91">
        <f>($C$7*$C$15*$E$8*($E$9+$E$10*$E$11)/$D73^2*Q73*10^6)</f>
        <v>4.9933620917212027E-2</v>
      </c>
      <c r="S73" s="91">
        <f>$F73/$F$27+$G73/$F$28+$H73/$F$29+$I73/$F$30</f>
        <v>8.1967213114754092</v>
      </c>
      <c r="T73" s="97">
        <f t="shared" si="3"/>
        <v>6.3573875711648393E-9</v>
      </c>
      <c r="U73" s="91">
        <f>($C$7*$C$15*$F$8*($F$9+$F$10*$F$11)/$D73^2*T73*10^6)</f>
        <v>1.5257730170795616E-4</v>
      </c>
      <c r="V73" s="91">
        <f>$F73/$G$27+$G73/$G$28+$H73/$G$29+$I73/$G$30</f>
        <v>7.0224719101123592</v>
      </c>
      <c r="W73" s="97">
        <f t="shared" si="4"/>
        <v>9.4957241494880226E-8</v>
      </c>
      <c r="X73" s="697">
        <f>($C$7*$C$15*$G$8*($G$9+$G$10*$G$11)/$D73^2*W73*10^6)</f>
        <v>2.278973795877126E-3</v>
      </c>
      <c r="Y73" s="339">
        <f>SUM(L73,O73,R73,U73,X73)</f>
        <v>5.9757939131184837E-2</v>
      </c>
      <c r="Z73" s="363">
        <f>SUM(Y72:Y73)</f>
        <v>0.52249470541710541</v>
      </c>
      <c r="AA73" s="334">
        <f>Z73*52/10^3</f>
        <v>2.7169724681689482E-2</v>
      </c>
      <c r="AG73" s="328"/>
      <c r="AH73" s="328"/>
      <c r="AI73" s="328"/>
      <c r="AJ73" s="328"/>
      <c r="AK73" s="328"/>
      <c r="AL73" s="328"/>
      <c r="AP73" s="222"/>
      <c r="AQ73" s="211"/>
      <c r="AR73" s="222"/>
      <c r="AS73" s="222"/>
      <c r="AT73" s="225"/>
      <c r="AU73" s="225"/>
      <c r="AV73" s="225"/>
      <c r="AW73" s="225"/>
      <c r="AX73" s="225"/>
      <c r="AY73" s="300"/>
      <c r="AZ73" s="300"/>
    </row>
    <row r="74" spans="1:52" s="212" customFormat="1" ht="30" hidden="1" customHeight="1" thickBot="1" x14ac:dyDescent="0.3">
      <c r="A74" s="317"/>
      <c r="B74" s="317"/>
      <c r="C74" s="331"/>
      <c r="D74" s="1871"/>
      <c r="E74" s="1871"/>
      <c r="F74" s="1871"/>
      <c r="G74" s="1871"/>
      <c r="H74" s="1871"/>
      <c r="I74" s="1871"/>
      <c r="J74" s="91"/>
      <c r="K74" s="97"/>
      <c r="L74" s="91"/>
      <c r="M74" s="91"/>
      <c r="N74" s="97"/>
      <c r="O74" s="91"/>
      <c r="P74" s="91"/>
      <c r="Q74" s="97"/>
      <c r="R74" s="91"/>
      <c r="S74" s="91"/>
      <c r="T74" s="97"/>
      <c r="U74" s="91"/>
      <c r="V74" s="91"/>
      <c r="W74" s="97"/>
      <c r="X74" s="697"/>
      <c r="Y74" s="577"/>
      <c r="Z74" s="659"/>
      <c r="AA74" s="660"/>
      <c r="AG74" s="328"/>
      <c r="AH74" s="328"/>
      <c r="AI74" s="328"/>
      <c r="AJ74" s="328"/>
      <c r="AK74" s="328"/>
      <c r="AL74" s="328"/>
      <c r="AP74" s="222"/>
      <c r="AQ74" s="211"/>
      <c r="AR74" s="222"/>
      <c r="AS74" s="222"/>
      <c r="AT74" s="225"/>
      <c r="AU74" s="225"/>
      <c r="AV74" s="225"/>
      <c r="AW74" s="225"/>
      <c r="AX74" s="225"/>
      <c r="AY74" s="300"/>
      <c r="AZ74" s="300"/>
    </row>
    <row r="75" spans="1:52" s="212" customFormat="1" ht="30" customHeight="1" x14ac:dyDescent="0.25">
      <c r="A75" s="322"/>
      <c r="B75" s="322"/>
      <c r="C75" s="348" t="s">
        <v>209</v>
      </c>
      <c r="D75" s="1859">
        <v>6</v>
      </c>
      <c r="E75" s="1859">
        <v>1</v>
      </c>
      <c r="F75" s="1859">
        <v>250</v>
      </c>
      <c r="G75" s="1859">
        <v>0</v>
      </c>
      <c r="H75" s="1859">
        <v>0</v>
      </c>
      <c r="I75" s="1859">
        <v>0</v>
      </c>
      <c r="J75" s="91">
        <f>IF($F75=0,0,1+($F75-$C$21)/$C$22)+$G75/$C$23+$H75/$C$24+$I75/$C$25</f>
        <v>7.4545454545454541</v>
      </c>
      <c r="K75" s="97">
        <f>10^(-J75)</f>
        <v>3.5111917342151263E-8</v>
      </c>
      <c r="L75" s="91">
        <f>($C$7*$C$14*$C$8*$E75/$D75^2*K75*10^6)</f>
        <v>7.8026482982558355E-3</v>
      </c>
      <c r="M75" s="91">
        <f>IF($F75=0,0,1+($F75-$D$21)/$D$22)+$G75/$D$23+$H75/$D$24+$I75/$D$25</f>
        <v>6.6486486486486482</v>
      </c>
      <c r="N75" s="97">
        <f>10^(-M75)</f>
        <v>2.2456979955397711E-7</v>
      </c>
      <c r="O75" s="91">
        <f>($C$7*$D$14*$D$8*$E75/$D75^2*N75*10^6)</f>
        <v>4.99043999008838E-2</v>
      </c>
      <c r="P75" s="91">
        <f>IF($F75=0,0,1+($F75-$E$21)/$E$22)+$G75/$E$23+$H75/$E$24+$I75/$E$25</f>
        <v>5.7674418604651159</v>
      </c>
      <c r="Q75" s="97">
        <f>10^(-P75)</f>
        <v>1.7082763938087111E-6</v>
      </c>
      <c r="R75" s="91">
        <f>($C$7*$D$14*$E$8*$E75/$D75^2*Q75*10^6)</f>
        <v>0.37961697640193576</v>
      </c>
      <c r="S75" s="91">
        <f>IF($F75=0,0,1+($F75-$F$21)/$F$22)+$G75/$F$23+$H75/$F$24+$I75/$F$25</f>
        <v>9.1481481481481488</v>
      </c>
      <c r="T75" s="97">
        <f>10^(-S75)</f>
        <v>7.1097094323124171E-10</v>
      </c>
      <c r="U75" s="91">
        <f>($C$7*$F$14*$F$8*$E75/$D75^2*T75*10^6)</f>
        <v>1.5799354294027593E-4</v>
      </c>
      <c r="V75" s="91">
        <f>IF($F75=0,0,1+($F75-$G$21)/$G$22)+$G75/$G$23+$H75/$G$24+$I75/$G$25</f>
        <v>6.9444444444444446</v>
      </c>
      <c r="W75" s="97">
        <f>10^(-V75)</f>
        <v>1.136463666385722E-7</v>
      </c>
      <c r="X75" s="697">
        <f>($C$7*$G$14*$G$8*$E75/$D75^2*W75*10^6)</f>
        <v>2.5254748141904933E-2</v>
      </c>
      <c r="Y75" s="324">
        <f>SUM(L75,O75,R75,U75,X75)</f>
        <v>0.46273676628592059</v>
      </c>
      <c r="Z75" s="698"/>
      <c r="AA75" s="699"/>
      <c r="AG75" s="328"/>
      <c r="AI75" s="328"/>
      <c r="AJ75" s="328"/>
      <c r="AK75" s="328"/>
      <c r="AL75" s="328"/>
      <c r="AP75" s="222"/>
      <c r="AQ75" s="211"/>
      <c r="AR75" s="222"/>
      <c r="AS75" s="222"/>
      <c r="AT75" s="225"/>
      <c r="AU75" s="225"/>
      <c r="AV75" s="225"/>
      <c r="AW75" s="225"/>
      <c r="AX75" s="225"/>
      <c r="AY75" s="300"/>
      <c r="AZ75" s="300"/>
    </row>
    <row r="76" spans="1:52" s="212" customFormat="1" ht="30" customHeight="1" x14ac:dyDescent="0.25">
      <c r="A76" s="351" t="str">
        <f>Samenvatting!A147</f>
        <v>L3</v>
      </c>
      <c r="B76" s="352" t="str">
        <f>Samenvatting!B147</f>
        <v>ingang labyrint linac 3</v>
      </c>
      <c r="C76" s="353" t="s">
        <v>361</v>
      </c>
      <c r="D76" s="1859">
        <v>5</v>
      </c>
      <c r="E76" s="58"/>
      <c r="F76" s="1859">
        <v>250</v>
      </c>
      <c r="G76" s="1859">
        <v>0</v>
      </c>
      <c r="H76" s="1859">
        <v>0</v>
      </c>
      <c r="I76" s="1859">
        <v>0</v>
      </c>
      <c r="J76" s="91">
        <f>$F76/$C$27+$G76/$C$28+$H76/$C$29+$I76/$C$30</f>
        <v>7.3529411764705879</v>
      </c>
      <c r="K76" s="97">
        <f>10^(-J76)</f>
        <v>4.4366873309786093E-8</v>
      </c>
      <c r="L76" s="91">
        <f>($C$7*$C$15*$C$8*($C$9+$C$10*$C$11)/$D76^2*K76*10^6)</f>
        <v>1.0648049594348663E-3</v>
      </c>
      <c r="M76" s="91">
        <f>$F76/$D$27+$G76/$D$28+$H76/$D$29+$I76/$D$30</f>
        <v>6.5789473684210522</v>
      </c>
      <c r="N76" s="97">
        <f>10^(-M76)</f>
        <v>2.636650898730358E-7</v>
      </c>
      <c r="O76" s="91">
        <f>($C$7*$C$15*$D$8*($D$9+$D$10*$D$11)/$D76^2*N76*10^6)</f>
        <v>6.3279621569528599E-3</v>
      </c>
      <c r="P76" s="91">
        <f>$F76/$E$27+$G76/$E$28+$H76/$E$29+$I76/$E$30</f>
        <v>5.6818181818181817</v>
      </c>
      <c r="Q76" s="97">
        <f>10^(-P76)</f>
        <v>2.0805675382171676E-6</v>
      </c>
      <c r="R76" s="91">
        <f>($C$7*$C$15*$E$8*($E$9+$E$10*$E$11)/$D76^2*Q76*10^6)</f>
        <v>4.9933620917212027E-2</v>
      </c>
      <c r="S76" s="91">
        <f>$F76/$F$27+$G76/$F$28+$H76/$F$29+$I76/$F$30</f>
        <v>8.1967213114754092</v>
      </c>
      <c r="T76" s="97">
        <f>10^(-S76)</f>
        <v>6.3573875711648393E-9</v>
      </c>
      <c r="U76" s="91">
        <f>($C$7*$C$15*$F$8*($F$9+$F$10*$F$11)/$D76^2*T76*10^6)</f>
        <v>1.5257730170795616E-4</v>
      </c>
      <c r="V76" s="91">
        <f>$F76/$G$27+$G76/$G$28+$H76/$G$29+$I76/$G$30</f>
        <v>7.0224719101123592</v>
      </c>
      <c r="W76" s="97">
        <f>10^(-V76)</f>
        <v>9.4957241494880226E-8</v>
      </c>
      <c r="X76" s="697">
        <f>($C$7*$C$15*$G$8*($G$9+$G$10*$G$11)/$D76^2*W76*10^6)</f>
        <v>2.278973795877126E-3</v>
      </c>
      <c r="Y76" s="355">
        <f>SUM(L76,O76,R76,U76,X76)</f>
        <v>5.9757939131184837E-2</v>
      </c>
      <c r="Z76" s="662">
        <f>SUM(Y74:Y78)</f>
        <v>298.71327202141981</v>
      </c>
      <c r="AA76" s="663">
        <f>Z76*52/10^3</f>
        <v>15.53309014511383</v>
      </c>
      <c r="AG76" s="328"/>
      <c r="AH76" s="328"/>
      <c r="AI76" s="328"/>
      <c r="AJ76" s="328"/>
      <c r="AK76" s="328"/>
      <c r="AL76" s="328"/>
      <c r="AP76" s="222"/>
      <c r="AQ76" s="211"/>
      <c r="AR76" s="222"/>
      <c r="AS76" s="222"/>
      <c r="AT76" s="225"/>
      <c r="AU76" s="225"/>
      <c r="AV76" s="225"/>
      <c r="AW76" s="225"/>
      <c r="AX76" s="225"/>
      <c r="AY76" s="300"/>
      <c r="AZ76" s="300"/>
    </row>
    <row r="77" spans="1:52" s="212" customFormat="1" ht="30" customHeight="1" thickBot="1" x14ac:dyDescent="0.3">
      <c r="A77" s="657"/>
      <c r="B77" s="700"/>
      <c r="C77" s="360" t="s">
        <v>360</v>
      </c>
      <c r="D77" s="701" t="s">
        <v>362</v>
      </c>
      <c r="E77" s="58"/>
      <c r="F77" s="58"/>
      <c r="G77" s="58"/>
      <c r="H77" s="58"/>
      <c r="I77" s="58"/>
      <c r="J77" s="91"/>
      <c r="K77" s="97"/>
      <c r="L77" s="91"/>
      <c r="M77" s="702"/>
      <c r="N77" s="703"/>
      <c r="O77" s="704"/>
      <c r="P77" s="704"/>
      <c r="Q77" s="703"/>
      <c r="R77" s="704"/>
      <c r="S77" s="704"/>
      <c r="T77" s="703"/>
      <c r="U77" s="704"/>
      <c r="V77" s="704"/>
      <c r="W77" s="703"/>
      <c r="X77" s="705"/>
      <c r="Y77" s="339">
        <f>SUM(AT130:AT135)</f>
        <v>298.19077731600271</v>
      </c>
      <c r="Z77" s="706"/>
      <c r="AA77" s="364"/>
      <c r="AG77" s="328"/>
      <c r="AH77" s="328"/>
      <c r="AI77" s="328"/>
      <c r="AJ77" s="328"/>
      <c r="AK77" s="328"/>
      <c r="AL77" s="328"/>
      <c r="AP77" s="222"/>
      <c r="AQ77" s="211"/>
      <c r="AR77" s="222"/>
      <c r="AS77" s="222"/>
      <c r="AT77" s="225"/>
      <c r="AU77" s="225"/>
      <c r="AV77" s="225"/>
      <c r="AW77" s="225"/>
      <c r="AX77" s="225"/>
      <c r="AY77" s="300"/>
      <c r="AZ77" s="300"/>
    </row>
    <row r="78" spans="1:52" s="212" customFormat="1" ht="30" hidden="1" customHeight="1" thickBot="1" x14ac:dyDescent="0.3">
      <c r="A78" s="211"/>
      <c r="B78" s="450"/>
      <c r="C78" s="318"/>
      <c r="D78" s="1872"/>
      <c r="E78" s="1871"/>
      <c r="F78" s="1871"/>
      <c r="G78" s="1871"/>
      <c r="H78" s="1871"/>
      <c r="I78" s="1871"/>
      <c r="J78" s="91"/>
      <c r="K78" s="97"/>
      <c r="L78" s="91"/>
      <c r="M78" s="702"/>
      <c r="N78" s="703"/>
      <c r="O78" s="704"/>
      <c r="P78" s="704"/>
      <c r="Q78" s="703"/>
      <c r="R78" s="704"/>
      <c r="S78" s="704"/>
      <c r="T78" s="703"/>
      <c r="U78" s="704"/>
      <c r="V78" s="704"/>
      <c r="W78" s="703"/>
      <c r="X78" s="705"/>
      <c r="Y78" s="577"/>
      <c r="Z78" s="707"/>
      <c r="AA78" s="708"/>
      <c r="AG78" s="328"/>
      <c r="AH78" s="328"/>
      <c r="AI78" s="328"/>
      <c r="AJ78" s="328"/>
      <c r="AK78" s="328"/>
      <c r="AL78" s="328"/>
      <c r="AP78" s="222"/>
      <c r="AQ78" s="211"/>
      <c r="AR78" s="222"/>
      <c r="AS78" s="222"/>
      <c r="AT78" s="225"/>
      <c r="AU78" s="225"/>
      <c r="AV78" s="225"/>
      <c r="AW78" s="225"/>
      <c r="AX78" s="225"/>
      <c r="AY78" s="300"/>
      <c r="AZ78" s="300"/>
    </row>
    <row r="79" spans="1:52" s="212" customFormat="1" ht="30" customHeight="1" x14ac:dyDescent="0.25">
      <c r="A79" s="322"/>
      <c r="B79" s="322"/>
      <c r="C79" s="323" t="s">
        <v>569</v>
      </c>
      <c r="D79" s="1859">
        <v>6</v>
      </c>
      <c r="E79" s="1859">
        <v>1</v>
      </c>
      <c r="F79" s="1859">
        <v>250</v>
      </c>
      <c r="G79" s="1859">
        <v>0</v>
      </c>
      <c r="H79" s="1859">
        <v>0</v>
      </c>
      <c r="I79" s="1859">
        <v>0</v>
      </c>
      <c r="J79" s="91">
        <f>IF($F79=0,0,1+($F79-$C$21)/$C$22)+$G79/$C$23+$H79/$C$24+$I79/$C$25</f>
        <v>7.4545454545454541</v>
      </c>
      <c r="K79" s="97">
        <f t="shared" ref="K79:K101" si="6">10^(-J79)</f>
        <v>3.5111917342151263E-8</v>
      </c>
      <c r="L79" s="91">
        <f>($C$7*$C$14*$C$8*$E79/$D79^2*K79*10^6)</f>
        <v>7.8026482982558355E-3</v>
      </c>
      <c r="M79" s="91">
        <f>IF($F79=0,0,1+($F79-$D$21)/$D$22)+$G79/$D$23+$H79/$D$24+$I79/$D$25</f>
        <v>6.6486486486486482</v>
      </c>
      <c r="N79" s="97">
        <f t="shared" ref="N79:N101" si="7">10^(-M79)</f>
        <v>2.2456979955397711E-7</v>
      </c>
      <c r="O79" s="91">
        <f>($C$7*$D$14*$D$8*$E79/$D79^2*N79*10^6)</f>
        <v>4.99043999008838E-2</v>
      </c>
      <c r="P79" s="91">
        <f>IF($F79=0,0,1+($F79-$E$21)/$E$22)+$G79/$E$23+$H79/$E$24+$I79/$E$25</f>
        <v>5.7674418604651159</v>
      </c>
      <c r="Q79" s="97">
        <f t="shared" ref="Q79:Q101" si="8">10^(-P79)</f>
        <v>1.7082763938087111E-6</v>
      </c>
      <c r="R79" s="91">
        <f>($C$7*$D$14*$E$8*$E79/$D79^2*Q79*10^6)</f>
        <v>0.37961697640193576</v>
      </c>
      <c r="S79" s="91">
        <f>IF($F79=0,0,1+($F79-$F$21)/$F$22)+$G79/$F$23+$H79/$F$24+$I79/$F$25</f>
        <v>9.1481481481481488</v>
      </c>
      <c r="T79" s="97">
        <f t="shared" ref="T79:T101" si="9">10^(-S79)</f>
        <v>7.1097094323124171E-10</v>
      </c>
      <c r="U79" s="91">
        <f>($C$7*$F$14*$F$8*$E79/$D79^2*T79*10^6)</f>
        <v>1.5799354294027593E-4</v>
      </c>
      <c r="V79" s="91">
        <f>IF($F79=0,0,1+($F79-$G$21)/$G$22)+$G79/$G$23+$H79/$G$24+$I79/$G$25</f>
        <v>6.9444444444444446</v>
      </c>
      <c r="W79" s="97">
        <f t="shared" ref="W79:W101" si="10">10^(-V79)</f>
        <v>1.136463666385722E-7</v>
      </c>
      <c r="X79" s="697">
        <f>($C$7*$G$14*$G$8*$E79/$D79^2*W79*10^6)</f>
        <v>2.5254748141904933E-2</v>
      </c>
      <c r="Y79" s="324">
        <f>SUM(L79,O79,R79,U79,X79)</f>
        <v>0.46273676628592059</v>
      </c>
      <c r="Z79" s="325"/>
      <c r="AA79" s="326"/>
      <c r="AG79" s="328"/>
      <c r="AI79" s="328"/>
      <c r="AJ79" s="328"/>
      <c r="AK79" s="328"/>
      <c r="AL79" s="328"/>
      <c r="AP79" s="222"/>
      <c r="AQ79" s="211"/>
      <c r="AR79" s="222"/>
      <c r="AS79" s="222"/>
      <c r="AT79" s="225"/>
      <c r="AU79" s="225"/>
      <c r="AV79" s="225"/>
      <c r="AW79" s="225"/>
      <c r="AX79" s="225"/>
      <c r="AY79" s="300"/>
      <c r="AZ79" s="300"/>
    </row>
    <row r="80" spans="1:52" s="212" customFormat="1" ht="30" customHeight="1" thickBot="1" x14ac:dyDescent="0.3">
      <c r="A80" s="343" t="str">
        <f>Samenvatting!A159</f>
        <v>L4</v>
      </c>
      <c r="B80" s="346" t="str">
        <f>Samenvatting!B159</f>
        <v>ingang labyrint linac 4</v>
      </c>
      <c r="C80" s="331" t="s">
        <v>568</v>
      </c>
      <c r="D80" s="1859">
        <v>5</v>
      </c>
      <c r="E80" s="58"/>
      <c r="F80" s="1859">
        <v>250</v>
      </c>
      <c r="G80" s="1859">
        <v>0</v>
      </c>
      <c r="H80" s="1859">
        <v>0</v>
      </c>
      <c r="I80" s="1859">
        <v>0</v>
      </c>
      <c r="J80" s="91">
        <f>$F80/$C$27+$G80/$C$28+$H80/$C$29+$I80/$C$30</f>
        <v>7.3529411764705879</v>
      </c>
      <c r="K80" s="97">
        <f t="shared" si="6"/>
        <v>4.4366873309786093E-8</v>
      </c>
      <c r="L80" s="91">
        <f>($C$7*$C$15*$C$8*($C$9+$C$10*$C$11)/$D80^2*K80*10^6)</f>
        <v>1.0648049594348663E-3</v>
      </c>
      <c r="M80" s="91">
        <f>$F80/$D$27+$G80/$D$28+$H80/$D$29+$I80/$D$30</f>
        <v>6.5789473684210522</v>
      </c>
      <c r="N80" s="97">
        <f t="shared" si="7"/>
        <v>2.636650898730358E-7</v>
      </c>
      <c r="O80" s="91">
        <f>($C$7*$C$15*$D$8*($D$9+$D$10*$D$11)/$D80^2*N80*10^6)</f>
        <v>6.3279621569528599E-3</v>
      </c>
      <c r="P80" s="91">
        <f>$F80/$E$27+$G80/$E$28+$H80/$E$29+$I80/$E$30</f>
        <v>5.6818181818181817</v>
      </c>
      <c r="Q80" s="97">
        <f t="shared" si="8"/>
        <v>2.0805675382171676E-6</v>
      </c>
      <c r="R80" s="91">
        <f>($C$7*$C$15*$E$8*($E$9+$E$10*$E$11)/$D80^2*Q80*10^6)</f>
        <v>4.9933620917212027E-2</v>
      </c>
      <c r="S80" s="91">
        <f>$F80/$F$27+$G80/$F$28+$H80/$F$29+$I80/$F$30</f>
        <v>8.1967213114754092</v>
      </c>
      <c r="T80" s="97">
        <f t="shared" si="9"/>
        <v>6.3573875711648393E-9</v>
      </c>
      <c r="U80" s="91">
        <f>($C$7*$C$15*$F$8*($F$9+$F$10*$F$11)/$D80^2*T80*10^6)</f>
        <v>1.5257730170795616E-4</v>
      </c>
      <c r="V80" s="91">
        <f>$F80/$G$27+$G80/$G$28+$H80/$G$29+$I80/$G$30</f>
        <v>7.0224719101123592</v>
      </c>
      <c r="W80" s="97">
        <f t="shared" si="10"/>
        <v>9.4957241494880226E-8</v>
      </c>
      <c r="X80" s="697">
        <f>($C$7*$C$15*$G$8*($G$9+$G$10*$G$11)/$D80^2*W80*10^6)</f>
        <v>2.278973795877126E-3</v>
      </c>
      <c r="Y80" s="339">
        <f>SUM(L80,O80,R80,U80,X80)</f>
        <v>5.9757939131184837E-2</v>
      </c>
      <c r="Z80" s="333">
        <f>SUM(Y78:Y81)</f>
        <v>0.52249470541710541</v>
      </c>
      <c r="AA80" s="334">
        <f>Z80*52/10^3</f>
        <v>2.7169724681689482E-2</v>
      </c>
      <c r="AG80" s="328"/>
      <c r="AH80" s="328"/>
      <c r="AI80" s="328"/>
      <c r="AJ80" s="328"/>
      <c r="AK80" s="328"/>
      <c r="AL80" s="328"/>
      <c r="AP80" s="222"/>
      <c r="AQ80" s="211"/>
      <c r="AR80" s="222"/>
      <c r="AS80" s="222"/>
      <c r="AT80" s="225"/>
      <c r="AU80" s="225"/>
      <c r="AV80" s="225"/>
      <c r="AW80" s="225"/>
      <c r="AX80" s="225"/>
      <c r="AY80" s="300"/>
      <c r="AZ80" s="300"/>
    </row>
    <row r="81" spans="1:52" s="212" customFormat="1" ht="30" hidden="1" customHeight="1" thickBot="1" x14ac:dyDescent="0.3">
      <c r="A81" s="317"/>
      <c r="B81" s="317"/>
      <c r="C81" s="318"/>
      <c r="D81" s="1871"/>
      <c r="E81" s="1871"/>
      <c r="F81" s="1871"/>
      <c r="G81" s="1871"/>
      <c r="H81" s="1871"/>
      <c r="I81" s="1871"/>
      <c r="J81" s="91"/>
      <c r="K81" s="97"/>
      <c r="L81" s="91"/>
      <c r="M81" s="91"/>
      <c r="N81" s="97"/>
      <c r="O81" s="91"/>
      <c r="P81" s="91"/>
      <c r="Q81" s="97"/>
      <c r="R81" s="91"/>
      <c r="S81" s="91"/>
      <c r="T81" s="97"/>
      <c r="U81" s="91"/>
      <c r="V81" s="91"/>
      <c r="W81" s="97"/>
      <c r="X81" s="697"/>
      <c r="Y81" s="316"/>
      <c r="Z81" s="344"/>
      <c r="AA81" s="345"/>
      <c r="AG81" s="328"/>
      <c r="AH81" s="328"/>
      <c r="AI81" s="328"/>
      <c r="AJ81" s="328"/>
      <c r="AK81" s="328"/>
      <c r="AL81" s="328"/>
      <c r="AP81" s="222"/>
      <c r="AQ81" s="211"/>
      <c r="AR81" s="222"/>
      <c r="AS81" s="222"/>
      <c r="AT81" s="225"/>
      <c r="AU81" s="225"/>
      <c r="AV81" s="225"/>
      <c r="AW81" s="225"/>
      <c r="AX81" s="225"/>
      <c r="AY81" s="300"/>
      <c r="AZ81" s="300"/>
    </row>
    <row r="82" spans="1:52" s="212" customFormat="1" ht="30" customHeight="1" x14ac:dyDescent="0.25">
      <c r="A82" s="322"/>
      <c r="B82" s="322"/>
      <c r="C82" s="323" t="s">
        <v>569</v>
      </c>
      <c r="D82" s="1859">
        <v>6</v>
      </c>
      <c r="E82" s="1859">
        <v>1</v>
      </c>
      <c r="F82" s="1859">
        <v>250</v>
      </c>
      <c r="G82" s="1859">
        <v>0</v>
      </c>
      <c r="H82" s="1859">
        <v>0</v>
      </c>
      <c r="I82" s="1859">
        <v>0</v>
      </c>
      <c r="J82" s="91">
        <f>IF($F82=0,0,1+($F82-$C$21)/$C$22)+$G82/$C$23+$H82/$C$24+$I82/$C$25</f>
        <v>7.4545454545454541</v>
      </c>
      <c r="K82" s="97">
        <f t="shared" si="6"/>
        <v>3.5111917342151263E-8</v>
      </c>
      <c r="L82" s="91">
        <f>($C$7*$C$14*$C$8*$E82/$D82^2*K82*10^6)</f>
        <v>7.8026482982558355E-3</v>
      </c>
      <c r="M82" s="91">
        <f>IF($F82=0,0,1+($F82-$D$21)/$D$22)+$G82/$D$23+$H82/$D$24+$I82/$D$25</f>
        <v>6.6486486486486482</v>
      </c>
      <c r="N82" s="97">
        <f t="shared" si="7"/>
        <v>2.2456979955397711E-7</v>
      </c>
      <c r="O82" s="91">
        <f>($C$7*$D$14*$D$8*$E82/$D82^2*N82*10^6)</f>
        <v>4.99043999008838E-2</v>
      </c>
      <c r="P82" s="91">
        <f>IF($F82=0,0,1+($F82-$E$21)/$E$22)+$G82/$E$23+$H82/$E$24+$I82/$E$25</f>
        <v>5.7674418604651159</v>
      </c>
      <c r="Q82" s="97">
        <f t="shared" si="8"/>
        <v>1.7082763938087111E-6</v>
      </c>
      <c r="R82" s="91">
        <f>($C$7*$D$14*$E$8*$E82/$D82^2*Q82*10^6)</f>
        <v>0.37961697640193576</v>
      </c>
      <c r="S82" s="91">
        <f>IF($F82=0,0,1+($F82-$F$21)/$F$22)+$G82/$F$23+$H82/$F$24+$I82/$F$25</f>
        <v>9.1481481481481488</v>
      </c>
      <c r="T82" s="97">
        <f t="shared" si="9"/>
        <v>7.1097094323124171E-10</v>
      </c>
      <c r="U82" s="91">
        <f>($C$7*$F$14*$F$8*$E82/$D82^2*T82*10^6)</f>
        <v>1.5799354294027593E-4</v>
      </c>
      <c r="V82" s="91">
        <f>IF($F82=0,0,1+($F82-$G$21)/$G$22)+$G82/$G$23+$H82/$G$24+$I82/$G$25</f>
        <v>6.9444444444444446</v>
      </c>
      <c r="W82" s="97">
        <f t="shared" si="10"/>
        <v>1.136463666385722E-7</v>
      </c>
      <c r="X82" s="697">
        <f>($C$7*$G$14*$G$8*$E82/$D82^2*W82*10^6)</f>
        <v>2.5254748141904933E-2</v>
      </c>
      <c r="Y82" s="324">
        <f t="shared" ref="Y82:Y98" si="11">SUM(L82,O82,R82,U82,X82)</f>
        <v>0.46273676628592059</v>
      </c>
      <c r="Z82" s="325"/>
      <c r="AA82" s="326"/>
      <c r="AG82" s="328"/>
      <c r="AI82" s="328"/>
      <c r="AJ82" s="328"/>
      <c r="AK82" s="328"/>
      <c r="AL82" s="328"/>
      <c r="AP82" s="222"/>
      <c r="AQ82" s="211"/>
      <c r="AR82" s="222"/>
      <c r="AS82" s="222"/>
      <c r="AT82" s="225"/>
      <c r="AU82" s="225"/>
      <c r="AV82" s="225"/>
      <c r="AW82" s="225"/>
      <c r="AX82" s="225"/>
      <c r="AY82" s="300"/>
      <c r="AZ82" s="300"/>
    </row>
    <row r="83" spans="1:52" s="212" customFormat="1" ht="30" customHeight="1" thickBot="1" x14ac:dyDescent="0.3">
      <c r="A83" s="343" t="str">
        <f>Samenvatting!A171</f>
        <v>L5</v>
      </c>
      <c r="B83" s="352" t="str">
        <f>Samenvatting!B171</f>
        <v>ingang labyrint linac 5</v>
      </c>
      <c r="C83" s="331" t="s">
        <v>568</v>
      </c>
      <c r="D83" s="1859">
        <v>5</v>
      </c>
      <c r="E83" s="58"/>
      <c r="F83" s="1859">
        <v>250</v>
      </c>
      <c r="G83" s="1859">
        <v>0</v>
      </c>
      <c r="H83" s="1859">
        <v>0</v>
      </c>
      <c r="I83" s="1859">
        <v>0</v>
      </c>
      <c r="J83" s="91">
        <f>$F83/$C$27+$G83/$C$28+$H83/$C$29+$I83/$C$30</f>
        <v>7.3529411764705879</v>
      </c>
      <c r="K83" s="97">
        <f t="shared" si="6"/>
        <v>4.4366873309786093E-8</v>
      </c>
      <c r="L83" s="91">
        <f>($C$7*$C$15*$C$8*($C$9+$C$10*$C$11)/$D83^2*K83*10^6)</f>
        <v>1.0648049594348663E-3</v>
      </c>
      <c r="M83" s="91">
        <f>$F83/$D$27+$G83/$D$28+$H83/$D$29+$I83/$D$30</f>
        <v>6.5789473684210522</v>
      </c>
      <c r="N83" s="97">
        <f t="shared" si="7"/>
        <v>2.636650898730358E-7</v>
      </c>
      <c r="O83" s="91">
        <f>($C$7*$C$15*$D$8*($D$9+$D$10*$D$11)/$D83^2*N83*10^6)</f>
        <v>6.3279621569528599E-3</v>
      </c>
      <c r="P83" s="91">
        <f>$F83/$E$27+$G83/$E$28+$H83/$E$29+$I83/$E$30</f>
        <v>5.6818181818181817</v>
      </c>
      <c r="Q83" s="97">
        <f t="shared" si="8"/>
        <v>2.0805675382171676E-6</v>
      </c>
      <c r="R83" s="91">
        <f>($C$7*$C$15*$E$8*($E$9+$E$10*$E$11)/$D83^2*Q83*10^6)</f>
        <v>4.9933620917212027E-2</v>
      </c>
      <c r="S83" s="91">
        <f>$F83/$F$27+$G83/$F$28+$H83/$F$29+$I83/$F$30</f>
        <v>8.1967213114754092</v>
      </c>
      <c r="T83" s="97">
        <f t="shared" si="9"/>
        <v>6.3573875711648393E-9</v>
      </c>
      <c r="U83" s="91">
        <f>($C$7*$C$15*$F$8*($F$9+$F$10*$F$11)/$D83^2*T83*10^6)</f>
        <v>1.5257730170795616E-4</v>
      </c>
      <c r="V83" s="91">
        <f>$F83/$G$27+$G83/$G$28+$H83/$G$29+$I83/$G$30</f>
        <v>7.0224719101123592</v>
      </c>
      <c r="W83" s="97">
        <f t="shared" si="10"/>
        <v>9.4957241494880226E-8</v>
      </c>
      <c r="X83" s="697">
        <f>($C$7*$C$15*$G$8*($G$9+$G$10*$G$11)/$D83^2*W83*10^6)</f>
        <v>2.278973795877126E-3</v>
      </c>
      <c r="Y83" s="339">
        <f t="shared" si="11"/>
        <v>5.9757939131184837E-2</v>
      </c>
      <c r="Z83" s="333">
        <f>SUM(Y81:Y84)</f>
        <v>0.52249470541710541</v>
      </c>
      <c r="AA83" s="334">
        <f>Z83*52/10^3</f>
        <v>2.7169724681689482E-2</v>
      </c>
      <c r="AG83" s="328"/>
      <c r="AH83" s="328"/>
      <c r="AI83" s="328"/>
      <c r="AJ83" s="328"/>
      <c r="AK83" s="328"/>
      <c r="AL83" s="328"/>
      <c r="AP83" s="222"/>
      <c r="AQ83" s="211"/>
      <c r="AR83" s="222"/>
      <c r="AS83" s="222"/>
      <c r="AT83" s="225"/>
      <c r="AU83" s="225"/>
      <c r="AV83" s="225"/>
      <c r="AW83" s="225"/>
      <c r="AX83" s="225"/>
      <c r="AY83" s="300"/>
      <c r="AZ83" s="300"/>
    </row>
    <row r="84" spans="1:52" s="212" customFormat="1" ht="30" hidden="1" customHeight="1" thickBot="1" x14ac:dyDescent="0.3">
      <c r="A84" s="317"/>
      <c r="B84" s="317"/>
      <c r="C84" s="318"/>
      <c r="D84" s="1871"/>
      <c r="E84" s="1871"/>
      <c r="F84" s="1871"/>
      <c r="G84" s="1871"/>
      <c r="H84" s="1871"/>
      <c r="I84" s="1871"/>
      <c r="J84" s="91"/>
      <c r="K84" s="97"/>
      <c r="L84" s="91"/>
      <c r="M84" s="91"/>
      <c r="N84" s="97"/>
      <c r="O84" s="91"/>
      <c r="P84" s="91"/>
      <c r="Q84" s="97"/>
      <c r="R84" s="91"/>
      <c r="S84" s="91"/>
      <c r="T84" s="97"/>
      <c r="U84" s="91"/>
      <c r="V84" s="91"/>
      <c r="W84" s="97"/>
      <c r="X84" s="697"/>
      <c r="Y84" s="316"/>
      <c r="Z84" s="344"/>
      <c r="AA84" s="345"/>
      <c r="AG84" s="328"/>
      <c r="AH84" s="328"/>
      <c r="AI84" s="328"/>
      <c r="AJ84" s="328"/>
      <c r="AK84" s="328"/>
      <c r="AL84" s="328"/>
      <c r="AP84" s="222"/>
      <c r="AQ84" s="211"/>
      <c r="AR84" s="222"/>
      <c r="AS84" s="222"/>
      <c r="AT84" s="225"/>
      <c r="AU84" s="225"/>
      <c r="AV84" s="225"/>
      <c r="AW84" s="225"/>
      <c r="AX84" s="225"/>
      <c r="AY84" s="300"/>
      <c r="AZ84" s="300"/>
    </row>
    <row r="85" spans="1:52" s="212" customFormat="1" ht="30" customHeight="1" x14ac:dyDescent="0.25">
      <c r="A85" s="322"/>
      <c r="B85" s="322"/>
      <c r="C85" s="323" t="s">
        <v>209</v>
      </c>
      <c r="D85" s="1859">
        <v>6</v>
      </c>
      <c r="E85" s="1859">
        <v>1</v>
      </c>
      <c r="F85" s="1859">
        <v>250</v>
      </c>
      <c r="G85" s="1859">
        <v>0</v>
      </c>
      <c r="H85" s="1859">
        <v>0</v>
      </c>
      <c r="I85" s="1859">
        <v>0</v>
      </c>
      <c r="J85" s="91">
        <f>IF($F85=0,0,1+($F85-$C$21)/$C$22)+$G85/$C$23+$H85/$C$24+$I85/$C$25</f>
        <v>7.4545454545454541</v>
      </c>
      <c r="K85" s="97">
        <f t="shared" si="6"/>
        <v>3.5111917342151263E-8</v>
      </c>
      <c r="L85" s="91">
        <f>($C$7*$C$14*$C$8*$E85/$D85^2*K85*10^6)</f>
        <v>7.8026482982558355E-3</v>
      </c>
      <c r="M85" s="91">
        <f>IF($F85=0,0,1+($F85-$D$21)/$D$22)+$G85/$D$23+$H85/$D$24+$I85/$D$25</f>
        <v>6.6486486486486482</v>
      </c>
      <c r="N85" s="97">
        <f t="shared" si="7"/>
        <v>2.2456979955397711E-7</v>
      </c>
      <c r="O85" s="91">
        <f>($C$7*$D$14*$D$8*$E85/$D85^2*N85*10^6)</f>
        <v>4.99043999008838E-2</v>
      </c>
      <c r="P85" s="91">
        <f>IF($F85=0,0,1+($F85-$E$21)/$E$22)+$G85/$E$23+$H85/$E$24+$I85/$E$25</f>
        <v>5.7674418604651159</v>
      </c>
      <c r="Q85" s="97">
        <f t="shared" si="8"/>
        <v>1.7082763938087111E-6</v>
      </c>
      <c r="R85" s="91">
        <f>($C$7*$D$14*$E$8*$E85/$D85^2*Q85*10^6)</f>
        <v>0.37961697640193576</v>
      </c>
      <c r="S85" s="91">
        <f>IF($F85=0,0,1+($F85-$F$21)/$F$22)+$G85/$F$23+$H85/$F$24+$I85/$F$25</f>
        <v>9.1481481481481488</v>
      </c>
      <c r="T85" s="97">
        <f t="shared" si="9"/>
        <v>7.1097094323124171E-10</v>
      </c>
      <c r="U85" s="91">
        <f>($C$7*$F$14*$F$8*$E85/$D85^2*T85*10^6)</f>
        <v>1.5799354294027593E-4</v>
      </c>
      <c r="V85" s="91">
        <f>IF($F85=0,0,1+($F85-$G$21)/$G$22)+$G85/$G$23+$H85/$G$24+$I85/$G$25</f>
        <v>6.9444444444444446</v>
      </c>
      <c r="W85" s="97">
        <f t="shared" si="10"/>
        <v>1.136463666385722E-7</v>
      </c>
      <c r="X85" s="697">
        <f>($C$7*$G$14*$G$8*$E85/$D85^2*W85*10^6)</f>
        <v>2.5254748141904933E-2</v>
      </c>
      <c r="Y85" s="324">
        <f t="shared" si="11"/>
        <v>0.46273676628592059</v>
      </c>
      <c r="Z85" s="325"/>
      <c r="AA85" s="326"/>
      <c r="AG85" s="328"/>
      <c r="AI85" s="328"/>
      <c r="AJ85" s="328"/>
      <c r="AK85" s="328"/>
      <c r="AL85" s="328"/>
      <c r="AP85" s="222"/>
      <c r="AQ85" s="211"/>
      <c r="AR85" s="222"/>
      <c r="AS85" s="222"/>
      <c r="AT85" s="225"/>
      <c r="AU85" s="225"/>
      <c r="AV85" s="225"/>
      <c r="AW85" s="225"/>
      <c r="AX85" s="225"/>
      <c r="AY85" s="300"/>
      <c r="AZ85" s="300"/>
    </row>
    <row r="86" spans="1:52" s="212" customFormat="1" ht="30" customHeight="1" thickBot="1" x14ac:dyDescent="0.3">
      <c r="A86" s="343" t="str">
        <f>Samenvatting!A183</f>
        <v>L6</v>
      </c>
      <c r="B86" s="352" t="str">
        <f>Samenvatting!B183</f>
        <v>ingang labyrint linac 6</v>
      </c>
      <c r="C86" s="331" t="s">
        <v>361</v>
      </c>
      <c r="D86" s="1859">
        <v>5</v>
      </c>
      <c r="E86" s="58"/>
      <c r="F86" s="1859">
        <v>250</v>
      </c>
      <c r="G86" s="1859">
        <v>0</v>
      </c>
      <c r="H86" s="1859">
        <v>0</v>
      </c>
      <c r="I86" s="1859">
        <v>0</v>
      </c>
      <c r="J86" s="91">
        <f>$F86/$C$27+$G86/$C$28+$H86/$C$29+$I86/$C$30</f>
        <v>7.3529411764705879</v>
      </c>
      <c r="K86" s="97">
        <f t="shared" si="6"/>
        <v>4.4366873309786093E-8</v>
      </c>
      <c r="L86" s="91">
        <f>($C$7*$C$15*$C$8*($C$9+$C$10*$C$11)/$D86^2*K86*10^6)</f>
        <v>1.0648049594348663E-3</v>
      </c>
      <c r="M86" s="91">
        <f>$F86/$D$27+$G86/$D$28+$H86/$D$29+$I86/$D$30</f>
        <v>6.5789473684210522</v>
      </c>
      <c r="N86" s="97">
        <f t="shared" si="7"/>
        <v>2.636650898730358E-7</v>
      </c>
      <c r="O86" s="91">
        <f>($C$7*$C$15*$D$8*($D$9+$D$10*$D$11)/$D86^2*N86*10^6)</f>
        <v>6.3279621569528599E-3</v>
      </c>
      <c r="P86" s="91">
        <f>$F86/$E$27+$G86/$E$28+$H86/$E$29+$I86/$E$30</f>
        <v>5.6818181818181817</v>
      </c>
      <c r="Q86" s="97">
        <f t="shared" si="8"/>
        <v>2.0805675382171676E-6</v>
      </c>
      <c r="R86" s="91">
        <f>($C$7*$C$15*$E$8*($E$9+$E$10*$E$11)/$D86^2*Q86*10^6)</f>
        <v>4.9933620917212027E-2</v>
      </c>
      <c r="S86" s="91">
        <f>$F86/$F$27+$G86/$F$28+$H86/$F$29+$I86/$F$30</f>
        <v>8.1967213114754092</v>
      </c>
      <c r="T86" s="97">
        <f t="shared" si="9"/>
        <v>6.3573875711648393E-9</v>
      </c>
      <c r="U86" s="91">
        <f>($C$7*$C$15*$F$8*($F$9+$F$10*$F$11)/$D86^2*T86*10^6)</f>
        <v>1.5257730170795616E-4</v>
      </c>
      <c r="V86" s="91">
        <f>$F86/$G$27+$G86/$G$28+$H86/$G$29+$I86/$G$30</f>
        <v>7.0224719101123592</v>
      </c>
      <c r="W86" s="97">
        <f t="shared" si="10"/>
        <v>9.4957241494880226E-8</v>
      </c>
      <c r="X86" s="697">
        <f>($C$7*$C$15*$G$8*($G$9+$G$10*$G$11)/$D86^2*W86*10^6)</f>
        <v>2.278973795877126E-3</v>
      </c>
      <c r="Y86" s="355">
        <f t="shared" si="11"/>
        <v>5.9757939131184837E-2</v>
      </c>
      <c r="Z86" s="333">
        <f>SUM(Y84:Y87)</f>
        <v>0.52249470541710541</v>
      </c>
      <c r="AA86" s="334">
        <f>Z86*52/10^3</f>
        <v>2.7169724681689482E-2</v>
      </c>
      <c r="AG86" s="328"/>
      <c r="AH86" s="328"/>
      <c r="AI86" s="328"/>
      <c r="AJ86" s="328"/>
      <c r="AK86" s="328"/>
      <c r="AL86" s="328"/>
      <c r="AP86" s="222"/>
      <c r="AQ86" s="211"/>
      <c r="AR86" s="222"/>
      <c r="AS86" s="222"/>
      <c r="AT86" s="225"/>
      <c r="AU86" s="225"/>
      <c r="AV86" s="225"/>
      <c r="AW86" s="225"/>
      <c r="AX86" s="225"/>
      <c r="AY86" s="300"/>
      <c r="AZ86" s="300"/>
    </row>
    <row r="87" spans="1:52" s="212" customFormat="1" ht="30" hidden="1" customHeight="1" thickBot="1" x14ac:dyDescent="0.3">
      <c r="A87" s="317"/>
      <c r="B87" s="317"/>
      <c r="C87" s="318"/>
      <c r="D87" s="1871"/>
      <c r="E87" s="1871"/>
      <c r="F87" s="1871"/>
      <c r="G87" s="1871"/>
      <c r="H87" s="1871"/>
      <c r="I87" s="1871"/>
      <c r="J87" s="91"/>
      <c r="K87" s="97"/>
      <c r="L87" s="91"/>
      <c r="M87" s="91"/>
      <c r="N87" s="97"/>
      <c r="O87" s="91"/>
      <c r="P87" s="91"/>
      <c r="Q87" s="97"/>
      <c r="R87" s="91"/>
      <c r="S87" s="91"/>
      <c r="T87" s="97"/>
      <c r="U87" s="91"/>
      <c r="V87" s="91"/>
      <c r="W87" s="97"/>
      <c r="X87" s="697"/>
      <c r="Y87" s="365"/>
      <c r="Z87" s="344"/>
      <c r="AA87" s="345"/>
      <c r="AG87" s="328"/>
      <c r="AH87" s="328"/>
      <c r="AI87" s="328"/>
      <c r="AJ87" s="328"/>
      <c r="AK87" s="328"/>
      <c r="AL87" s="328"/>
      <c r="AP87" s="222"/>
      <c r="AQ87" s="211"/>
      <c r="AR87" s="222"/>
      <c r="AS87" s="222"/>
      <c r="AT87" s="225"/>
      <c r="AU87" s="225"/>
      <c r="AV87" s="225"/>
      <c r="AW87" s="225"/>
      <c r="AX87" s="225"/>
      <c r="AY87" s="300"/>
      <c r="AZ87" s="300"/>
    </row>
    <row r="88" spans="1:52" s="212" customFormat="1" ht="30" customHeight="1" x14ac:dyDescent="0.25">
      <c r="A88" s="322"/>
      <c r="B88" s="322"/>
      <c r="C88" s="323" t="s">
        <v>569</v>
      </c>
      <c r="D88" s="1859">
        <v>6</v>
      </c>
      <c r="E88" s="1859">
        <v>1</v>
      </c>
      <c r="F88" s="1859">
        <v>250</v>
      </c>
      <c r="G88" s="1859">
        <v>0</v>
      </c>
      <c r="H88" s="1859">
        <v>0</v>
      </c>
      <c r="I88" s="1859">
        <v>0</v>
      </c>
      <c r="J88" s="91">
        <f>IF($F88=0,0,1+($F88-$C$21)/$C$22)+$G88/$C$23+$H88/$C$24+$I88/$C$25</f>
        <v>7.4545454545454541</v>
      </c>
      <c r="K88" s="97">
        <f t="shared" si="6"/>
        <v>3.5111917342151263E-8</v>
      </c>
      <c r="L88" s="91">
        <f>($C$7*$C$14*$C$8*$E88/$D88^2*K88*10^6)</f>
        <v>7.8026482982558355E-3</v>
      </c>
      <c r="M88" s="91">
        <f>IF($F88=0,0,1+($F88-$D$21)/$D$22)+$G88/$D$23+$H88/$D$24+$I88/$D$25</f>
        <v>6.6486486486486482</v>
      </c>
      <c r="N88" s="97">
        <f t="shared" si="7"/>
        <v>2.2456979955397711E-7</v>
      </c>
      <c r="O88" s="91">
        <f>($C$7*$D$14*$D$8*$E88/$D88^2*N88*10^6)</f>
        <v>4.99043999008838E-2</v>
      </c>
      <c r="P88" s="91">
        <f>IF($F88=0,0,1+($F88-$E$21)/$E$22)+$G88/$E$23+$H88/$E$24+$I88/$E$25</f>
        <v>5.7674418604651159</v>
      </c>
      <c r="Q88" s="97">
        <f t="shared" si="8"/>
        <v>1.7082763938087111E-6</v>
      </c>
      <c r="R88" s="91">
        <f>($C$7*$D$14*$E$8*$E88/$D88^2*Q88*10^6)</f>
        <v>0.37961697640193576</v>
      </c>
      <c r="S88" s="91">
        <f>IF($F88=0,0,1+($F88-$F$21)/$F$22)+$G88/$F$23+$H88/$F$24+$I88/$F$25</f>
        <v>9.1481481481481488</v>
      </c>
      <c r="T88" s="97">
        <f t="shared" si="9"/>
        <v>7.1097094323124171E-10</v>
      </c>
      <c r="U88" s="91">
        <f>($C$7*$F$14*$F$8*$E88/$D88^2*T88*10^6)</f>
        <v>1.5799354294027593E-4</v>
      </c>
      <c r="V88" s="91">
        <f>IF($F88=0,0,1+($F88-$G$21)/$G$22)+$G88/$G$23+$H88/$G$24+$I88/$G$25</f>
        <v>6.9444444444444446</v>
      </c>
      <c r="W88" s="97">
        <f t="shared" si="10"/>
        <v>1.136463666385722E-7</v>
      </c>
      <c r="X88" s="697">
        <f>($C$7*$G$14*$G$8*$E88/$D88^2*W88*10^6)</f>
        <v>2.5254748141904933E-2</v>
      </c>
      <c r="Y88" s="324">
        <f t="shared" si="11"/>
        <v>0.46273676628592059</v>
      </c>
      <c r="Z88" s="325"/>
      <c r="AA88" s="326"/>
      <c r="AG88" s="328"/>
      <c r="AI88" s="328"/>
      <c r="AJ88" s="328"/>
      <c r="AK88" s="328"/>
      <c r="AL88" s="328"/>
      <c r="AP88" s="222"/>
      <c r="AQ88" s="211"/>
      <c r="AR88" s="222"/>
      <c r="AS88" s="222"/>
      <c r="AT88" s="225"/>
      <c r="AU88" s="225"/>
      <c r="AV88" s="225"/>
      <c r="AW88" s="225"/>
      <c r="AX88" s="225"/>
      <c r="AY88" s="300"/>
      <c r="AZ88" s="300"/>
    </row>
    <row r="89" spans="1:52" s="212" customFormat="1" ht="30" customHeight="1" thickBot="1" x14ac:dyDescent="0.3">
      <c r="A89" s="343" t="str">
        <f>Samenvatting!A195</f>
        <v>L7</v>
      </c>
      <c r="B89" s="352" t="str">
        <f>Samenvatting!B195</f>
        <v>ingang labyrint linac 7</v>
      </c>
      <c r="C89" s="331" t="s">
        <v>568</v>
      </c>
      <c r="D89" s="1859">
        <v>5</v>
      </c>
      <c r="E89" s="58"/>
      <c r="F89" s="1859">
        <v>250</v>
      </c>
      <c r="G89" s="1859">
        <v>0</v>
      </c>
      <c r="H89" s="1859">
        <v>0</v>
      </c>
      <c r="I89" s="1859">
        <v>0</v>
      </c>
      <c r="J89" s="91">
        <f>$F89/$C$27+$G89/$C$28+$H89/$C$29+$I89/$C$30</f>
        <v>7.3529411764705879</v>
      </c>
      <c r="K89" s="97">
        <f t="shared" si="6"/>
        <v>4.4366873309786093E-8</v>
      </c>
      <c r="L89" s="91">
        <f>($C$7*$C$15*$C$8*($C$9+$C$10*$C$11)/$D89^2*K89*10^6)</f>
        <v>1.0648049594348663E-3</v>
      </c>
      <c r="M89" s="91">
        <f>$F89/$D$27+$G89/$D$28+$H89/$D$29+$I89/$D$30</f>
        <v>6.5789473684210522</v>
      </c>
      <c r="N89" s="97">
        <f t="shared" si="7"/>
        <v>2.636650898730358E-7</v>
      </c>
      <c r="O89" s="91">
        <f>($C$7*$C$15*$D$8*($D$9+$D$10*$D$11)/$D89^2*N89*10^6)</f>
        <v>6.3279621569528599E-3</v>
      </c>
      <c r="P89" s="91">
        <f>$F89/$E$27+$G89/$E$28+$H89/$E$29+$I89/$E$30</f>
        <v>5.6818181818181817</v>
      </c>
      <c r="Q89" s="97">
        <f t="shared" si="8"/>
        <v>2.0805675382171676E-6</v>
      </c>
      <c r="R89" s="91">
        <f>($C$7*$C$15*$E$8*($E$9+$E$10*$E$11)/$D89^2*Q89*10^6)</f>
        <v>4.9933620917212027E-2</v>
      </c>
      <c r="S89" s="91">
        <f>$F89/$F$27+$G89/$F$28+$H89/$F$29+$I89/$F$30</f>
        <v>8.1967213114754092</v>
      </c>
      <c r="T89" s="97">
        <f t="shared" si="9"/>
        <v>6.3573875711648393E-9</v>
      </c>
      <c r="U89" s="91">
        <f>($C$7*$C$15*$F$8*($F$9+$F$10*$F$11)/$D89^2*T89*10^6)</f>
        <v>1.5257730170795616E-4</v>
      </c>
      <c r="V89" s="91">
        <f>$F89/$G$27+$G89/$G$28+$H89/$G$29+$I89/$G$30</f>
        <v>7.0224719101123592</v>
      </c>
      <c r="W89" s="97">
        <f t="shared" si="10"/>
        <v>9.4957241494880226E-8</v>
      </c>
      <c r="X89" s="697">
        <f>($C$7*$C$15*$G$8*($G$9+$G$10*$G$11)/$D89^2*W89*10^6)</f>
        <v>2.278973795877126E-3</v>
      </c>
      <c r="Y89" s="339">
        <f t="shared" si="11"/>
        <v>5.9757939131184837E-2</v>
      </c>
      <c r="Z89" s="333">
        <f>SUM(Y87:Y90)</f>
        <v>0.52249470541710541</v>
      </c>
      <c r="AA89" s="334">
        <f>Z89*52/10^3</f>
        <v>2.7169724681689482E-2</v>
      </c>
      <c r="AG89" s="328"/>
      <c r="AH89" s="328"/>
      <c r="AI89" s="328"/>
      <c r="AJ89" s="328"/>
      <c r="AK89" s="328"/>
      <c r="AL89" s="328"/>
      <c r="AP89" s="222"/>
      <c r="AQ89" s="211"/>
      <c r="AR89" s="222"/>
      <c r="AS89" s="222"/>
      <c r="AT89" s="225"/>
      <c r="AU89" s="225"/>
      <c r="AV89" s="225"/>
      <c r="AW89" s="225"/>
      <c r="AX89" s="225"/>
      <c r="AY89" s="300"/>
      <c r="AZ89" s="300"/>
    </row>
    <row r="90" spans="1:52" s="212" customFormat="1" ht="30" hidden="1" customHeight="1" thickBot="1" x14ac:dyDescent="0.3">
      <c r="A90" s="317"/>
      <c r="B90" s="317"/>
      <c r="C90" s="318"/>
      <c r="D90" s="1871"/>
      <c r="E90" s="1871"/>
      <c r="F90" s="1871"/>
      <c r="G90" s="1871"/>
      <c r="H90" s="1871"/>
      <c r="I90" s="1871"/>
      <c r="J90" s="91"/>
      <c r="K90" s="97"/>
      <c r="L90" s="91"/>
      <c r="M90" s="91"/>
      <c r="N90" s="97"/>
      <c r="O90" s="91"/>
      <c r="P90" s="91"/>
      <c r="Q90" s="97"/>
      <c r="R90" s="91"/>
      <c r="S90" s="91"/>
      <c r="T90" s="97"/>
      <c r="U90" s="91"/>
      <c r="V90" s="91"/>
      <c r="W90" s="97"/>
      <c r="X90" s="697"/>
      <c r="Y90" s="316"/>
      <c r="Z90" s="344"/>
      <c r="AA90" s="345"/>
      <c r="AG90" s="328"/>
      <c r="AH90" s="328"/>
      <c r="AI90" s="328"/>
      <c r="AJ90" s="328"/>
      <c r="AK90" s="328"/>
      <c r="AL90" s="328"/>
      <c r="AP90" s="222"/>
      <c r="AQ90" s="211"/>
      <c r="AR90" s="222"/>
      <c r="AS90" s="222"/>
      <c r="AT90" s="225"/>
      <c r="AU90" s="225"/>
      <c r="AV90" s="225"/>
      <c r="AW90" s="225"/>
      <c r="AX90" s="225"/>
      <c r="AY90" s="300"/>
      <c r="AZ90" s="300"/>
    </row>
    <row r="91" spans="1:52" s="212" customFormat="1" ht="30" customHeight="1" x14ac:dyDescent="0.25">
      <c r="A91" s="322"/>
      <c r="B91" s="322"/>
      <c r="C91" s="323" t="s">
        <v>569</v>
      </c>
      <c r="D91" s="1859">
        <v>6</v>
      </c>
      <c r="E91" s="1859">
        <v>1</v>
      </c>
      <c r="F91" s="1859">
        <v>250</v>
      </c>
      <c r="G91" s="1859">
        <v>0</v>
      </c>
      <c r="H91" s="1859">
        <v>0</v>
      </c>
      <c r="I91" s="1859">
        <v>0</v>
      </c>
      <c r="J91" s="91">
        <f>IF($F91=0,0,1+($F91-$C$21)/$C$22)+$G91/$C$23+$H91/$C$24+$I91/$C$25</f>
        <v>7.4545454545454541</v>
      </c>
      <c r="K91" s="97">
        <f t="shared" si="6"/>
        <v>3.5111917342151263E-8</v>
      </c>
      <c r="L91" s="91">
        <f>($C$7*$C$14*$C$8*$E91/$D91^2*K91*10^6)</f>
        <v>7.8026482982558355E-3</v>
      </c>
      <c r="M91" s="91">
        <f>IF($F91=0,0,1+($F91-$D$21)/$D$22)+$G91/$D$23+$H91/$D$24+$I91/$D$25</f>
        <v>6.6486486486486482</v>
      </c>
      <c r="N91" s="97">
        <f t="shared" si="7"/>
        <v>2.2456979955397711E-7</v>
      </c>
      <c r="O91" s="91">
        <f>($C$7*$D$14*$D$8*$E91/$D91^2*N91*10^6)</f>
        <v>4.99043999008838E-2</v>
      </c>
      <c r="P91" s="91">
        <f>IF($F91=0,0,1+($F91-$E$21)/$E$22)+$G91/$E$23+$H91/$E$24+$I91/$E$25</f>
        <v>5.7674418604651159</v>
      </c>
      <c r="Q91" s="97">
        <f t="shared" si="8"/>
        <v>1.7082763938087111E-6</v>
      </c>
      <c r="R91" s="91">
        <f>($C$7*$D$14*$E$8*$E91/$D91^2*Q91*10^6)</f>
        <v>0.37961697640193576</v>
      </c>
      <c r="S91" s="91">
        <f>IF($F91=0,0,1+($F91-$F$21)/$F$22)+$G91/$F$23+$H91/$F$24+$I91/$F$25</f>
        <v>9.1481481481481488</v>
      </c>
      <c r="T91" s="97">
        <f t="shared" si="9"/>
        <v>7.1097094323124171E-10</v>
      </c>
      <c r="U91" s="91">
        <f>($C$7*$F$14*$F$8*$E91/$D91^2*T91*10^6)</f>
        <v>1.5799354294027593E-4</v>
      </c>
      <c r="V91" s="91">
        <f>IF($F91=0,0,1+($F91-$G$21)/$G$22)+$G91/$G$23+$H91/$G$24+$I91/$G$25</f>
        <v>6.9444444444444446</v>
      </c>
      <c r="W91" s="97">
        <f t="shared" si="10"/>
        <v>1.136463666385722E-7</v>
      </c>
      <c r="X91" s="697">
        <f>($C$7*$G$14*$G$8*$E91/$D91^2*W91*10^6)</f>
        <v>2.5254748141904933E-2</v>
      </c>
      <c r="Y91" s="324">
        <f t="shared" si="11"/>
        <v>0.46273676628592059</v>
      </c>
      <c r="Z91" s="325"/>
      <c r="AA91" s="326"/>
      <c r="AG91" s="328"/>
      <c r="AI91" s="328"/>
      <c r="AJ91" s="328"/>
      <c r="AK91" s="328"/>
      <c r="AL91" s="328"/>
      <c r="AP91" s="222"/>
      <c r="AQ91" s="211"/>
      <c r="AR91" s="222"/>
      <c r="AS91" s="222"/>
      <c r="AT91" s="225"/>
      <c r="AU91" s="225"/>
      <c r="AV91" s="225"/>
      <c r="AW91" s="225"/>
      <c r="AX91" s="225"/>
      <c r="AY91" s="300"/>
      <c r="AZ91" s="300"/>
    </row>
    <row r="92" spans="1:52" s="212" customFormat="1" ht="30" customHeight="1" thickBot="1" x14ac:dyDescent="0.3">
      <c r="A92" s="351" t="str">
        <f>Samenvatting!A207</f>
        <v>L8</v>
      </c>
      <c r="B92" s="346" t="str">
        <f>Samenvatting!B207</f>
        <v>ingang labyrint linac 8</v>
      </c>
      <c r="C92" s="331" t="s">
        <v>568</v>
      </c>
      <c r="D92" s="1859">
        <v>5</v>
      </c>
      <c r="E92" s="58"/>
      <c r="F92" s="1859">
        <v>250</v>
      </c>
      <c r="G92" s="1859">
        <v>0</v>
      </c>
      <c r="H92" s="1859">
        <v>0</v>
      </c>
      <c r="I92" s="1859">
        <v>0</v>
      </c>
      <c r="J92" s="91">
        <f>$F92/$C$27+$G92/$C$28+$H92/$C$29+$I92/$C$30</f>
        <v>7.3529411764705879</v>
      </c>
      <c r="K92" s="97">
        <f t="shared" si="6"/>
        <v>4.4366873309786093E-8</v>
      </c>
      <c r="L92" s="91">
        <f>($C$7*$C$15*$C$8*($C$9+$C$10*$C$11)/$D92^2*K92*10^6)</f>
        <v>1.0648049594348663E-3</v>
      </c>
      <c r="M92" s="91">
        <f>$F92/$D$27+$G92/$D$28+$H92/$D$29+$I92/$D$30</f>
        <v>6.5789473684210522</v>
      </c>
      <c r="N92" s="97">
        <f t="shared" si="7"/>
        <v>2.636650898730358E-7</v>
      </c>
      <c r="O92" s="91">
        <f>($C$7*$C$15*$D$8*($D$9+$D$10*$D$11)/$D92^2*N92*10^6)</f>
        <v>6.3279621569528599E-3</v>
      </c>
      <c r="P92" s="91">
        <f>$F92/$E$27+$G92/$E$28+$H92/$E$29+$I92/$E$30</f>
        <v>5.6818181818181817</v>
      </c>
      <c r="Q92" s="97">
        <f t="shared" si="8"/>
        <v>2.0805675382171676E-6</v>
      </c>
      <c r="R92" s="91">
        <f>($C$7*$C$15*$E$8*($E$9+$E$10*$E$11)/$D92^2*Q92*10^6)</f>
        <v>4.9933620917212027E-2</v>
      </c>
      <c r="S92" s="91">
        <f>$F92/$F$27+$G92/$F$28+$H92/$F$29+$I92/$F$30</f>
        <v>8.1967213114754092</v>
      </c>
      <c r="T92" s="97">
        <f t="shared" si="9"/>
        <v>6.3573875711648393E-9</v>
      </c>
      <c r="U92" s="91">
        <f>($C$7*$C$15*$F$8*($F$9+$F$10*$F$11)/$D92^2*T92*10^6)</f>
        <v>1.5257730170795616E-4</v>
      </c>
      <c r="V92" s="91">
        <f>$F92/$G$27+$G92/$G$28+$H92/$G$29+$I92/$G$30</f>
        <v>7.0224719101123592</v>
      </c>
      <c r="W92" s="97">
        <f t="shared" si="10"/>
        <v>9.4957241494880226E-8</v>
      </c>
      <c r="X92" s="697">
        <f>($C$7*$C$15*$G$8*($G$9+$G$10*$G$11)/$D92^2*W92*10^6)</f>
        <v>2.278973795877126E-3</v>
      </c>
      <c r="Y92" s="355">
        <f t="shared" si="11"/>
        <v>5.9757939131184837E-2</v>
      </c>
      <c r="Z92" s="333">
        <f>SUM(Y90:Y93)</f>
        <v>0.52249470541710541</v>
      </c>
      <c r="AA92" s="334">
        <f>Z92*52/10^3</f>
        <v>2.7169724681689482E-2</v>
      </c>
      <c r="AG92" s="328"/>
      <c r="AH92" s="328"/>
      <c r="AI92" s="328"/>
      <c r="AJ92" s="328"/>
      <c r="AK92" s="328"/>
      <c r="AL92" s="328"/>
      <c r="AP92" s="222"/>
      <c r="AQ92" s="211"/>
      <c r="AR92" s="222"/>
      <c r="AS92" s="222"/>
      <c r="AT92" s="225"/>
      <c r="AU92" s="225"/>
      <c r="AV92" s="225"/>
      <c r="AW92" s="225"/>
      <c r="AX92" s="225"/>
      <c r="AY92" s="300"/>
      <c r="AZ92" s="300"/>
    </row>
    <row r="93" spans="1:52" s="212" customFormat="1" ht="30" hidden="1" customHeight="1" thickBot="1" x14ac:dyDescent="0.3">
      <c r="A93" s="317"/>
      <c r="B93" s="317"/>
      <c r="C93" s="318"/>
      <c r="D93" s="1871"/>
      <c r="E93" s="1871"/>
      <c r="F93" s="1871"/>
      <c r="G93" s="1871"/>
      <c r="H93" s="1871"/>
      <c r="I93" s="1871"/>
      <c r="J93" s="91"/>
      <c r="K93" s="97"/>
      <c r="L93" s="91"/>
      <c r="M93" s="91"/>
      <c r="N93" s="97"/>
      <c r="O93" s="91"/>
      <c r="P93" s="91"/>
      <c r="Q93" s="97"/>
      <c r="R93" s="91"/>
      <c r="S93" s="91"/>
      <c r="T93" s="97"/>
      <c r="U93" s="91"/>
      <c r="V93" s="91"/>
      <c r="W93" s="97"/>
      <c r="X93" s="697"/>
      <c r="Y93" s="709"/>
      <c r="Z93" s="344"/>
      <c r="AA93" s="345"/>
      <c r="AG93" s="328"/>
      <c r="AH93" s="328"/>
      <c r="AI93" s="328"/>
      <c r="AJ93" s="328"/>
      <c r="AK93" s="328"/>
      <c r="AL93" s="328"/>
      <c r="AP93" s="222"/>
      <c r="AQ93" s="211"/>
      <c r="AR93" s="222"/>
      <c r="AS93" s="222"/>
      <c r="AT93" s="225"/>
      <c r="AU93" s="225"/>
      <c r="AV93" s="225"/>
      <c r="AW93" s="225"/>
      <c r="AX93" s="225"/>
      <c r="AY93" s="300"/>
      <c r="AZ93" s="300"/>
    </row>
    <row r="94" spans="1:52" s="212" customFormat="1" ht="30" customHeight="1" x14ac:dyDescent="0.25">
      <c r="A94" s="322"/>
      <c r="B94" s="322"/>
      <c r="C94" s="323" t="s">
        <v>569</v>
      </c>
      <c r="D94" s="1859">
        <v>6</v>
      </c>
      <c r="E94" s="1859">
        <v>1</v>
      </c>
      <c r="F94" s="1859">
        <v>250</v>
      </c>
      <c r="G94" s="1859">
        <v>0</v>
      </c>
      <c r="H94" s="1859">
        <v>0</v>
      </c>
      <c r="I94" s="1859">
        <v>0</v>
      </c>
      <c r="J94" s="91">
        <f>IF($F94=0,0,1+($F94-$C$21)/$C$22)+$G94/$C$23+$H94/$C$24+$I94/$C$25</f>
        <v>7.4545454545454541</v>
      </c>
      <c r="K94" s="97">
        <f t="shared" si="6"/>
        <v>3.5111917342151263E-8</v>
      </c>
      <c r="L94" s="91">
        <f>($C$7*$C$14*$C$8*$E94/$D94^2*K94*10^6)</f>
        <v>7.8026482982558355E-3</v>
      </c>
      <c r="M94" s="91">
        <f>IF($F94=0,0,1+($F94-$D$21)/$D$22)+$G94/$D$23+$H94/$D$24+$I94/$D$25</f>
        <v>6.6486486486486482</v>
      </c>
      <c r="N94" s="97">
        <f t="shared" si="7"/>
        <v>2.2456979955397711E-7</v>
      </c>
      <c r="O94" s="91">
        <f>($C$7*$D$14*$D$8*$E94/$D94^2*N94*10^6)</f>
        <v>4.99043999008838E-2</v>
      </c>
      <c r="P94" s="91">
        <f>IF($F94=0,0,1+($F94-$E$21)/$E$22)+$G94/$E$23+$H94/$E$24+$I94/$E$25</f>
        <v>5.7674418604651159</v>
      </c>
      <c r="Q94" s="97">
        <f t="shared" si="8"/>
        <v>1.7082763938087111E-6</v>
      </c>
      <c r="R94" s="91">
        <f>($C$7*$D$14*$E$8*$E94/$D94^2*Q94*10^6)</f>
        <v>0.37961697640193576</v>
      </c>
      <c r="S94" s="91">
        <f>IF($F94=0,0,1+($F94-$F$21)/$F$22)+$G94/$F$23+$H94/$F$24+$I94/$F$25</f>
        <v>9.1481481481481488</v>
      </c>
      <c r="T94" s="97">
        <f t="shared" si="9"/>
        <v>7.1097094323124171E-10</v>
      </c>
      <c r="U94" s="91">
        <f>($C$7*$F$14*$F$8*$E94/$D94^2*T94*10^6)</f>
        <v>1.5799354294027593E-4</v>
      </c>
      <c r="V94" s="91">
        <f>IF($F94=0,0,1+($F94-$G$21)/$G$22)+$G94/$G$23+$H94/$G$24+$I94/$G$25</f>
        <v>6.9444444444444446</v>
      </c>
      <c r="W94" s="97">
        <f t="shared" si="10"/>
        <v>1.136463666385722E-7</v>
      </c>
      <c r="X94" s="697">
        <f>($C$7*$G$14*$G$8*$E94/$D94^2*W94*10^6)</f>
        <v>2.5254748141904933E-2</v>
      </c>
      <c r="Y94" s="324">
        <f t="shared" si="11"/>
        <v>0.46273676628592059</v>
      </c>
      <c r="Z94" s="325"/>
      <c r="AA94" s="326"/>
      <c r="AG94" s="328"/>
      <c r="AI94" s="328"/>
      <c r="AJ94" s="328"/>
      <c r="AK94" s="328"/>
      <c r="AL94" s="328"/>
      <c r="AP94" s="222"/>
      <c r="AQ94" s="211"/>
      <c r="AR94" s="222"/>
      <c r="AS94" s="222"/>
      <c r="AT94" s="225"/>
      <c r="AU94" s="225"/>
      <c r="AV94" s="225"/>
      <c r="AW94" s="225"/>
      <c r="AX94" s="225"/>
      <c r="AY94" s="300"/>
      <c r="AZ94" s="300"/>
    </row>
    <row r="95" spans="1:52" s="212" customFormat="1" ht="30" customHeight="1" thickBot="1" x14ac:dyDescent="0.3">
      <c r="A95" s="351" t="str">
        <f>Samenvatting!A219</f>
        <v>L9</v>
      </c>
      <c r="B95" s="352" t="str">
        <f>Samenvatting!B219</f>
        <v>ingang labyrint linac 9</v>
      </c>
      <c r="C95" s="331" t="s">
        <v>568</v>
      </c>
      <c r="D95" s="1859">
        <v>5</v>
      </c>
      <c r="E95" s="58"/>
      <c r="F95" s="1859">
        <v>250</v>
      </c>
      <c r="G95" s="1859">
        <v>0</v>
      </c>
      <c r="H95" s="1859">
        <v>0</v>
      </c>
      <c r="I95" s="1859">
        <v>0</v>
      </c>
      <c r="J95" s="91">
        <f>$F95/$C$27+$G95/$C$28+$H95/$C$29+$I95/$C$30</f>
        <v>7.3529411764705879</v>
      </c>
      <c r="K95" s="97">
        <f t="shared" si="6"/>
        <v>4.4366873309786093E-8</v>
      </c>
      <c r="L95" s="91">
        <f>($C$7*$C$15*$C$8*($C$9+$C$10*$C$11)/$D95^2*K95*10^6)</f>
        <v>1.0648049594348663E-3</v>
      </c>
      <c r="M95" s="91">
        <f>$F95/$D$27+$G95/$D$28+$H95/$D$29+$I95/$D$30</f>
        <v>6.5789473684210522</v>
      </c>
      <c r="N95" s="97">
        <f t="shared" si="7"/>
        <v>2.636650898730358E-7</v>
      </c>
      <c r="O95" s="91">
        <f>($C$7*$C$15*$D$8*($D$9+$D$10*$D$11)/$D95^2*N95*10^6)</f>
        <v>6.3279621569528599E-3</v>
      </c>
      <c r="P95" s="91">
        <f>$F95/$E$27+$G95/$E$28+$H95/$E$29+$I95/$E$30</f>
        <v>5.6818181818181817</v>
      </c>
      <c r="Q95" s="97">
        <f t="shared" si="8"/>
        <v>2.0805675382171676E-6</v>
      </c>
      <c r="R95" s="91">
        <f>($C$7*$C$15*$E$8*($E$9+$E$10*$E$11)/$D95^2*Q95*10^6)</f>
        <v>4.9933620917212027E-2</v>
      </c>
      <c r="S95" s="91">
        <f>$F95/$F$27+$G95/$F$28+$H95/$F$29+$I95/$F$30</f>
        <v>8.1967213114754092</v>
      </c>
      <c r="T95" s="97">
        <f t="shared" si="9"/>
        <v>6.3573875711648393E-9</v>
      </c>
      <c r="U95" s="91">
        <f>($C$7*$C$15*$F$8*($F$9+$F$10*$F$11)/$D95^2*T95*10^6)</f>
        <v>1.5257730170795616E-4</v>
      </c>
      <c r="V95" s="91">
        <f>$F95/$G$27+$G95/$G$28+$H95/$G$29+$I95/$G$30</f>
        <v>7.0224719101123592</v>
      </c>
      <c r="W95" s="97">
        <f t="shared" si="10"/>
        <v>9.4957241494880226E-8</v>
      </c>
      <c r="X95" s="697">
        <f>($C$7*$C$15*$G$8*($G$9+$G$10*$G$11)/$D95^2*W95*10^6)</f>
        <v>2.278973795877126E-3</v>
      </c>
      <c r="Y95" s="355">
        <f t="shared" si="11"/>
        <v>5.9757939131184837E-2</v>
      </c>
      <c r="Z95" s="333">
        <f>SUM(Y93:Y96)</f>
        <v>0.52249470541710541</v>
      </c>
      <c r="AA95" s="334">
        <f>Z95*52/10^3</f>
        <v>2.7169724681689482E-2</v>
      </c>
      <c r="AG95" s="328"/>
      <c r="AH95" s="328"/>
      <c r="AI95" s="328"/>
      <c r="AJ95" s="328"/>
      <c r="AK95" s="328"/>
      <c r="AL95" s="328"/>
      <c r="AP95" s="222"/>
      <c r="AQ95" s="211"/>
      <c r="AR95" s="222"/>
      <c r="AS95" s="222"/>
      <c r="AT95" s="225"/>
      <c r="AU95" s="225"/>
      <c r="AV95" s="225"/>
      <c r="AW95" s="225"/>
      <c r="AX95" s="225"/>
      <c r="AY95" s="300"/>
      <c r="AZ95" s="300"/>
    </row>
    <row r="96" spans="1:52" s="212" customFormat="1" ht="30" hidden="1" customHeight="1" thickBot="1" x14ac:dyDescent="0.3">
      <c r="A96" s="317"/>
      <c r="B96" s="317"/>
      <c r="C96" s="318"/>
      <c r="D96" s="1871"/>
      <c r="E96" s="1871"/>
      <c r="F96" s="1871"/>
      <c r="G96" s="1871"/>
      <c r="H96" s="1871"/>
      <c r="I96" s="1871"/>
      <c r="J96" s="91"/>
      <c r="K96" s="97"/>
      <c r="L96" s="91"/>
      <c r="M96" s="91"/>
      <c r="N96" s="97"/>
      <c r="O96" s="91"/>
      <c r="P96" s="91"/>
      <c r="Q96" s="97"/>
      <c r="R96" s="91"/>
      <c r="S96" s="91"/>
      <c r="T96" s="97"/>
      <c r="U96" s="91"/>
      <c r="V96" s="91"/>
      <c r="W96" s="97"/>
      <c r="X96" s="697"/>
      <c r="Y96" s="365"/>
      <c r="Z96" s="344"/>
      <c r="AA96" s="345"/>
      <c r="AG96" s="328"/>
      <c r="AH96" s="328"/>
      <c r="AI96" s="328"/>
      <c r="AJ96" s="328"/>
      <c r="AK96" s="328"/>
      <c r="AL96" s="328"/>
      <c r="AP96" s="222"/>
      <c r="AQ96" s="211"/>
      <c r="AR96" s="222"/>
      <c r="AS96" s="222"/>
      <c r="AT96" s="225"/>
      <c r="AU96" s="225"/>
      <c r="AV96" s="225"/>
      <c r="AW96" s="225"/>
      <c r="AX96" s="225"/>
      <c r="AY96" s="300"/>
      <c r="AZ96" s="300"/>
    </row>
    <row r="97" spans="1:54" s="212" customFormat="1" ht="30" customHeight="1" x14ac:dyDescent="0.25">
      <c r="A97" s="322"/>
      <c r="B97" s="322"/>
      <c r="C97" s="323" t="s">
        <v>569</v>
      </c>
      <c r="D97" s="1859">
        <v>6</v>
      </c>
      <c r="E97" s="1859">
        <v>1</v>
      </c>
      <c r="F97" s="1859">
        <v>250</v>
      </c>
      <c r="G97" s="1859">
        <v>0</v>
      </c>
      <c r="H97" s="1859">
        <v>0</v>
      </c>
      <c r="I97" s="1859">
        <v>0</v>
      </c>
      <c r="J97" s="91">
        <f>IF($F97=0,0,1+($F97-$C$21)/$C$22)+$G97/$C$23+$H97/$C$24+$I97/$C$25</f>
        <v>7.4545454545454541</v>
      </c>
      <c r="K97" s="97">
        <f t="shared" si="6"/>
        <v>3.5111917342151263E-8</v>
      </c>
      <c r="L97" s="91">
        <f>($C$7*$C$14*$C$8*$E97/$D97^2*K97*10^6)</f>
        <v>7.8026482982558355E-3</v>
      </c>
      <c r="M97" s="91">
        <f>IF($F97=0,0,1+($F97-$D$21)/$D$22)+$G97/$D$23+$H97/$D$24+$I97/$D$25</f>
        <v>6.6486486486486482</v>
      </c>
      <c r="N97" s="97">
        <f t="shared" si="7"/>
        <v>2.2456979955397711E-7</v>
      </c>
      <c r="O97" s="91">
        <f>($C$7*$D$14*$D$8*$E97/$D97^2*N97*10^6)</f>
        <v>4.99043999008838E-2</v>
      </c>
      <c r="P97" s="91">
        <f>IF($F97=0,0,1+($F97-$E$21)/$E$22)+$G97/$E$23+$H97/$E$24+$I97/$E$25</f>
        <v>5.7674418604651159</v>
      </c>
      <c r="Q97" s="97">
        <f t="shared" si="8"/>
        <v>1.7082763938087111E-6</v>
      </c>
      <c r="R97" s="91">
        <f>($C$7*$D$14*$E$8*$E97/$D97^2*Q97*10^6)</f>
        <v>0.37961697640193576</v>
      </c>
      <c r="S97" s="91">
        <f>IF($F97=0,0,1+($F97-$F$21)/$F$22)+$G97/$F$23+$H97/$F$24+$I97/$F$25</f>
        <v>9.1481481481481488</v>
      </c>
      <c r="T97" s="97">
        <f t="shared" si="9"/>
        <v>7.1097094323124171E-10</v>
      </c>
      <c r="U97" s="91">
        <f>($C$7*$F$14*$F$8*$E97/$D97^2*T97*10^6)</f>
        <v>1.5799354294027593E-4</v>
      </c>
      <c r="V97" s="91">
        <f>IF($F97=0,0,1+($F97-$G$21)/$G$22)+$G97/$G$23+$H97/$G$24+$I97/$G$25</f>
        <v>6.9444444444444446</v>
      </c>
      <c r="W97" s="97">
        <f t="shared" si="10"/>
        <v>1.136463666385722E-7</v>
      </c>
      <c r="X97" s="697">
        <f>($C$7*$G$14*$G$8*$E97/$D97^2*W97*10^6)</f>
        <v>2.5254748141904933E-2</v>
      </c>
      <c r="Y97" s="324">
        <f t="shared" si="11"/>
        <v>0.46273676628592059</v>
      </c>
      <c r="Z97" s="325"/>
      <c r="AA97" s="326"/>
      <c r="AG97" s="328"/>
      <c r="AI97" s="328"/>
      <c r="AJ97" s="328"/>
      <c r="AK97" s="328"/>
      <c r="AL97" s="328"/>
      <c r="AP97" s="222"/>
      <c r="AQ97" s="211"/>
      <c r="AR97" s="222"/>
      <c r="AS97" s="222"/>
      <c r="AT97" s="225"/>
      <c r="AU97" s="225"/>
      <c r="AV97" s="225"/>
      <c r="AW97" s="225"/>
      <c r="AX97" s="225"/>
      <c r="AY97" s="300"/>
      <c r="AZ97" s="300"/>
    </row>
    <row r="98" spans="1:54" s="212" customFormat="1" ht="30" customHeight="1" thickBot="1" x14ac:dyDescent="0.3">
      <c r="A98" s="351" t="str">
        <f>Samenvatting!A231</f>
        <v>L10</v>
      </c>
      <c r="B98" s="656" t="str">
        <f>Samenvatting!B231</f>
        <v>ingang labyrint linac 10</v>
      </c>
      <c r="C98" s="331" t="s">
        <v>568</v>
      </c>
      <c r="D98" s="1859">
        <v>5</v>
      </c>
      <c r="E98" s="58"/>
      <c r="F98" s="1859">
        <v>250</v>
      </c>
      <c r="G98" s="1859">
        <v>0</v>
      </c>
      <c r="H98" s="1859">
        <v>0</v>
      </c>
      <c r="I98" s="1859">
        <v>0</v>
      </c>
      <c r="J98" s="91">
        <f>$F98/$C$27+$G98/$C$28+$H98/$C$29+$I98/$C$30</f>
        <v>7.3529411764705879</v>
      </c>
      <c r="K98" s="97">
        <f t="shared" si="6"/>
        <v>4.4366873309786093E-8</v>
      </c>
      <c r="L98" s="91">
        <f>($C$7*$C$15*$C$8*($C$9+$C$10*$C$11)/$D98^2*K98*10^6)</f>
        <v>1.0648049594348663E-3</v>
      </c>
      <c r="M98" s="91">
        <f>$F98/$D$27+$G98/$D$28+$H98/$D$29+$I98/$D$30</f>
        <v>6.5789473684210522</v>
      </c>
      <c r="N98" s="97">
        <f t="shared" si="7"/>
        <v>2.636650898730358E-7</v>
      </c>
      <c r="O98" s="91">
        <f>($C$7*$C$15*$D$8*($D$9+$D$10*$D$11)/$D98^2*N98*10^6)</f>
        <v>6.3279621569528599E-3</v>
      </c>
      <c r="P98" s="91">
        <f>$F98/$E$27+$G98/$E$28+$H98/$E$29+$I98/$E$30</f>
        <v>5.6818181818181817</v>
      </c>
      <c r="Q98" s="97">
        <f t="shared" si="8"/>
        <v>2.0805675382171676E-6</v>
      </c>
      <c r="R98" s="91">
        <f>($C$7*$C$15*$E$8*($E$9+$E$10*$E$11)/$D98^2*Q98*10^6)</f>
        <v>4.9933620917212027E-2</v>
      </c>
      <c r="S98" s="91">
        <f>$F98/$F$27+$G98/$F$28+$H98/$F$29+$I98/$F$30</f>
        <v>8.1967213114754092</v>
      </c>
      <c r="T98" s="97">
        <f t="shared" si="9"/>
        <v>6.3573875711648393E-9</v>
      </c>
      <c r="U98" s="91">
        <f>($C$7*$C$15*$F$8*($F$9+$F$10*$F$11)/$D98^2*T98*10^6)</f>
        <v>1.5257730170795616E-4</v>
      </c>
      <c r="V98" s="91">
        <f>$F98/$G$27+$G98/$G$28+$H98/$G$29+$I98/$G$30</f>
        <v>7.0224719101123592</v>
      </c>
      <c r="W98" s="97">
        <f t="shared" si="10"/>
        <v>9.4957241494880226E-8</v>
      </c>
      <c r="X98" s="697">
        <f>($C$7*$C$15*$G$8*($G$9+$G$10*$G$11)/$D98^2*W98*10^6)</f>
        <v>2.278973795877126E-3</v>
      </c>
      <c r="Y98" s="339">
        <f t="shared" si="11"/>
        <v>5.9757939131184837E-2</v>
      </c>
      <c r="Z98" s="333">
        <f>SUM(Y96:Y99)</f>
        <v>0.52249470541710541</v>
      </c>
      <c r="AA98" s="334">
        <f>Z98*52/10^3</f>
        <v>2.7169724681689482E-2</v>
      </c>
      <c r="AG98" s="328"/>
      <c r="AH98" s="328"/>
      <c r="AI98" s="328"/>
      <c r="AJ98" s="328"/>
      <c r="AK98" s="328"/>
      <c r="AL98" s="328"/>
      <c r="AP98" s="222"/>
      <c r="AQ98" s="211"/>
      <c r="AR98" s="222"/>
      <c r="AS98" s="222"/>
      <c r="AT98" s="225"/>
      <c r="AU98" s="225"/>
      <c r="AV98" s="225"/>
      <c r="AW98" s="225"/>
      <c r="AX98" s="225"/>
      <c r="AY98" s="300"/>
      <c r="AZ98" s="300"/>
    </row>
    <row r="99" spans="1:54" s="212" customFormat="1" ht="30" hidden="1" customHeight="1" thickBot="1" x14ac:dyDescent="0.3">
      <c r="A99" s="317"/>
      <c r="B99" s="312"/>
      <c r="C99" s="318"/>
      <c r="D99" s="1871"/>
      <c r="E99" s="1871"/>
      <c r="F99" s="1871"/>
      <c r="G99" s="1871"/>
      <c r="H99" s="1871"/>
      <c r="I99" s="1871"/>
      <c r="J99" s="91"/>
      <c r="K99" s="97"/>
      <c r="L99" s="91"/>
      <c r="M99" s="91"/>
      <c r="N99" s="97"/>
      <c r="O99" s="91"/>
      <c r="P99" s="91"/>
      <c r="Q99" s="97"/>
      <c r="R99" s="91"/>
      <c r="S99" s="91"/>
      <c r="T99" s="97"/>
      <c r="U99" s="91"/>
      <c r="V99" s="91"/>
      <c r="W99" s="97"/>
      <c r="X99" s="697"/>
      <c r="Y99" s="316"/>
      <c r="Z99" s="344"/>
      <c r="AA99" s="345"/>
      <c r="AG99" s="328"/>
      <c r="AH99" s="328"/>
      <c r="AI99" s="328"/>
      <c r="AJ99" s="328"/>
      <c r="AK99" s="328"/>
      <c r="AL99" s="328"/>
      <c r="AP99" s="222"/>
      <c r="AQ99" s="211"/>
      <c r="AR99" s="222"/>
      <c r="AS99" s="222"/>
      <c r="AT99" s="225"/>
      <c r="AU99" s="225"/>
      <c r="AV99" s="225"/>
      <c r="AW99" s="225"/>
      <c r="AX99" s="225"/>
      <c r="AY99" s="300"/>
      <c r="AZ99" s="300"/>
    </row>
    <row r="100" spans="1:54" s="212" customFormat="1" ht="30" customHeight="1" x14ac:dyDescent="0.25">
      <c r="A100" s="322"/>
      <c r="B100" s="322"/>
      <c r="C100" s="323" t="s">
        <v>569</v>
      </c>
      <c r="D100" s="1859">
        <v>6</v>
      </c>
      <c r="E100" s="1859">
        <v>1</v>
      </c>
      <c r="F100" s="1859">
        <v>250</v>
      </c>
      <c r="G100" s="1859">
        <v>0</v>
      </c>
      <c r="H100" s="1859">
        <v>0</v>
      </c>
      <c r="I100" s="1859">
        <v>0</v>
      </c>
      <c r="J100" s="91">
        <f>IF($F100=0,0,1+($F100-$C$21)/$C$22)+$G100/$C$23+$H100/$C$24+$I100/$C$25</f>
        <v>7.4545454545454541</v>
      </c>
      <c r="K100" s="97">
        <f t="shared" si="6"/>
        <v>3.5111917342151263E-8</v>
      </c>
      <c r="L100" s="91">
        <f>($C$7*$C$14*$C$8*$E100/$D100^2*K100*10^6)</f>
        <v>7.8026482982558355E-3</v>
      </c>
      <c r="M100" s="91">
        <f>IF($F100=0,0,1+($F100-$D$21)/$D$22)+$G100/$D$23+$H100/$D$24+$I100/$D$25</f>
        <v>6.6486486486486482</v>
      </c>
      <c r="N100" s="97">
        <f t="shared" si="7"/>
        <v>2.2456979955397711E-7</v>
      </c>
      <c r="O100" s="91">
        <f>($C$7*$D$14*$D$8*$E100/$D100^2*N100*10^6)</f>
        <v>4.99043999008838E-2</v>
      </c>
      <c r="P100" s="91">
        <f>IF($F100=0,0,1+($F100-$E$21)/$E$22)+$G100/$E$23+$H100/$E$24+$I100/$E$25</f>
        <v>5.7674418604651159</v>
      </c>
      <c r="Q100" s="97">
        <f t="shared" si="8"/>
        <v>1.7082763938087111E-6</v>
      </c>
      <c r="R100" s="91">
        <f>($C$7*$D$14*$E$8*$E100/$D100^2*Q100*10^6)</f>
        <v>0.37961697640193576</v>
      </c>
      <c r="S100" s="91">
        <f>IF($F100=0,0,1+($F100-$F$21)/$F$22)+$G100/$F$23+$H100/$F$24+$I100/$F$25</f>
        <v>9.1481481481481488</v>
      </c>
      <c r="T100" s="97">
        <f t="shared" si="9"/>
        <v>7.1097094323124171E-10</v>
      </c>
      <c r="U100" s="91">
        <f>($C$7*$F$14*$F$8*$E100/$D100^2*T100*10^6)</f>
        <v>1.5799354294027593E-4</v>
      </c>
      <c r="V100" s="91">
        <f>IF($F100=0,0,1+($F100-$G$21)/$G$22)+$G100/$G$23+$H100/$G$24+$I100/$G$25</f>
        <v>6.9444444444444446</v>
      </c>
      <c r="W100" s="97">
        <f t="shared" si="10"/>
        <v>1.136463666385722E-7</v>
      </c>
      <c r="X100" s="697">
        <f>($C$7*$G$14*$G$8*$E100/$D100^2*W100*10^6)</f>
        <v>2.5254748141904933E-2</v>
      </c>
      <c r="Y100" s="324">
        <f>SUM(L100,O100,R100,U100,X100)</f>
        <v>0.46273676628592059</v>
      </c>
      <c r="Z100" s="325"/>
      <c r="AA100" s="326"/>
      <c r="AG100" s="328"/>
      <c r="AI100" s="328"/>
      <c r="AJ100" s="328"/>
      <c r="AK100" s="328"/>
      <c r="AL100" s="328"/>
      <c r="AP100" s="222"/>
      <c r="AQ100" s="211"/>
      <c r="AR100" s="222"/>
      <c r="AS100" s="222"/>
      <c r="AT100" s="225"/>
      <c r="AU100" s="225"/>
      <c r="AV100" s="225"/>
      <c r="AW100" s="225"/>
      <c r="AX100" s="225"/>
      <c r="AY100" s="300"/>
      <c r="AZ100" s="300"/>
    </row>
    <row r="101" spans="1:54" s="212" customFormat="1" ht="30" customHeight="1" thickBot="1" x14ac:dyDescent="0.3">
      <c r="A101" s="343" t="str">
        <f>Samenvatting!A233</f>
        <v>vrij</v>
      </c>
      <c r="B101" s="338" t="str">
        <f>Samenvatting!B233</f>
        <v>vrij te kiezen</v>
      </c>
      <c r="C101" s="331" t="s">
        <v>568</v>
      </c>
      <c r="D101" s="1859">
        <v>5</v>
      </c>
      <c r="E101" s="58"/>
      <c r="F101" s="1859">
        <v>250</v>
      </c>
      <c r="G101" s="1859">
        <v>0</v>
      </c>
      <c r="H101" s="1859">
        <v>0</v>
      </c>
      <c r="I101" s="1859">
        <v>0</v>
      </c>
      <c r="J101" s="91">
        <f>$F101/$C$27+$G101/$C$28+$H101/$C$29+$I101/$C$30</f>
        <v>7.3529411764705879</v>
      </c>
      <c r="K101" s="97">
        <f t="shared" si="6"/>
        <v>4.4366873309786093E-8</v>
      </c>
      <c r="L101" s="91">
        <f>($C$7*$C$15*$C$8*($C$9+$C$10*$C$11)/$D101^2*K101*10^6)</f>
        <v>1.0648049594348663E-3</v>
      </c>
      <c r="M101" s="91">
        <f>$F101/$D$27+$G101/$D$28+$H101/$D$29+$I101/$D$30</f>
        <v>6.5789473684210522</v>
      </c>
      <c r="N101" s="97">
        <f t="shared" si="7"/>
        <v>2.636650898730358E-7</v>
      </c>
      <c r="O101" s="91">
        <f>($C$7*$C$15*$D$8*($D$9+$D$10*$D$11)/$D101^2*N101*10^6)</f>
        <v>6.3279621569528599E-3</v>
      </c>
      <c r="P101" s="91">
        <f>$F101/$E$27+$G101/$E$28+$H101/$E$29+$I101/$E$30</f>
        <v>5.6818181818181817</v>
      </c>
      <c r="Q101" s="97">
        <f t="shared" si="8"/>
        <v>2.0805675382171676E-6</v>
      </c>
      <c r="R101" s="91">
        <f>($C$7*$C$15*$E$8*($E$9+$E$10*$E$11)/$D101^2*Q101*10^6)</f>
        <v>4.9933620917212027E-2</v>
      </c>
      <c r="S101" s="91">
        <f>$F101/$F$27+$G101/$F$28+$H101/$F$29+$I101/$F$30</f>
        <v>8.1967213114754092</v>
      </c>
      <c r="T101" s="97">
        <f t="shared" si="9"/>
        <v>6.3573875711648393E-9</v>
      </c>
      <c r="U101" s="91">
        <f>($C$7*$C$15*$F$8*($F$9+$F$10*$F$11)/$D101^2*T101*10^6)</f>
        <v>1.5257730170795616E-4</v>
      </c>
      <c r="V101" s="91">
        <f>$F101/$G$27+$G101/$G$28+$H101/$G$29+$I101/$G$30</f>
        <v>7.0224719101123592</v>
      </c>
      <c r="W101" s="97">
        <f t="shared" si="10"/>
        <v>9.4957241494880226E-8</v>
      </c>
      <c r="X101" s="697">
        <f>($C$7*$C$15*$G$8*($G$9+$G$10*$G$11)/$D101^2*W101*10^6)</f>
        <v>2.278973795877126E-3</v>
      </c>
      <c r="Y101" s="355">
        <f>SUM(L101,O101,R101,U101,X101)</f>
        <v>5.9757939131184837E-2</v>
      </c>
      <c r="Z101" s="356">
        <f>SUM(Y99:Y102)</f>
        <v>0.52249470541710541</v>
      </c>
      <c r="AA101" s="663">
        <f>Z101*52/10^3</f>
        <v>2.7169724681689482E-2</v>
      </c>
      <c r="AG101" s="328"/>
      <c r="AH101" s="328"/>
      <c r="AI101" s="328"/>
      <c r="AJ101" s="328"/>
      <c r="AK101" s="328"/>
      <c r="AL101" s="328"/>
      <c r="AP101" s="222"/>
      <c r="AQ101" s="211"/>
      <c r="AR101" s="222"/>
      <c r="AS101" s="222"/>
      <c r="AT101" s="225"/>
      <c r="AU101" s="225"/>
      <c r="AV101" s="225"/>
      <c r="AW101" s="225"/>
      <c r="AX101" s="225"/>
      <c r="AY101" s="300"/>
      <c r="AZ101" s="300"/>
    </row>
    <row r="102" spans="1:54" s="225" customFormat="1" ht="30" hidden="1" customHeight="1" x14ac:dyDescent="0.25">
      <c r="A102" s="211"/>
      <c r="B102" s="220"/>
      <c r="C102" s="310"/>
      <c r="D102" s="57"/>
      <c r="E102" s="57"/>
      <c r="F102" s="57"/>
      <c r="G102" s="57"/>
      <c r="H102" s="57"/>
      <c r="I102" s="57"/>
      <c r="J102" s="369"/>
      <c r="K102" s="328"/>
      <c r="L102" s="369"/>
      <c r="M102" s="369"/>
      <c r="N102" s="328"/>
      <c r="O102" s="369"/>
      <c r="P102" s="369"/>
      <c r="Q102" s="328"/>
      <c r="R102" s="369"/>
      <c r="S102" s="369"/>
      <c r="T102" s="328"/>
      <c r="U102" s="369"/>
      <c r="V102" s="369"/>
      <c r="W102" s="328"/>
      <c r="X102" s="369"/>
      <c r="Y102" s="710"/>
      <c r="Z102" s="370"/>
      <c r="AA102" s="370"/>
      <c r="AG102" s="328"/>
      <c r="AH102" s="328"/>
      <c r="AI102" s="328"/>
      <c r="AJ102" s="328"/>
      <c r="AK102" s="328"/>
      <c r="AL102" s="328"/>
      <c r="AP102" s="222"/>
      <c r="AQ102" s="211"/>
      <c r="AR102" s="222"/>
      <c r="AS102" s="222"/>
      <c r="AY102" s="300"/>
      <c r="AZ102" s="300"/>
    </row>
    <row r="103" spans="1:54" s="225" customFormat="1" ht="19.5" customHeight="1" thickBot="1" x14ac:dyDescent="0.3">
      <c r="A103" s="222"/>
      <c r="B103" s="222"/>
      <c r="C103" s="368"/>
      <c r="D103" s="57"/>
      <c r="E103" s="57"/>
      <c r="F103" s="57"/>
      <c r="G103" s="57"/>
      <c r="H103" s="57"/>
      <c r="I103" s="57"/>
      <c r="J103" s="369"/>
      <c r="K103" s="328"/>
      <c r="L103" s="369"/>
      <c r="M103" s="369"/>
      <c r="N103" s="328"/>
      <c r="O103" s="369"/>
      <c r="P103" s="369"/>
      <c r="Q103" s="328"/>
      <c r="R103" s="369"/>
      <c r="S103" s="369"/>
      <c r="T103" s="328"/>
      <c r="U103" s="369"/>
      <c r="V103" s="369"/>
      <c r="W103" s="328"/>
      <c r="X103" s="369"/>
      <c r="Y103" s="371"/>
      <c r="Z103" s="711"/>
      <c r="AA103" s="711"/>
      <c r="AG103" s="328"/>
      <c r="AH103" s="328"/>
      <c r="AI103" s="328"/>
      <c r="AJ103" s="328"/>
      <c r="AK103" s="328"/>
      <c r="AL103" s="328"/>
      <c r="AP103" s="222"/>
      <c r="AQ103" s="211"/>
      <c r="AR103" s="222"/>
      <c r="AS103" s="222"/>
      <c r="AY103" s="300"/>
      <c r="AZ103" s="300"/>
    </row>
    <row r="104" spans="1:54" ht="19.5" customHeight="1" x14ac:dyDescent="0.25">
      <c r="A104" s="373" t="s">
        <v>363</v>
      </c>
      <c r="B104" s="374"/>
      <c r="C104" s="375"/>
      <c r="D104" s="376"/>
      <c r="E104" s="377"/>
      <c r="F104" s="378"/>
      <c r="G104" s="379"/>
      <c r="H104" s="379"/>
      <c r="I104" s="379"/>
      <c r="J104" s="379"/>
      <c r="K104" s="379"/>
      <c r="L104" s="380"/>
      <c r="M104" s="380"/>
      <c r="N104" s="379"/>
      <c r="O104" s="379"/>
      <c r="P104" s="379"/>
      <c r="Q104" s="379"/>
      <c r="R104" s="379"/>
      <c r="S104" s="381"/>
      <c r="T104" s="379"/>
      <c r="U104" s="379"/>
      <c r="V104" s="379"/>
      <c r="W104" s="379"/>
      <c r="X104" s="379"/>
      <c r="Y104" s="379"/>
      <c r="Z104" s="379"/>
      <c r="AA104" s="216"/>
      <c r="AB104" s="297"/>
      <c r="AC104" s="216"/>
      <c r="AD104" s="216"/>
      <c r="AE104" s="216"/>
      <c r="AF104" s="216"/>
      <c r="AG104" s="382"/>
      <c r="AH104" s="382"/>
      <c r="AI104" s="382"/>
      <c r="AJ104" s="383"/>
      <c r="AK104" s="383"/>
      <c r="AL104" s="383"/>
      <c r="AM104" s="383"/>
      <c r="AN104" s="383"/>
      <c r="AO104" s="383"/>
      <c r="AP104" s="383"/>
      <c r="AQ104" s="383"/>
      <c r="AR104" s="382"/>
      <c r="AS104" s="382"/>
      <c r="AT104" s="382"/>
      <c r="AU104" s="382"/>
      <c r="AV104" s="186"/>
    </row>
    <row r="105" spans="1:54" ht="19.5" customHeight="1" thickBot="1" x14ac:dyDescent="0.3">
      <c r="A105" s="384"/>
      <c r="B105" s="385"/>
      <c r="C105" s="386"/>
      <c r="D105" s="387"/>
      <c r="E105" s="388"/>
      <c r="F105" s="388"/>
      <c r="G105" s="388"/>
      <c r="H105" s="288"/>
      <c r="I105" s="288"/>
      <c r="J105" s="288"/>
      <c r="K105" s="288"/>
      <c r="L105" s="299"/>
      <c r="M105" s="299"/>
      <c r="N105" s="288"/>
      <c r="O105" s="288"/>
      <c r="P105" s="288"/>
      <c r="Q105" s="288"/>
      <c r="R105" s="288"/>
      <c r="S105" s="289"/>
      <c r="T105" s="288"/>
      <c r="U105" s="288"/>
      <c r="V105" s="288"/>
      <c r="W105" s="288"/>
      <c r="X105" s="288"/>
      <c r="Y105" s="288"/>
      <c r="Z105" s="288"/>
      <c r="AA105" s="222"/>
      <c r="AB105" s="211"/>
      <c r="AC105" s="222"/>
      <c r="AD105" s="222"/>
      <c r="AE105" s="222"/>
      <c r="AF105" s="222"/>
      <c r="AG105" s="187"/>
      <c r="AH105" s="187"/>
      <c r="AI105" s="187"/>
      <c r="AJ105" s="282"/>
      <c r="AK105" s="282"/>
      <c r="AL105" s="282"/>
      <c r="AM105" s="282"/>
      <c r="AN105" s="282"/>
      <c r="AO105" s="282"/>
      <c r="AP105" s="282"/>
      <c r="AQ105" s="282"/>
      <c r="AR105" s="187"/>
      <c r="AS105" s="187"/>
      <c r="AT105" s="187"/>
      <c r="AU105" s="187"/>
      <c r="AV105" s="186"/>
    </row>
    <row r="106" spans="1:54" ht="19.5" customHeight="1" x14ac:dyDescent="0.25">
      <c r="A106" s="215" t="s">
        <v>247</v>
      </c>
      <c r="B106" s="389"/>
      <c r="C106" s="389"/>
      <c r="D106" s="389"/>
      <c r="E106" s="389"/>
      <c r="F106" s="389"/>
      <c r="G106" s="1845" t="s">
        <v>387</v>
      </c>
      <c r="H106" s="288"/>
      <c r="I106" s="288"/>
      <c r="J106" s="288"/>
      <c r="K106" s="288"/>
      <c r="L106" s="299"/>
      <c r="M106" s="299"/>
      <c r="N106" s="288"/>
      <c r="O106" s="288"/>
      <c r="P106" s="288"/>
      <c r="Q106" s="288"/>
      <c r="R106" s="288"/>
      <c r="S106" s="289"/>
      <c r="T106" s="288"/>
      <c r="U106" s="288"/>
      <c r="V106" s="288"/>
      <c r="W106" s="288"/>
      <c r="X106" s="288"/>
      <c r="Y106" s="288"/>
      <c r="Z106" s="288"/>
      <c r="AA106" s="222"/>
      <c r="AB106" s="211"/>
      <c r="AC106" s="222"/>
      <c r="AD106" s="222"/>
      <c r="AE106" s="222"/>
      <c r="AF106" s="222"/>
      <c r="AG106" s="187"/>
      <c r="AH106" s="187"/>
      <c r="AI106" s="187"/>
      <c r="AJ106" s="282"/>
      <c r="AK106" s="282"/>
      <c r="AL106" s="282"/>
      <c r="AM106" s="282"/>
      <c r="AN106" s="282"/>
      <c r="AO106" s="282"/>
      <c r="AP106" s="282"/>
      <c r="AQ106" s="282"/>
      <c r="AR106" s="187"/>
      <c r="AS106" s="187"/>
      <c r="AT106" s="187"/>
      <c r="AU106" s="187"/>
      <c r="AV106" s="186"/>
    </row>
    <row r="107" spans="1:54" ht="19.5" customHeight="1" thickBot="1" x14ac:dyDescent="0.3">
      <c r="A107" s="226" t="s">
        <v>246</v>
      </c>
      <c r="B107" s="390"/>
      <c r="C107" s="390"/>
      <c r="D107" s="390"/>
      <c r="E107" s="390"/>
      <c r="F107" s="390"/>
      <c r="G107" s="1846">
        <v>1</v>
      </c>
      <c r="H107" s="288"/>
      <c r="I107" s="288"/>
      <c r="J107" s="288"/>
      <c r="K107" s="288"/>
      <c r="L107" s="299"/>
      <c r="M107" s="299"/>
      <c r="N107" s="288"/>
      <c r="O107" s="288"/>
      <c r="P107" s="288"/>
      <c r="Q107" s="288"/>
      <c r="R107" s="288"/>
      <c r="S107" s="289"/>
      <c r="T107" s="288"/>
      <c r="U107" s="288"/>
      <c r="V107" s="288"/>
      <c r="W107" s="288"/>
      <c r="X107" s="288"/>
      <c r="Y107" s="288"/>
      <c r="Z107" s="288"/>
      <c r="AA107" s="222"/>
      <c r="AB107" s="211"/>
      <c r="AC107" s="222"/>
      <c r="AD107" s="222"/>
      <c r="AE107" s="222"/>
      <c r="AF107" s="222"/>
      <c r="AG107" s="187"/>
      <c r="AH107" s="187"/>
      <c r="AI107" s="187"/>
      <c r="AJ107" s="282"/>
      <c r="AK107" s="282"/>
      <c r="AL107" s="282"/>
      <c r="AM107" s="282"/>
      <c r="AN107" s="282"/>
      <c r="AO107" s="282"/>
      <c r="AP107" s="282"/>
      <c r="AQ107" s="282"/>
      <c r="AR107" s="187"/>
      <c r="AS107" s="187"/>
      <c r="AT107" s="187"/>
      <c r="AU107" s="187"/>
      <c r="AV107" s="186"/>
    </row>
    <row r="108" spans="1:54" ht="19.5" customHeight="1" thickBot="1" x14ac:dyDescent="0.3">
      <c r="A108" s="221"/>
      <c r="B108" s="225"/>
      <c r="C108" s="225"/>
      <c r="D108" s="225"/>
      <c r="E108" s="225"/>
      <c r="F108" s="225"/>
      <c r="G108" s="57"/>
      <c r="H108" s="288"/>
      <c r="I108" s="288"/>
      <c r="J108" s="288"/>
      <c r="K108" s="288"/>
      <c r="L108" s="225"/>
      <c r="M108" s="187"/>
      <c r="N108" s="187"/>
      <c r="O108" s="187"/>
      <c r="P108" s="187"/>
      <c r="Q108" s="187"/>
      <c r="R108" s="288"/>
      <c r="Y108" s="288"/>
      <c r="Z108" s="288"/>
      <c r="AA108" s="222"/>
      <c r="AB108" s="211"/>
      <c r="AC108" s="222"/>
      <c r="AD108" s="222"/>
      <c r="AE108" s="222"/>
      <c r="AF108" s="222"/>
      <c r="AG108" s="187"/>
      <c r="AH108" s="187"/>
      <c r="AI108" s="187"/>
      <c r="AJ108" s="282"/>
      <c r="AK108" s="282"/>
      <c r="AL108" s="282"/>
      <c r="AM108" s="282"/>
      <c r="AN108" s="282"/>
      <c r="AO108" s="282"/>
      <c r="AP108" s="282"/>
      <c r="AQ108" s="282"/>
      <c r="AR108" s="187"/>
      <c r="AS108" s="187"/>
      <c r="AT108" s="187"/>
      <c r="AU108" s="187"/>
      <c r="AV108" s="186"/>
    </row>
    <row r="109" spans="1:54" s="212" customFormat="1" ht="19.5" customHeight="1" thickBot="1" x14ac:dyDescent="0.3">
      <c r="A109" s="391" t="s">
        <v>243</v>
      </c>
      <c r="B109" s="392"/>
      <c r="C109" s="216"/>
      <c r="D109" s="216"/>
      <c r="E109" s="393"/>
      <c r="F109" s="216"/>
      <c r="G109" s="389"/>
      <c r="H109" s="216"/>
      <c r="I109" s="297"/>
      <c r="J109" s="394"/>
      <c r="K109" s="395"/>
      <c r="L109" s="396" t="s">
        <v>163</v>
      </c>
      <c r="M109" s="379"/>
      <c r="N109" s="379"/>
      <c r="O109" s="397"/>
      <c r="Q109" s="396" t="s">
        <v>581</v>
      </c>
      <c r="R109" s="398"/>
      <c r="S109" s="389"/>
      <c r="T109" s="389"/>
      <c r="U109" s="399"/>
      <c r="Y109" s="400"/>
      <c r="Z109" s="400"/>
      <c r="AA109" s="400"/>
      <c r="AB109" s="400"/>
      <c r="AC109" s="400"/>
      <c r="AD109" s="400"/>
      <c r="AE109" s="225"/>
      <c r="AF109" s="299"/>
      <c r="AG109" s="299"/>
      <c r="AH109" s="225"/>
      <c r="AI109" s="299"/>
      <c r="AJ109" s="299"/>
      <c r="AK109" s="225"/>
      <c r="AL109" s="299"/>
      <c r="AM109" s="299"/>
      <c r="AN109" s="225"/>
      <c r="AO109" s="299"/>
      <c r="AP109" s="299"/>
      <c r="AQ109" s="225"/>
      <c r="AR109" s="299"/>
      <c r="AS109" s="299"/>
      <c r="AT109" s="220"/>
      <c r="AU109" s="211"/>
      <c r="AV109" s="221"/>
      <c r="AW109" s="222"/>
      <c r="AX109" s="225"/>
      <c r="AY109" s="225"/>
      <c r="AZ109" s="225"/>
      <c r="BA109" s="225"/>
      <c r="BB109" s="225"/>
    </row>
    <row r="110" spans="1:54" s="212" customFormat="1" ht="19.5" customHeight="1" thickBot="1" x14ac:dyDescent="0.3">
      <c r="A110" s="401"/>
      <c r="B110" s="222"/>
      <c r="C110" s="225"/>
      <c r="D110" s="240"/>
      <c r="E110" s="402"/>
      <c r="F110" s="403" t="s">
        <v>55</v>
      </c>
      <c r="G110" s="211"/>
      <c r="H110" s="222"/>
      <c r="I110" s="211"/>
      <c r="J110" s="404"/>
      <c r="K110" s="395"/>
      <c r="L110" s="405" t="s">
        <v>577</v>
      </c>
      <c r="M110" s="406"/>
      <c r="N110" s="406"/>
      <c r="O110" s="407"/>
      <c r="Q110" s="408" t="s">
        <v>579</v>
      </c>
      <c r="R110" s="398"/>
      <c r="S110" s="389"/>
      <c r="T110" s="389"/>
      <c r="U110" s="399"/>
      <c r="Y110" s="400"/>
      <c r="Z110" s="400"/>
      <c r="AA110" s="400"/>
      <c r="AB110" s="400"/>
      <c r="AC110" s="400"/>
      <c r="AD110" s="400"/>
      <c r="AE110" s="225"/>
      <c r="AF110" s="299"/>
      <c r="AG110" s="299"/>
      <c r="AH110" s="225"/>
      <c r="AI110" s="299"/>
      <c r="AJ110" s="299"/>
      <c r="AK110" s="225"/>
      <c r="AL110" s="299"/>
      <c r="AM110" s="299"/>
      <c r="AN110" s="225"/>
      <c r="AO110" s="299"/>
      <c r="AP110" s="299"/>
      <c r="AQ110" s="225"/>
      <c r="AR110" s="299"/>
      <c r="AS110" s="299"/>
      <c r="AT110" s="220"/>
      <c r="AU110" s="211"/>
      <c r="AV110" s="221"/>
      <c r="AW110" s="222"/>
      <c r="AX110" s="225"/>
      <c r="AY110" s="225"/>
      <c r="AZ110" s="225"/>
      <c r="BA110" s="225"/>
      <c r="BB110" s="225"/>
    </row>
    <row r="111" spans="1:54" s="212" customFormat="1" ht="19.5" customHeight="1" thickBot="1" x14ac:dyDescent="0.3">
      <c r="A111" s="221"/>
      <c r="B111" s="308" t="s">
        <v>68</v>
      </c>
      <c r="C111" s="409" t="s">
        <v>81</v>
      </c>
      <c r="D111" s="410"/>
      <c r="E111" s="58">
        <v>0.5</v>
      </c>
      <c r="F111" s="411">
        <f>$C$4</f>
        <v>6</v>
      </c>
      <c r="G111" s="411">
        <f>$D$4</f>
        <v>10</v>
      </c>
      <c r="H111" s="411">
        <f>$E$4</f>
        <v>18</v>
      </c>
      <c r="I111" s="411" t="str">
        <f>$F$4</f>
        <v>6 FFF</v>
      </c>
      <c r="J111" s="412" t="str">
        <f>$G$4</f>
        <v>10 FFF</v>
      </c>
      <c r="K111" s="395"/>
      <c r="L111" s="413"/>
      <c r="M111" s="414" t="s">
        <v>38</v>
      </c>
      <c r="N111" s="415" t="s">
        <v>38</v>
      </c>
      <c r="O111" s="416" t="s">
        <v>156</v>
      </c>
      <c r="Q111" s="1847">
        <v>5.6999999999999999E-16</v>
      </c>
      <c r="R111" s="390"/>
      <c r="S111" s="390"/>
      <c r="T111" s="390"/>
      <c r="U111" s="417"/>
      <c r="Y111" s="400"/>
      <c r="Z111" s="400"/>
      <c r="AA111" s="400"/>
      <c r="AB111" s="400"/>
      <c r="AC111" s="400"/>
      <c r="AD111" s="400"/>
      <c r="AE111" s="225"/>
      <c r="AF111" s="299"/>
      <c r="AG111" s="299"/>
      <c r="AH111" s="225"/>
      <c r="AI111" s="299"/>
      <c r="AJ111" s="299"/>
      <c r="AK111" s="225"/>
      <c r="AL111" s="299"/>
      <c r="AM111" s="299"/>
      <c r="AN111" s="225"/>
      <c r="AO111" s="299"/>
      <c r="AP111" s="299"/>
      <c r="AQ111" s="225"/>
      <c r="AR111" s="299"/>
      <c r="AS111" s="299"/>
      <c r="AT111" s="220"/>
      <c r="AU111" s="211"/>
      <c r="AV111" s="221"/>
      <c r="AW111" s="222"/>
      <c r="AX111" s="225"/>
      <c r="AY111" s="225"/>
      <c r="AZ111" s="225"/>
      <c r="BA111" s="225"/>
      <c r="BB111" s="225"/>
    </row>
    <row r="112" spans="1:54" s="212" customFormat="1" ht="19.5" customHeight="1" thickBot="1" x14ac:dyDescent="0.3">
      <c r="A112" s="418" t="s">
        <v>293</v>
      </c>
      <c r="B112" s="419" t="s">
        <v>282</v>
      </c>
      <c r="C112" s="420">
        <f>IF($G$106="parallel",75,30)</f>
        <v>75</v>
      </c>
      <c r="D112" s="421"/>
      <c r="E112" s="422"/>
      <c r="F112" s="423">
        <f>IF($G$106="parallel",VLOOKUP($F$111,reflectiecoefficienten!$A$11:$F$20,2),VLOOKUP($F$111,reflectiecoefficienten!$A$28:$F$37,2))</f>
        <v>2.7000000000000001E-3</v>
      </c>
      <c r="G112" s="423">
        <f>IF($G$106="parallel",VLOOKUP($G$111,reflectiecoefficienten!$A$11:$F$20,2),VLOOKUP($G$111,reflectiecoefficienten!$A$28:$F$37,2))</f>
        <v>2.0999999999999999E-3</v>
      </c>
      <c r="H112" s="423">
        <f>IF($G$106="parallel",VLOOKUP($H$111,reflectiecoefficienten!$A$11:$F$20,2),VLOOKUP($H$111,reflectiecoefficienten!$A$28:$F$37,2))</f>
        <v>1.6000000000000001E-3</v>
      </c>
      <c r="I112" s="424">
        <f>IF($G$106="parallel",VLOOKUP($I$111,reflectiecoefficienten!$A$11:$F$20,2),VLOOKUP($I$111,reflectiecoefficienten!$A$28:$F$37,2))</f>
        <v>3.5000000000000001E-3</v>
      </c>
      <c r="J112" s="425">
        <f>IF($G$106="parallel",VLOOKUP($J$111,reflectiecoefficienten!$A$11:$F$20,2),VLOOKUP($J$111,reflectiecoefficienten!$A$28:$F$37,2))</f>
        <v>3.3E-3</v>
      </c>
      <c r="K112" s="395"/>
      <c r="L112" s="257"/>
      <c r="M112" s="312" t="s">
        <v>578</v>
      </c>
      <c r="N112" s="308" t="s">
        <v>33</v>
      </c>
      <c r="O112" s="309" t="s">
        <v>245</v>
      </c>
      <c r="Q112" s="426" t="s">
        <v>580</v>
      </c>
      <c r="R112" s="400"/>
      <c r="S112" s="225"/>
      <c r="T112" s="225"/>
      <c r="U112" s="427"/>
      <c r="Y112" s="400"/>
      <c r="Z112" s="400"/>
      <c r="AA112" s="400"/>
      <c r="AB112" s="400"/>
      <c r="AC112" s="400"/>
      <c r="AD112" s="400"/>
      <c r="AE112" s="225"/>
      <c r="AF112" s="299"/>
      <c r="AG112" s="299"/>
      <c r="AH112" s="225"/>
      <c r="AI112" s="299"/>
      <c r="AJ112" s="299"/>
      <c r="AK112" s="225"/>
      <c r="AL112" s="299"/>
      <c r="AM112" s="299"/>
      <c r="AN112" s="225"/>
      <c r="AO112" s="299"/>
      <c r="AP112" s="299"/>
      <c r="AQ112" s="225"/>
      <c r="AR112" s="299"/>
      <c r="AS112" s="299"/>
      <c r="AT112" s="220"/>
      <c r="AU112" s="211"/>
      <c r="AV112" s="221"/>
      <c r="AW112" s="222"/>
      <c r="AX112" s="225"/>
      <c r="AY112" s="225"/>
      <c r="AZ112" s="225"/>
      <c r="BA112" s="225"/>
      <c r="BB112" s="225"/>
    </row>
    <row r="113" spans="1:54" s="212" customFormat="1" ht="19.5" customHeight="1" thickBot="1" x14ac:dyDescent="0.3">
      <c r="A113" s="428" t="s">
        <v>294</v>
      </c>
      <c r="B113" s="179" t="s">
        <v>282</v>
      </c>
      <c r="C113" s="308">
        <v>75</v>
      </c>
      <c r="D113" s="421"/>
      <c r="E113" s="429"/>
      <c r="F113" s="423">
        <f>IF($G$106="parallel",VLOOKUP($F$111,reflectiecoefficienten!$A$11:$F$20,3),VLOOKUP($F$111,reflectiecoefficienten!$A$28:$F$37,3))</f>
        <v>2.7000000000000001E-3</v>
      </c>
      <c r="G113" s="423">
        <f>IF($G$106="parallel",VLOOKUP($G$111,reflectiecoefficienten!$A$11:$F$20,3),VLOOKUP($G$111,reflectiecoefficienten!$A$28:$F$37,3))</f>
        <v>2.0999999999999999E-3</v>
      </c>
      <c r="H113" s="423">
        <f>IF($G$106="parallel",VLOOKUP($H$111,reflectiecoefficienten!$A$11:$F$20,3),VLOOKUP($H$111,reflectiecoefficienten!$A$28:$F$37,3))</f>
        <v>1.6000000000000001E-3</v>
      </c>
      <c r="I113" s="424">
        <f>IF($G$106="parallel",VLOOKUP($I$111,reflectiecoefficienten!$A$11:$F$20,3),VLOOKUP($I$111,reflectiecoefficienten!$A$28:$F$37,3))</f>
        <v>3.5000000000000001E-3</v>
      </c>
      <c r="J113" s="425">
        <f>IF($G$106="parallel",VLOOKUP($J$111,reflectiecoefficienten!$A$11:$F$20,3),VLOOKUP($J$111,reflectiecoefficienten!$A$28:$F$37,3))</f>
        <v>3.3E-3</v>
      </c>
      <c r="K113" s="395"/>
      <c r="L113" s="307" t="s">
        <v>55</v>
      </c>
      <c r="M113" s="430">
        <v>0.5</v>
      </c>
      <c r="N113" s="415">
        <v>0.1</v>
      </c>
      <c r="O113" s="416">
        <v>3.6</v>
      </c>
      <c r="Q113" s="1848">
        <v>6.2</v>
      </c>
      <c r="R113" s="431"/>
      <c r="S113" s="390"/>
      <c r="T113" s="390"/>
      <c r="U113" s="417"/>
      <c r="Y113" s="400"/>
      <c r="Z113" s="400"/>
      <c r="AA113" s="400"/>
      <c r="AB113" s="400"/>
      <c r="AC113" s="400"/>
      <c r="AD113" s="400"/>
      <c r="AE113" s="225"/>
      <c r="AF113" s="299"/>
      <c r="AG113" s="299"/>
      <c r="AH113" s="225"/>
      <c r="AI113" s="299"/>
      <c r="AJ113" s="299"/>
      <c r="AK113" s="225"/>
      <c r="AL113" s="299"/>
      <c r="AM113" s="299"/>
      <c r="AN113" s="225"/>
      <c r="AO113" s="299"/>
      <c r="AP113" s="299"/>
      <c r="AQ113" s="225"/>
      <c r="AR113" s="299"/>
      <c r="AS113" s="299"/>
      <c r="AT113" s="220"/>
      <c r="AU113" s="211"/>
      <c r="AV113" s="221"/>
      <c r="AW113" s="222"/>
      <c r="AX113" s="225"/>
      <c r="AY113" s="225"/>
      <c r="AZ113" s="225"/>
      <c r="BA113" s="225"/>
      <c r="BB113" s="225"/>
    </row>
    <row r="114" spans="1:54" s="212" customFormat="1" ht="19.5" customHeight="1" thickBot="1" x14ac:dyDescent="0.3">
      <c r="A114" s="428" t="s">
        <v>295</v>
      </c>
      <c r="B114" s="308" t="str">
        <f>IF($G$106="parallel","loodrecht",45)</f>
        <v>loodrecht</v>
      </c>
      <c r="C114" s="308">
        <f>IF($G$106="parallel",75,0)</f>
        <v>75</v>
      </c>
      <c r="D114" s="421"/>
      <c r="E114" s="432">
        <f>IF($G$106="parallel",VLOOKUP($E$111,reflectiecoefficienten!$A$11:$F$20,4),VLOOKUP($E$111,reflectiecoefficienten!$A$28:$F$37,4))</f>
        <v>8.0000000000000002E-3</v>
      </c>
      <c r="F114" s="433"/>
      <c r="G114" s="423"/>
      <c r="H114" s="423"/>
      <c r="I114" s="424"/>
      <c r="J114" s="425"/>
      <c r="K114" s="395"/>
      <c r="L114" s="434" t="s">
        <v>3</v>
      </c>
      <c r="M114" s="263">
        <f>VLOOKUP($M$113,'TVT''s afscherming'!$A$10:$J$23,5)</f>
        <v>5.5</v>
      </c>
      <c r="N114" s="435">
        <f>VLOOKUP($N$113,'TVT''s afscherming'!$A$45:$J$45,3)</f>
        <v>37</v>
      </c>
      <c r="O114" s="436">
        <f>VLOOKUP($O$113,'TVT''s afscherming'!$A$47:$J$47,3)</f>
        <v>13.5</v>
      </c>
      <c r="R114" s="400"/>
      <c r="Y114" s="400"/>
      <c r="Z114" s="400"/>
      <c r="AA114" s="400"/>
      <c r="AB114" s="400"/>
      <c r="AC114" s="400"/>
      <c r="AD114" s="400"/>
      <c r="AE114" s="225"/>
      <c r="AF114" s="299"/>
      <c r="AG114" s="299"/>
      <c r="AH114" s="225"/>
      <c r="AI114" s="299"/>
      <c r="AJ114" s="299"/>
      <c r="AK114" s="225"/>
      <c r="AL114" s="299"/>
      <c r="AM114" s="299"/>
      <c r="AN114" s="225"/>
      <c r="AO114" s="299"/>
      <c r="AP114" s="299"/>
      <c r="AQ114" s="225"/>
      <c r="AR114" s="299"/>
      <c r="AS114" s="299"/>
      <c r="AT114" s="220"/>
      <c r="AU114" s="211"/>
      <c r="AV114" s="221"/>
      <c r="AW114" s="222"/>
      <c r="AX114" s="225"/>
      <c r="AY114" s="225"/>
      <c r="AZ114" s="225"/>
      <c r="BA114" s="225"/>
      <c r="BB114" s="225"/>
    </row>
    <row r="115" spans="1:54" s="212" customFormat="1" ht="19.5" customHeight="1" thickBot="1" x14ac:dyDescent="0.3">
      <c r="A115" s="428" t="s">
        <v>296</v>
      </c>
      <c r="B115" s="308">
        <v>45</v>
      </c>
      <c r="C115" s="308">
        <v>0</v>
      </c>
      <c r="D115" s="421"/>
      <c r="E115" s="432">
        <f>IF($G$106="parallel",VLOOKUP($E$111,reflectiecoefficienten!$A$11:$F$20,5),VLOOKUP($E$111,reflectiecoefficienten!$A$28:$F$37,5))</f>
        <v>2.1999999999999999E-2</v>
      </c>
      <c r="F115" s="423">
        <f>IF($G$106="parallel",VLOOKUP($F$111,reflectiecoefficienten!$A$11:$F$20,5),VLOOKUP($F$111,reflectiecoefficienten!$A$28:$F$37,5))</f>
        <v>6.4000000000000003E-3</v>
      </c>
      <c r="G115" s="423">
        <f>IF($G$106="parallel",VLOOKUP($G$111,reflectiecoefficienten!$A$11:$F$20,5),VLOOKUP($G$111,reflectiecoefficienten!$A$28:$F$37,5))</f>
        <v>5.1000000000000004E-3</v>
      </c>
      <c r="H115" s="423">
        <f>IF($G$106="parallel",VLOOKUP($H$111,reflectiecoefficienten!$A$11:$F$20,5),VLOOKUP($H$111,reflectiecoefficienten!$A$28:$F$37,5))</f>
        <v>4.4999999999999997E-3</v>
      </c>
      <c r="I115" s="424">
        <f>IF($G$106="parallel",VLOOKUP($I$111,reflectiecoefficienten!$A$11:$F$20,5),VLOOKUP($I$111,reflectiecoefficienten!$A$28:$F$37,5))</f>
        <v>8.3000000000000001E-3</v>
      </c>
      <c r="J115" s="425">
        <f>IF($G$106="parallel",VLOOKUP($J$111,reflectiecoefficienten!$A$11:$F$20,5),VLOOKUP($J$111,reflectiecoefficienten!$A$28:$F$37,5))</f>
        <v>7.3000000000000001E-3</v>
      </c>
      <c r="K115" s="395"/>
      <c r="L115" s="307" t="s">
        <v>22</v>
      </c>
      <c r="M115" s="263">
        <f>VLOOKUP($M$113,'TVT''s afscherming'!$A$10:$J$23,6)</f>
        <v>1.6</v>
      </c>
      <c r="N115" s="263">
        <f>VLOOKUP($N$113,'TVT''s afscherming'!$A$45:$J$45,4)</f>
        <v>37</v>
      </c>
      <c r="O115" s="437">
        <f>IF(M134&gt;5,'TVT''s afscherming'!$D$48,'TVT''s afscherming'!$D$47)</f>
        <v>0.6</v>
      </c>
      <c r="R115" s="400"/>
      <c r="Y115" s="400"/>
      <c r="Z115" s="400"/>
      <c r="AA115" s="400"/>
      <c r="AB115" s="400"/>
      <c r="AC115" s="400"/>
      <c r="AD115" s="400"/>
      <c r="AE115" s="225"/>
      <c r="AF115" s="299"/>
      <c r="AG115" s="299"/>
      <c r="AH115" s="225"/>
      <c r="AI115" s="299"/>
      <c r="AJ115" s="299"/>
      <c r="AK115" s="225"/>
      <c r="AL115" s="299"/>
      <c r="AM115" s="299"/>
      <c r="AN115" s="225"/>
      <c r="AO115" s="299"/>
      <c r="AP115" s="299"/>
      <c r="AQ115" s="225"/>
      <c r="AR115" s="299"/>
      <c r="AS115" s="299"/>
      <c r="AT115" s="220"/>
      <c r="AU115" s="211"/>
      <c r="AV115" s="221"/>
      <c r="AW115" s="222"/>
      <c r="AX115" s="225"/>
      <c r="AY115" s="225"/>
      <c r="AZ115" s="225"/>
      <c r="BA115" s="225"/>
      <c r="BB115" s="225"/>
    </row>
    <row r="116" spans="1:54" s="212" customFormat="1" ht="19.5" customHeight="1" thickBot="1" x14ac:dyDescent="0.3">
      <c r="A116" s="428" t="s">
        <v>297</v>
      </c>
      <c r="B116" s="179" t="s">
        <v>282</v>
      </c>
      <c r="C116" s="308">
        <v>75</v>
      </c>
      <c r="D116" s="222"/>
      <c r="E116" s="424">
        <f>IF(G107=1,1,(IF($G$106="parallel",VLOOKUP($E$111,reflectiecoefficienten!$A$11:$F$20,6),VLOOKUP($E$111,reflectiecoefficienten!$A$28:$F$37,6))))</f>
        <v>1</v>
      </c>
      <c r="F116" s="429"/>
      <c r="G116" s="423"/>
      <c r="H116" s="424"/>
      <c r="I116" s="424"/>
      <c r="J116" s="425"/>
      <c r="K116" s="395"/>
      <c r="L116" s="438" t="s">
        <v>39</v>
      </c>
      <c r="M116" s="439"/>
      <c r="N116" s="276">
        <f>VLOOKUP($N$113,'TVT''s afscherming'!$A$45:$J$45,5)</f>
        <v>4.5</v>
      </c>
      <c r="O116" s="440"/>
      <c r="R116" s="400"/>
      <c r="Y116" s="400"/>
      <c r="Z116" s="400"/>
      <c r="AA116" s="400"/>
      <c r="AB116" s="400"/>
      <c r="AC116" s="400"/>
      <c r="AD116" s="400"/>
      <c r="AE116" s="225"/>
      <c r="AF116" s="299"/>
      <c r="AG116" s="299"/>
      <c r="AH116" s="225"/>
      <c r="AI116" s="299"/>
      <c r="AJ116" s="299"/>
      <c r="AK116" s="225"/>
      <c r="AL116" s="299"/>
      <c r="AM116" s="299"/>
      <c r="AN116" s="225"/>
      <c r="AO116" s="299"/>
      <c r="AP116" s="299"/>
      <c r="AQ116" s="225"/>
      <c r="AR116" s="299"/>
      <c r="AS116" s="299"/>
      <c r="AT116" s="220"/>
      <c r="AU116" s="211"/>
      <c r="AV116" s="221"/>
      <c r="AW116" s="222"/>
      <c r="AX116" s="225"/>
      <c r="AY116" s="225"/>
      <c r="AZ116" s="225"/>
      <c r="BA116" s="225"/>
      <c r="BB116" s="225"/>
    </row>
    <row r="117" spans="1:54" s="212" customFormat="1" ht="19.5" customHeight="1" thickBot="1" x14ac:dyDescent="0.3">
      <c r="A117" s="441"/>
      <c r="B117" s="442"/>
      <c r="C117" s="443"/>
      <c r="D117" s="444"/>
      <c r="E117" s="445"/>
      <c r="F117" s="446"/>
      <c r="G117" s="445"/>
      <c r="H117" s="445"/>
      <c r="I117" s="445"/>
      <c r="J117" s="445"/>
      <c r="K117" s="395"/>
      <c r="R117" s="400"/>
      <c r="Y117" s="400"/>
      <c r="Z117" s="400"/>
      <c r="AA117" s="400"/>
      <c r="AB117" s="400"/>
      <c r="AC117" s="400"/>
      <c r="AD117" s="400"/>
      <c r="AE117" s="225"/>
      <c r="AF117" s="299"/>
      <c r="AG117" s="299"/>
      <c r="AH117" s="225"/>
      <c r="AI117" s="299"/>
      <c r="AJ117" s="299"/>
      <c r="AK117" s="225"/>
      <c r="AL117" s="299"/>
      <c r="AM117" s="299"/>
      <c r="AN117" s="225"/>
      <c r="AO117" s="299"/>
      <c r="AP117" s="299"/>
      <c r="AQ117" s="225"/>
      <c r="AR117" s="299"/>
      <c r="AS117" s="299"/>
      <c r="AT117" s="220"/>
      <c r="AU117" s="211"/>
      <c r="AV117" s="221"/>
      <c r="AW117" s="222"/>
      <c r="AX117" s="225"/>
      <c r="AY117" s="225"/>
      <c r="AZ117" s="225"/>
      <c r="BA117" s="225"/>
      <c r="BB117" s="225"/>
    </row>
    <row r="118" spans="1:54" s="212" customFormat="1" ht="19.5" customHeight="1" x14ac:dyDescent="0.25">
      <c r="A118" s="447" t="s">
        <v>280</v>
      </c>
      <c r="B118" s="272"/>
      <c r="C118" s="222"/>
      <c r="D118" s="222"/>
      <c r="E118" s="310"/>
      <c r="F118" s="448" t="s">
        <v>55</v>
      </c>
      <c r="J118" s="449"/>
      <c r="K118" s="395"/>
      <c r="R118" s="400"/>
      <c r="S118" s="400"/>
      <c r="T118" s="400"/>
      <c r="U118" s="400"/>
      <c r="V118" s="400"/>
      <c r="W118" s="400"/>
      <c r="X118" s="400"/>
      <c r="Y118" s="400"/>
      <c r="Z118" s="400"/>
      <c r="AA118" s="400"/>
      <c r="AB118" s="400"/>
      <c r="AC118" s="400"/>
      <c r="AD118" s="400"/>
      <c r="AE118" s="225"/>
      <c r="AF118" s="299"/>
      <c r="AG118" s="299"/>
      <c r="AH118" s="225"/>
      <c r="AI118" s="299"/>
      <c r="AJ118" s="299"/>
      <c r="AK118" s="225"/>
      <c r="AL118" s="299"/>
      <c r="AM118" s="299"/>
      <c r="AN118" s="225"/>
      <c r="AO118" s="299"/>
      <c r="AP118" s="299"/>
      <c r="AQ118" s="225"/>
      <c r="AR118" s="299"/>
      <c r="AS118" s="299"/>
      <c r="AT118" s="220"/>
      <c r="AU118" s="211"/>
      <c r="AV118" s="221"/>
      <c r="AW118" s="222"/>
      <c r="AX118" s="225"/>
      <c r="AY118" s="225"/>
      <c r="AZ118" s="225"/>
      <c r="BA118" s="225"/>
      <c r="BB118" s="225"/>
    </row>
    <row r="119" spans="1:54" s="212" customFormat="1" ht="19.5" customHeight="1" x14ac:dyDescent="0.25">
      <c r="A119" s="221" t="s">
        <v>291</v>
      </c>
      <c r="B119" s="220"/>
      <c r="C119" s="450" t="s">
        <v>289</v>
      </c>
      <c r="D119" s="266"/>
      <c r="E119" s="451"/>
      <c r="F119" s="411">
        <f>$C$4</f>
        <v>6</v>
      </c>
      <c r="G119" s="269">
        <f>$D$4</f>
        <v>10</v>
      </c>
      <c r="H119" s="269">
        <f>$E$4</f>
        <v>18</v>
      </c>
      <c r="I119" s="411" t="str">
        <f>$F$4</f>
        <v>6 FFF</v>
      </c>
      <c r="J119" s="412" t="str">
        <f>$G$4</f>
        <v>10 FFF</v>
      </c>
      <c r="K119" s="395"/>
      <c r="L119" s="211"/>
      <c r="M119" s="452"/>
      <c r="N119" s="453"/>
      <c r="O119" s="453"/>
      <c r="P119" s="453"/>
      <c r="Q119" s="453"/>
      <c r="R119" s="400"/>
      <c r="S119" s="400"/>
      <c r="T119" s="400"/>
      <c r="U119" s="400"/>
      <c r="V119" s="400"/>
      <c r="W119" s="400"/>
      <c r="X119" s="400"/>
      <c r="Y119" s="400"/>
      <c r="Z119" s="400"/>
      <c r="AA119" s="400"/>
      <c r="AB119" s="400"/>
      <c r="AC119" s="400"/>
      <c r="AD119" s="400"/>
      <c r="AE119" s="225"/>
      <c r="AF119" s="299"/>
      <c r="AG119" s="299"/>
      <c r="AH119" s="225"/>
      <c r="AI119" s="299"/>
      <c r="AJ119" s="299"/>
      <c r="AK119" s="225"/>
      <c r="AL119" s="299"/>
      <c r="AM119" s="299"/>
      <c r="AN119" s="225"/>
      <c r="AO119" s="299"/>
      <c r="AP119" s="299"/>
      <c r="AQ119" s="225"/>
      <c r="AR119" s="299"/>
      <c r="AS119" s="299"/>
      <c r="AT119" s="220"/>
      <c r="AU119" s="211"/>
      <c r="AV119" s="221"/>
      <c r="AW119" s="222"/>
      <c r="AX119" s="225"/>
      <c r="AY119" s="225"/>
      <c r="AZ119" s="225"/>
      <c r="BA119" s="225"/>
      <c r="BB119" s="225"/>
    </row>
    <row r="120" spans="1:54" s="212" customFormat="1" ht="19.5" customHeight="1" x14ac:dyDescent="0.25">
      <c r="A120" s="454" t="s">
        <v>281</v>
      </c>
      <c r="B120" s="455"/>
      <c r="C120" s="456" t="s">
        <v>287</v>
      </c>
      <c r="D120" s="457"/>
      <c r="E120" s="458"/>
      <c r="F120" s="423">
        <f>VLOOKUP($F$119,patientscatterfactoren!$A$18:$I$29,5)</f>
        <v>1.39E-3</v>
      </c>
      <c r="G120" s="423">
        <f>VLOOKUP($G$119,patientscatterfactoren!$A$18:$I$29,5)</f>
        <v>1.3500000000000001E-3</v>
      </c>
      <c r="H120" s="423">
        <f>VLOOKUP($H$119,patientscatterfactoren!$A$18:$I$29,5)</f>
        <v>8.6399999999999997E-4</v>
      </c>
      <c r="I120" s="423">
        <f>VLOOKUP($I$119,patientscatterfactoren!$A$18:$I$29,5)</f>
        <v>1.2999999999999999E-3</v>
      </c>
      <c r="J120" s="425">
        <f>VLOOKUP($J$119,patientscatterfactoren!$A$18:$I$29,5)</f>
        <v>1.1999999999999999E-3</v>
      </c>
      <c r="K120" s="395"/>
      <c r="L120" s="211"/>
      <c r="M120" s="453"/>
      <c r="N120" s="453"/>
      <c r="O120" s="453"/>
      <c r="P120" s="453"/>
      <c r="Q120" s="453"/>
      <c r="R120" s="400"/>
      <c r="S120" s="400"/>
      <c r="T120" s="400"/>
      <c r="U120" s="400"/>
      <c r="V120" s="400"/>
      <c r="W120" s="400"/>
      <c r="X120" s="400"/>
      <c r="Y120" s="400"/>
      <c r="Z120" s="400"/>
      <c r="AA120" s="400"/>
      <c r="AB120" s="400"/>
      <c r="AC120" s="400"/>
      <c r="AD120" s="400"/>
      <c r="AE120" s="225"/>
      <c r="AF120" s="299"/>
      <c r="AG120" s="299"/>
      <c r="AH120" s="225"/>
      <c r="AI120" s="299"/>
      <c r="AJ120" s="299"/>
      <c r="AK120" s="225"/>
      <c r="AL120" s="299"/>
      <c r="AM120" s="299"/>
      <c r="AN120" s="225"/>
      <c r="AO120" s="299"/>
      <c r="AP120" s="299"/>
      <c r="AQ120" s="225"/>
      <c r="AR120" s="299"/>
      <c r="AS120" s="299"/>
      <c r="AT120" s="220"/>
      <c r="AU120" s="211"/>
      <c r="AV120" s="221"/>
      <c r="AW120" s="222"/>
      <c r="AX120" s="225"/>
      <c r="AY120" s="225"/>
      <c r="AZ120" s="225"/>
      <c r="BA120" s="225"/>
      <c r="BB120" s="225"/>
    </row>
    <row r="121" spans="1:54" s="212" customFormat="1" ht="19.5" customHeight="1" x14ac:dyDescent="0.25">
      <c r="A121" s="459" t="s">
        <v>284</v>
      </c>
      <c r="B121" s="272"/>
      <c r="C121" s="460" t="s">
        <v>285</v>
      </c>
      <c r="D121" s="222"/>
      <c r="E121" s="461"/>
      <c r="F121" s="423">
        <f>VLOOKUP($F$119,patientscatterfactoren!$A$18:$I$29,7)</f>
        <v>4.26E-4</v>
      </c>
      <c r="G121" s="423">
        <f>VLOOKUP($G$119,patientscatterfactoren!$A$18:$I$29,7)</f>
        <v>3.8099999999999999E-4</v>
      </c>
      <c r="H121" s="423">
        <f>VLOOKUP($H$119,patientscatterfactoren!$A$18:$I$29,7)</f>
        <v>1.8900000000000001E-4</v>
      </c>
      <c r="I121" s="423">
        <f>VLOOKUP($I$119,patientscatterfactoren!$A$18:$I$29,7)</f>
        <v>4.46E-4</v>
      </c>
      <c r="J121" s="425">
        <f>VLOOKUP($J$119,patientscatterfactoren!$A$18:$I$29,7)</f>
        <v>4.0299999999999998E-4</v>
      </c>
      <c r="K121" s="395"/>
      <c r="L121" s="211"/>
      <c r="M121" s="453"/>
      <c r="N121" s="453"/>
      <c r="O121" s="453"/>
      <c r="P121" s="453"/>
      <c r="Q121" s="453"/>
      <c r="R121" s="400"/>
      <c r="S121" s="400"/>
      <c r="T121" s="400"/>
      <c r="U121" s="400"/>
      <c r="V121" s="400"/>
      <c r="W121" s="400"/>
      <c r="X121" s="400"/>
      <c r="Y121" s="400"/>
      <c r="Z121" s="400"/>
      <c r="AA121" s="400"/>
      <c r="AB121" s="400"/>
      <c r="AC121" s="400"/>
      <c r="AD121" s="400"/>
      <c r="AE121" s="225"/>
      <c r="AF121" s="299"/>
      <c r="AG121" s="299"/>
      <c r="AH121" s="225"/>
      <c r="AI121" s="299"/>
      <c r="AJ121" s="299"/>
      <c r="AK121" s="225"/>
      <c r="AL121" s="299"/>
      <c r="AM121" s="299"/>
      <c r="AN121" s="225"/>
      <c r="AO121" s="299"/>
      <c r="AP121" s="299"/>
      <c r="AQ121" s="225"/>
      <c r="AR121" s="299"/>
      <c r="AS121" s="299"/>
      <c r="AT121" s="220"/>
      <c r="AU121" s="211"/>
      <c r="AV121" s="221"/>
      <c r="AW121" s="222"/>
      <c r="AX121" s="225"/>
      <c r="AY121" s="225"/>
      <c r="AZ121" s="225"/>
      <c r="BA121" s="225"/>
      <c r="BB121" s="225"/>
    </row>
    <row r="122" spans="1:54" s="212" customFormat="1" ht="19.5" customHeight="1" thickBot="1" x14ac:dyDescent="0.3">
      <c r="A122" s="459" t="s">
        <v>286</v>
      </c>
      <c r="B122" s="272"/>
      <c r="C122" s="460" t="s">
        <v>288</v>
      </c>
      <c r="D122" s="222"/>
      <c r="E122" s="462"/>
      <c r="F122" s="423">
        <f>VLOOKUP($F$119,patientscatterfactoren!$A$18:$I$29,8)</f>
        <v>2.9999999999999997E-4</v>
      </c>
      <c r="G122" s="423">
        <f>VLOOKUP($G$119,patientscatterfactoren!$A$18:$I$29,8)</f>
        <v>3.0200000000000002E-4</v>
      </c>
      <c r="H122" s="463">
        <f>VLOOKUP($H$119,patientscatterfactoren!$A$18:$I$29,8)</f>
        <v>1.2400000000000001E-4</v>
      </c>
      <c r="I122" s="463">
        <f>VLOOKUP($I$119,patientscatterfactoren!$A$18:$I$29,8)</f>
        <v>3.4200000000000002E-4</v>
      </c>
      <c r="J122" s="464">
        <f>VLOOKUP($J$119,patientscatterfactoren!$A$18:$I$29,8)</f>
        <v>3.8200000000000002E-4</v>
      </c>
      <c r="K122" s="395"/>
      <c r="L122" s="211"/>
      <c r="M122" s="453"/>
      <c r="N122" s="453"/>
      <c r="O122" s="453"/>
      <c r="P122" s="453"/>
      <c r="Q122" s="453"/>
      <c r="R122" s="400"/>
      <c r="S122" s="400"/>
      <c r="T122" s="400"/>
      <c r="U122" s="400"/>
      <c r="V122" s="400"/>
      <c r="W122" s="400"/>
      <c r="X122" s="400"/>
      <c r="Y122" s="400"/>
      <c r="Z122" s="400"/>
      <c r="AA122" s="400"/>
      <c r="AB122" s="400"/>
      <c r="AC122" s="400"/>
      <c r="AD122" s="400"/>
      <c r="AE122" s="225"/>
      <c r="AF122" s="299"/>
      <c r="AG122" s="299"/>
      <c r="AH122" s="225"/>
      <c r="AI122" s="299"/>
      <c r="AJ122" s="299"/>
      <c r="AK122" s="225"/>
      <c r="AL122" s="299"/>
      <c r="AM122" s="299"/>
      <c r="AN122" s="225"/>
      <c r="AO122" s="299"/>
      <c r="AP122" s="299"/>
      <c r="AQ122" s="225"/>
      <c r="AR122" s="299"/>
      <c r="AS122" s="299"/>
      <c r="AT122" s="220"/>
      <c r="AU122" s="211"/>
      <c r="AV122" s="221"/>
      <c r="AW122" s="222"/>
      <c r="AX122" s="225"/>
      <c r="AY122" s="225"/>
      <c r="AZ122" s="225"/>
      <c r="BA122" s="225"/>
      <c r="BB122" s="225"/>
    </row>
    <row r="123" spans="1:54" s="212" customFormat="1" ht="19.5" customHeight="1" thickBot="1" x14ac:dyDescent="0.3">
      <c r="A123" s="465"/>
      <c r="B123" s="466"/>
      <c r="C123" s="466"/>
      <c r="D123" s="444"/>
      <c r="E123" s="445"/>
      <c r="F123" s="445"/>
      <c r="G123" s="445"/>
      <c r="H123" s="467"/>
      <c r="I123" s="467"/>
      <c r="J123" s="467"/>
      <c r="K123" s="395"/>
      <c r="L123" s="395"/>
      <c r="M123" s="400"/>
      <c r="N123" s="400"/>
      <c r="O123" s="400"/>
      <c r="P123" s="400"/>
      <c r="Q123" s="400"/>
      <c r="R123" s="400"/>
      <c r="S123" s="400"/>
      <c r="T123" s="400"/>
      <c r="U123" s="400"/>
      <c r="V123" s="400"/>
      <c r="W123" s="400"/>
      <c r="X123" s="400"/>
      <c r="Y123" s="400"/>
      <c r="Z123" s="400"/>
      <c r="AA123" s="400"/>
      <c r="AB123" s="400"/>
      <c r="AC123" s="400"/>
      <c r="AD123" s="400"/>
      <c r="AE123" s="225"/>
      <c r="AF123" s="299"/>
      <c r="AG123" s="299"/>
      <c r="AH123" s="225"/>
      <c r="AI123" s="299"/>
      <c r="AJ123" s="299"/>
      <c r="AK123" s="225"/>
      <c r="AL123" s="299"/>
      <c r="AM123" s="299"/>
      <c r="AN123" s="225"/>
      <c r="AO123" s="299"/>
      <c r="AP123" s="299"/>
      <c r="AQ123" s="225"/>
      <c r="AR123" s="299"/>
      <c r="AS123" s="299"/>
      <c r="AT123" s="220"/>
      <c r="AU123" s="211"/>
      <c r="AV123" s="221"/>
      <c r="AW123" s="222"/>
      <c r="AX123" s="225"/>
      <c r="AY123" s="225"/>
      <c r="AZ123" s="225"/>
      <c r="BA123" s="225"/>
      <c r="BB123" s="225"/>
    </row>
    <row r="124" spans="1:54" s="212" customFormat="1" ht="19.5" customHeight="1" x14ac:dyDescent="0.25">
      <c r="A124" s="428" t="s">
        <v>244</v>
      </c>
      <c r="B124" s="225"/>
      <c r="C124" s="225"/>
      <c r="D124" s="211"/>
      <c r="E124" s="211"/>
      <c r="F124" s="225"/>
      <c r="G124" s="427"/>
      <c r="H124" s="225"/>
      <c r="I124" s="225"/>
      <c r="J124" s="222"/>
      <c r="K124" s="395"/>
      <c r="L124" s="395"/>
      <c r="M124" s="400"/>
      <c r="N124" s="400"/>
      <c r="O124" s="400"/>
      <c r="P124" s="400"/>
      <c r="Q124" s="400"/>
      <c r="R124" s="400"/>
      <c r="S124" s="400"/>
      <c r="T124" s="400"/>
      <c r="U124" s="400"/>
      <c r="V124" s="400"/>
      <c r="W124" s="400"/>
      <c r="X124" s="400"/>
      <c r="Y124" s="400"/>
      <c r="Z124" s="400"/>
      <c r="AA124" s="400"/>
      <c r="AB124" s="400"/>
      <c r="AC124" s="400"/>
      <c r="AD124" s="400"/>
      <c r="AE124" s="225"/>
      <c r="AF124" s="299"/>
      <c r="AG124" s="299"/>
      <c r="AH124" s="225"/>
      <c r="AI124" s="299"/>
      <c r="AJ124" s="299"/>
      <c r="AK124" s="225"/>
      <c r="AL124" s="299"/>
      <c r="AM124" s="299"/>
      <c r="AN124" s="225"/>
      <c r="AO124" s="299"/>
      <c r="AP124" s="299"/>
      <c r="AQ124" s="225"/>
      <c r="AR124" s="299"/>
      <c r="AS124" s="299"/>
      <c r="AT124" s="220"/>
      <c r="AU124" s="211"/>
      <c r="AV124" s="221"/>
      <c r="AW124" s="222"/>
      <c r="AX124" s="225"/>
      <c r="AY124" s="225"/>
      <c r="AZ124" s="225"/>
      <c r="BA124" s="225"/>
      <c r="BB124" s="225"/>
    </row>
    <row r="125" spans="1:54" s="212" customFormat="1" ht="19.5" customHeight="1" x14ac:dyDescent="0.25">
      <c r="A125" s="401" t="s">
        <v>241</v>
      </c>
      <c r="B125" s="267"/>
      <c r="C125" s="222"/>
      <c r="D125" s="222"/>
      <c r="E125" s="222"/>
      <c r="F125" s="222"/>
      <c r="G125" s="1849">
        <v>0.5</v>
      </c>
      <c r="H125" s="225"/>
      <c r="I125" s="225"/>
      <c r="J125" s="222"/>
      <c r="K125" s="395"/>
      <c r="L125" s="395"/>
      <c r="M125" s="400"/>
      <c r="N125" s="400"/>
      <c r="O125" s="400"/>
      <c r="P125" s="400"/>
      <c r="Q125" s="400"/>
      <c r="R125" s="400"/>
      <c r="S125" s="400"/>
      <c r="T125" s="400"/>
      <c r="U125" s="400"/>
      <c r="V125" s="400"/>
      <c r="W125" s="400"/>
      <c r="X125" s="400"/>
      <c r="Y125" s="400"/>
      <c r="Z125" s="400"/>
      <c r="AA125" s="400"/>
      <c r="AB125" s="400"/>
      <c r="AC125" s="400"/>
      <c r="AD125" s="400"/>
      <c r="AE125" s="225"/>
      <c r="AF125" s="299"/>
      <c r="AG125" s="299"/>
      <c r="AH125" s="225"/>
      <c r="AI125" s="299"/>
      <c r="AJ125" s="299"/>
      <c r="AK125" s="225"/>
      <c r="AL125" s="299"/>
      <c r="AM125" s="299"/>
      <c r="AN125" s="225"/>
      <c r="AO125" s="299"/>
      <c r="AP125" s="299"/>
      <c r="AQ125" s="225"/>
      <c r="AR125" s="299"/>
      <c r="AS125" s="299"/>
      <c r="AT125" s="220"/>
      <c r="AU125" s="211"/>
      <c r="AV125" s="221"/>
      <c r="AW125" s="222"/>
      <c r="AX125" s="225"/>
      <c r="AY125" s="225"/>
      <c r="AZ125" s="225"/>
      <c r="BA125" s="225"/>
      <c r="BB125" s="225"/>
    </row>
    <row r="126" spans="1:54" s="212" customFormat="1" ht="19.5" customHeight="1" thickBot="1" x14ac:dyDescent="0.3">
      <c r="A126" s="468" t="s">
        <v>242</v>
      </c>
      <c r="B126" s="388"/>
      <c r="C126" s="388"/>
      <c r="D126" s="388"/>
      <c r="E126" s="388"/>
      <c r="F126" s="388"/>
      <c r="G126" s="1850">
        <v>0.32</v>
      </c>
      <c r="H126" s="225"/>
      <c r="I126" s="225"/>
      <c r="J126" s="222"/>
      <c r="K126" s="395"/>
      <c r="L126" s="395"/>
      <c r="M126" s="400"/>
      <c r="N126" s="400"/>
      <c r="O126" s="400"/>
      <c r="P126" s="400"/>
      <c r="Q126" s="400"/>
      <c r="R126" s="400"/>
      <c r="S126" s="400"/>
      <c r="T126" s="400"/>
      <c r="U126" s="400"/>
      <c r="V126" s="400"/>
      <c r="W126" s="400"/>
      <c r="X126" s="400"/>
      <c r="Y126" s="400"/>
      <c r="Z126" s="400"/>
      <c r="AA126" s="400"/>
      <c r="AB126" s="400"/>
      <c r="AC126" s="400"/>
      <c r="AD126" s="400"/>
      <c r="AE126" s="225"/>
      <c r="AF126" s="299"/>
      <c r="AG126" s="299"/>
      <c r="AH126" s="225"/>
      <c r="AI126" s="299"/>
      <c r="AJ126" s="299"/>
      <c r="AK126" s="225"/>
      <c r="AL126" s="299"/>
      <c r="AM126" s="299"/>
      <c r="AN126" s="225"/>
      <c r="AO126" s="299"/>
      <c r="AP126" s="299"/>
      <c r="AQ126" s="225"/>
      <c r="AR126" s="299"/>
      <c r="AS126" s="299"/>
      <c r="AT126" s="220"/>
      <c r="AU126" s="211"/>
      <c r="AV126" s="221"/>
      <c r="AW126" s="222"/>
      <c r="AX126" s="225"/>
      <c r="AY126" s="225"/>
      <c r="AZ126" s="225"/>
      <c r="BA126" s="225"/>
      <c r="BB126" s="225"/>
    </row>
    <row r="127" spans="1:54" s="212" customFormat="1" ht="19.5" customHeight="1" x14ac:dyDescent="0.25">
      <c r="A127" s="469"/>
      <c r="B127" s="400"/>
      <c r="C127" s="400"/>
      <c r="D127" s="400"/>
      <c r="E127" s="400"/>
      <c r="F127" s="400"/>
      <c r="G127" s="395"/>
      <c r="H127" s="395"/>
      <c r="I127" s="395"/>
      <c r="J127" s="395"/>
      <c r="K127" s="395"/>
      <c r="L127" s="395"/>
      <c r="M127" s="400"/>
      <c r="N127" s="400"/>
      <c r="O127" s="400"/>
      <c r="P127" s="400"/>
      <c r="Q127" s="400"/>
      <c r="R127" s="400"/>
      <c r="S127" s="400"/>
      <c r="T127" s="400"/>
      <c r="U127" s="400"/>
      <c r="V127" s="400"/>
      <c r="W127" s="400"/>
      <c r="X127" s="400"/>
      <c r="Y127" s="400"/>
      <c r="Z127" s="400"/>
      <c r="AA127" s="400"/>
      <c r="AB127" s="400"/>
      <c r="AC127" s="400"/>
      <c r="AD127" s="400"/>
      <c r="AE127" s="472"/>
      <c r="AF127" s="473">
        <f>$C$4</f>
        <v>6</v>
      </c>
      <c r="AG127" s="474"/>
      <c r="AH127" s="475"/>
      <c r="AI127" s="473">
        <f>$D$4</f>
        <v>10</v>
      </c>
      <c r="AJ127" s="474"/>
      <c r="AK127" s="476"/>
      <c r="AL127" s="473">
        <f>$E$4</f>
        <v>18</v>
      </c>
      <c r="AM127" s="474"/>
      <c r="AN127" s="476"/>
      <c r="AO127" s="473" t="str">
        <f>$F$4</f>
        <v>6 FFF</v>
      </c>
      <c r="AP127" s="474"/>
      <c r="AQ127" s="476"/>
      <c r="AR127" s="473" t="str">
        <f>$G$4</f>
        <v>10 FFF</v>
      </c>
      <c r="AS127" s="473"/>
      <c r="AT127" s="477" t="s">
        <v>16</v>
      </c>
      <c r="AU127" s="478"/>
      <c r="AV127" s="222"/>
      <c r="AW127" s="222"/>
      <c r="AX127" s="225"/>
      <c r="AY127" s="225"/>
      <c r="AZ127" s="225"/>
      <c r="BA127" s="225"/>
      <c r="BB127" s="225"/>
    </row>
    <row r="128" spans="1:54" s="212" customFormat="1" ht="19.5" customHeight="1" x14ac:dyDescent="0.2">
      <c r="A128" s="479" t="s">
        <v>50</v>
      </c>
      <c r="B128" s="480" t="s">
        <v>15</v>
      </c>
      <c r="C128" s="481" t="s">
        <v>25</v>
      </c>
      <c r="D128" s="482" t="s">
        <v>158</v>
      </c>
      <c r="E128" s="483"/>
      <c r="F128" s="484" t="s">
        <v>386</v>
      </c>
      <c r="G128" s="485"/>
      <c r="H128" s="482"/>
      <c r="I128" s="482"/>
      <c r="J128" s="482"/>
      <c r="K128" s="482"/>
      <c r="L128" s="482"/>
      <c r="M128" s="486"/>
      <c r="N128" s="487" t="s">
        <v>381</v>
      </c>
      <c r="O128" s="484"/>
      <c r="P128" s="484" t="s">
        <v>386</v>
      </c>
      <c r="Q128" s="488"/>
      <c r="R128" s="488"/>
      <c r="S128" s="482"/>
      <c r="T128" s="482"/>
      <c r="U128" s="486"/>
      <c r="V128" s="489" t="s">
        <v>525</v>
      </c>
      <c r="W128" s="301" t="s">
        <v>524</v>
      </c>
      <c r="X128" s="1990" t="s">
        <v>77</v>
      </c>
      <c r="Y128" s="1991"/>
      <c r="Z128" s="1992"/>
      <c r="AA128" s="490"/>
      <c r="AB128" s="491"/>
      <c r="AC128" s="492" t="s">
        <v>334</v>
      </c>
      <c r="AD128" s="485"/>
      <c r="AE128" s="493"/>
      <c r="AF128" s="420" t="s">
        <v>206</v>
      </c>
      <c r="AG128" s="420" t="s">
        <v>16</v>
      </c>
      <c r="AH128" s="420" t="s">
        <v>86</v>
      </c>
      <c r="AI128" s="420" t="s">
        <v>206</v>
      </c>
      <c r="AJ128" s="420" t="s">
        <v>16</v>
      </c>
      <c r="AK128" s="420" t="s">
        <v>86</v>
      </c>
      <c r="AL128" s="420" t="s">
        <v>206</v>
      </c>
      <c r="AM128" s="420" t="s">
        <v>16</v>
      </c>
      <c r="AN128" s="420" t="s">
        <v>86</v>
      </c>
      <c r="AO128" s="420" t="s">
        <v>206</v>
      </c>
      <c r="AP128" s="420" t="s">
        <v>16</v>
      </c>
      <c r="AQ128" s="420" t="s">
        <v>86</v>
      </c>
      <c r="AR128" s="420" t="s">
        <v>206</v>
      </c>
      <c r="AS128" s="420" t="s">
        <v>16</v>
      </c>
      <c r="AT128" s="494"/>
      <c r="AU128" s="495" t="s">
        <v>11</v>
      </c>
      <c r="AV128" s="222"/>
      <c r="AW128" s="222"/>
      <c r="AX128" s="225"/>
      <c r="AY128" s="225"/>
      <c r="AZ128" s="225"/>
      <c r="BA128" s="225"/>
      <c r="BB128" s="225"/>
    </row>
    <row r="129" spans="1:90" s="212" customFormat="1" ht="19.5" customHeight="1" thickBot="1" x14ac:dyDescent="0.25">
      <c r="A129" s="496"/>
      <c r="B129" s="497"/>
      <c r="C129" s="498"/>
      <c r="D129" s="499" t="s">
        <v>367</v>
      </c>
      <c r="E129" s="498" t="s">
        <v>364</v>
      </c>
      <c r="F129" s="498" t="s">
        <v>370</v>
      </c>
      <c r="G129" s="499" t="s">
        <v>368</v>
      </c>
      <c r="H129" s="498" t="s">
        <v>365</v>
      </c>
      <c r="I129" s="499" t="s">
        <v>369</v>
      </c>
      <c r="J129" s="498" t="s">
        <v>371</v>
      </c>
      <c r="K129" s="498" t="s">
        <v>366</v>
      </c>
      <c r="L129" s="498" t="s">
        <v>373</v>
      </c>
      <c r="M129" s="498" t="s">
        <v>372</v>
      </c>
      <c r="N129" s="498" t="s">
        <v>374</v>
      </c>
      <c r="O129" s="498" t="s">
        <v>375</v>
      </c>
      <c r="P129" s="498" t="s">
        <v>376</v>
      </c>
      <c r="Q129" s="498" t="s">
        <v>377</v>
      </c>
      <c r="R129" s="498" t="s">
        <v>378</v>
      </c>
      <c r="S129" s="498" t="s">
        <v>382</v>
      </c>
      <c r="T129" s="498" t="s">
        <v>379</v>
      </c>
      <c r="U129" s="498" t="s">
        <v>380</v>
      </c>
      <c r="V129" s="498" t="s">
        <v>526</v>
      </c>
      <c r="W129" s="308" t="s">
        <v>528</v>
      </c>
      <c r="X129" s="500" t="s">
        <v>1</v>
      </c>
      <c r="Y129" s="501" t="s">
        <v>61</v>
      </c>
      <c r="Z129" s="502" t="s">
        <v>3</v>
      </c>
      <c r="AA129" s="502" t="s">
        <v>22</v>
      </c>
      <c r="AB129" s="502" t="s">
        <v>3</v>
      </c>
      <c r="AC129" s="503" t="s">
        <v>22</v>
      </c>
      <c r="AD129" s="504" t="s">
        <v>39</v>
      </c>
      <c r="AE129" s="505" t="s">
        <v>208</v>
      </c>
      <c r="AF129" s="505" t="s">
        <v>207</v>
      </c>
      <c r="AG129" s="506" t="s">
        <v>174</v>
      </c>
      <c r="AH129" s="505" t="s">
        <v>208</v>
      </c>
      <c r="AI129" s="505" t="s">
        <v>207</v>
      </c>
      <c r="AJ129" s="506" t="s">
        <v>174</v>
      </c>
      <c r="AK129" s="507" t="s">
        <v>208</v>
      </c>
      <c r="AL129" s="507" t="s">
        <v>207</v>
      </c>
      <c r="AM129" s="179" t="s">
        <v>174</v>
      </c>
      <c r="AN129" s="507" t="s">
        <v>208</v>
      </c>
      <c r="AO129" s="507" t="s">
        <v>207</v>
      </c>
      <c r="AP129" s="179" t="s">
        <v>174</v>
      </c>
      <c r="AQ129" s="507" t="s">
        <v>208</v>
      </c>
      <c r="AR129" s="507" t="s">
        <v>207</v>
      </c>
      <c r="AS129" s="179" t="s">
        <v>174</v>
      </c>
      <c r="AT129" s="508" t="s">
        <v>174</v>
      </c>
      <c r="AU129" s="509" t="s">
        <v>166</v>
      </c>
      <c r="AV129" s="211"/>
      <c r="AW129" s="222"/>
      <c r="AX129" s="225"/>
      <c r="AY129" s="225"/>
      <c r="AZ129" s="225"/>
      <c r="BA129" s="225"/>
      <c r="BB129" s="225"/>
    </row>
    <row r="130" spans="1:90" s="212" customFormat="1" ht="30" customHeight="1" thickBot="1" x14ac:dyDescent="0.3">
      <c r="A130" s="510" t="str">
        <f>A76</f>
        <v>L3</v>
      </c>
      <c r="B130" s="712" t="str">
        <f>B76</f>
        <v>ingang labyrint linac 3</v>
      </c>
      <c r="C130" s="512" t="s">
        <v>200</v>
      </c>
      <c r="D130" s="1851">
        <v>5</v>
      </c>
      <c r="E130" s="111"/>
      <c r="F130" s="116"/>
      <c r="G130" s="1851">
        <v>10</v>
      </c>
      <c r="H130" s="120"/>
      <c r="I130" s="1853">
        <v>10</v>
      </c>
      <c r="J130" s="123"/>
      <c r="K130" s="1982">
        <v>1</v>
      </c>
      <c r="L130" s="114"/>
      <c r="M130" s="113"/>
      <c r="N130" s="1851">
        <v>4</v>
      </c>
      <c r="O130" s="120"/>
      <c r="P130" s="1851">
        <v>5</v>
      </c>
      <c r="Q130" s="134"/>
      <c r="R130" s="1828">
        <v>2</v>
      </c>
      <c r="S130" s="137"/>
      <c r="T130" s="114"/>
      <c r="U130" s="138"/>
      <c r="V130" s="141"/>
      <c r="W130" s="1828">
        <v>0.25</v>
      </c>
      <c r="X130" s="149"/>
      <c r="Y130" s="150"/>
      <c r="Z130" s="151"/>
      <c r="AA130" s="152"/>
      <c r="AB130" s="1984">
        <v>0</v>
      </c>
      <c r="AC130" s="1987">
        <v>0</v>
      </c>
      <c r="AD130" s="168"/>
      <c r="AE130" s="171">
        <f>$AB130/$M$114+$AC130/$M$115</f>
        <v>0</v>
      </c>
      <c r="AF130" s="97">
        <f t="shared" ref="AF130:AF135" si="12">10^(-AE130)</f>
        <v>1</v>
      </c>
      <c r="AG130" s="91">
        <f>$C$7*$C$14*$C$8*$W$130/$D$130^2*$N$130*$F$112/$G$130^2*$P$130*$E$114/$I$130^2*$R$130*$E$116/$K$130^2*AF130*10^6</f>
        <v>6.9119999999999997E-3</v>
      </c>
      <c r="AH130" s="91">
        <f>$AB130/$M$114+$AC130/$M$115</f>
        <v>0</v>
      </c>
      <c r="AI130" s="97">
        <f t="shared" ref="AI130:AI135" si="13">10^(-AH130)</f>
        <v>1</v>
      </c>
      <c r="AJ130" s="91">
        <f>$C$7*$D$14*$D$8*$W$130/$D$130^2*$N$130*$G$112/$G$130^2*$P$130*$E$114/$I$130^2*$R$130*$E$116/$K$130^2*AI130*10^6</f>
        <v>5.3760000000000006E-3</v>
      </c>
      <c r="AK130" s="91">
        <f>$AB130/$M$114+$AC130/$M$115</f>
        <v>0</v>
      </c>
      <c r="AL130" s="97">
        <f t="shared" ref="AL130:AL135" si="14">10^(-AK130)</f>
        <v>1</v>
      </c>
      <c r="AM130" s="91">
        <f>$C$7*$E$14*$E$8*$W$130/$D$130^2*$N$130*$H$112/$G$130^2*$P$130*$E$114/$I$130^2*$R$130*$E$116/$K$130^2*AL130*10^6</f>
        <v>4.0960000000000015E-3</v>
      </c>
      <c r="AN130" s="91">
        <f>$AB130/$M$114+$AC130/$M$115</f>
        <v>0</v>
      </c>
      <c r="AO130" s="97">
        <f t="shared" ref="AO130:AO135" si="15">10^(-AN130)</f>
        <v>1</v>
      </c>
      <c r="AP130" s="91">
        <f>$C$7*$F$14*$F$8*$W$130/$D$130^2*$N$130*$I$112/$G$130^2*$P$130*$E$114/$I$130^2*$R$130*$E$116/$K$130^2*AO130*10^6</f>
        <v>8.9600000000000009E-3</v>
      </c>
      <c r="AQ130" s="91">
        <f>$AB130/$M$114+$AC130/$M$115</f>
        <v>0</v>
      </c>
      <c r="AR130" s="97">
        <f t="shared" ref="AR130:AR135" si="16">10^(-AQ130)</f>
        <v>1</v>
      </c>
      <c r="AS130" s="76">
        <f>$C$7*$G$14*$G$8*$W$130/$D$130^2*$N$130*$J$112/$G$130^2*$P$130*$E$114/$I$130^2*$R$130*$E$116/$K$130^2*AR130*10^6</f>
        <v>8.4480000000000006E-3</v>
      </c>
      <c r="AT130" s="513">
        <f t="shared" ref="AT130:AT135" si="17">SUM(AG130,AJ130,AM130,AP130,AS130)</f>
        <v>3.3792000000000003E-2</v>
      </c>
      <c r="AU130" s="514">
        <f>SUM(AT130:AT136)*52/10^3</f>
        <v>15.505920420432142</v>
      </c>
      <c r="AV130" s="222"/>
      <c r="AW130" s="222"/>
      <c r="AX130" s="225"/>
      <c r="AY130" s="225"/>
      <c r="AZ130" s="225"/>
      <c r="BA130" s="225"/>
      <c r="BB130" s="225"/>
    </row>
    <row r="131" spans="1:90" s="212" customFormat="1" ht="30" customHeight="1" thickBot="1" x14ac:dyDescent="0.3">
      <c r="A131" s="447"/>
      <c r="B131" s="460"/>
      <c r="C131" s="515" t="s">
        <v>536</v>
      </c>
      <c r="D131" s="107"/>
      <c r="E131" s="1852">
        <v>1</v>
      </c>
      <c r="F131" s="117"/>
      <c r="G131" s="118"/>
      <c r="H131" s="1828">
        <v>5</v>
      </c>
      <c r="I131" s="122"/>
      <c r="J131" s="124"/>
      <c r="K131" s="2030"/>
      <c r="L131" s="127"/>
      <c r="M131" s="128"/>
      <c r="N131" s="129"/>
      <c r="O131" s="1828">
        <v>5</v>
      </c>
      <c r="P131" s="133"/>
      <c r="Q131" s="133"/>
      <c r="R131" s="1828">
        <v>2</v>
      </c>
      <c r="S131" s="139"/>
      <c r="T131" s="132"/>
      <c r="U131" s="140"/>
      <c r="V131" s="142"/>
      <c r="W131" s="1828">
        <v>0.25</v>
      </c>
      <c r="X131" s="1856">
        <v>200</v>
      </c>
      <c r="Y131" s="1856">
        <v>0</v>
      </c>
      <c r="Z131" s="1857">
        <v>0</v>
      </c>
      <c r="AA131" s="1857">
        <v>0</v>
      </c>
      <c r="AB131" s="1985"/>
      <c r="AC131" s="1988"/>
      <c r="AD131" s="169"/>
      <c r="AE131" s="171">
        <f>IF($X131=0,0,1+($X131-$C$21)/$C$22)+$Y131/$C$23+$Z131/$C$24+$AA131/$C$25+$AB130/$M$114+$AC130/$M$115</f>
        <v>5.9393939393939394</v>
      </c>
      <c r="AF131" s="97">
        <f t="shared" si="12"/>
        <v>1.1497569953977332E-6</v>
      </c>
      <c r="AG131" s="91">
        <f>$C$7*$C$14*$C$8*$W$131/$E$131^2*$O$131*$F$113/$H$131^2*$R$131*$E$116/$K$130^2*AF131*10^6</f>
        <v>2.4834751100591044E-3</v>
      </c>
      <c r="AH131" s="91">
        <f>IF($X131=0,0,1+($X131-$D$21)/$D$22)+$Y131/$D$23+$Z131/$D$24+$AB130/$M$114+$AC130/$M$115</f>
        <v>5.2972972972972974</v>
      </c>
      <c r="AI131" s="97">
        <f t="shared" si="13"/>
        <v>5.0431594871713543E-6</v>
      </c>
      <c r="AJ131" s="91">
        <f>$C$7*$D$14*$D$8*$W$131/$E$131^2*$O$131*$G$113/$H$131^2*$R$131*$E$116/$K$130^2*AI131*10^6</f>
        <v>8.4725079384478739E-3</v>
      </c>
      <c r="AK131" s="91">
        <f>IF($X131=0,0,1+($X131-$E$21)/$E$22)+$Y131/$E$23+$Z131/$E$24+$AB130/$M$114+$AC130/$M$115</f>
        <v>4.6046511627906979</v>
      </c>
      <c r="AL131" s="97">
        <f t="shared" si="14"/>
        <v>2.485128426980553E-5</v>
      </c>
      <c r="AM131" s="91">
        <f>$C$7*$E$14*$E$8*$W$131/$E$131^2*$O$131*$H$113/$H$131^2*$R$131*$E$116/$K$130^2*AL131*10^6</f>
        <v>3.1809643865351081E-2</v>
      </c>
      <c r="AN131" s="91">
        <f>IF($X131=0,0,1+($X131-$F$21)/$F$22)+$Y131/$F$23+$Z131/$E$24+$AB130/$M$114+$AC130/$M$115</f>
        <v>7.2962962962962967</v>
      </c>
      <c r="AO131" s="97">
        <f t="shared" si="15"/>
        <v>5.0547968211912231E-8</v>
      </c>
      <c r="AP131" s="91">
        <f>$C$7*$F$14*$F$8*$W$131/$E$131^2*$O$131*$I$113/$H$131^2*$R$131*$E$116/$K$130^2*AO131*10^6</f>
        <v>1.4153431099335427E-4</v>
      </c>
      <c r="AQ131" s="91">
        <f>IF($X131=0,0,1+($X131-$G$21)/$G$22)+$Y131/$G$23+$Z131/$G$24+$AB130/$M$114+$AC130/$M$115</f>
        <v>5.5555555555555554</v>
      </c>
      <c r="AR131" s="97">
        <f t="shared" si="16"/>
        <v>2.782559402207123E-6</v>
      </c>
      <c r="AS131" s="76">
        <f>$C$7*$G$14*$G$8*$W$131/$E$131^2*$O$131*$J$113/$H$131^2*$R$131*$E$116/$K$130^2*AR131*10^6</f>
        <v>7.3459568218268044E-3</v>
      </c>
      <c r="AT131" s="513">
        <f t="shared" si="17"/>
        <v>5.0253118046678216E-2</v>
      </c>
      <c r="AU131" s="516"/>
      <c r="AV131" s="222"/>
      <c r="AW131" s="222"/>
      <c r="AX131" s="225"/>
      <c r="AY131" s="225"/>
      <c r="AZ131" s="225"/>
      <c r="BA131" s="225"/>
      <c r="BB131" s="225"/>
    </row>
    <row r="132" spans="1:90" s="212" customFormat="1" ht="30" customHeight="1" thickBot="1" x14ac:dyDescent="0.3">
      <c r="A132" s="221"/>
      <c r="B132" s="517"/>
      <c r="C132" s="518" t="s">
        <v>537</v>
      </c>
      <c r="D132" s="108"/>
      <c r="E132" s="112"/>
      <c r="F132" s="1987">
        <v>5</v>
      </c>
      <c r="G132" s="119"/>
      <c r="H132" s="121"/>
      <c r="I132" s="113"/>
      <c r="J132" s="1980">
        <v>10</v>
      </c>
      <c r="K132" s="2030"/>
      <c r="L132" s="114"/>
      <c r="M132" s="113"/>
      <c r="N132" s="119"/>
      <c r="O132" s="121"/>
      <c r="P132" s="113"/>
      <c r="Q132" s="1980">
        <v>5</v>
      </c>
      <c r="R132" s="1982">
        <v>2</v>
      </c>
      <c r="S132" s="137"/>
      <c r="T132" s="114"/>
      <c r="U132" s="138"/>
      <c r="V132" s="143"/>
      <c r="W132" s="144">
        <v>1</v>
      </c>
      <c r="X132" s="153"/>
      <c r="Y132" s="154"/>
      <c r="Z132" s="155"/>
      <c r="AA132" s="156"/>
      <c r="AB132" s="1985"/>
      <c r="AC132" s="1988"/>
      <c r="AD132" s="168"/>
      <c r="AE132" s="91">
        <f>$AB130/$M$114+$AC130/$M$115</f>
        <v>0</v>
      </c>
      <c r="AF132" s="97">
        <f t="shared" si="12"/>
        <v>1</v>
      </c>
      <c r="AG132" s="91">
        <f>$C$7*$C$15*$C$8*($C$9+$C$10*$C$11)*$W$132/$F$132^2*$Q$132*$F$115/$J$132^2*$R$132*$E$116/$K$130^2*AF132*10^6</f>
        <v>15.360000000000005</v>
      </c>
      <c r="AH132" s="91">
        <f>$AB130/$M$114+$AC130/$M$115</f>
        <v>0</v>
      </c>
      <c r="AI132" s="97">
        <f t="shared" si="13"/>
        <v>1</v>
      </c>
      <c r="AJ132" s="91">
        <f>$C$7*$C$15*$D$8*($D$9+$D$10*$D$11)*$W$132/$F$132^2*$Q$132*$G$115/$J$132^2*$R$132*$E$116/$K$130^2*AI132*10^6</f>
        <v>12.240000000000004</v>
      </c>
      <c r="AK132" s="91">
        <f>$AB130/$M$114+$AC130/$M$115</f>
        <v>0</v>
      </c>
      <c r="AL132" s="97">
        <f t="shared" si="14"/>
        <v>1</v>
      </c>
      <c r="AM132" s="91">
        <f>$C$7*$C$15*$E$8*($E$9+$E$10*$E$11)*$W$132/$F$132^2*$Q$132*$H$115/$J$132^2*$R$132*$E$116/$K$130^2*AL132*10^6</f>
        <v>10.800000000000002</v>
      </c>
      <c r="AN132" s="91">
        <f>$AB130/$M$114+$AC130/$M$115</f>
        <v>0</v>
      </c>
      <c r="AO132" s="97">
        <f t="shared" si="15"/>
        <v>1</v>
      </c>
      <c r="AP132" s="91">
        <f>$C$7*$C$15*$F$8*($F$9+$F$10*$F$11)*$W$132/$F$132^2*$Q$132*$I$115/$J$132^2*$R$132*$E$116/$K$130^2*AO132*10^6</f>
        <v>19.920000000000002</v>
      </c>
      <c r="AQ132" s="91">
        <f>$AB130/$M$114+$AC130/$M$115</f>
        <v>0</v>
      </c>
      <c r="AR132" s="97">
        <f t="shared" si="16"/>
        <v>1</v>
      </c>
      <c r="AS132" s="76">
        <f>$C$7*$C$15*$G$8*($G$9+$G$10*$G$11)*$W$132/$F$132^2*$Q$132*$J$115/$J$132^2*$R$132*$E$116/$K$130^2*AR132*10^6</f>
        <v>17.520000000000003</v>
      </c>
      <c r="AT132" s="519">
        <f t="shared" si="17"/>
        <v>75.840000000000018</v>
      </c>
      <c r="AU132" s="516"/>
      <c r="AV132" s="222"/>
      <c r="AW132" s="520"/>
      <c r="AX132" s="222"/>
      <c r="AY132" s="211"/>
      <c r="AZ132" s="222"/>
      <c r="BA132" s="222"/>
      <c r="BB132" s="225"/>
    </row>
    <row r="133" spans="1:90" s="212" customFormat="1" ht="30" customHeight="1" thickBot="1" x14ac:dyDescent="0.3">
      <c r="A133" s="221"/>
      <c r="B133" s="517"/>
      <c r="C133" s="521" t="s">
        <v>523</v>
      </c>
      <c r="D133" s="108"/>
      <c r="E133" s="113"/>
      <c r="F133" s="2029"/>
      <c r="G133" s="119"/>
      <c r="H133" s="114"/>
      <c r="I133" s="113"/>
      <c r="J133" s="1981"/>
      <c r="K133" s="1983"/>
      <c r="L133" s="114"/>
      <c r="M133" s="113"/>
      <c r="N133" s="119"/>
      <c r="O133" s="114"/>
      <c r="P133" s="113"/>
      <c r="Q133" s="1981"/>
      <c r="R133" s="1983"/>
      <c r="S133" s="137"/>
      <c r="T133" s="114"/>
      <c r="U133" s="113"/>
      <c r="V133" s="1855">
        <f>20*20</f>
        <v>400</v>
      </c>
      <c r="W133" s="1828">
        <v>0.25</v>
      </c>
      <c r="X133" s="157"/>
      <c r="Y133" s="158"/>
      <c r="Z133" s="159"/>
      <c r="AA133" s="160"/>
      <c r="AB133" s="1985"/>
      <c r="AC133" s="1988"/>
      <c r="AD133" s="168"/>
      <c r="AE133" s="98">
        <f>$AB130/$M$114+$AC130/$M$115</f>
        <v>0</v>
      </c>
      <c r="AF133" s="97">
        <f t="shared" si="12"/>
        <v>1</v>
      </c>
      <c r="AG133" s="91">
        <f>$C$7*$C$8*$W$133*$F$120*$V$133/400*$E$115*$E$116*$Q$132*$R$132/1/1/$F$132^2/$J$132^2/$K$130^2*AF133*10^6</f>
        <v>6.1159999999999988</v>
      </c>
      <c r="AH133" s="98">
        <f>$AB130/$M$114+$AC130/$M$115</f>
        <v>0</v>
      </c>
      <c r="AI133" s="97">
        <f t="shared" si="13"/>
        <v>1</v>
      </c>
      <c r="AJ133" s="91">
        <f>$C$7*$D$8*$W$133*$G$120*$V$133/400*$E$115*$E$116*$Q$132*$R$132/1/1/$F$132^2/$J$132^2/$K$130^2*AI133*10^6</f>
        <v>5.9399999999999995</v>
      </c>
      <c r="AK133" s="98">
        <f>$AB130/$M$114+$AC130/$M$115</f>
        <v>0</v>
      </c>
      <c r="AL133" s="97">
        <f t="shared" si="14"/>
        <v>1</v>
      </c>
      <c r="AM133" s="91">
        <f>$C$7*$E$8*$W$133*$H$120*$V$133/400*$E$115*$E$116*$Q$132*$R$132/1/1/$F$132^2/$J$132^2/$K$130^2*AL133*10^6</f>
        <v>3.8015999999999992</v>
      </c>
      <c r="AN133" s="98">
        <f>$AB130/$M$114+$AC130/$M$115</f>
        <v>0</v>
      </c>
      <c r="AO133" s="97">
        <f t="shared" si="15"/>
        <v>1</v>
      </c>
      <c r="AP133" s="91">
        <f>$C$7*$F$8*$W$133*$I$120*$V$133/400*$E$115*$E$116*$R$132*$Q$132/1/1/$F$132^2/$J$132^2/$K$130^2*AO133*10^6</f>
        <v>5.7200000000000006</v>
      </c>
      <c r="AQ133" s="98">
        <f>$AB130/$M$114+$AC130/$M$115</f>
        <v>0</v>
      </c>
      <c r="AR133" s="97">
        <f t="shared" si="16"/>
        <v>1</v>
      </c>
      <c r="AS133" s="76">
        <f>$C$7*$G$8*$W$133*$J$120*$V$133/400*$E$115*$E$116*$Q$132*$R$132/1/1/$F$132^2/$J$132^2/$K$130^2*AR133*10^6</f>
        <v>5.2799999999999994</v>
      </c>
      <c r="AT133" s="513">
        <f t="shared" si="17"/>
        <v>26.857599999999998</v>
      </c>
      <c r="AU133" s="516"/>
      <c r="AV133" s="222"/>
      <c r="AW133" s="520"/>
      <c r="AX133" s="222"/>
      <c r="AY133" s="211"/>
      <c r="AZ133" s="222"/>
      <c r="BA133" s="222"/>
      <c r="BB133" s="225"/>
      <c r="BC133" s="225"/>
      <c r="BD133" s="225"/>
      <c r="BE133" s="225"/>
      <c r="BF133" s="225"/>
      <c r="BG133" s="300"/>
      <c r="BH133" s="300"/>
      <c r="BI133" s="300"/>
      <c r="BJ133" s="522"/>
      <c r="BK133" s="522"/>
      <c r="BL133" s="522"/>
    </row>
    <row r="134" spans="1:90" s="212" customFormat="1" ht="30" customHeight="1" x14ac:dyDescent="0.25">
      <c r="A134" s="221"/>
      <c r="B134" s="517"/>
      <c r="C134" s="523" t="s">
        <v>33</v>
      </c>
      <c r="D134" s="109"/>
      <c r="E134" s="114"/>
      <c r="F134" s="114"/>
      <c r="G134" s="114"/>
      <c r="H134" s="114"/>
      <c r="I134" s="114"/>
      <c r="J134" s="114"/>
      <c r="K134" s="125"/>
      <c r="L134" s="2028">
        <v>5</v>
      </c>
      <c r="M134" s="2028">
        <v>10</v>
      </c>
      <c r="N134" s="130"/>
      <c r="O134" s="132"/>
      <c r="P134" s="132"/>
      <c r="Q134" s="132"/>
      <c r="R134" s="135"/>
      <c r="S134" s="1851">
        <v>225</v>
      </c>
      <c r="T134" s="1854">
        <v>1</v>
      </c>
      <c r="U134" s="1851">
        <v>1</v>
      </c>
      <c r="V134" s="145"/>
      <c r="W134" s="146"/>
      <c r="X134" s="161"/>
      <c r="Y134" s="162"/>
      <c r="Z134" s="122"/>
      <c r="AA134" s="163"/>
      <c r="AB134" s="1985"/>
      <c r="AC134" s="1988"/>
      <c r="AD134" s="1858">
        <v>0</v>
      </c>
      <c r="AE134" s="91">
        <f>$AB130/$N$114+$AC130/$N$115+$AD134/$N$116</f>
        <v>0</v>
      </c>
      <c r="AF134" s="97">
        <f t="shared" si="12"/>
        <v>1</v>
      </c>
      <c r="AG134" s="91">
        <f>$C$7*$C$8*($C$9+$C$10*$C$11)*0.0000000000000024*($C$16*$C$17*10^12/(4*PI()*$L$134^2)+5.4*$C$16*$C$17*10^12/(2*PI()*$S$134)+1.3*$C$17*10^12/(2*PI()*$S$134))*(SQRT($T$134/$U$134)*((1.64*10^(-$M$134/1.9)+10^(-$M$134/(2.06*SQRT($U$134))))*(1-$G$125)*$AF$134*10^6))</f>
        <v>0.11345901793121269</v>
      </c>
      <c r="AH134" s="91">
        <f>$AB130/$N$114+$AC130/$N$115+$AD134/$N$116</f>
        <v>0</v>
      </c>
      <c r="AI134" s="97">
        <f t="shared" si="13"/>
        <v>1</v>
      </c>
      <c r="AJ134" s="91">
        <f>$C$7*$D$8*($D$9+$D$10*$D$11)*0.0000000000000024*($C$16*$D$17*10^12/(4*PI()*$L$134^2)+5.4*$C$16*$D$17*10^12/(2*PI()*$S$134)+1.3*$D$17*10^12/(2*PI()*$S$134))*(SQRT($T$134/$U$134)*((1.64*10^(-$M$134/1.9)+10^(-$M$134/(2.06*SQRT($U$134))))*(1-$G$125)*$AI$134*10^6))</f>
        <v>0.11345901793121269</v>
      </c>
      <c r="AK134" s="91">
        <f>$AB130/$N$114+$AC130/$N$115+$AD134/$N$116</f>
        <v>0</v>
      </c>
      <c r="AL134" s="97">
        <f t="shared" si="14"/>
        <v>1</v>
      </c>
      <c r="AM134" s="91">
        <f>$C$7*$E$8*($E$9+$E$10*$E$11)*0.0000000000000024*($C$16*$E$17*10^12/(4*PI()*$L$134^2)+5.4*$C$16*$E$17*10^12/(2*PI()*$S$134)+1.3*$E$17*10^12/(2*PI()*$S$134))*(SQRT($T$134/$U$134)*((1.64*10^(-$M$134/1.9)+10^(-$M$134/(2.06*SQRT($U$134))))*(1-$G$125)*$AL$134*10^6))</f>
        <v>0.11345901793121269</v>
      </c>
      <c r="AN134" s="91">
        <f>$AB130/$N$114+$AC130/$N$115+$AD134/$N$116</f>
        <v>0</v>
      </c>
      <c r="AO134" s="97">
        <f t="shared" si="15"/>
        <v>1</v>
      </c>
      <c r="AP134" s="91">
        <f>$C$7*$F$8*($F$9+$F$10*$F$11)*0.0000000000000024*($C$16*$F$17*10^12/(4*PI()*$L$134^2)+5.4*$C$16*$F$17*10^12/(2*PI()*$S$134)+1.3*$F$17*10^12/(2*PI()*$S$134))*(SQRT($T$134/$U$134)*((1.64*10^(-$M$134/1.9)+10^(-$M$134/(2.06*SQRT($U$134))))*(1-$G$125)*$AO$134*10^6))</f>
        <v>0.11345901793121269</v>
      </c>
      <c r="AQ134" s="91">
        <f>$AB130/$N$114+$AC130/$N$115+$AD134/$N$116</f>
        <v>0</v>
      </c>
      <c r="AR134" s="97">
        <f t="shared" si="16"/>
        <v>1</v>
      </c>
      <c r="AS134" s="76">
        <f>$C$7*$G$8*($G$9+$G$10*$G$11)*0.0000000000000024*($C$16*$G$17*10^12/(4*PI()*$L$134^2)+5.4*$C$16*$G$17*10^12/(2*PI()*$S$134)+1.3*$G$17*10^12/(2*PI()*$S$134))*(SQRT($T$134/$U$134)*((1.64*10^(-$M$134/1.9)+10^(-$M$134/(2.06*SQRT($U$134))))*(1-$G$125)*$AR$134*10^6))</f>
        <v>0.11345901793121269</v>
      </c>
      <c r="AT134" s="513">
        <f t="shared" si="17"/>
        <v>0.56729508965606346</v>
      </c>
      <c r="AU134" s="516"/>
      <c r="AV134" s="222"/>
      <c r="AW134" s="189"/>
      <c r="AX134" s="222"/>
      <c r="AY134" s="211"/>
      <c r="AZ134" s="222"/>
      <c r="BA134" s="222"/>
      <c r="BB134" s="225"/>
      <c r="BC134" s="225"/>
      <c r="BD134" s="225"/>
      <c r="BE134" s="225"/>
      <c r="BF134" s="225"/>
      <c r="BG134" s="300"/>
      <c r="BH134" s="300"/>
      <c r="BI134" s="300"/>
      <c r="BJ134" s="522"/>
      <c r="BK134" s="522"/>
      <c r="BL134" s="522"/>
    </row>
    <row r="135" spans="1:90" s="212" customFormat="1" ht="30" customHeight="1" thickBot="1" x14ac:dyDescent="0.3">
      <c r="A135" s="226"/>
      <c r="B135" s="524"/>
      <c r="C135" s="525" t="s">
        <v>157</v>
      </c>
      <c r="D135" s="110"/>
      <c r="E135" s="115"/>
      <c r="F135" s="115"/>
      <c r="G135" s="115"/>
      <c r="H135" s="115"/>
      <c r="I135" s="115"/>
      <c r="J135" s="115"/>
      <c r="K135" s="126"/>
      <c r="L135" s="1989"/>
      <c r="M135" s="1989"/>
      <c r="N135" s="131"/>
      <c r="O135" s="115"/>
      <c r="P135" s="115"/>
      <c r="Q135" s="136"/>
      <c r="R135" s="136"/>
      <c r="S135" s="115"/>
      <c r="T135" s="115"/>
      <c r="U135" s="126"/>
      <c r="V135" s="147"/>
      <c r="W135" s="148"/>
      <c r="X135" s="164"/>
      <c r="Y135" s="165"/>
      <c r="Z135" s="166"/>
      <c r="AA135" s="167"/>
      <c r="AB135" s="1986"/>
      <c r="AC135" s="1989"/>
      <c r="AD135" s="170"/>
      <c r="AE135" s="172">
        <f>$AB130/$O$114+$AC130/$O$115</f>
        <v>0</v>
      </c>
      <c r="AF135" s="173">
        <f t="shared" si="12"/>
        <v>1</v>
      </c>
      <c r="AG135" s="174">
        <f>$C$7*$C$8*($C$9+$C$10*$C$11)*$Q$111*($C$16*$C$17*10^12/(4*PI()*$L$134^2)+5.4*$C$16*$C$17*10^12/(2*PI()*$S$134)+1.3*$C$17*10^12/(2*PI()*$S$134))*10^-($M$134/$Q$113)*(1-$G$126)*AF135*10^6</f>
        <v>38.968367421659991</v>
      </c>
      <c r="AH135" s="172">
        <f>$AB130/$O$114+$AC130/$O$115</f>
        <v>0</v>
      </c>
      <c r="AI135" s="173">
        <f t="shared" si="13"/>
        <v>1</v>
      </c>
      <c r="AJ135" s="175">
        <f>$C$7*$D$8*($D$9+$D$10*$D$11)*$Q$111*($C$16*$D$17*10^12/(4*PI()*$L$134^2)+5.4*$C$16*$D$17*10^12/(2*PI()*$S$134)+1.3*$D$17*10^12/(2*PI()*$S$134))*10^-($M$134/$Q$113)*(1-$G$126)*AI135*10^6</f>
        <v>38.968367421659991</v>
      </c>
      <c r="AK135" s="176">
        <f>$AB130/$O$114+$AC130/$O$115</f>
        <v>0</v>
      </c>
      <c r="AL135" s="173">
        <f t="shared" si="14"/>
        <v>1</v>
      </c>
      <c r="AM135" s="175">
        <f>$C$7*$E$8*($E$9+$E$10*$E$11)*$Q$111*($C$16*$E$17*10^12/(4*PI()*$L$134^2)+5.4*$C$16*$E$17*10^12/(2*PI()*$S$134)+1.3*$E$17*10^12/(2*PI()*$S$134))*10^-($M$134/$Q$113)*(1-$G$126)*AL135*10^6</f>
        <v>38.968367421659991</v>
      </c>
      <c r="AN135" s="172">
        <f>$AB130/$O$114+$AC130/$O$115</f>
        <v>0</v>
      </c>
      <c r="AO135" s="173">
        <f t="shared" si="15"/>
        <v>1</v>
      </c>
      <c r="AP135" s="175">
        <f>$C$7*$F$8*($F$9+$F$10*$F$11)*$Q$111*($C$16*$F$17*10^12/(4*PI()*$L$134^2)+5.4*$C$16*$F$17*10^12/(2*PI()*$S$134)+1.3*$F$17*10^12/(2*PI()*$S$134))*10^-($M$134/$Q$113)*(1-$G$126)*AO135*10^6</f>
        <v>38.968367421659991</v>
      </c>
      <c r="AQ135" s="172">
        <f>$AB130/$O$114+$AC130/$O$115</f>
        <v>0</v>
      </c>
      <c r="AR135" s="173">
        <f t="shared" si="16"/>
        <v>1</v>
      </c>
      <c r="AS135" s="177">
        <f>$C$7*$G$8*($G$9+$G$10*$G$11)*$Q$111*($C$16*$G$17*10^12/(4*PI()*$L$134^2)+5.4*$C$16*$G$17*10^12/(2*PI()*$S$134)+1.3*$G$17*10^12/(2*PI()*$S$134))*10^-($M$134/$Q$113)*(1-$G$126)*AR135*10^6</f>
        <v>38.968367421659991</v>
      </c>
      <c r="AT135" s="526">
        <f t="shared" si="17"/>
        <v>194.84183710829996</v>
      </c>
      <c r="AU135" s="527"/>
      <c r="AV135" s="222"/>
      <c r="AW135" s="189"/>
      <c r="AX135" s="222"/>
      <c r="AY135" s="211"/>
      <c r="AZ135" s="222"/>
      <c r="BA135" s="222"/>
      <c r="BB135" s="225"/>
      <c r="BC135" s="225"/>
      <c r="BD135" s="225"/>
      <c r="BE135" s="225"/>
      <c r="BF135" s="225"/>
      <c r="BG135" s="300"/>
      <c r="BH135" s="300"/>
      <c r="BI135" s="300"/>
      <c r="BJ135" s="522"/>
      <c r="BK135" s="522"/>
      <c r="BL135" s="522"/>
    </row>
    <row r="136" spans="1:90" s="212" customFormat="1" ht="30" hidden="1" customHeight="1" x14ac:dyDescent="0.25">
      <c r="A136" s="222"/>
      <c r="B136" s="222"/>
      <c r="C136" s="282"/>
      <c r="D136" s="282"/>
      <c r="E136" s="211"/>
      <c r="F136" s="211"/>
      <c r="G136" s="211"/>
      <c r="H136" s="211"/>
      <c r="I136" s="211"/>
      <c r="J136" s="211"/>
      <c r="K136" s="211"/>
      <c r="L136" s="57"/>
      <c r="M136" s="57"/>
      <c r="N136" s="211"/>
      <c r="O136" s="211"/>
      <c r="P136" s="211"/>
      <c r="Q136" s="211"/>
      <c r="R136" s="211"/>
      <c r="S136" s="211"/>
      <c r="T136" s="211"/>
      <c r="U136" s="211"/>
      <c r="V136" s="211"/>
      <c r="W136" s="211"/>
      <c r="X136" s="453"/>
      <c r="Y136" s="528"/>
      <c r="Z136" s="57"/>
      <c r="AA136" s="57"/>
      <c r="AB136" s="57"/>
      <c r="AC136" s="57"/>
      <c r="AD136" s="529"/>
      <c r="AE136" s="369"/>
      <c r="AF136" s="328"/>
      <c r="AG136" s="530"/>
      <c r="AH136" s="369"/>
      <c r="AI136" s="328"/>
      <c r="AJ136" s="530"/>
      <c r="AK136" s="369"/>
      <c r="AL136" s="328"/>
      <c r="AM136" s="530"/>
      <c r="AN136" s="369"/>
      <c r="AO136" s="328"/>
      <c r="AP136" s="530"/>
      <c r="AQ136" s="369"/>
      <c r="AR136" s="328"/>
      <c r="AS136" s="530"/>
      <c r="AT136" s="369"/>
      <c r="AU136" s="233"/>
      <c r="AV136" s="222"/>
      <c r="AW136" s="189"/>
      <c r="AX136" s="222"/>
      <c r="AY136" s="211"/>
      <c r="AZ136" s="222"/>
      <c r="BA136" s="222"/>
      <c r="BB136" s="225"/>
      <c r="BC136" s="225"/>
      <c r="BD136" s="225"/>
      <c r="BE136" s="225"/>
      <c r="BF136" s="225"/>
      <c r="BG136" s="300"/>
      <c r="BH136" s="300"/>
      <c r="BI136" s="300"/>
      <c r="BJ136" s="522"/>
      <c r="BK136" s="522"/>
      <c r="BL136" s="522"/>
    </row>
    <row r="137" spans="1:90" s="212" customFormat="1" ht="19.5" customHeight="1" x14ac:dyDescent="0.25">
      <c r="A137" s="222"/>
      <c r="B137" s="222"/>
      <c r="C137" s="282"/>
      <c r="D137" s="282"/>
      <c r="E137" s="211"/>
      <c r="F137" s="211"/>
      <c r="G137" s="211"/>
      <c r="H137" s="211"/>
      <c r="I137" s="211"/>
      <c r="J137" s="211"/>
      <c r="K137" s="211"/>
      <c r="L137" s="211"/>
      <c r="M137" s="211"/>
      <c r="N137" s="211"/>
      <c r="O137" s="211"/>
      <c r="P137" s="211"/>
      <c r="Q137" s="211"/>
      <c r="R137" s="211"/>
      <c r="S137" s="211"/>
      <c r="T137" s="211"/>
      <c r="U137" s="211"/>
      <c r="V137" s="211"/>
      <c r="W137" s="211"/>
      <c r="X137" s="57"/>
      <c r="Y137" s="453"/>
      <c r="Z137" s="528"/>
      <c r="AA137" s="57"/>
      <c r="AB137" s="57"/>
      <c r="AC137" s="57"/>
      <c r="AD137" s="57"/>
      <c r="AE137" s="529"/>
      <c r="AF137" s="369"/>
      <c r="AG137" s="328"/>
      <c r="AH137" s="530"/>
      <c r="AI137" s="369"/>
      <c r="AJ137" s="328"/>
      <c r="AK137" s="530"/>
      <c r="AL137" s="369"/>
      <c r="AM137" s="328"/>
      <c r="AN137" s="530"/>
      <c r="AO137" s="369"/>
      <c r="AP137" s="328"/>
      <c r="AQ137" s="530"/>
      <c r="AR137" s="369"/>
      <c r="AS137" s="328"/>
      <c r="AT137" s="530"/>
      <c r="AU137" s="369"/>
      <c r="AV137" s="233"/>
      <c r="AW137" s="222"/>
      <c r="AX137" s="189"/>
      <c r="AY137" s="222"/>
      <c r="AZ137" s="211"/>
      <c r="BA137" s="222"/>
      <c r="BB137" s="222"/>
      <c r="BC137" s="225"/>
      <c r="BD137" s="225"/>
      <c r="BE137" s="225"/>
      <c r="BF137" s="225"/>
      <c r="BG137" s="225"/>
      <c r="BH137" s="300"/>
      <c r="BI137" s="300"/>
      <c r="BJ137" s="300"/>
      <c r="BK137" s="522"/>
      <c r="BL137" s="522"/>
      <c r="BM137" s="522"/>
    </row>
    <row r="138" spans="1:90" s="212" customFormat="1" ht="19.5" customHeight="1" x14ac:dyDescent="0.25">
      <c r="A138" s="222"/>
      <c r="B138" s="222"/>
      <c r="C138" s="282"/>
      <c r="D138" s="282"/>
      <c r="E138" s="211"/>
      <c r="F138" s="211"/>
      <c r="G138" s="211"/>
      <c r="H138" s="211"/>
      <c r="I138" s="211"/>
      <c r="J138" s="211"/>
      <c r="K138" s="211"/>
      <c r="L138" s="211"/>
      <c r="M138" s="211"/>
      <c r="N138" s="211"/>
      <c r="O138" s="211"/>
      <c r="P138" s="211"/>
      <c r="Q138" s="211"/>
      <c r="R138" s="211"/>
      <c r="S138" s="211"/>
      <c r="T138" s="211"/>
      <c r="U138" s="211"/>
      <c r="V138" s="211"/>
      <c r="W138" s="211"/>
      <c r="X138" s="57"/>
      <c r="Y138" s="453"/>
      <c r="Z138" s="528"/>
      <c r="AA138" s="57"/>
      <c r="AB138" s="57"/>
      <c r="AC138" s="57"/>
      <c r="AD138" s="529"/>
      <c r="AE138" s="369"/>
      <c r="AF138" s="328"/>
      <c r="AG138" s="530"/>
      <c r="AH138" s="369"/>
      <c r="AI138" s="328"/>
      <c r="AJ138" s="530"/>
      <c r="AK138" s="369"/>
      <c r="AL138" s="328"/>
      <c r="AM138" s="530"/>
      <c r="AN138" s="369"/>
      <c r="AO138" s="328"/>
      <c r="AP138" s="530"/>
      <c r="AQ138" s="369"/>
      <c r="AR138" s="328"/>
      <c r="AS138" s="530"/>
      <c r="AT138" s="369"/>
      <c r="AU138" s="233"/>
      <c r="AV138" s="222"/>
      <c r="AW138" s="189"/>
      <c r="AX138" s="222"/>
      <c r="AY138" s="211"/>
      <c r="AZ138" s="222"/>
      <c r="BA138" s="222"/>
      <c r="BB138" s="225"/>
      <c r="BC138" s="225"/>
      <c r="BD138" s="225"/>
      <c r="BE138" s="225"/>
      <c r="BF138" s="225"/>
      <c r="BG138" s="300"/>
      <c r="BH138" s="300"/>
      <c r="BI138" s="300"/>
      <c r="BJ138" s="522"/>
      <c r="BK138" s="522"/>
      <c r="BL138" s="522"/>
    </row>
    <row r="139" spans="1:90" s="212" customFormat="1" ht="19.5" customHeight="1" thickBot="1" x14ac:dyDescent="0.3">
      <c r="A139" s="532" t="s">
        <v>645</v>
      </c>
      <c r="B139" s="533"/>
      <c r="C139" s="310"/>
      <c r="D139" s="57"/>
      <c r="E139" s="57"/>
      <c r="F139" s="57"/>
      <c r="G139" s="57"/>
      <c r="H139" s="57"/>
      <c r="I139" s="57"/>
      <c r="J139" s="57"/>
      <c r="K139" s="57"/>
      <c r="L139" s="529"/>
      <c r="M139" s="529"/>
      <c r="N139" s="529"/>
      <c r="O139" s="530"/>
      <c r="P139" s="328"/>
      <c r="Q139" s="369"/>
      <c r="R139" s="369"/>
      <c r="S139" s="328"/>
      <c r="T139" s="369"/>
      <c r="U139" s="369"/>
      <c r="V139" s="328"/>
      <c r="W139" s="369"/>
      <c r="X139" s="369"/>
      <c r="Y139" s="328"/>
      <c r="Z139" s="369"/>
      <c r="AA139" s="369"/>
      <c r="AB139" s="328"/>
      <c r="AC139" s="369"/>
      <c r="AD139" s="369"/>
      <c r="AE139" s="328"/>
      <c r="AF139" s="233"/>
      <c r="AG139" s="222"/>
      <c r="AH139" s="189"/>
      <c r="AI139" s="222"/>
      <c r="AJ139" s="211"/>
      <c r="AK139" s="222"/>
      <c r="AL139" s="222"/>
      <c r="AM139" s="225"/>
      <c r="AN139" s="225"/>
      <c r="AO139" s="225"/>
      <c r="AP139" s="225"/>
      <c r="AQ139" s="225"/>
      <c r="AR139" s="300"/>
      <c r="AS139" s="300"/>
      <c r="AT139" s="300"/>
      <c r="AU139" s="300"/>
      <c r="AV139" s="300"/>
      <c r="AW139" s="300"/>
      <c r="AX139" s="225"/>
      <c r="AY139" s="225"/>
      <c r="AZ139" s="225"/>
      <c r="BA139" s="225"/>
      <c r="BB139" s="225"/>
      <c r="BC139" s="225"/>
      <c r="BD139" s="225"/>
      <c r="BE139" s="225"/>
      <c r="BF139" s="225"/>
      <c r="BG139" s="225"/>
      <c r="BH139" s="225"/>
      <c r="BI139" s="225"/>
      <c r="BJ139" s="225"/>
      <c r="BK139" s="225"/>
      <c r="BL139" s="225"/>
    </row>
    <row r="140" spans="1:90" ht="19.5" customHeight="1" x14ac:dyDescent="0.25">
      <c r="C140" s="534"/>
      <c r="D140" s="535"/>
      <c r="E140" s="535"/>
      <c r="F140" s="535"/>
      <c r="G140" s="535"/>
      <c r="H140" s="536"/>
      <c r="I140" s="536"/>
      <c r="J140" s="536"/>
      <c r="K140" s="536"/>
      <c r="L140" s="536"/>
      <c r="M140" s="537"/>
      <c r="N140" s="473">
        <f>$C$4</f>
        <v>6</v>
      </c>
      <c r="O140" s="293"/>
      <c r="P140" s="2005">
        <f>$D$4</f>
        <v>10</v>
      </c>
      <c r="Q140" s="2006"/>
      <c r="R140" s="2007"/>
      <c r="S140" s="2005">
        <f>$E$4</f>
        <v>18</v>
      </c>
      <c r="T140" s="2006"/>
      <c r="U140" s="2007"/>
      <c r="V140" s="2005" t="str">
        <f>$F$4</f>
        <v>6 FFF</v>
      </c>
      <c r="W140" s="2006"/>
      <c r="X140" s="2007"/>
      <c r="Y140" s="2005" t="str">
        <f>$G$4</f>
        <v>10 FFF</v>
      </c>
      <c r="Z140" s="2006"/>
      <c r="AA140" s="2033"/>
      <c r="AB140" s="1995" t="s">
        <v>16</v>
      </c>
      <c r="AC140" s="1996"/>
      <c r="AD140" s="1997"/>
      <c r="AE140" s="538"/>
      <c r="AF140" s="538"/>
      <c r="AG140" s="538"/>
      <c r="AH140" s="538"/>
    </row>
    <row r="141" spans="1:90" s="212" customFormat="1" ht="19.5" customHeight="1" x14ac:dyDescent="0.25">
      <c r="A141" s="415" t="s">
        <v>50</v>
      </c>
      <c r="B141" s="415" t="s">
        <v>15</v>
      </c>
      <c r="C141" s="539" t="s">
        <v>25</v>
      </c>
      <c r="D141" s="402" t="s">
        <v>158</v>
      </c>
      <c r="E141" s="310"/>
      <c r="F141" s="540"/>
      <c r="G141" s="541" t="s">
        <v>529</v>
      </c>
      <c r="H141" s="301" t="s">
        <v>524</v>
      </c>
      <c r="I141" s="542"/>
      <c r="J141" s="541" t="s">
        <v>77</v>
      </c>
      <c r="K141" s="541"/>
      <c r="L141" s="543"/>
      <c r="M141" s="1998" t="s">
        <v>216</v>
      </c>
      <c r="N141" s="301" t="s">
        <v>206</v>
      </c>
      <c r="O141" s="301" t="s">
        <v>16</v>
      </c>
      <c r="P141" s="1998" t="s">
        <v>216</v>
      </c>
      <c r="Q141" s="301" t="s">
        <v>206</v>
      </c>
      <c r="R141" s="301" t="s">
        <v>16</v>
      </c>
      <c r="S141" s="1998" t="s">
        <v>216</v>
      </c>
      <c r="T141" s="301" t="s">
        <v>206</v>
      </c>
      <c r="U141" s="301" t="s">
        <v>16</v>
      </c>
      <c r="V141" s="1998" t="s">
        <v>216</v>
      </c>
      <c r="W141" s="301" t="s">
        <v>206</v>
      </c>
      <c r="X141" s="301" t="s">
        <v>16</v>
      </c>
      <c r="Y141" s="1998" t="s">
        <v>216</v>
      </c>
      <c r="Z141" s="301" t="s">
        <v>206</v>
      </c>
      <c r="AA141" s="304" t="s">
        <v>16</v>
      </c>
      <c r="AB141" s="544" t="s">
        <v>23</v>
      </c>
      <c r="AC141" s="1993" t="s">
        <v>178</v>
      </c>
      <c r="AD141" s="1994"/>
      <c r="AE141" s="538"/>
      <c r="AF141" s="538"/>
      <c r="AG141" s="538"/>
      <c r="AH141" s="538"/>
      <c r="AI141" s="538"/>
      <c r="AJ141" s="538"/>
      <c r="AK141" s="538"/>
      <c r="AL141" s="538"/>
      <c r="AM141" s="538"/>
      <c r="AN141" s="538"/>
      <c r="AO141" s="538"/>
      <c r="AP141" s="538"/>
      <c r="AQ141" s="538"/>
      <c r="AR141" s="538"/>
      <c r="AS141" s="545"/>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69"/>
      <c r="BO141" s="233"/>
      <c r="BP141" s="233"/>
      <c r="BQ141" s="222"/>
      <c r="BR141" s="233"/>
      <c r="BS141" s="222"/>
      <c r="BT141" s="211"/>
      <c r="BU141" s="222"/>
      <c r="BV141" s="222"/>
      <c r="BW141" s="225"/>
      <c r="BX141" s="225"/>
      <c r="BY141" s="225"/>
      <c r="BZ141" s="225"/>
      <c r="CA141" s="225"/>
      <c r="CB141" s="300"/>
      <c r="CC141" s="300"/>
      <c r="CD141" s="300"/>
      <c r="CE141" s="522"/>
      <c r="CF141" s="522"/>
      <c r="CG141" s="522"/>
    </row>
    <row r="142" spans="1:90" s="212" customFormat="1" ht="19.5" customHeight="1" thickBot="1" x14ac:dyDescent="0.3">
      <c r="A142" s="308"/>
      <c r="B142" s="308"/>
      <c r="C142" s="546"/>
      <c r="D142" s="313" t="s">
        <v>383</v>
      </c>
      <c r="E142" s="313" t="s">
        <v>384</v>
      </c>
      <c r="F142" s="313" t="s">
        <v>385</v>
      </c>
      <c r="G142" s="541" t="s">
        <v>28</v>
      </c>
      <c r="H142" s="312" t="s">
        <v>528</v>
      </c>
      <c r="I142" s="542" t="s">
        <v>2</v>
      </c>
      <c r="J142" s="547" t="s">
        <v>61</v>
      </c>
      <c r="K142" s="541" t="s">
        <v>3</v>
      </c>
      <c r="L142" s="547" t="s">
        <v>22</v>
      </c>
      <c r="M142" s="1999"/>
      <c r="N142" s="314" t="s">
        <v>207</v>
      </c>
      <c r="O142" s="315" t="s">
        <v>174</v>
      </c>
      <c r="P142" s="1999"/>
      <c r="Q142" s="314" t="s">
        <v>207</v>
      </c>
      <c r="R142" s="315" t="s">
        <v>174</v>
      </c>
      <c r="S142" s="1999"/>
      <c r="T142" s="314" t="s">
        <v>207</v>
      </c>
      <c r="U142" s="315" t="s">
        <v>174</v>
      </c>
      <c r="V142" s="1999"/>
      <c r="W142" s="314" t="s">
        <v>207</v>
      </c>
      <c r="X142" s="315" t="s">
        <v>174</v>
      </c>
      <c r="Y142" s="1999"/>
      <c r="Z142" s="314" t="s">
        <v>207</v>
      </c>
      <c r="AA142" s="178" t="s">
        <v>174</v>
      </c>
      <c r="AB142" s="548" t="s">
        <v>173</v>
      </c>
      <c r="AC142" s="679" t="s">
        <v>173</v>
      </c>
      <c r="AD142" s="550" t="s">
        <v>166</v>
      </c>
      <c r="AE142" s="538"/>
      <c r="AF142" s="538"/>
      <c r="AG142" s="538"/>
      <c r="AH142" s="538"/>
      <c r="AI142" s="551"/>
      <c r="AJ142" s="538"/>
      <c r="AK142" s="538"/>
      <c r="AL142" s="538"/>
      <c r="AM142" s="538"/>
      <c r="AN142" s="538"/>
      <c r="AO142" s="538"/>
      <c r="AP142" s="538"/>
      <c r="AQ142" s="538"/>
      <c r="AR142" s="538"/>
      <c r="AS142" s="538"/>
      <c r="AT142" s="538"/>
      <c r="AU142" s="538"/>
      <c r="AV142" s="538"/>
      <c r="AW142" s="538"/>
      <c r="AX142" s="545"/>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69"/>
      <c r="BT142" s="233"/>
      <c r="BU142" s="233"/>
      <c r="BV142" s="222"/>
      <c r="BW142" s="233"/>
      <c r="BX142" s="222"/>
      <c r="BY142" s="211"/>
      <c r="BZ142" s="222"/>
      <c r="CA142" s="222"/>
      <c r="CB142" s="225"/>
      <c r="CC142" s="225"/>
      <c r="CD142" s="225"/>
      <c r="CE142" s="225"/>
      <c r="CF142" s="225"/>
      <c r="CG142" s="300"/>
      <c r="CH142" s="300"/>
      <c r="CI142" s="300"/>
      <c r="CJ142" s="522"/>
      <c r="CK142" s="522"/>
      <c r="CL142" s="522"/>
    </row>
    <row r="143" spans="1:90" s="212" customFormat="1" ht="19.5" hidden="1" customHeight="1" thickBot="1" x14ac:dyDescent="0.3">
      <c r="A143" s="694"/>
      <c r="B143" s="694"/>
      <c r="C143" s="695"/>
      <c r="D143" s="695"/>
      <c r="E143" s="695"/>
      <c r="F143" s="695"/>
      <c r="G143" s="713"/>
      <c r="H143" s="694"/>
      <c r="I143" s="714"/>
      <c r="J143" s="694"/>
      <c r="K143" s="713"/>
      <c r="L143" s="694"/>
      <c r="M143" s="695"/>
      <c r="N143" s="97"/>
      <c r="O143" s="58"/>
      <c r="P143" s="695"/>
      <c r="Q143" s="97"/>
      <c r="R143" s="58"/>
      <c r="S143" s="695"/>
      <c r="T143" s="97"/>
      <c r="U143" s="58"/>
      <c r="V143" s="695"/>
      <c r="W143" s="97"/>
      <c r="X143" s="58"/>
      <c r="Y143" s="695"/>
      <c r="Z143" s="97"/>
      <c r="AA143" s="90"/>
      <c r="AB143" s="319"/>
      <c r="AC143" s="320"/>
      <c r="AD143" s="321"/>
      <c r="AI143" s="300"/>
      <c r="AX143" s="225"/>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69"/>
      <c r="BT143" s="233"/>
      <c r="BU143" s="233"/>
      <c r="BV143" s="222"/>
      <c r="BW143" s="233"/>
      <c r="BX143" s="222"/>
      <c r="BY143" s="211"/>
      <c r="BZ143" s="222"/>
      <c r="CA143" s="222"/>
      <c r="CB143" s="225"/>
      <c r="CC143" s="225"/>
      <c r="CD143" s="225"/>
      <c r="CE143" s="225"/>
      <c r="CF143" s="225"/>
      <c r="CG143" s="300"/>
      <c r="CH143" s="300"/>
      <c r="CI143" s="300"/>
      <c r="CJ143" s="522"/>
      <c r="CK143" s="522"/>
      <c r="CL143" s="522"/>
    </row>
    <row r="144" spans="1:90" s="212" customFormat="1" ht="30" customHeight="1" x14ac:dyDescent="0.25">
      <c r="A144" s="552"/>
      <c r="B144" s="322"/>
      <c r="C144" s="323" t="s">
        <v>569</v>
      </c>
      <c r="D144" s="1836">
        <v>1</v>
      </c>
      <c r="E144" s="89"/>
      <c r="F144" s="89"/>
      <c r="G144" s="89"/>
      <c r="H144" s="1836">
        <v>0.25</v>
      </c>
      <c r="I144" s="1836">
        <v>250</v>
      </c>
      <c r="J144" s="1836">
        <v>0</v>
      </c>
      <c r="K144" s="1836">
        <v>0</v>
      </c>
      <c r="L144" s="1836">
        <v>0</v>
      </c>
      <c r="M144" s="91">
        <f>IF($I144=0,0,1+($I144-$C$21)/$C$22)+$J144/$C$23+$K144/$C$24+$L144/$C$25</f>
        <v>7.4545454545454541</v>
      </c>
      <c r="N144" s="92">
        <f t="shared" ref="N144:N162" si="18">10^(-M144)</f>
        <v>3.5111917342151263E-8</v>
      </c>
      <c r="O144" s="93">
        <f>$C$7*$C$14*$C$8*$H144/$D144^2*N144*10^6</f>
        <v>7.022383468430253E-2</v>
      </c>
      <c r="P144" s="91">
        <f>IF($I144=0,0,1+($I144-$D$21)/$D$22)+$J144/$D$23+$K144/$D$24+$L144/$D$25</f>
        <v>6.6486486486486482</v>
      </c>
      <c r="Q144" s="92">
        <f t="shared" ref="Q144:Q162" si="19">10^(-P144)</f>
        <v>2.2456979955397711E-7</v>
      </c>
      <c r="R144" s="93">
        <f>$C$7*$D$14*$D$8*$H144/$D144^2*$Q144*10^6</f>
        <v>0.4491395991079542</v>
      </c>
      <c r="S144" s="93">
        <f>IF($I144=0,0,1+(I144-$E$21)/$E$22)+$J144/$E$23+K144/$E$24+$L144/$E$25</f>
        <v>5.7674418604651159</v>
      </c>
      <c r="T144" s="92">
        <f t="shared" ref="T144:T162" si="20">10^(-S144)</f>
        <v>1.7082763938087111E-6</v>
      </c>
      <c r="U144" s="93">
        <f>$C$7*$E$14*$E$8*$H144/$D144^2*$T144*10^6</f>
        <v>3.4165527876174222</v>
      </c>
      <c r="V144" s="93">
        <f>IF($I144=0,0,1+(I144-$F$21)/$F$22)+$J144/$F$23+K144/$F$24+$L144/$F$25</f>
        <v>9.1481481481481488</v>
      </c>
      <c r="W144" s="92">
        <f t="shared" ref="W144:W162" si="21">10^(-V144)</f>
        <v>7.1097094323124171E-10</v>
      </c>
      <c r="X144" s="93">
        <f>$C$7*$F$14*$F$8*$H144/$D144^2*$W144*10^6</f>
        <v>1.4219418864624834E-3</v>
      </c>
      <c r="Y144" s="93">
        <f>IF($I144=0,0,1+(I144-$G$21)/$G$22)+$J144/$G$23+K144/$G$24+$L144/$G$25</f>
        <v>6.9444444444444446</v>
      </c>
      <c r="Z144" s="92">
        <f t="shared" ref="Z144:Z162" si="22">10^(-Y144)</f>
        <v>1.136463666385722E-7</v>
      </c>
      <c r="AA144" s="94">
        <f>$C$7*$G$14*$G$8*$H144/$D144^2*$Z144*10^6</f>
        <v>0.22729273327714439</v>
      </c>
      <c r="AB144" s="553">
        <f>SUM(O144,R144,U144,X144,AA144)</f>
        <v>4.1646308965732857</v>
      </c>
      <c r="AC144" s="554"/>
      <c r="AD144" s="555"/>
      <c r="AE144" s="538"/>
      <c r="AF144" s="538"/>
      <c r="AG144" s="538"/>
      <c r="AH144" s="556"/>
      <c r="AI144" s="551"/>
      <c r="AJ144" s="551"/>
      <c r="AK144" s="551"/>
      <c r="AL144" s="538"/>
      <c r="AM144" s="538"/>
      <c r="AN144" s="538"/>
      <c r="AO144" s="538"/>
      <c r="AP144" s="538"/>
      <c r="AQ144" s="538"/>
      <c r="AR144" s="538"/>
      <c r="AS144" s="538"/>
      <c r="AT144" s="538"/>
      <c r="AU144" s="538"/>
      <c r="AV144" s="538"/>
      <c r="AW144" s="538"/>
      <c r="AX144" s="545"/>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69"/>
      <c r="BT144" s="233"/>
      <c r="BU144" s="233"/>
      <c r="BV144" s="222"/>
      <c r="BW144" s="222"/>
      <c r="BX144" s="222"/>
      <c r="BY144" s="211"/>
      <c r="BZ144" s="222"/>
      <c r="CA144" s="222"/>
      <c r="CB144" s="225"/>
      <c r="CC144" s="225"/>
      <c r="CD144" s="225"/>
      <c r="CE144" s="225"/>
      <c r="CF144" s="225"/>
      <c r="CG144" s="300"/>
      <c r="CH144" s="300"/>
      <c r="CI144" s="300"/>
      <c r="CJ144" s="522"/>
      <c r="CK144" s="522"/>
      <c r="CL144" s="522"/>
    </row>
    <row r="145" spans="1:90" s="212" customFormat="1" ht="30" customHeight="1" x14ac:dyDescent="0.25">
      <c r="A145" s="557" t="str">
        <f>Samenvatting!A332</f>
        <v>T1</v>
      </c>
      <c r="B145" s="558" t="str">
        <f>Samenvatting!B332</f>
        <v>terreingrens 1</v>
      </c>
      <c r="C145" s="331" t="s">
        <v>568</v>
      </c>
      <c r="D145" s="1836">
        <v>25</v>
      </c>
      <c r="E145" s="89"/>
      <c r="F145" s="89"/>
      <c r="G145" s="89"/>
      <c r="H145" s="559"/>
      <c r="I145" s="1836">
        <v>250</v>
      </c>
      <c r="J145" s="1836">
        <v>0</v>
      </c>
      <c r="K145" s="1836">
        <v>0</v>
      </c>
      <c r="L145" s="1836">
        <v>0</v>
      </c>
      <c r="M145" s="93">
        <f>$I145/$C$27+$J145/$C$28+K145/$C$29+$L145/$C$30</f>
        <v>7.3529411764705879</v>
      </c>
      <c r="N145" s="92">
        <f t="shared" si="18"/>
        <v>4.4366873309786093E-8</v>
      </c>
      <c r="O145" s="93">
        <f>$C$7*$C$15*$C$8*($C$9+$C$10*$C$11)/$D145^2*$N145*10^6</f>
        <v>4.2592198377394652E-5</v>
      </c>
      <c r="P145" s="93">
        <f>$I145/$D$27+$J145/$D$28+K145/$D$29+$L145/$D$30</f>
        <v>6.5789473684210522</v>
      </c>
      <c r="Q145" s="92">
        <f t="shared" si="19"/>
        <v>2.636650898730358E-7</v>
      </c>
      <c r="R145" s="93">
        <f>$C$7*$C$15*$D$8*($D$9+$D$10*$D$11)/$D145^2*$Q145*10^6</f>
        <v>2.5311848627811444E-4</v>
      </c>
      <c r="S145" s="93">
        <f>$I145/$E$27+$J145/$E$28+K145/$E$29+$L145/$E$30</f>
        <v>5.6818181818181817</v>
      </c>
      <c r="T145" s="92">
        <f t="shared" si="20"/>
        <v>2.0805675382171676E-6</v>
      </c>
      <c r="U145" s="93">
        <f>$C$7*$C$15*$E$8*($E$9+$E$10*$E$11)/$D145^2*$T145*10^6</f>
        <v>1.9973448366884814E-3</v>
      </c>
      <c r="V145" s="93">
        <f>$I145/$F$27+$J145/$F$28+K145/$F$29+$L145/$F$30</f>
        <v>8.1967213114754092</v>
      </c>
      <c r="W145" s="92">
        <f t="shared" si="21"/>
        <v>6.3573875711648393E-9</v>
      </c>
      <c r="X145" s="93">
        <f>$C$7*$C$15*$F$8*($F$9+$F$10*$F$11)/$D145^2*$W145*10^6</f>
        <v>6.1030920683182469E-6</v>
      </c>
      <c r="Y145" s="93">
        <f>$I145/$G$27+$J145/$G$28+K145/$G$29+$L145/$G$30</f>
        <v>7.0224719101123592</v>
      </c>
      <c r="Z145" s="92">
        <f t="shared" si="22"/>
        <v>9.4957241494880226E-8</v>
      </c>
      <c r="AA145" s="94">
        <f>$C$7*$C$15*$G$8*($G$9+$G$10*$G$11)/$D145^2*$Z145*10^6</f>
        <v>9.1158951835085031E-5</v>
      </c>
      <c r="AB145" s="560">
        <f>SUM(O145,R145,U145,X145,AA145)</f>
        <v>2.3903175652473939E-3</v>
      </c>
      <c r="AC145" s="561">
        <f>SUM(AB143:AB148)</f>
        <v>4.1670929152189826</v>
      </c>
      <c r="AD145" s="562">
        <f>AC145*52/10^3</f>
        <v>0.2166888315913871</v>
      </c>
      <c r="AE145" s="538"/>
      <c r="AF145" s="538"/>
      <c r="AG145" s="538"/>
      <c r="AH145" s="556"/>
      <c r="AI145" s="563"/>
      <c r="AJ145" s="551"/>
      <c r="AK145" s="551"/>
      <c r="AL145" s="538"/>
      <c r="AM145" s="538"/>
      <c r="AN145" s="538"/>
      <c r="AO145" s="538"/>
      <c r="AP145" s="538"/>
      <c r="AQ145" s="538"/>
      <c r="AR145" s="538"/>
      <c r="AS145" s="538"/>
      <c r="AT145" s="538"/>
      <c r="AU145" s="538"/>
      <c r="AV145" s="538"/>
      <c r="AW145" s="538"/>
      <c r="AX145" s="545"/>
      <c r="AY145" s="545"/>
      <c r="AZ145" s="545"/>
      <c r="BA145" s="545"/>
      <c r="BB145" s="328"/>
      <c r="BC145" s="328"/>
      <c r="BD145" s="328"/>
      <c r="BE145" s="328"/>
      <c r="BF145" s="328"/>
      <c r="BG145" s="328"/>
      <c r="BH145" s="328"/>
      <c r="BI145" s="328"/>
      <c r="BJ145" s="328"/>
      <c r="BK145" s="328"/>
      <c r="BL145" s="328"/>
      <c r="BM145" s="328"/>
      <c r="BN145" s="328"/>
      <c r="BO145" s="328"/>
      <c r="BP145" s="328"/>
      <c r="BQ145" s="328"/>
      <c r="BR145" s="328"/>
      <c r="BS145" s="369"/>
      <c r="BT145" s="233"/>
      <c r="BU145" s="233"/>
      <c r="BV145" s="222"/>
      <c r="BW145" s="222"/>
      <c r="BX145" s="222"/>
      <c r="BY145" s="211"/>
      <c r="BZ145" s="222"/>
      <c r="CA145" s="222"/>
      <c r="CB145" s="225"/>
      <c r="CC145" s="225"/>
      <c r="CD145" s="225"/>
      <c r="CE145" s="225"/>
      <c r="CF145" s="225"/>
      <c r="CG145" s="300"/>
      <c r="CH145" s="300"/>
      <c r="CI145" s="300"/>
      <c r="CJ145" s="522"/>
      <c r="CK145" s="522"/>
      <c r="CL145" s="522"/>
    </row>
    <row r="146" spans="1:90" s="212" customFormat="1" ht="30" customHeight="1" x14ac:dyDescent="0.25">
      <c r="A146" s="557"/>
      <c r="B146" s="558"/>
      <c r="C146" s="331" t="s">
        <v>26</v>
      </c>
      <c r="D146" s="564"/>
      <c r="E146" s="1836">
        <v>11</v>
      </c>
      <c r="F146" s="89">
        <f>D145</f>
        <v>25</v>
      </c>
      <c r="G146" s="1836">
        <v>15</v>
      </c>
      <c r="H146" s="1836">
        <v>0.25</v>
      </c>
      <c r="I146" s="1836">
        <v>210</v>
      </c>
      <c r="J146" s="1836">
        <v>0</v>
      </c>
      <c r="K146" s="1836">
        <v>0</v>
      </c>
      <c r="L146" s="1836">
        <v>0</v>
      </c>
      <c r="M146" s="93">
        <f>IF($I146=0,0,1+(I146-$C$21)/$C$22)+$J146/$C$23+K146/$C$24+$L146/$C$25</f>
        <v>6.2424242424242422</v>
      </c>
      <c r="N146" s="92">
        <f t="shared" si="18"/>
        <v>5.722367659350211E-7</v>
      </c>
      <c r="O146" s="95">
        <f>2.5*0.01*$C$7*$C$14*$C$8*$H146*(2*PI()*(1-COS($G146/180*PI())))^1.3/$E146^2/$F146^2*N146*10^6</f>
        <v>5.101138747051231E-8</v>
      </c>
      <c r="P146" s="91">
        <f>IF($I146=0,0,1+($I146-$D$21)/$D$22)+$J146/$D$23+$K146/$D$24+$L146/$D$25</f>
        <v>5.5675675675675675</v>
      </c>
      <c r="Q146" s="92">
        <f t="shared" si="19"/>
        <v>2.7066520700332395E-6</v>
      </c>
      <c r="R146" s="95">
        <f>2.5*0.01*$C$7*$D$14*$D$8*$H146*(2*PI()*(1-COS($G146/180*PI())))^1.3/$E146^2/$F146^2*Q146*10^6</f>
        <v>2.4128138160910826E-7</v>
      </c>
      <c r="S146" s="93">
        <f>IF($I146=0,0,1+(I146-$E$21)/$E$22)+$J146/$E$23+K146/$E$24+$L146/$E$25</f>
        <v>4.8372093023255811</v>
      </c>
      <c r="T146" s="92">
        <f t="shared" si="20"/>
        <v>1.4547578108480478E-5</v>
      </c>
      <c r="U146" s="95">
        <f>2.5*0.01*$C$7*$E$14*$E$8*$H146*(2*PI()*(1-COS($G146/180*PI())))^1.3/$E146^2/$F146^2*T146*10^6</f>
        <v>1.2968270964496306E-6</v>
      </c>
      <c r="V146" s="93">
        <f>IF($I146=0,0,1+(I146-$F$21)/$F$22)+$J146/$F$23+K146/$F$24+$L146/$F$25</f>
        <v>7.666666666666667</v>
      </c>
      <c r="W146" s="92">
        <f t="shared" si="21"/>
        <v>2.1544346900318783E-8</v>
      </c>
      <c r="X146" s="95">
        <f>2.5*0.01*$C$7*$F$14*$F$8*$H146*(2*PI()*(1-COS($G146/180*PI())))^1.3/$E146^2/$F146^2*W146*10^6</f>
        <v>1.920545992418962E-9</v>
      </c>
      <c r="Y146" s="93">
        <f>IF($I146=0,0,1+(I146-$G$21)/$G$22)+$J146/$G$23+K146/$G$24+$L146/$G$25</f>
        <v>5.833333333333333</v>
      </c>
      <c r="Z146" s="92">
        <f t="shared" si="22"/>
        <v>1.4677992676220696E-6</v>
      </c>
      <c r="AA146" s="96">
        <f>2.5*0.01*$C$7*$G$14*$G$8*$H146*(2*PI()*(1-COS($G146/180*PI())))^1.3/$E146^2/$F146^2*Z146*10^6</f>
        <v>1.3084527528960935E-7</v>
      </c>
      <c r="AB146" s="560">
        <f>SUM(O146,R146,U146,X146,AA146)</f>
        <v>1.7218856868112794E-6</v>
      </c>
      <c r="AC146" s="565"/>
      <c r="AD146" s="566"/>
      <c r="AE146" s="538"/>
      <c r="AF146" s="538"/>
      <c r="AG146" s="567"/>
      <c r="AH146" s="538"/>
      <c r="AI146" s="563"/>
      <c r="AJ146" s="545"/>
      <c r="AK146" s="545"/>
      <c r="AL146" s="538"/>
      <c r="AM146" s="538"/>
      <c r="AN146" s="538"/>
      <c r="AO146" s="538"/>
      <c r="AP146" s="538"/>
      <c r="AQ146" s="538"/>
      <c r="AR146" s="538"/>
      <c r="AS146" s="538"/>
      <c r="AT146" s="538"/>
      <c r="AU146" s="538"/>
      <c r="AV146" s="538"/>
      <c r="AW146" s="538"/>
      <c r="AX146" s="545"/>
      <c r="AY146" s="545"/>
      <c r="AZ146" s="545"/>
      <c r="BA146" s="545"/>
      <c r="BB146" s="328"/>
      <c r="BC146" s="328"/>
      <c r="BD146" s="328"/>
      <c r="BE146" s="328"/>
      <c r="BF146" s="328"/>
      <c r="BG146" s="328"/>
      <c r="BH146" s="328"/>
      <c r="BI146" s="328"/>
      <c r="BJ146" s="328"/>
      <c r="BK146" s="328"/>
      <c r="BL146" s="328"/>
      <c r="BM146" s="328"/>
      <c r="BN146" s="328"/>
      <c r="BO146" s="328"/>
      <c r="BP146" s="328"/>
      <c r="BQ146" s="328"/>
      <c r="BR146" s="328"/>
      <c r="BS146" s="369"/>
      <c r="BT146" s="233"/>
      <c r="BU146" s="233"/>
      <c r="BV146" s="222"/>
      <c r="BW146" s="222"/>
      <c r="BX146" s="222"/>
      <c r="BY146" s="211"/>
      <c r="BZ146" s="222"/>
      <c r="CA146" s="222"/>
      <c r="CB146" s="225"/>
      <c r="CC146" s="225"/>
      <c r="CD146" s="225"/>
      <c r="CE146" s="225"/>
      <c r="CF146" s="225"/>
      <c r="CG146" s="300"/>
      <c r="CH146" s="300"/>
      <c r="CI146" s="300"/>
      <c r="CJ146" s="522"/>
      <c r="CK146" s="522"/>
      <c r="CL146" s="522"/>
    </row>
    <row r="147" spans="1:90" s="538" customFormat="1" ht="30" customHeight="1" thickBot="1" x14ac:dyDescent="0.3">
      <c r="A147" s="557"/>
      <c r="B147" s="558"/>
      <c r="C147" s="331" t="s">
        <v>27</v>
      </c>
      <c r="D147" s="89"/>
      <c r="E147" s="1836">
        <v>10</v>
      </c>
      <c r="F147" s="89"/>
      <c r="G147" s="1836">
        <v>60</v>
      </c>
      <c r="H147" s="568"/>
      <c r="I147" s="1836">
        <v>190</v>
      </c>
      <c r="J147" s="1836">
        <v>0</v>
      </c>
      <c r="K147" s="1836">
        <v>0</v>
      </c>
      <c r="L147" s="1836">
        <v>0</v>
      </c>
      <c r="M147" s="93">
        <f>$I147/$C$27+$J147/$C$28+K147/$C$29+$L147/$C$30</f>
        <v>5.5882352941176467</v>
      </c>
      <c r="N147" s="92">
        <f t="shared" si="18"/>
        <v>2.580861540418073E-6</v>
      </c>
      <c r="O147" s="95">
        <f>2.5*0.01*$C$7*$C$15*$C$8*($C$9+$C$10*$C$11)*(2*PI()*(1-COS($G147/180*PI())))^1.3/E$147^2/$F146^2*N147*10^6</f>
        <v>2.7432840731901286E-6</v>
      </c>
      <c r="P147" s="93">
        <f>$I147/$D$27+$J147/$D$28+K147/$D$29+$L147/$D$30</f>
        <v>5</v>
      </c>
      <c r="Q147" s="92">
        <f t="shared" si="19"/>
        <v>1.0000000000000001E-5</v>
      </c>
      <c r="R147" s="95">
        <f>2.5*0.01*$C$7*$C$15*$D$8*($D$9+$D$10*$D$11)*(2*PI()*(1-COS($G147/180*PI())))^1.3/$E147^2/$F146^2*Q147*10^6</f>
        <v>1.0629334546733355E-5</v>
      </c>
      <c r="S147" s="93">
        <f>$I147/$E$27+$J147/$E$28+K147/$E$29+$L147/$E$30</f>
        <v>4.3181818181818183</v>
      </c>
      <c r="T147" s="92">
        <f t="shared" si="20"/>
        <v>4.8063808630643867E-5</v>
      </c>
      <c r="U147" s="95">
        <f>2.5*0.01*$C$7*$C$15*$E$8*($E$9+$E$10*$E$11)*(2*PI()*(1-COS($G147/180*PI())))^1.3/$E147^2/$F146^2*T147*10^6</f>
        <v>5.1088630152528366E-5</v>
      </c>
      <c r="V147" s="93">
        <f>$I147/$F$27+$J147/$F$28+K147/$F$29+$L147/$F$30</f>
        <v>6.2295081967213113</v>
      </c>
      <c r="W147" s="92">
        <f t="shared" si="21"/>
        <v>5.8951085074002664E-7</v>
      </c>
      <c r="X147" s="95">
        <f>2.5*0.01*$C$7*$C$15*$F$8*($F$9+$F$10*$F$11)*(2*PI()*(1-COS($G147/180*PI())))^1.3/$E147^2/$F146^2*W147*10^6</f>
        <v>6.2661080514451354E-7</v>
      </c>
      <c r="Y147" s="93">
        <f>$I147/$G$27+$J147/$G$28+K147/$G$29+$L147/$G$30</f>
        <v>5.3370786516853927</v>
      </c>
      <c r="Z147" s="92">
        <f t="shared" si="22"/>
        <v>4.6017322765137984E-6</v>
      </c>
      <c r="AA147" s="96">
        <f>2.5*0.01*$C$7*$C$15*$G$8*($G$9+$G$10*$G$11)*(2*PI()*(1-COS($G147/180*PI())))^1.3/$E147^2/$F146^2*Z147*10^6</f>
        <v>4.891335186156605E-6</v>
      </c>
      <c r="AB147" s="569">
        <f>SUM(O147,R147,U147,X147,AA147)</f>
        <v>6.9979194763752965E-5</v>
      </c>
      <c r="AC147" s="570"/>
      <c r="AD147" s="571"/>
      <c r="AH147" s="572"/>
      <c r="AI147" s="573"/>
      <c r="AJ147" s="563"/>
      <c r="AK147" s="551"/>
      <c r="AX147" s="545"/>
      <c r="AY147" s="545"/>
      <c r="AZ147" s="545"/>
      <c r="BA147" s="545"/>
      <c r="BB147" s="545"/>
      <c r="BC147" s="545"/>
      <c r="BD147" s="545"/>
      <c r="BE147" s="545"/>
      <c r="BF147" s="545"/>
      <c r="BG147" s="545"/>
      <c r="BH147" s="545"/>
      <c r="BI147" s="545"/>
      <c r="BJ147" s="545"/>
      <c r="BK147" s="545"/>
      <c r="BL147" s="545"/>
      <c r="BM147" s="545"/>
      <c r="BN147" s="545"/>
      <c r="BO147" s="545"/>
      <c r="BP147" s="545"/>
      <c r="BQ147" s="545"/>
      <c r="BR147" s="545"/>
      <c r="BS147" s="545"/>
      <c r="BT147" s="545"/>
      <c r="BU147" s="545"/>
      <c r="BV147" s="545"/>
      <c r="BW147" s="545"/>
      <c r="BX147" s="545"/>
      <c r="BY147" s="545"/>
      <c r="BZ147" s="545"/>
    </row>
    <row r="148" spans="1:90" s="212" customFormat="1" ht="30" hidden="1" customHeight="1" thickBot="1" x14ac:dyDescent="0.3">
      <c r="A148" s="574"/>
      <c r="B148" s="575"/>
      <c r="C148" s="576"/>
      <c r="D148" s="89"/>
      <c r="E148" s="89"/>
      <c r="F148" s="89"/>
      <c r="G148" s="89"/>
      <c r="H148" s="1837"/>
      <c r="I148" s="1837"/>
      <c r="J148" s="1837"/>
      <c r="K148" s="1837"/>
      <c r="L148" s="1837"/>
      <c r="M148" s="91"/>
      <c r="N148" s="97"/>
      <c r="O148" s="98"/>
      <c r="P148" s="91"/>
      <c r="Q148" s="97"/>
      <c r="R148" s="98"/>
      <c r="S148" s="91"/>
      <c r="T148" s="97"/>
      <c r="U148" s="98"/>
      <c r="V148" s="91"/>
      <c r="W148" s="97"/>
      <c r="X148" s="98"/>
      <c r="Y148" s="91"/>
      <c r="Z148" s="97"/>
      <c r="AA148" s="99"/>
      <c r="AB148" s="577"/>
      <c r="AC148" s="578"/>
      <c r="AD148" s="579"/>
      <c r="AH148" s="580"/>
      <c r="AI148" s="581"/>
      <c r="AJ148" s="282"/>
      <c r="AK148" s="300"/>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row>
    <row r="149" spans="1:90" s="212" customFormat="1" ht="30" customHeight="1" x14ac:dyDescent="0.25">
      <c r="A149" s="552"/>
      <c r="B149" s="322"/>
      <c r="C149" s="323" t="s">
        <v>569</v>
      </c>
      <c r="D149" s="1836">
        <v>1</v>
      </c>
      <c r="E149" s="89"/>
      <c r="F149" s="89"/>
      <c r="G149" s="89"/>
      <c r="H149" s="1836">
        <v>0.25</v>
      </c>
      <c r="I149" s="1836">
        <v>250</v>
      </c>
      <c r="J149" s="1836">
        <v>0</v>
      </c>
      <c r="K149" s="1836">
        <v>0</v>
      </c>
      <c r="L149" s="1836">
        <v>0</v>
      </c>
      <c r="M149" s="91">
        <f>IF($I149=0,0,1+($I149-$C$21)/$C$22)+$J149/$C$23+$K149/$C$24+$L149/$C$25</f>
        <v>7.4545454545454541</v>
      </c>
      <c r="N149" s="92">
        <f t="shared" si="18"/>
        <v>3.5111917342151263E-8</v>
      </c>
      <c r="O149" s="93">
        <f>$C$7*$C$14*$C$8*$H149/$D149^2*N149*10^6</f>
        <v>7.022383468430253E-2</v>
      </c>
      <c r="P149" s="91">
        <f>IF($I149=0,0,1+($I149-$D$21)/$D$22)+$J149/$D$23+$K149/$D$24+$L149/$D$25</f>
        <v>6.6486486486486482</v>
      </c>
      <c r="Q149" s="92">
        <f t="shared" si="19"/>
        <v>2.2456979955397711E-7</v>
      </c>
      <c r="R149" s="93">
        <f>$C$7*$D$14*$D$8*$H149/$D149^2*$Q149*10^6</f>
        <v>0.4491395991079542</v>
      </c>
      <c r="S149" s="93">
        <f>IF($I149=0,0,1+(I149-$E$21)/$E$22)+$J149/$E$23+K149/$E$24+$L149/$E$25</f>
        <v>5.7674418604651159</v>
      </c>
      <c r="T149" s="92">
        <f t="shared" si="20"/>
        <v>1.7082763938087111E-6</v>
      </c>
      <c r="U149" s="93">
        <f>$C$7*$E$14*$E$8*$H149/$D149^2*$T149*10^6</f>
        <v>3.4165527876174222</v>
      </c>
      <c r="V149" s="93">
        <f>IF($I149=0,0,1+(I149-$F$21)/$F$22)+$J149/$F$23+K149/$F$24+$L149/$F$25</f>
        <v>9.1481481481481488</v>
      </c>
      <c r="W149" s="92">
        <f t="shared" si="21"/>
        <v>7.1097094323124171E-10</v>
      </c>
      <c r="X149" s="93">
        <f>$C$7*$F$14*$F$8*$H149/$D149^2*$W149*10^6</f>
        <v>1.4219418864624834E-3</v>
      </c>
      <c r="Y149" s="93">
        <f>IF($I149=0,0,1+(I149-$G$21)/$G$22)+$J149/$G$23+K149/$G$24+$L149/$G$25</f>
        <v>6.9444444444444446</v>
      </c>
      <c r="Z149" s="92">
        <f t="shared" si="22"/>
        <v>1.136463666385722E-7</v>
      </c>
      <c r="AA149" s="94">
        <f>$C$7*$G$14*$G$8*$H149/$D149^2*$Z149*10^6</f>
        <v>0.22729273327714439</v>
      </c>
      <c r="AB149" s="553">
        <f>SUM(O149,R149,U149,X149,AA149)</f>
        <v>4.1646308965732857</v>
      </c>
      <c r="AC149" s="554"/>
      <c r="AD149" s="555"/>
      <c r="AE149" s="538"/>
      <c r="AF149" s="538"/>
      <c r="AG149" s="538"/>
      <c r="AH149" s="556"/>
      <c r="AI149" s="551"/>
      <c r="AJ149" s="551"/>
      <c r="AK149" s="551"/>
      <c r="AL149" s="538"/>
      <c r="AM149" s="538"/>
      <c r="AN149" s="538"/>
      <c r="AO149" s="538"/>
      <c r="AP149" s="538"/>
      <c r="AQ149" s="538"/>
      <c r="AR149" s="538"/>
      <c r="AS149" s="538"/>
      <c r="AT149" s="538"/>
      <c r="AU149" s="538"/>
      <c r="AV149" s="538"/>
      <c r="AW149" s="538"/>
      <c r="AX149" s="545"/>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69"/>
      <c r="BT149" s="233"/>
      <c r="BU149" s="233"/>
      <c r="BV149" s="222"/>
      <c r="BW149" s="222"/>
      <c r="BX149" s="222"/>
      <c r="BY149" s="211"/>
      <c r="BZ149" s="222"/>
      <c r="CA149" s="222"/>
      <c r="CB149" s="225"/>
      <c r="CC149" s="225"/>
      <c r="CD149" s="225"/>
      <c r="CE149" s="225"/>
      <c r="CF149" s="225"/>
      <c r="CG149" s="300"/>
      <c r="CH149" s="300"/>
      <c r="CI149" s="300"/>
      <c r="CJ149" s="522"/>
      <c r="CK149" s="522"/>
      <c r="CL149" s="522"/>
    </row>
    <row r="150" spans="1:90" s="212" customFormat="1" ht="30" customHeight="1" x14ac:dyDescent="0.25">
      <c r="A150" s="557" t="str">
        <f>Samenvatting!A343</f>
        <v>T2</v>
      </c>
      <c r="B150" s="558" t="str">
        <f>Samenvatting!B343</f>
        <v>terreingrens 2</v>
      </c>
      <c r="C150" s="331" t="s">
        <v>568</v>
      </c>
      <c r="D150" s="1836">
        <v>25</v>
      </c>
      <c r="E150" s="89"/>
      <c r="F150" s="89"/>
      <c r="G150" s="89"/>
      <c r="H150" s="559"/>
      <c r="I150" s="1836">
        <v>250</v>
      </c>
      <c r="J150" s="1836">
        <v>0</v>
      </c>
      <c r="K150" s="1836">
        <v>0</v>
      </c>
      <c r="L150" s="1836">
        <v>0</v>
      </c>
      <c r="M150" s="93">
        <f>$I150/$C$27+$J150/$C$28+K150/$C$29+$L150/$C$30</f>
        <v>7.3529411764705879</v>
      </c>
      <c r="N150" s="92">
        <f t="shared" si="18"/>
        <v>4.4366873309786093E-8</v>
      </c>
      <c r="O150" s="93">
        <f>$C$7*$C$15*$C$8*($C$9+$C$10*$C$11)/$D150^2*$N150*10^6</f>
        <v>4.2592198377394652E-5</v>
      </c>
      <c r="P150" s="93">
        <f>$I150/$D$27+$J150/$D$28+K150/$D$29+$L150/$D$30</f>
        <v>6.5789473684210522</v>
      </c>
      <c r="Q150" s="92">
        <f t="shared" si="19"/>
        <v>2.636650898730358E-7</v>
      </c>
      <c r="R150" s="93">
        <f>$C$7*$C$15*$D$8*($D$9+$D$10*$D$11)/$D150^2*$Q150*10^6</f>
        <v>2.5311848627811444E-4</v>
      </c>
      <c r="S150" s="93">
        <f>$I150/$E$27+$J150/$E$28+K150/$E$29+$L150/$E$30</f>
        <v>5.6818181818181817</v>
      </c>
      <c r="T150" s="92">
        <f t="shared" si="20"/>
        <v>2.0805675382171676E-6</v>
      </c>
      <c r="U150" s="93">
        <f>$C$7*$C$15*$E$8*($E$9+$E$10*$E$11)/$D150^2*$T150*10^6</f>
        <v>1.9973448366884814E-3</v>
      </c>
      <c r="V150" s="93">
        <f>$I150/$F$27+$J150/$F$28+K150/$F$29+$L150/$F$30</f>
        <v>8.1967213114754092</v>
      </c>
      <c r="W150" s="92">
        <f t="shared" si="21"/>
        <v>6.3573875711648393E-9</v>
      </c>
      <c r="X150" s="93">
        <f>$C$7*$C$15*$F$8*($F$9+$F$10*$F$11)/$D150^2*$W150*10^6</f>
        <v>6.1030920683182469E-6</v>
      </c>
      <c r="Y150" s="93">
        <f>$I150/$G$27+$J150/$G$28+K150/$G$29+$L150/$G$30</f>
        <v>7.0224719101123592</v>
      </c>
      <c r="Z150" s="92">
        <f t="shared" si="22"/>
        <v>9.4957241494880226E-8</v>
      </c>
      <c r="AA150" s="94">
        <f>$C$7*$C$15*$G$8*($G$9+$G$10*$G$11)/$D150^2*$Z150*10^6</f>
        <v>9.1158951835085031E-5</v>
      </c>
      <c r="AB150" s="560">
        <f>SUM(O150,R150,U150,X150,AA150)</f>
        <v>2.3903175652473939E-3</v>
      </c>
      <c r="AC150" s="561">
        <f>SUM(AB148:AB153)</f>
        <v>4.1670929152189826</v>
      </c>
      <c r="AD150" s="562">
        <f>AC150*52/10^3</f>
        <v>0.2166888315913871</v>
      </c>
      <c r="AE150" s="538"/>
      <c r="AF150" s="538"/>
      <c r="AG150" s="538"/>
      <c r="AH150" s="556"/>
      <c r="AI150" s="563"/>
      <c r="AJ150" s="551"/>
      <c r="AK150" s="551"/>
      <c r="AL150" s="538"/>
      <c r="AM150" s="538"/>
      <c r="AN150" s="538"/>
      <c r="AO150" s="538"/>
      <c r="AP150" s="538"/>
      <c r="AQ150" s="538"/>
      <c r="AR150" s="538"/>
      <c r="AS150" s="538"/>
      <c r="AT150" s="538"/>
      <c r="AU150" s="538"/>
      <c r="AV150" s="538"/>
      <c r="AW150" s="538"/>
      <c r="AX150" s="545"/>
      <c r="AY150" s="545"/>
      <c r="AZ150" s="545"/>
      <c r="BA150" s="545"/>
      <c r="BB150" s="328"/>
      <c r="BC150" s="328"/>
      <c r="BD150" s="328"/>
      <c r="BE150" s="328"/>
      <c r="BF150" s="328"/>
      <c r="BG150" s="328"/>
      <c r="BH150" s="328"/>
      <c r="BI150" s="328"/>
      <c r="BJ150" s="328"/>
      <c r="BK150" s="328"/>
      <c r="BL150" s="328"/>
      <c r="BM150" s="328"/>
      <c r="BN150" s="328"/>
      <c r="BO150" s="328"/>
      <c r="BP150" s="328"/>
      <c r="BQ150" s="328"/>
      <c r="BR150" s="328"/>
      <c r="BS150" s="369"/>
      <c r="BT150" s="233"/>
      <c r="BU150" s="233"/>
      <c r="BV150" s="222"/>
      <c r="BW150" s="222"/>
      <c r="BX150" s="222"/>
      <c r="BY150" s="211"/>
      <c r="BZ150" s="222"/>
      <c r="CA150" s="222"/>
      <c r="CB150" s="225"/>
      <c r="CC150" s="225"/>
      <c r="CD150" s="225"/>
      <c r="CE150" s="225"/>
      <c r="CF150" s="225"/>
      <c r="CG150" s="300"/>
      <c r="CH150" s="300"/>
      <c r="CI150" s="300"/>
      <c r="CJ150" s="522"/>
      <c r="CK150" s="522"/>
      <c r="CL150" s="522"/>
    </row>
    <row r="151" spans="1:90" s="212" customFormat="1" ht="30" customHeight="1" x14ac:dyDescent="0.25">
      <c r="A151" s="557"/>
      <c r="B151" s="558"/>
      <c r="C151" s="331" t="s">
        <v>26</v>
      </c>
      <c r="D151" s="564"/>
      <c r="E151" s="89">
        <f>E146</f>
        <v>11</v>
      </c>
      <c r="F151" s="89">
        <f>D150</f>
        <v>25</v>
      </c>
      <c r="G151" s="1836">
        <v>15</v>
      </c>
      <c r="H151" s="1836">
        <v>0.25</v>
      </c>
      <c r="I151" s="1836">
        <v>210</v>
      </c>
      <c r="J151" s="1836">
        <v>0</v>
      </c>
      <c r="K151" s="1836">
        <v>0</v>
      </c>
      <c r="L151" s="1836">
        <v>0</v>
      </c>
      <c r="M151" s="93">
        <f>IF($I151=0,0,1+(I151-$C$21)/$C$22)+$J151/$C$23+K151/$C$24+$L151/$C$25</f>
        <v>6.2424242424242422</v>
      </c>
      <c r="N151" s="92">
        <f t="shared" si="18"/>
        <v>5.722367659350211E-7</v>
      </c>
      <c r="O151" s="95">
        <f>2.5*0.01*$C$7*$C$14*$C$8*$H151*(2*PI()*(1-COS($G151/180*PI())))^1.3/$E151^2/$F151^2*N151*10^6</f>
        <v>5.101138747051231E-8</v>
      </c>
      <c r="P151" s="91">
        <f>IF($I151=0,0,1+($I151-$D$21)/$D$22)+$J151/$D$23+$K151/$D$24+$L151/$D$25</f>
        <v>5.5675675675675675</v>
      </c>
      <c r="Q151" s="92">
        <f t="shared" si="19"/>
        <v>2.7066520700332395E-6</v>
      </c>
      <c r="R151" s="95">
        <f>2.5*0.01*$C$7*$D$14*$D$8*$H151*(2*PI()*(1-COS($G151/180*PI())))^1.3/$E151^2/$F151^2*Q151*10^6</f>
        <v>2.4128138160910826E-7</v>
      </c>
      <c r="S151" s="93">
        <f>IF($I151=0,0,1+(I151-$E$21)/$E$22)+$J151/$E$23+K151/$E$24+$L151/$E$25</f>
        <v>4.8372093023255811</v>
      </c>
      <c r="T151" s="92">
        <f t="shared" si="20"/>
        <v>1.4547578108480478E-5</v>
      </c>
      <c r="U151" s="95">
        <f>2.5*0.01*$C$7*$E$14*$E$8*$H151*(2*PI()*(1-COS($G151/180*PI())))^1.3/$E151^2/$F151^2*T151*10^6</f>
        <v>1.2968270964496306E-6</v>
      </c>
      <c r="V151" s="93">
        <f>IF($I151=0,0,1+(I151-$F$21)/$F$22)+$J151/$F$23+K151/$F$24+$L151/$F$25</f>
        <v>7.666666666666667</v>
      </c>
      <c r="W151" s="92">
        <f t="shared" si="21"/>
        <v>2.1544346900318783E-8</v>
      </c>
      <c r="X151" s="95">
        <f>2.5*0.01*$C$7*$F$14*$F$8*$H151*(2*PI()*(1-COS($G151/180*PI())))^1.3/$E151^2/$F151^2*W151*10^6</f>
        <v>1.920545992418962E-9</v>
      </c>
      <c r="Y151" s="93">
        <f>IF($I151=0,0,1+(I151-$G$21)/$G$22)+$J151/$G$23+K151/$G$24+$L151/$G$25</f>
        <v>5.833333333333333</v>
      </c>
      <c r="Z151" s="92">
        <f t="shared" si="22"/>
        <v>1.4677992676220696E-6</v>
      </c>
      <c r="AA151" s="96">
        <f>2.5*0.01*$C$7*$G$14*$G$8*$H151*(2*PI()*(1-COS($G151/180*PI())))^1.3/$E151^2/$F151^2*Z151*10^6</f>
        <v>1.3084527528960935E-7</v>
      </c>
      <c r="AB151" s="560">
        <f>SUM(O151,R151,U151,X151,AA151)</f>
        <v>1.7218856868112794E-6</v>
      </c>
      <c r="AC151" s="565"/>
      <c r="AD151" s="566"/>
      <c r="AE151" s="538"/>
      <c r="AF151" s="538"/>
      <c r="AG151" s="567"/>
      <c r="AH151" s="538"/>
      <c r="AI151" s="563"/>
      <c r="AJ151" s="545"/>
      <c r="AK151" s="545"/>
      <c r="AL151" s="538"/>
      <c r="AM151" s="538"/>
      <c r="AN151" s="538"/>
      <c r="AO151" s="538"/>
      <c r="AP151" s="538"/>
      <c r="AQ151" s="538"/>
      <c r="AR151" s="538"/>
      <c r="AS151" s="538"/>
      <c r="AT151" s="538"/>
      <c r="AU151" s="538"/>
      <c r="AV151" s="538"/>
      <c r="AW151" s="538"/>
      <c r="AX151" s="545"/>
      <c r="AY151" s="545"/>
      <c r="AZ151" s="545"/>
      <c r="BA151" s="545"/>
      <c r="BB151" s="328"/>
      <c r="BC151" s="328"/>
      <c r="BD151" s="328"/>
      <c r="BE151" s="328"/>
      <c r="BF151" s="328"/>
      <c r="BG151" s="328"/>
      <c r="BH151" s="328"/>
      <c r="BI151" s="328"/>
      <c r="BJ151" s="328"/>
      <c r="BK151" s="328"/>
      <c r="BL151" s="328"/>
      <c r="BM151" s="328"/>
      <c r="BN151" s="328"/>
      <c r="BO151" s="328"/>
      <c r="BP151" s="328"/>
      <c r="BQ151" s="328"/>
      <c r="BR151" s="328"/>
      <c r="BS151" s="369"/>
      <c r="BT151" s="233"/>
      <c r="BU151" s="233"/>
      <c r="BV151" s="222"/>
      <c r="BW151" s="222"/>
      <c r="BX151" s="222"/>
      <c r="BY151" s="211"/>
      <c r="BZ151" s="222"/>
      <c r="CA151" s="222"/>
      <c r="CB151" s="225"/>
      <c r="CC151" s="225"/>
      <c r="CD151" s="225"/>
      <c r="CE151" s="225"/>
      <c r="CF151" s="225"/>
      <c r="CG151" s="300"/>
      <c r="CH151" s="300"/>
      <c r="CI151" s="300"/>
      <c r="CJ151" s="522"/>
      <c r="CK151" s="522"/>
      <c r="CL151" s="522"/>
    </row>
    <row r="152" spans="1:90" s="538" customFormat="1" ht="30" customHeight="1" thickBot="1" x14ac:dyDescent="0.3">
      <c r="A152" s="557"/>
      <c r="B152" s="558"/>
      <c r="C152" s="331" t="s">
        <v>27</v>
      </c>
      <c r="D152" s="89"/>
      <c r="E152" s="89">
        <f>E147</f>
        <v>10</v>
      </c>
      <c r="F152" s="89"/>
      <c r="G152" s="1836">
        <v>60</v>
      </c>
      <c r="H152" s="568"/>
      <c r="I152" s="1836">
        <v>190</v>
      </c>
      <c r="J152" s="1836">
        <v>0</v>
      </c>
      <c r="K152" s="1836">
        <v>0</v>
      </c>
      <c r="L152" s="1836">
        <v>0</v>
      </c>
      <c r="M152" s="93">
        <f>$I152/$C$27+$J152/$C$28+K152/$C$29+$L152/$C$30</f>
        <v>5.5882352941176467</v>
      </c>
      <c r="N152" s="92">
        <f t="shared" si="18"/>
        <v>2.580861540418073E-6</v>
      </c>
      <c r="O152" s="95">
        <f>2.5*0.01*$C$7*$C$15*$C$8*($C$9+$C$10*$C$11)*(2*PI()*(1-COS($G152/180*PI())))^1.3/E$147^2/$F151^2*N152*10^6</f>
        <v>2.7432840731901286E-6</v>
      </c>
      <c r="P152" s="93">
        <f>$I152/$D$27+$J152/$D$28+K152/$D$29+$L152/$D$30</f>
        <v>5</v>
      </c>
      <c r="Q152" s="92">
        <f t="shared" si="19"/>
        <v>1.0000000000000001E-5</v>
      </c>
      <c r="R152" s="95">
        <f>2.5*0.01*$C$7*$C$15*$D$8*($D$9+$D$10*$D$11)*(2*PI()*(1-COS($G152/180*PI())))^1.3/$E152^2/$F151^2*Q152*10^6</f>
        <v>1.0629334546733355E-5</v>
      </c>
      <c r="S152" s="93">
        <f>$I152/$E$27+$J152/$E$28+K152/$E$29+$L152/$E$30</f>
        <v>4.3181818181818183</v>
      </c>
      <c r="T152" s="92">
        <f t="shared" si="20"/>
        <v>4.8063808630643867E-5</v>
      </c>
      <c r="U152" s="95">
        <f>2.5*0.01*$C$7*$C$15*$E$8*($E$9+$E$10*$E$11)*(2*PI()*(1-COS($G152/180*PI())))^1.3/$E152^2/$F151^2*T152*10^6</f>
        <v>5.1088630152528366E-5</v>
      </c>
      <c r="V152" s="93">
        <f>$I152/$F$27+$J152/$F$28+K152/$F$29+$L152/$F$30</f>
        <v>6.2295081967213113</v>
      </c>
      <c r="W152" s="92">
        <f t="shared" si="21"/>
        <v>5.8951085074002664E-7</v>
      </c>
      <c r="X152" s="95">
        <f>2.5*0.01*$C$7*$C$15*$F$8*($F$9+$F$10*$F$11)*(2*PI()*(1-COS($G152/180*PI())))^1.3/$E152^2/$F151^2*W152*10^6</f>
        <v>6.2661080514451354E-7</v>
      </c>
      <c r="Y152" s="93">
        <f>$I152/$G$27+$J152/$G$28+K152/$G$29+$L152/$G$30</f>
        <v>5.3370786516853927</v>
      </c>
      <c r="Z152" s="92">
        <f t="shared" si="22"/>
        <v>4.6017322765137984E-6</v>
      </c>
      <c r="AA152" s="96">
        <f>2.5*0.01*$C$7*$C$15*$G$8*($G$9+$G$10*$G$11)*(2*PI()*(1-COS($G152/180*PI())))^1.3/$E152^2/$F151^2*Z152*10^6</f>
        <v>4.891335186156605E-6</v>
      </c>
      <c r="AB152" s="569">
        <f>SUM(O152,R152,U152,X152,AA152)</f>
        <v>6.9979194763752965E-5</v>
      </c>
      <c r="AC152" s="570"/>
      <c r="AD152" s="571"/>
      <c r="AH152" s="572"/>
      <c r="AI152" s="573"/>
      <c r="AJ152" s="563"/>
      <c r="AK152" s="551"/>
      <c r="AX152" s="545"/>
      <c r="AY152" s="545"/>
      <c r="AZ152" s="545"/>
      <c r="BA152" s="545"/>
      <c r="BB152" s="545"/>
      <c r="BC152" s="545"/>
      <c r="BD152" s="545"/>
      <c r="BE152" s="545"/>
      <c r="BF152" s="545"/>
      <c r="BG152" s="545"/>
      <c r="BH152" s="545"/>
      <c r="BI152" s="545"/>
      <c r="BJ152" s="545"/>
      <c r="BK152" s="545"/>
      <c r="BL152" s="545"/>
      <c r="BM152" s="545"/>
      <c r="BN152" s="545"/>
      <c r="BO152" s="545"/>
      <c r="BP152" s="545"/>
      <c r="BQ152" s="545"/>
      <c r="BR152" s="545"/>
      <c r="BS152" s="545"/>
      <c r="BT152" s="545"/>
      <c r="BU152" s="545"/>
      <c r="BV152" s="545"/>
      <c r="BW152" s="545"/>
      <c r="BX152" s="545"/>
      <c r="BY152" s="545"/>
      <c r="BZ152" s="545"/>
    </row>
    <row r="153" spans="1:90" s="212" customFormat="1" ht="30" hidden="1" customHeight="1" thickBot="1" x14ac:dyDescent="0.3">
      <c r="A153" s="574"/>
      <c r="B153" s="575"/>
      <c r="C153" s="576"/>
      <c r="D153" s="89"/>
      <c r="E153" s="89"/>
      <c r="F153" s="89"/>
      <c r="G153" s="89"/>
      <c r="H153" s="1837"/>
      <c r="I153" s="1837"/>
      <c r="J153" s="1837"/>
      <c r="K153" s="1837"/>
      <c r="L153" s="1837"/>
      <c r="M153" s="91"/>
      <c r="N153" s="97"/>
      <c r="O153" s="98"/>
      <c r="P153" s="91"/>
      <c r="Q153" s="97"/>
      <c r="R153" s="98"/>
      <c r="S153" s="91"/>
      <c r="T153" s="97"/>
      <c r="U153" s="98"/>
      <c r="V153" s="91"/>
      <c r="W153" s="97"/>
      <c r="X153" s="98"/>
      <c r="Y153" s="91"/>
      <c r="Z153" s="97"/>
      <c r="AA153" s="99"/>
      <c r="AB153" s="577"/>
      <c r="AC153" s="578"/>
      <c r="AD153" s="579"/>
      <c r="AH153" s="580"/>
      <c r="AI153" s="581"/>
      <c r="AJ153" s="282"/>
      <c r="AK153" s="300"/>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row>
    <row r="154" spans="1:90" s="212" customFormat="1" ht="30" customHeight="1" x14ac:dyDescent="0.25">
      <c r="A154" s="552"/>
      <c r="B154" s="322"/>
      <c r="C154" s="323" t="s">
        <v>569</v>
      </c>
      <c r="D154" s="1836">
        <v>1</v>
      </c>
      <c r="E154" s="89"/>
      <c r="F154" s="89"/>
      <c r="G154" s="89"/>
      <c r="H154" s="1836">
        <v>0.25</v>
      </c>
      <c r="I154" s="1836">
        <v>250</v>
      </c>
      <c r="J154" s="1836">
        <v>0</v>
      </c>
      <c r="K154" s="1836">
        <v>0</v>
      </c>
      <c r="L154" s="1836">
        <v>0</v>
      </c>
      <c r="M154" s="91">
        <f>IF($I154=0,0,1+($I154-$C$21)/$C$22)+$J154/$C$23+$K154/$C$24+$L154/$C$25</f>
        <v>7.4545454545454541</v>
      </c>
      <c r="N154" s="92">
        <f t="shared" si="18"/>
        <v>3.5111917342151263E-8</v>
      </c>
      <c r="O154" s="93">
        <f>$C$7*$C$14*$C$8*$H154/$D154^2*N154*10^6</f>
        <v>7.022383468430253E-2</v>
      </c>
      <c r="P154" s="91">
        <f>IF($I154=0,0,1+($I154-$D$21)/$D$22)+$J154/$D$23+$K154/$D$24+$L154/$D$25</f>
        <v>6.6486486486486482</v>
      </c>
      <c r="Q154" s="92">
        <f t="shared" si="19"/>
        <v>2.2456979955397711E-7</v>
      </c>
      <c r="R154" s="93">
        <f>$C$7*$D$14*$D$8*$H154/$D154^2*$Q154*10^6</f>
        <v>0.4491395991079542</v>
      </c>
      <c r="S154" s="93">
        <f>IF($I154=0,0,1+(I154-$E$21)/$E$22)+$J154/$E$23+K154/$E$24+$L154/$E$25</f>
        <v>5.7674418604651159</v>
      </c>
      <c r="T154" s="92">
        <f t="shared" si="20"/>
        <v>1.7082763938087111E-6</v>
      </c>
      <c r="U154" s="93">
        <f>$C$7*$E$14*$E$8*$H154/$D154^2*$T154*10^6</f>
        <v>3.4165527876174222</v>
      </c>
      <c r="V154" s="93">
        <f>IF($I154=0,0,1+(I154-$F$21)/$F$22)+$J154/$F$23+K154/$F$24+$L154/$F$25</f>
        <v>9.1481481481481488</v>
      </c>
      <c r="W154" s="92">
        <f t="shared" si="21"/>
        <v>7.1097094323124171E-10</v>
      </c>
      <c r="X154" s="93">
        <f>$C$7*$F$14*$F$8*$H154/$D154^2*$W154*10^6</f>
        <v>1.4219418864624834E-3</v>
      </c>
      <c r="Y154" s="93">
        <f>IF($I154=0,0,1+(I154-$G$21)/$G$22)+$J154/$G$23+K154/$G$24+$L154/$G$25</f>
        <v>6.9444444444444446</v>
      </c>
      <c r="Z154" s="92">
        <f t="shared" si="22"/>
        <v>1.136463666385722E-7</v>
      </c>
      <c r="AA154" s="94">
        <f>$C$7*$G$14*$G$8*$H154/$D154^2*$Z154*10^6</f>
        <v>0.22729273327714439</v>
      </c>
      <c r="AB154" s="553">
        <f>SUM(O154,R154,U154,X154,AA154)</f>
        <v>4.1646308965732857</v>
      </c>
      <c r="AC154" s="554"/>
      <c r="AD154" s="555"/>
      <c r="AE154" s="538"/>
      <c r="AF154" s="538"/>
      <c r="AG154" s="538"/>
      <c r="AH154" s="556"/>
      <c r="AI154" s="551"/>
      <c r="AJ154" s="551"/>
      <c r="AK154" s="551"/>
      <c r="AL154" s="538"/>
      <c r="AM154" s="538"/>
      <c r="AN154" s="538"/>
      <c r="AO154" s="538"/>
      <c r="AP154" s="538"/>
      <c r="AQ154" s="538"/>
      <c r="AR154" s="538"/>
      <c r="AS154" s="538"/>
      <c r="AT154" s="538"/>
      <c r="AU154" s="538"/>
      <c r="AV154" s="538"/>
      <c r="AW154" s="538"/>
      <c r="AX154" s="545"/>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69"/>
      <c r="BT154" s="233"/>
      <c r="BU154" s="233"/>
      <c r="BV154" s="222"/>
      <c r="BW154" s="222"/>
      <c r="BX154" s="222"/>
      <c r="BY154" s="211"/>
      <c r="BZ154" s="222"/>
      <c r="CA154" s="222"/>
      <c r="CB154" s="225"/>
      <c r="CC154" s="225"/>
      <c r="CD154" s="225"/>
      <c r="CE154" s="225"/>
      <c r="CF154" s="225"/>
      <c r="CG154" s="300"/>
      <c r="CH154" s="300"/>
      <c r="CI154" s="300"/>
      <c r="CJ154" s="522"/>
      <c r="CK154" s="522"/>
      <c r="CL154" s="522"/>
    </row>
    <row r="155" spans="1:90" s="212" customFormat="1" ht="30" customHeight="1" x14ac:dyDescent="0.25">
      <c r="A155" s="557" t="str">
        <f>Samenvatting!A354</f>
        <v>T3</v>
      </c>
      <c r="B155" s="558" t="str">
        <f>Samenvatting!B354</f>
        <v>terreingrens 3</v>
      </c>
      <c r="C155" s="331" t="s">
        <v>568</v>
      </c>
      <c r="D155" s="1836">
        <v>25</v>
      </c>
      <c r="E155" s="89"/>
      <c r="F155" s="89"/>
      <c r="G155" s="89"/>
      <c r="H155" s="559"/>
      <c r="I155" s="1836">
        <v>250</v>
      </c>
      <c r="J155" s="1836">
        <v>0</v>
      </c>
      <c r="K155" s="1836">
        <v>0</v>
      </c>
      <c r="L155" s="1836">
        <v>0</v>
      </c>
      <c r="M155" s="93">
        <f>$I155/$C$27+$J155/$C$28+K155/$C$29+$L155/$C$30</f>
        <v>7.3529411764705879</v>
      </c>
      <c r="N155" s="92">
        <f t="shared" si="18"/>
        <v>4.4366873309786093E-8</v>
      </c>
      <c r="O155" s="93">
        <f>$C$7*$C$15*$C$8*($C$9+$C$10*$C$11)/$D155^2*$N155*10^6</f>
        <v>4.2592198377394652E-5</v>
      </c>
      <c r="P155" s="93">
        <f>$I155/$D$27+$J155/$D$28+K155/$D$29+$L155/$D$30</f>
        <v>6.5789473684210522</v>
      </c>
      <c r="Q155" s="92">
        <f t="shared" si="19"/>
        <v>2.636650898730358E-7</v>
      </c>
      <c r="R155" s="93">
        <f>$C$7*$C$15*$D$8*($D$9+$D$10*$D$11)/$D155^2*$Q155*10^6</f>
        <v>2.5311848627811444E-4</v>
      </c>
      <c r="S155" s="93">
        <f>$I155/$E$27+$J155/$E$28+K155/$E$29+$L155/$E$30</f>
        <v>5.6818181818181817</v>
      </c>
      <c r="T155" s="92">
        <f t="shared" si="20"/>
        <v>2.0805675382171676E-6</v>
      </c>
      <c r="U155" s="93">
        <f>$C$7*$C$15*$E$8*($E$9+$E$10*$E$11)/$D155^2*$T155*10^6</f>
        <v>1.9973448366884814E-3</v>
      </c>
      <c r="V155" s="93">
        <f>$I155/$F$27+$J155/$F$28+K155/$F$29+$L155/$F$30</f>
        <v>8.1967213114754092</v>
      </c>
      <c r="W155" s="92">
        <f t="shared" si="21"/>
        <v>6.3573875711648393E-9</v>
      </c>
      <c r="X155" s="93">
        <f>$C$7*$C$15*$F$8*($F$9+$F$10*$F$11)/$D155^2*$W155*10^6</f>
        <v>6.1030920683182469E-6</v>
      </c>
      <c r="Y155" s="93">
        <f>$I155/$G$27+$J155/$G$28+K155/$G$29+$L155/$G$30</f>
        <v>7.0224719101123592</v>
      </c>
      <c r="Z155" s="92">
        <f t="shared" si="22"/>
        <v>9.4957241494880226E-8</v>
      </c>
      <c r="AA155" s="94">
        <f>$C$7*$C$15*$G$8*($G$9+$G$10*$G$11)/$D155^2*$Z155*10^6</f>
        <v>9.1158951835085031E-5</v>
      </c>
      <c r="AB155" s="560">
        <f>SUM(O155,R155,U155,X155,AA155)</f>
        <v>2.3903175652473939E-3</v>
      </c>
      <c r="AC155" s="561">
        <f>SUM(AB153:AB158)</f>
        <v>4.1670929152189826</v>
      </c>
      <c r="AD155" s="562">
        <f>AC155*52/10^3</f>
        <v>0.2166888315913871</v>
      </c>
      <c r="AE155" s="538"/>
      <c r="AF155" s="538"/>
      <c r="AG155" s="538"/>
      <c r="AH155" s="556"/>
      <c r="AI155" s="563"/>
      <c r="AJ155" s="551"/>
      <c r="AK155" s="551"/>
      <c r="AL155" s="538"/>
      <c r="AM155" s="538"/>
      <c r="AN155" s="538"/>
      <c r="AO155" s="538"/>
      <c r="AP155" s="538"/>
      <c r="AQ155" s="538"/>
      <c r="AR155" s="538"/>
      <c r="AS155" s="538"/>
      <c r="AT155" s="538"/>
      <c r="AU155" s="538"/>
      <c r="AV155" s="538"/>
      <c r="AW155" s="538"/>
      <c r="AX155" s="545"/>
      <c r="AY155" s="545"/>
      <c r="AZ155" s="545"/>
      <c r="BA155" s="545"/>
      <c r="BB155" s="328"/>
      <c r="BC155" s="328"/>
      <c r="BD155" s="328"/>
      <c r="BE155" s="328"/>
      <c r="BF155" s="328"/>
      <c r="BG155" s="328"/>
      <c r="BH155" s="328"/>
      <c r="BI155" s="328"/>
      <c r="BJ155" s="328"/>
      <c r="BK155" s="328"/>
      <c r="BL155" s="328"/>
      <c r="BM155" s="328"/>
      <c r="BN155" s="328"/>
      <c r="BO155" s="328"/>
      <c r="BP155" s="328"/>
      <c r="BQ155" s="328"/>
      <c r="BR155" s="328"/>
      <c r="BS155" s="369"/>
      <c r="BT155" s="233"/>
      <c r="BU155" s="233"/>
      <c r="BV155" s="222"/>
      <c r="BW155" s="222"/>
      <c r="BX155" s="222"/>
      <c r="BY155" s="211"/>
      <c r="BZ155" s="222"/>
      <c r="CA155" s="222"/>
      <c r="CB155" s="225"/>
      <c r="CC155" s="225"/>
      <c r="CD155" s="225"/>
      <c r="CE155" s="225"/>
      <c r="CF155" s="225"/>
      <c r="CG155" s="300"/>
      <c r="CH155" s="300"/>
      <c r="CI155" s="300"/>
      <c r="CJ155" s="522"/>
      <c r="CK155" s="522"/>
      <c r="CL155" s="522"/>
    </row>
    <row r="156" spans="1:90" s="212" customFormat="1" ht="30" customHeight="1" x14ac:dyDescent="0.25">
      <c r="A156" s="557"/>
      <c r="B156" s="558"/>
      <c r="C156" s="331" t="s">
        <v>26</v>
      </c>
      <c r="D156" s="564"/>
      <c r="E156" s="89">
        <f>E146</f>
        <v>11</v>
      </c>
      <c r="F156" s="89">
        <f>D155</f>
        <v>25</v>
      </c>
      <c r="G156" s="1836">
        <v>15</v>
      </c>
      <c r="H156" s="1836">
        <v>0.25</v>
      </c>
      <c r="I156" s="1836">
        <v>210</v>
      </c>
      <c r="J156" s="1836">
        <v>0</v>
      </c>
      <c r="K156" s="1836">
        <v>0</v>
      </c>
      <c r="L156" s="1836">
        <v>0</v>
      </c>
      <c r="M156" s="93">
        <f>IF($I156=0,0,1+(I156-$C$21)/$C$22)+$J156/$C$23+K156/$C$24+$L156/$C$25</f>
        <v>6.2424242424242422</v>
      </c>
      <c r="N156" s="92">
        <f t="shared" si="18"/>
        <v>5.722367659350211E-7</v>
      </c>
      <c r="O156" s="95">
        <f>2.5*0.01*$C$7*$C$14*$C$8*$H156*(2*PI()*(1-COS($G156/180*PI())))^1.3/$E156^2/$F156^2*N156*10^6</f>
        <v>5.101138747051231E-8</v>
      </c>
      <c r="P156" s="91">
        <f>IF($I156=0,0,1+($I156-$D$21)/$D$22)+$J156/$D$23+$K156/$D$24+$L156/$D$25</f>
        <v>5.5675675675675675</v>
      </c>
      <c r="Q156" s="92">
        <f t="shared" si="19"/>
        <v>2.7066520700332395E-6</v>
      </c>
      <c r="R156" s="95">
        <f>2.5*0.01*$C$7*$D$14*$D$8*$H156*(2*PI()*(1-COS($G156/180*PI())))^1.3/$E156^2/$F156^2*Q156*10^6</f>
        <v>2.4128138160910826E-7</v>
      </c>
      <c r="S156" s="93">
        <f>IF($I156=0,0,1+(I156-$E$21)/$E$22)+$J156/$E$23+K156/$E$24+$L156/$E$25</f>
        <v>4.8372093023255811</v>
      </c>
      <c r="T156" s="92">
        <f t="shared" si="20"/>
        <v>1.4547578108480478E-5</v>
      </c>
      <c r="U156" s="95">
        <f>2.5*0.01*$C$7*$E$14*$E$8*$H156*(2*PI()*(1-COS($G156/180*PI())))^1.3/$E156^2/$F156^2*T156*10^6</f>
        <v>1.2968270964496306E-6</v>
      </c>
      <c r="V156" s="93">
        <f>IF($I156=0,0,1+(I156-$F$21)/$F$22)+$J156/$F$23+K156/$F$24+$L156/$F$25</f>
        <v>7.666666666666667</v>
      </c>
      <c r="W156" s="92">
        <f t="shared" si="21"/>
        <v>2.1544346900318783E-8</v>
      </c>
      <c r="X156" s="95">
        <f>2.5*0.01*$C$7*$F$14*$F$8*$H156*(2*PI()*(1-COS($G156/180*PI())))^1.3/$E156^2/$F156^2*W156*10^6</f>
        <v>1.920545992418962E-9</v>
      </c>
      <c r="Y156" s="93">
        <f>IF($I156=0,0,1+(I156-$G$21)/$G$22)+$J156/$G$23+K156/$G$24+$L156/$G$25</f>
        <v>5.833333333333333</v>
      </c>
      <c r="Z156" s="92">
        <f t="shared" si="22"/>
        <v>1.4677992676220696E-6</v>
      </c>
      <c r="AA156" s="96">
        <f>2.5*0.01*$C$7*$G$14*$G$8*$H156*(2*PI()*(1-COS($G156/180*PI())))^1.3/$E156^2/$F156^2*Z156*10^6</f>
        <v>1.3084527528960935E-7</v>
      </c>
      <c r="AB156" s="560">
        <f>SUM(O156,R156,U156,X156,AA156)</f>
        <v>1.7218856868112794E-6</v>
      </c>
      <c r="AC156" s="565"/>
      <c r="AD156" s="566"/>
      <c r="AE156" s="538"/>
      <c r="AF156" s="538"/>
      <c r="AG156" s="567"/>
      <c r="AH156" s="538"/>
      <c r="AI156" s="563"/>
      <c r="AJ156" s="545"/>
      <c r="AK156" s="545"/>
      <c r="AL156" s="538"/>
      <c r="AM156" s="538"/>
      <c r="AN156" s="538"/>
      <c r="AO156" s="538"/>
      <c r="AP156" s="538"/>
      <c r="AQ156" s="538"/>
      <c r="AR156" s="538"/>
      <c r="AS156" s="538"/>
      <c r="AT156" s="538"/>
      <c r="AU156" s="538"/>
      <c r="AV156" s="538"/>
      <c r="AW156" s="538"/>
      <c r="AX156" s="545"/>
      <c r="AY156" s="545"/>
      <c r="AZ156" s="545"/>
      <c r="BA156" s="545"/>
      <c r="BB156" s="328"/>
      <c r="BC156" s="328"/>
      <c r="BD156" s="328"/>
      <c r="BE156" s="328"/>
      <c r="BF156" s="328"/>
      <c r="BG156" s="328"/>
      <c r="BH156" s="328"/>
      <c r="BI156" s="328"/>
      <c r="BJ156" s="328"/>
      <c r="BK156" s="328"/>
      <c r="BL156" s="328"/>
      <c r="BM156" s="328"/>
      <c r="BN156" s="328"/>
      <c r="BO156" s="328"/>
      <c r="BP156" s="328"/>
      <c r="BQ156" s="328"/>
      <c r="BR156" s="328"/>
      <c r="BS156" s="369"/>
      <c r="BT156" s="233"/>
      <c r="BU156" s="233"/>
      <c r="BV156" s="222"/>
      <c r="BW156" s="222"/>
      <c r="BX156" s="222"/>
      <c r="BY156" s="211"/>
      <c r="BZ156" s="222"/>
      <c r="CA156" s="222"/>
      <c r="CB156" s="225"/>
      <c r="CC156" s="225"/>
      <c r="CD156" s="225"/>
      <c r="CE156" s="225"/>
      <c r="CF156" s="225"/>
      <c r="CG156" s="300"/>
      <c r="CH156" s="300"/>
      <c r="CI156" s="300"/>
      <c r="CJ156" s="522"/>
      <c r="CK156" s="522"/>
      <c r="CL156" s="522"/>
    </row>
    <row r="157" spans="1:90" s="538" customFormat="1" ht="30" customHeight="1" thickBot="1" x14ac:dyDescent="0.3">
      <c r="A157" s="557"/>
      <c r="B157" s="558"/>
      <c r="C157" s="331" t="s">
        <v>27</v>
      </c>
      <c r="D157" s="89"/>
      <c r="E157" s="89">
        <f>E147</f>
        <v>10</v>
      </c>
      <c r="F157" s="89"/>
      <c r="G157" s="1836">
        <v>60</v>
      </c>
      <c r="H157" s="568"/>
      <c r="I157" s="1836">
        <v>190</v>
      </c>
      <c r="J157" s="1836">
        <v>0</v>
      </c>
      <c r="K157" s="1836">
        <v>0</v>
      </c>
      <c r="L157" s="1836">
        <v>0</v>
      </c>
      <c r="M157" s="93">
        <f>$I157/$C$27+$J157/$C$28+K157/$C$29+$L157/$C$30</f>
        <v>5.5882352941176467</v>
      </c>
      <c r="N157" s="92">
        <f t="shared" si="18"/>
        <v>2.580861540418073E-6</v>
      </c>
      <c r="O157" s="95">
        <f>2.5*0.01*$C$7*$C$15*$C$8*($C$9+$C$10*$C$11)*(2*PI()*(1-COS($G157/180*PI())))^1.3/E$147^2/$F156^2*N157*10^6</f>
        <v>2.7432840731901286E-6</v>
      </c>
      <c r="P157" s="93">
        <f>$I157/$D$27+$J157/$D$28+K157/$D$29+$L157/$D$30</f>
        <v>5</v>
      </c>
      <c r="Q157" s="92">
        <f t="shared" si="19"/>
        <v>1.0000000000000001E-5</v>
      </c>
      <c r="R157" s="95">
        <f>2.5*0.01*$C$7*$C$15*$D$8*($D$9+$D$10*$D$11)*(2*PI()*(1-COS($G157/180*PI())))^1.3/$E157^2/$F156^2*Q157*10^6</f>
        <v>1.0629334546733355E-5</v>
      </c>
      <c r="S157" s="93">
        <f>$I157/$E$27+$J157/$E$28+K157/$E$29+$L157/$E$30</f>
        <v>4.3181818181818183</v>
      </c>
      <c r="T157" s="92">
        <f t="shared" si="20"/>
        <v>4.8063808630643867E-5</v>
      </c>
      <c r="U157" s="95">
        <f>2.5*0.01*$C$7*$C$15*$E$8*($E$9+$E$10*$E$11)*(2*PI()*(1-COS($G157/180*PI())))^1.3/$E157^2/$F156^2*T157*10^6</f>
        <v>5.1088630152528366E-5</v>
      </c>
      <c r="V157" s="93">
        <f>$I157/$F$27+$J157/$F$28+K157/$F$29+$L157/$F$30</f>
        <v>6.2295081967213113</v>
      </c>
      <c r="W157" s="92">
        <f t="shared" si="21"/>
        <v>5.8951085074002664E-7</v>
      </c>
      <c r="X157" s="95">
        <f>2.5*0.01*$C$7*$C$15*$F$8*($F$9+$F$10*$F$11)*(2*PI()*(1-COS($G157/180*PI())))^1.3/$E157^2/$F156^2*W157*10^6</f>
        <v>6.2661080514451354E-7</v>
      </c>
      <c r="Y157" s="93">
        <f>$I157/$G$27+$J157/$G$28+K157/$G$29+$L157/$G$30</f>
        <v>5.3370786516853927</v>
      </c>
      <c r="Z157" s="92">
        <f t="shared" si="22"/>
        <v>4.6017322765137984E-6</v>
      </c>
      <c r="AA157" s="96">
        <f>2.5*0.01*$C$7*$C$15*$G$8*($G$9+$G$10*$G$11)*(2*PI()*(1-COS($G157/180*PI())))^1.3/$E157^2/$F156^2*Z157*10^6</f>
        <v>4.891335186156605E-6</v>
      </c>
      <c r="AB157" s="569">
        <f>SUM(O157,R157,U157,X157,AA157)</f>
        <v>6.9979194763752965E-5</v>
      </c>
      <c r="AC157" s="570"/>
      <c r="AD157" s="571"/>
      <c r="AH157" s="572"/>
      <c r="AI157" s="573"/>
      <c r="AJ157" s="563"/>
      <c r="AK157" s="551"/>
      <c r="AX157" s="545"/>
      <c r="AY157" s="545"/>
      <c r="AZ157" s="545"/>
      <c r="BA157" s="545"/>
      <c r="BB157" s="545"/>
      <c r="BC157" s="545"/>
      <c r="BD157" s="545"/>
      <c r="BE157" s="545"/>
      <c r="BF157" s="545"/>
      <c r="BG157" s="545"/>
      <c r="BH157" s="545"/>
      <c r="BI157" s="545"/>
      <c r="BJ157" s="545"/>
      <c r="BK157" s="545"/>
      <c r="BL157" s="545"/>
      <c r="BM157" s="545"/>
      <c r="BN157" s="545"/>
      <c r="BO157" s="545"/>
      <c r="BP157" s="545"/>
      <c r="BQ157" s="545"/>
      <c r="BR157" s="545"/>
      <c r="BS157" s="545"/>
      <c r="BT157" s="545"/>
      <c r="BU157" s="545"/>
      <c r="BV157" s="545"/>
      <c r="BW157" s="545"/>
      <c r="BX157" s="545"/>
      <c r="BY157" s="545"/>
      <c r="BZ157" s="545"/>
    </row>
    <row r="158" spans="1:90" s="212" customFormat="1" ht="30" hidden="1" customHeight="1" thickBot="1" x14ac:dyDescent="0.3">
      <c r="A158" s="574"/>
      <c r="B158" s="575"/>
      <c r="C158" s="576"/>
      <c r="D158" s="89"/>
      <c r="E158" s="89"/>
      <c r="F158" s="89"/>
      <c r="G158" s="89"/>
      <c r="H158" s="1837"/>
      <c r="I158" s="1837"/>
      <c r="J158" s="1837"/>
      <c r="K158" s="1837"/>
      <c r="L158" s="1837"/>
      <c r="M158" s="91"/>
      <c r="N158" s="97"/>
      <c r="O158" s="98"/>
      <c r="P158" s="91"/>
      <c r="Q158" s="97"/>
      <c r="R158" s="98"/>
      <c r="S158" s="91"/>
      <c r="T158" s="97"/>
      <c r="U158" s="98"/>
      <c r="V158" s="91"/>
      <c r="W158" s="97"/>
      <c r="X158" s="98"/>
      <c r="Y158" s="91"/>
      <c r="Z158" s="97"/>
      <c r="AA158" s="99"/>
      <c r="AB158" s="577"/>
      <c r="AC158" s="578"/>
      <c r="AD158" s="579"/>
      <c r="AH158" s="580"/>
      <c r="AI158" s="581"/>
      <c r="AJ158" s="282"/>
      <c r="AK158" s="300"/>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row>
    <row r="159" spans="1:90" s="212" customFormat="1" ht="30" customHeight="1" x14ac:dyDescent="0.25">
      <c r="A159" s="552"/>
      <c r="B159" s="322"/>
      <c r="C159" s="323" t="s">
        <v>569</v>
      </c>
      <c r="D159" s="1836">
        <v>1</v>
      </c>
      <c r="E159" s="89"/>
      <c r="F159" s="89"/>
      <c r="G159" s="89"/>
      <c r="H159" s="1836">
        <v>0.25</v>
      </c>
      <c r="I159" s="1836">
        <v>250</v>
      </c>
      <c r="J159" s="1836">
        <v>0</v>
      </c>
      <c r="K159" s="1836">
        <v>0</v>
      </c>
      <c r="L159" s="1836">
        <v>0</v>
      </c>
      <c r="M159" s="91">
        <f>IF($I159=0,0,1+($I159-$C$21)/$C$22)+$J159/$C$23+$K159/$C$24+$L159/$C$25</f>
        <v>7.4545454545454541</v>
      </c>
      <c r="N159" s="92">
        <f t="shared" si="18"/>
        <v>3.5111917342151263E-8</v>
      </c>
      <c r="O159" s="93">
        <f>$C$7*$C$14*$C$8*$H159/$D159^2*N159*10^6</f>
        <v>7.022383468430253E-2</v>
      </c>
      <c r="P159" s="91">
        <f>IF($I159=0,0,1+($I159-$D$21)/$D$22)+$J159/$D$23+$K159/$D$24+$L159/$D$25</f>
        <v>6.6486486486486482</v>
      </c>
      <c r="Q159" s="92">
        <f t="shared" si="19"/>
        <v>2.2456979955397711E-7</v>
      </c>
      <c r="R159" s="93">
        <f>$C$7*$D$14*$D$8*$H159/$D159^2*$Q159*10^6</f>
        <v>0.4491395991079542</v>
      </c>
      <c r="S159" s="93">
        <f>IF($I159=0,0,1+(I159-$E$21)/$E$22)+$J159/$E$23+K159/$E$24+$L159/$E$25</f>
        <v>5.7674418604651159</v>
      </c>
      <c r="T159" s="92">
        <f t="shared" si="20"/>
        <v>1.7082763938087111E-6</v>
      </c>
      <c r="U159" s="93">
        <f>$C$7*$E$14*$E$8*$H159/$D159^2*$T159*10^6</f>
        <v>3.4165527876174222</v>
      </c>
      <c r="V159" s="93">
        <f>IF($I159=0,0,1+(I159-$F$21)/$F$22)+$J159/$F$23+K159/$F$24+$L159/$F$25</f>
        <v>9.1481481481481488</v>
      </c>
      <c r="W159" s="92">
        <f t="shared" si="21"/>
        <v>7.1097094323124171E-10</v>
      </c>
      <c r="X159" s="93">
        <f>$C$7*$F$14*$F$8*$H159/$D159^2*$W159*10^6</f>
        <v>1.4219418864624834E-3</v>
      </c>
      <c r="Y159" s="93">
        <f>IF($I159=0,0,1+(I159-$G$21)/$G$22)+$J159/$G$23+K159/$G$24+$L159/$G$25</f>
        <v>6.9444444444444446</v>
      </c>
      <c r="Z159" s="92">
        <f t="shared" si="22"/>
        <v>1.136463666385722E-7</v>
      </c>
      <c r="AA159" s="94">
        <f>$C$7*$G$14*$G$8*$H159/$D159^2*$Z159*10^6</f>
        <v>0.22729273327714439</v>
      </c>
      <c r="AB159" s="553">
        <f>SUM(O159,R159,U159,X159,AA159)</f>
        <v>4.1646308965732857</v>
      </c>
      <c r="AC159" s="554"/>
      <c r="AD159" s="555"/>
      <c r="AE159" s="538"/>
      <c r="AF159" s="538"/>
      <c r="AG159" s="538"/>
      <c r="AH159" s="556"/>
      <c r="AI159" s="551"/>
      <c r="AJ159" s="551"/>
      <c r="AK159" s="551"/>
      <c r="AL159" s="538"/>
      <c r="AM159" s="538"/>
      <c r="AN159" s="538"/>
      <c r="AO159" s="538"/>
      <c r="AP159" s="538"/>
      <c r="AQ159" s="538"/>
      <c r="AR159" s="538"/>
      <c r="AS159" s="538"/>
      <c r="AT159" s="538"/>
      <c r="AU159" s="538"/>
      <c r="AV159" s="538"/>
      <c r="AW159" s="538"/>
      <c r="AX159" s="545"/>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69"/>
      <c r="BT159" s="233"/>
      <c r="BU159" s="233"/>
      <c r="BV159" s="222"/>
      <c r="BW159" s="222"/>
      <c r="BX159" s="222"/>
      <c r="BY159" s="211"/>
      <c r="BZ159" s="222"/>
      <c r="CA159" s="222"/>
      <c r="CB159" s="225"/>
      <c r="CC159" s="225"/>
      <c r="CD159" s="225"/>
      <c r="CE159" s="225"/>
      <c r="CF159" s="225"/>
      <c r="CG159" s="300"/>
      <c r="CH159" s="300"/>
      <c r="CI159" s="300"/>
      <c r="CJ159" s="522"/>
      <c r="CK159" s="522"/>
      <c r="CL159" s="522"/>
    </row>
    <row r="160" spans="1:90" s="212" customFormat="1" ht="30" customHeight="1" x14ac:dyDescent="0.25">
      <c r="A160" s="557" t="str">
        <f>Samenvatting!A365</f>
        <v>T4</v>
      </c>
      <c r="B160" s="558" t="str">
        <f>Samenvatting!B365</f>
        <v>terreingrens 4</v>
      </c>
      <c r="C160" s="331" t="s">
        <v>568</v>
      </c>
      <c r="D160" s="1836">
        <v>25</v>
      </c>
      <c r="E160" s="89"/>
      <c r="F160" s="89"/>
      <c r="G160" s="89"/>
      <c r="H160" s="559"/>
      <c r="I160" s="1836">
        <v>250</v>
      </c>
      <c r="J160" s="1836">
        <v>0</v>
      </c>
      <c r="K160" s="1836">
        <v>0</v>
      </c>
      <c r="L160" s="1836">
        <v>0</v>
      </c>
      <c r="M160" s="93">
        <f>$I160/$C$27+$J160/$C$28+K160/$C$29+$L160/$C$30</f>
        <v>7.3529411764705879</v>
      </c>
      <c r="N160" s="92">
        <f t="shared" si="18"/>
        <v>4.4366873309786093E-8</v>
      </c>
      <c r="O160" s="93">
        <f>$C$7*$C$15*$C$8*($C$9+$C$10*$C$11)/$D160^2*$N160*10^6</f>
        <v>4.2592198377394652E-5</v>
      </c>
      <c r="P160" s="93">
        <f>$I160/$D$27+$J160/$D$28+$K160/$D$29+$L160/$D$30</f>
        <v>6.5789473684210522</v>
      </c>
      <c r="Q160" s="92">
        <f t="shared" si="19"/>
        <v>2.636650898730358E-7</v>
      </c>
      <c r="R160" s="93">
        <f>$C$7*$C$15*$D$8*($D$9+$D$10*$D$11)/$D160^2*$Q160*10^6</f>
        <v>2.5311848627811444E-4</v>
      </c>
      <c r="S160" s="93">
        <f>$I160/$E$27+$J160/$E$28+K160/$E$29+$L160/$E$30</f>
        <v>5.6818181818181817</v>
      </c>
      <c r="T160" s="92">
        <f t="shared" si="20"/>
        <v>2.0805675382171676E-6</v>
      </c>
      <c r="U160" s="93">
        <f>$C$7*$C$15*$E$8*($E$9+$E$10*$E$11)/$D160^2*$T160*10^6</f>
        <v>1.9973448366884814E-3</v>
      </c>
      <c r="V160" s="93">
        <f>$I160/$F$27+$J160/$F$28+K160/$F$29+$L160/$F$30</f>
        <v>8.1967213114754092</v>
      </c>
      <c r="W160" s="92">
        <f t="shared" si="21"/>
        <v>6.3573875711648393E-9</v>
      </c>
      <c r="X160" s="93">
        <f>$C$7*$C$15*$F$8*($F$9+$F$10*$F$11)/$D160^2*$W160*10^6</f>
        <v>6.1030920683182469E-6</v>
      </c>
      <c r="Y160" s="93">
        <f>$I160/$G$27+$J160/$G$28+K160/$G$29+$L160/$G$30</f>
        <v>7.0224719101123592</v>
      </c>
      <c r="Z160" s="92">
        <f t="shared" si="22"/>
        <v>9.4957241494880226E-8</v>
      </c>
      <c r="AA160" s="94">
        <f>$C$7*$C$15*$G$8*($G$9+$G$10*$G$11)/$D160^2*$Z160*10^6</f>
        <v>9.1158951835085031E-5</v>
      </c>
      <c r="AB160" s="560">
        <f>SUM(O160,R160,U160,X160,AA160)</f>
        <v>2.3903175652473939E-3</v>
      </c>
      <c r="AC160" s="561">
        <f>SUM(AB158:AB163)</f>
        <v>4.1670929152189826</v>
      </c>
      <c r="AD160" s="562">
        <f>AC160*52/10^3</f>
        <v>0.2166888315913871</v>
      </c>
      <c r="AE160" s="538"/>
      <c r="AF160" s="538"/>
      <c r="AG160" s="538"/>
      <c r="AH160" s="556"/>
      <c r="AI160" s="563"/>
      <c r="AJ160" s="551"/>
      <c r="AK160" s="551"/>
      <c r="AL160" s="538"/>
      <c r="AM160" s="538"/>
      <c r="AN160" s="538"/>
      <c r="AO160" s="538"/>
      <c r="AP160" s="538"/>
      <c r="AQ160" s="538"/>
      <c r="AR160" s="538"/>
      <c r="AS160" s="538"/>
      <c r="AT160" s="538"/>
      <c r="AU160" s="538"/>
      <c r="AV160" s="538"/>
      <c r="AW160" s="538"/>
      <c r="AX160" s="545"/>
      <c r="AY160" s="545"/>
      <c r="AZ160" s="545"/>
      <c r="BA160" s="545"/>
      <c r="BB160" s="328"/>
      <c r="BC160" s="328"/>
      <c r="BD160" s="328"/>
      <c r="BE160" s="328"/>
      <c r="BF160" s="328"/>
      <c r="BG160" s="328"/>
      <c r="BH160" s="328"/>
      <c r="BI160" s="328"/>
      <c r="BJ160" s="328"/>
      <c r="BK160" s="328"/>
      <c r="BL160" s="328"/>
      <c r="BM160" s="328"/>
      <c r="BN160" s="328"/>
      <c r="BO160" s="328"/>
      <c r="BP160" s="328"/>
      <c r="BQ160" s="328"/>
      <c r="BR160" s="328"/>
      <c r="BS160" s="369"/>
      <c r="BT160" s="233"/>
      <c r="BU160" s="233"/>
      <c r="BV160" s="222"/>
      <c r="BW160" s="222"/>
      <c r="BX160" s="222"/>
      <c r="BY160" s="211"/>
      <c r="BZ160" s="222"/>
      <c r="CA160" s="222"/>
      <c r="CB160" s="225"/>
      <c r="CC160" s="225"/>
      <c r="CD160" s="225"/>
      <c r="CE160" s="225"/>
      <c r="CF160" s="225"/>
      <c r="CG160" s="300"/>
      <c r="CH160" s="300"/>
      <c r="CI160" s="300"/>
      <c r="CJ160" s="522"/>
      <c r="CK160" s="522"/>
      <c r="CL160" s="522"/>
    </row>
    <row r="161" spans="1:90" s="212" customFormat="1" ht="30" customHeight="1" x14ac:dyDescent="0.25">
      <c r="A161" s="557"/>
      <c r="B161" s="558"/>
      <c r="C161" s="331" t="s">
        <v>26</v>
      </c>
      <c r="D161" s="564"/>
      <c r="E161" s="89">
        <f>E146</f>
        <v>11</v>
      </c>
      <c r="F161" s="89">
        <f>D160</f>
        <v>25</v>
      </c>
      <c r="G161" s="1836">
        <v>15</v>
      </c>
      <c r="H161" s="1836">
        <v>0.25</v>
      </c>
      <c r="I161" s="1836">
        <v>210</v>
      </c>
      <c r="J161" s="1836">
        <v>0</v>
      </c>
      <c r="K161" s="1836">
        <v>0</v>
      </c>
      <c r="L161" s="1836">
        <v>0</v>
      </c>
      <c r="M161" s="93">
        <f>IF($I161=0,0,1+(I161-$C$21)/$C$22)+$J161/$C$23+K161/$C$24+$L161/$C$25</f>
        <v>6.2424242424242422</v>
      </c>
      <c r="N161" s="92">
        <f t="shared" si="18"/>
        <v>5.722367659350211E-7</v>
      </c>
      <c r="O161" s="95">
        <f>2.5*0.01*$C$7*$C$14*$C$8*$H161*(2*PI()*(1-COS($G161/180*PI())))^1.3/$E161^2/$F161^2*N161*10^6</f>
        <v>5.101138747051231E-8</v>
      </c>
      <c r="P161" s="91">
        <f>IF($I161=0,0,1+($I161-$D$21)/$D$22)+$J161/$D$23+$K161/$D$24+$L161/$D$25</f>
        <v>5.5675675675675675</v>
      </c>
      <c r="Q161" s="92">
        <f t="shared" si="19"/>
        <v>2.7066520700332395E-6</v>
      </c>
      <c r="R161" s="95">
        <f>2.5*0.01*$C$7*$D$14*$D$8*$H161*(2*PI()*(1-COS($G161/180*PI())))^1.3/$E161^2/$F161^2*Q161*10^6</f>
        <v>2.4128138160910826E-7</v>
      </c>
      <c r="S161" s="93">
        <f>IF($I161=0,0,1+(I161-$E$21)/$E$22)+$J161/$E$23+K161/$E$24+$L161/$E$25</f>
        <v>4.8372093023255811</v>
      </c>
      <c r="T161" s="92">
        <f t="shared" si="20"/>
        <v>1.4547578108480478E-5</v>
      </c>
      <c r="U161" s="95">
        <f>2.5*0.01*$C$7*$E$14*$E$8*$H161*(2*PI()*(1-COS($G161/180*PI())))^1.3/$E161^2/$F161^2*T161*10^6</f>
        <v>1.2968270964496306E-6</v>
      </c>
      <c r="V161" s="93">
        <f>IF($I161=0,0,1+(I161-$F$21)/$F$22)+$J161/$F$23+K161/$F$24+$L161/$F$25</f>
        <v>7.666666666666667</v>
      </c>
      <c r="W161" s="92">
        <f t="shared" si="21"/>
        <v>2.1544346900318783E-8</v>
      </c>
      <c r="X161" s="95">
        <f>2.5*0.01*$C$7*$F$14*$F$8*$H161*(2*PI()*(1-COS($G161/180*PI())))^1.3/$E161^2/$F161^2*W161*10^6</f>
        <v>1.920545992418962E-9</v>
      </c>
      <c r="Y161" s="93">
        <f>IF($I161=0,0,1+(I161-$G$21)/$G$22)+$J161/$G$23+K161/$G$24+$L161/$G$25</f>
        <v>5.833333333333333</v>
      </c>
      <c r="Z161" s="92">
        <f t="shared" si="22"/>
        <v>1.4677992676220696E-6</v>
      </c>
      <c r="AA161" s="96">
        <f>2.5*0.01*$C$7*$G$14*$G$8*$H161*(2*PI()*(1-COS($G161/180*PI())))^1.3/$E161^2/$F161^2*Z161*10^6</f>
        <v>1.3084527528960935E-7</v>
      </c>
      <c r="AB161" s="560">
        <f>SUM(O161,R161,U161,X161,AA161)</f>
        <v>1.7218856868112794E-6</v>
      </c>
      <c r="AC161" s="565"/>
      <c r="AD161" s="566"/>
      <c r="AE161" s="538"/>
      <c r="AF161" s="538"/>
      <c r="AG161" s="567"/>
      <c r="AH161" s="538"/>
      <c r="AI161" s="563"/>
      <c r="AJ161" s="545"/>
      <c r="AK161" s="545"/>
      <c r="AL161" s="538"/>
      <c r="AM161" s="538"/>
      <c r="AN161" s="538"/>
      <c r="AO161" s="538"/>
      <c r="AP161" s="538"/>
      <c r="AQ161" s="538"/>
      <c r="AR161" s="538"/>
      <c r="AS161" s="538"/>
      <c r="AT161" s="538"/>
      <c r="AU161" s="538"/>
      <c r="AV161" s="538"/>
      <c r="AW161" s="538"/>
      <c r="AX161" s="545"/>
      <c r="AY161" s="545"/>
      <c r="AZ161" s="545"/>
      <c r="BA161" s="545"/>
      <c r="BB161" s="328"/>
      <c r="BC161" s="328"/>
      <c r="BD161" s="328"/>
      <c r="BE161" s="328"/>
      <c r="BF161" s="328"/>
      <c r="BG161" s="328"/>
      <c r="BH161" s="328"/>
      <c r="BI161" s="328"/>
      <c r="BJ161" s="328"/>
      <c r="BK161" s="328"/>
      <c r="BL161" s="328"/>
      <c r="BM161" s="328"/>
      <c r="BN161" s="328"/>
      <c r="BO161" s="328"/>
      <c r="BP161" s="328"/>
      <c r="BQ161" s="328"/>
      <c r="BR161" s="328"/>
      <c r="BS161" s="369"/>
      <c r="BT161" s="233"/>
      <c r="BU161" s="233"/>
      <c r="BV161" s="222"/>
      <c r="BW161" s="222"/>
      <c r="BX161" s="222"/>
      <c r="BY161" s="211"/>
      <c r="BZ161" s="222"/>
      <c r="CA161" s="222"/>
      <c r="CB161" s="225"/>
      <c r="CC161" s="225"/>
      <c r="CD161" s="225"/>
      <c r="CE161" s="225"/>
      <c r="CF161" s="225"/>
      <c r="CG161" s="300"/>
      <c r="CH161" s="300"/>
      <c r="CI161" s="300"/>
      <c r="CJ161" s="522"/>
      <c r="CK161" s="522"/>
      <c r="CL161" s="522"/>
    </row>
    <row r="162" spans="1:90" s="538" customFormat="1" ht="30" customHeight="1" thickBot="1" x14ac:dyDescent="0.3">
      <c r="A162" s="582"/>
      <c r="B162" s="583"/>
      <c r="C162" s="584" t="s">
        <v>27</v>
      </c>
      <c r="D162" s="58"/>
      <c r="E162" s="58">
        <f>E147</f>
        <v>10</v>
      </c>
      <c r="F162" s="58"/>
      <c r="G162" s="1859">
        <v>60</v>
      </c>
      <c r="H162" s="56"/>
      <c r="I162" s="1859">
        <v>190</v>
      </c>
      <c r="J162" s="1859">
        <v>0</v>
      </c>
      <c r="K162" s="1859">
        <v>0</v>
      </c>
      <c r="L162" s="1859">
        <v>0</v>
      </c>
      <c r="M162" s="100">
        <f>$I162/$C$27+$J162/$C$28+K162/$C$29+$L162/$C$30</f>
        <v>5.5882352941176467</v>
      </c>
      <c r="N162" s="101">
        <f t="shared" si="18"/>
        <v>2.580861540418073E-6</v>
      </c>
      <c r="O162" s="102">
        <f>2.5*0.01*$C$7*$C$15*$C$8*($C$9+$C$10*$C$11)*(2*PI()*(1-COS($G162/180*PI())))^1.3/E$147^2/$F161^2*N162*10^6</f>
        <v>2.7432840731901286E-6</v>
      </c>
      <c r="P162" s="100">
        <f>$I162/$D$27+$J162/$D$28+$K162/$D$29+$L162/$D$30</f>
        <v>5</v>
      </c>
      <c r="Q162" s="101">
        <f t="shared" si="19"/>
        <v>1.0000000000000001E-5</v>
      </c>
      <c r="R162" s="102">
        <f>2.5*0.01*$C$7*$C$15*$D$8*($D$9+$D$10*$D$11)*(2*PI()*(1-COS($G162/180*PI())))^1.3/$E162^2/$F161^2*Q162*10^6</f>
        <v>1.0629334546733355E-5</v>
      </c>
      <c r="S162" s="100">
        <f>$I162/$E$27+$J162/$E$28+K162/$E$29+$L162/$E$30</f>
        <v>4.3181818181818183</v>
      </c>
      <c r="T162" s="101">
        <f t="shared" si="20"/>
        <v>4.8063808630643867E-5</v>
      </c>
      <c r="U162" s="102">
        <f>2.5*0.01*$C$7*$C$15*$E$8*($E$9+$E$10*$E$11)*(2*PI()*(1-COS($G162/180*PI())))^1.3/$E162^2/$F161^2*T162*10^6</f>
        <v>5.1088630152528366E-5</v>
      </c>
      <c r="V162" s="100">
        <f>$I162/$F$27+$J162/$F$28+K162/$F$29+$L162/$F$30</f>
        <v>6.2295081967213113</v>
      </c>
      <c r="W162" s="101">
        <f t="shared" si="21"/>
        <v>5.8951085074002664E-7</v>
      </c>
      <c r="X162" s="102">
        <f>2.5*0.01*$C$7*$C$15*$F$8*($F$9+$F$10*$F$11)*(2*PI()*(1-COS($G162/180*PI())))^1.3/$E162^2/$F161^2*W162*10^6</f>
        <v>6.2661080514451354E-7</v>
      </c>
      <c r="Y162" s="100">
        <f>$I162/$G$27+$J162/$G$28+K162/$G$29+$L162/$G$30</f>
        <v>5.3370786516853927</v>
      </c>
      <c r="Z162" s="101">
        <f t="shared" si="22"/>
        <v>4.6017322765137984E-6</v>
      </c>
      <c r="AA162" s="103">
        <f>2.5*0.01*$C$7*$C$15*$G$8*($G$9+$G$10*$G$11)*(2*PI()*(1-COS($G162/180*PI())))^1.3/$E162^2/$F161^2*Z162*10^6</f>
        <v>4.891335186156605E-6</v>
      </c>
      <c r="AB162" s="569">
        <f>SUM(O162,R162,U162,X162,AA162)</f>
        <v>6.9979194763752965E-5</v>
      </c>
      <c r="AC162" s="570"/>
      <c r="AD162" s="571"/>
      <c r="AH162" s="572"/>
      <c r="AI162" s="573"/>
      <c r="AJ162" s="563"/>
      <c r="AK162" s="551"/>
      <c r="AX162" s="545"/>
      <c r="AY162" s="545"/>
      <c r="AZ162" s="545"/>
      <c r="BA162" s="545"/>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row>
    <row r="163" spans="1:90" s="212" customFormat="1" ht="30" hidden="1" customHeight="1" x14ac:dyDescent="0.25">
      <c r="A163" s="57"/>
      <c r="B163" s="220"/>
      <c r="C163" s="310"/>
      <c r="D163" s="57"/>
      <c r="E163" s="57"/>
      <c r="F163" s="57"/>
      <c r="G163" s="57"/>
      <c r="H163" s="57"/>
      <c r="I163" s="57"/>
      <c r="J163" s="57"/>
      <c r="K163" s="57"/>
      <c r="L163" s="57"/>
      <c r="M163" s="369"/>
      <c r="N163" s="328"/>
      <c r="O163" s="586"/>
      <c r="P163" s="369"/>
      <c r="Q163" s="328"/>
      <c r="R163" s="586"/>
      <c r="S163" s="369"/>
      <c r="T163" s="328"/>
      <c r="U163" s="586"/>
      <c r="V163" s="369"/>
      <c r="W163" s="328"/>
      <c r="X163" s="586"/>
      <c r="Y163" s="369"/>
      <c r="Z163" s="328"/>
      <c r="AA163" s="586"/>
      <c r="AB163" s="328"/>
      <c r="AC163" s="587"/>
      <c r="AD163" s="225"/>
      <c r="AH163" s="580"/>
      <c r="AI163" s="581"/>
      <c r="AJ163" s="282"/>
      <c r="AK163" s="300"/>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row>
    <row r="164" spans="1:90" s="538" customFormat="1" ht="19.5" customHeight="1" x14ac:dyDescent="0.25">
      <c r="A164" s="517"/>
      <c r="B164" s="222"/>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189"/>
      <c r="Y164" s="189"/>
      <c r="Z164" s="189"/>
      <c r="AA164" s="189"/>
      <c r="AB164" s="189"/>
      <c r="AC164" s="189"/>
      <c r="AD164" s="202"/>
      <c r="AE164" s="202"/>
      <c r="AF164" s="202"/>
      <c r="AG164" s="202"/>
    </row>
    <row r="165" spans="1:90" s="212" customFormat="1" ht="19.5" customHeight="1" x14ac:dyDescent="0.25">
      <c r="A165" s="222"/>
      <c r="B165" s="222"/>
      <c r="C165" s="222"/>
      <c r="D165" s="222"/>
      <c r="E165" s="222"/>
      <c r="F165" s="222"/>
      <c r="G165" s="222"/>
      <c r="H165" s="222"/>
      <c r="I165" s="272"/>
      <c r="J165" s="588"/>
      <c r="K165" s="589"/>
      <c r="L165" s="288"/>
      <c r="M165" s="590"/>
      <c r="N165" s="591"/>
      <c r="O165" s="590"/>
      <c r="P165" s="592"/>
      <c r="Q165" s="201"/>
      <c r="R165" s="201"/>
      <c r="S165" s="201"/>
      <c r="T165" s="201"/>
      <c r="U165" s="201"/>
      <c r="V165" s="189"/>
      <c r="W165" s="593"/>
      <c r="X165" s="593"/>
      <c r="Y165" s="594"/>
      <c r="Z165" s="189"/>
      <c r="AA165" s="189"/>
      <c r="AB165" s="551"/>
      <c r="AC165" s="551"/>
      <c r="AD165" s="538"/>
      <c r="AE165" s="538"/>
      <c r="AF165" s="189"/>
      <c r="AG165" s="222"/>
      <c r="AH165" s="211"/>
      <c r="AI165" s="222"/>
      <c r="AJ165" s="222"/>
      <c r="AK165" s="225"/>
      <c r="AL165" s="225"/>
      <c r="AM165" s="225"/>
      <c r="AN165" s="225"/>
      <c r="AO165" s="225"/>
      <c r="AP165" s="300"/>
      <c r="AQ165" s="300"/>
      <c r="AR165" s="300"/>
      <c r="AS165" s="300"/>
      <c r="AT165" s="300"/>
      <c r="AU165" s="300"/>
      <c r="AV165" s="225"/>
      <c r="AW165" s="225"/>
      <c r="AX165" s="225"/>
      <c r="AY165" s="225"/>
      <c r="AZ165" s="225"/>
      <c r="BA165" s="225"/>
      <c r="BB165" s="225"/>
      <c r="BC165" s="225"/>
      <c r="BD165" s="225"/>
      <c r="BE165" s="225"/>
      <c r="BF165" s="225"/>
      <c r="BG165" s="225"/>
      <c r="BH165" s="225"/>
      <c r="BI165" s="225"/>
      <c r="BJ165" s="225"/>
    </row>
    <row r="166" spans="1:90" s="212" customFormat="1" ht="19.5" customHeight="1" x14ac:dyDescent="0.25">
      <c r="A166" s="595" t="s">
        <v>418</v>
      </c>
      <c r="B166" s="595"/>
      <c r="C166" s="596"/>
      <c r="D166" s="288"/>
      <c r="E166" s="288"/>
      <c r="F166" s="288"/>
      <c r="G166" s="288"/>
      <c r="H166" s="288"/>
      <c r="I166" s="288"/>
      <c r="J166" s="288"/>
      <c r="K166" s="288"/>
      <c r="L166" s="288"/>
      <c r="M166" s="288"/>
      <c r="N166" s="288"/>
      <c r="O166" s="288"/>
      <c r="P166" s="288"/>
      <c r="Q166" s="288"/>
      <c r="R166" s="288"/>
      <c r="S166" s="288"/>
      <c r="T166" s="288"/>
      <c r="U166" s="288"/>
      <c r="V166" s="222"/>
      <c r="W166" s="222"/>
      <c r="X166" s="222"/>
      <c r="Y166" s="222"/>
      <c r="Z166" s="222"/>
      <c r="AA166" s="222"/>
      <c r="AB166" s="187"/>
      <c r="AC166" s="187"/>
      <c r="AD166" s="187"/>
      <c r="AE166" s="187"/>
      <c r="AF166" s="222"/>
      <c r="AG166" s="587"/>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row>
    <row r="167" spans="1:90" s="604" customFormat="1" ht="19.5" customHeight="1" x14ac:dyDescent="0.25">
      <c r="A167" s="597"/>
      <c r="B167" s="598"/>
      <c r="C167" s="599"/>
      <c r="D167" s="599"/>
      <c r="E167" s="599"/>
      <c r="F167" s="600"/>
      <c r="G167" s="600"/>
      <c r="H167" s="600"/>
      <c r="I167" s="601"/>
      <c r="J167" s="600"/>
      <c r="K167" s="602"/>
      <c r="L167" s="603"/>
      <c r="M167" s="603"/>
    </row>
    <row r="168" spans="1:90" s="212" customFormat="1" ht="19.5" customHeight="1" x14ac:dyDescent="0.25">
      <c r="A168" s="605" t="s">
        <v>322</v>
      </c>
      <c r="C168" s="288"/>
      <c r="D168" s="288"/>
      <c r="E168" s="288"/>
      <c r="F168" s="288"/>
      <c r="G168" s="288"/>
      <c r="H168" s="288"/>
      <c r="I168" s="288"/>
      <c r="J168" s="288"/>
      <c r="K168" s="288"/>
      <c r="L168" s="288"/>
      <c r="M168" s="288"/>
      <c r="N168" s="288"/>
      <c r="O168" s="288"/>
      <c r="P168" s="288"/>
      <c r="Q168" s="288"/>
      <c r="R168" s="288"/>
      <c r="S168" s="288"/>
      <c r="T168" s="288"/>
      <c r="U168" s="288"/>
      <c r="V168" s="222"/>
      <c r="W168" s="222"/>
      <c r="X168" s="222"/>
      <c r="Y168" s="222"/>
      <c r="Z168" s="222"/>
      <c r="AA168" s="222"/>
      <c r="AB168" s="222"/>
      <c r="AC168" s="222"/>
      <c r="AD168" s="222"/>
      <c r="AE168" s="222"/>
      <c r="AF168" s="538"/>
      <c r="AG168" s="538"/>
      <c r="AH168" s="538"/>
      <c r="AI168" s="538"/>
      <c r="AJ168" s="538"/>
      <c r="AK168" s="538"/>
      <c r="AL168" s="538"/>
      <c r="AM168" s="538"/>
      <c r="AN168" s="538"/>
      <c r="AO168" s="538"/>
      <c r="AP168" s="545"/>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69"/>
      <c r="BL168" s="233"/>
      <c r="BM168" s="233"/>
      <c r="BN168" s="222"/>
      <c r="BO168" s="233"/>
      <c r="BP168" s="222"/>
      <c r="BQ168" s="211"/>
      <c r="BR168" s="222"/>
      <c r="BS168" s="222"/>
      <c r="BT168" s="225"/>
      <c r="BU168" s="225"/>
      <c r="BV168" s="225"/>
      <c r="BW168" s="225"/>
      <c r="BX168" s="225"/>
      <c r="BY168" s="300"/>
      <c r="BZ168" s="300"/>
      <c r="CA168" s="300"/>
      <c r="CB168" s="522"/>
      <c r="CC168" s="522"/>
      <c r="CD168" s="522"/>
    </row>
    <row r="169" spans="1:90" s="222" customFormat="1" ht="19.5" customHeight="1" x14ac:dyDescent="0.25">
      <c r="A169" s="301"/>
      <c r="B169" s="305"/>
      <c r="C169" s="302"/>
      <c r="D169" s="606" t="s">
        <v>261</v>
      </c>
      <c r="E169" s="607" t="s">
        <v>323</v>
      </c>
      <c r="F169" s="608"/>
      <c r="G169" s="609" t="s">
        <v>224</v>
      </c>
      <c r="H169" s="608" t="s">
        <v>329</v>
      </c>
      <c r="I169" s="2014" t="s">
        <v>260</v>
      </c>
      <c r="J169" s="2015"/>
      <c r="K169" s="607" t="s">
        <v>260</v>
      </c>
      <c r="L169" s="288"/>
      <c r="M169" s="288"/>
      <c r="N169" s="288"/>
      <c r="O169" s="288"/>
      <c r="P169" s="610"/>
      <c r="Q169" s="288"/>
      <c r="R169" s="288"/>
      <c r="S169" s="610"/>
      <c r="T169" s="288"/>
      <c r="U169" s="288"/>
      <c r="V169" s="610"/>
      <c r="W169" s="288"/>
      <c r="X169" s="288"/>
      <c r="Y169" s="288"/>
      <c r="Z169" s="288"/>
      <c r="AB169" s="288"/>
      <c r="AC169" s="288"/>
    </row>
    <row r="170" spans="1:90" s="222" customFormat="1" ht="19.5" customHeight="1" x14ac:dyDescent="0.25">
      <c r="A170" s="308" t="s">
        <v>50</v>
      </c>
      <c r="B170" s="611" t="s">
        <v>15</v>
      </c>
      <c r="C170" s="498" t="s">
        <v>25</v>
      </c>
      <c r="D170" s="612" t="s">
        <v>356</v>
      </c>
      <c r="E170" s="613" t="s">
        <v>324</v>
      </c>
      <c r="F170" s="613" t="s">
        <v>4</v>
      </c>
      <c r="G170" s="299" t="s">
        <v>259</v>
      </c>
      <c r="H170" s="613" t="s">
        <v>87</v>
      </c>
      <c r="I170" s="614"/>
      <c r="J170" s="614" t="s">
        <v>11</v>
      </c>
      <c r="K170" s="614" t="s">
        <v>11</v>
      </c>
      <c r="L170" s="288"/>
      <c r="M170" s="288"/>
      <c r="N170" s="288"/>
      <c r="O170" s="288"/>
      <c r="P170" s="610"/>
      <c r="Q170" s="288"/>
      <c r="R170" s="288"/>
      <c r="S170" s="610"/>
      <c r="T170" s="288"/>
      <c r="U170" s="288"/>
      <c r="V170" s="610"/>
      <c r="W170" s="288"/>
      <c r="X170" s="288"/>
      <c r="Y170" s="288"/>
      <c r="Z170" s="288"/>
      <c r="AB170" s="288"/>
      <c r="AC170" s="288"/>
    </row>
    <row r="171" spans="1:90" s="222" customFormat="1" ht="19.5" customHeight="1" x14ac:dyDescent="0.25">
      <c r="A171" s="615"/>
      <c r="B171" s="616"/>
      <c r="C171" s="499"/>
      <c r="D171" s="612" t="s">
        <v>357</v>
      </c>
      <c r="E171" s="617" t="s">
        <v>325</v>
      </c>
      <c r="F171" s="617" t="s">
        <v>78</v>
      </c>
      <c r="G171" s="299" t="s">
        <v>258</v>
      </c>
      <c r="H171" s="617"/>
      <c r="I171" s="614" t="s">
        <v>337</v>
      </c>
      <c r="J171" s="614" t="s">
        <v>337</v>
      </c>
      <c r="K171" s="614" t="s">
        <v>166</v>
      </c>
      <c r="L171" s="288"/>
      <c r="M171" s="288"/>
      <c r="N171" s="288"/>
      <c r="O171" s="288"/>
      <c r="P171" s="610"/>
      <c r="Q171" s="288"/>
      <c r="R171" s="288"/>
      <c r="S171" s="610"/>
      <c r="T171" s="288"/>
      <c r="U171" s="288"/>
      <c r="V171" s="610"/>
      <c r="W171" s="288"/>
      <c r="X171" s="288"/>
      <c r="Y171" s="288"/>
      <c r="Z171" s="288"/>
      <c r="AB171" s="288"/>
      <c r="AC171" s="288"/>
    </row>
    <row r="172" spans="1:90" s="222" customFormat="1" ht="30" customHeight="1" thickBot="1" x14ac:dyDescent="0.3">
      <c r="A172" s="684"/>
      <c r="B172" s="2031" t="str">
        <f>Samenvatting!A265</f>
        <v>achterblijven in bestralingsruimte tijdens bestraling</v>
      </c>
      <c r="C172" s="619" t="s">
        <v>0</v>
      </c>
      <c r="D172" s="1860">
        <v>550</v>
      </c>
      <c r="E172" s="620"/>
      <c r="F172" s="1861">
        <v>2</v>
      </c>
      <c r="G172" s="1862">
        <v>30</v>
      </c>
      <c r="H172" s="1860">
        <v>1</v>
      </c>
      <c r="I172" s="621">
        <f>D172*$C$15/F172^2*G172/60*10</f>
        <v>0.6875</v>
      </c>
      <c r="J172" s="622">
        <f>SUM(I172:I173)</f>
        <v>2.0625</v>
      </c>
      <c r="K172" s="622">
        <f>J172*H172</f>
        <v>2.0625</v>
      </c>
      <c r="N172" s="288"/>
      <c r="O172" s="288"/>
      <c r="P172" s="288"/>
      <c r="Q172" s="288"/>
      <c r="R172" s="288"/>
      <c r="S172" s="288"/>
      <c r="T172" s="288"/>
      <c r="U172" s="288"/>
      <c r="V172" s="288"/>
      <c r="W172" s="288"/>
      <c r="X172" s="288"/>
      <c r="Y172" s="288"/>
      <c r="Z172" s="288"/>
      <c r="AA172" s="288"/>
      <c r="AB172" s="288"/>
    </row>
    <row r="173" spans="1:90" s="222" customFormat="1" ht="30" customHeight="1" thickBot="1" x14ac:dyDescent="0.3">
      <c r="A173" s="623"/>
      <c r="B173" s="2032"/>
      <c r="C173" s="619" t="s">
        <v>33</v>
      </c>
      <c r="D173" s="624"/>
      <c r="E173" s="1852">
        <f>0.01*20</f>
        <v>0.2</v>
      </c>
      <c r="F173" s="625">
        <f>F172</f>
        <v>2</v>
      </c>
      <c r="G173" s="626">
        <f>G172</f>
        <v>30</v>
      </c>
      <c r="H173" s="629"/>
      <c r="I173" s="621">
        <f>D172*E173/100/F173^2*G173/60*10</f>
        <v>1.375</v>
      </c>
      <c r="J173" s="627"/>
      <c r="K173" s="627"/>
      <c r="N173" s="288"/>
      <c r="O173" s="288"/>
      <c r="P173" s="288"/>
      <c r="Q173" s="288"/>
      <c r="R173" s="288"/>
      <c r="S173" s="288"/>
      <c r="T173" s="288"/>
      <c r="U173" s="288"/>
      <c r="V173" s="288"/>
      <c r="W173" s="288"/>
      <c r="X173" s="288"/>
      <c r="Y173" s="288"/>
      <c r="Z173" s="288"/>
      <c r="AA173" s="288"/>
      <c r="AB173" s="288"/>
    </row>
    <row r="174" spans="1:90" s="222" customFormat="1" ht="19.5" customHeight="1" x14ac:dyDescent="0.25">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189"/>
      <c r="W174" s="189"/>
      <c r="X174" s="189"/>
      <c r="Y174" s="189"/>
      <c r="Z174" s="189"/>
      <c r="AA174" s="189"/>
      <c r="AB174" s="202"/>
      <c r="AC174" s="202"/>
      <c r="AD174" s="202"/>
      <c r="AE174" s="202"/>
      <c r="AK174" s="299"/>
      <c r="AL174" s="299"/>
      <c r="AM174" s="299"/>
      <c r="AN174" s="299"/>
      <c r="AO174" s="299"/>
      <c r="AP174" s="299"/>
      <c r="AU174" s="211"/>
      <c r="AV174" s="266"/>
      <c r="BC174" s="211"/>
      <c r="BD174" s="211"/>
    </row>
    <row r="175" spans="1:90" x14ac:dyDescent="0.25">
      <c r="A175" s="605" t="s">
        <v>339</v>
      </c>
      <c r="B175" s="202"/>
      <c r="C175" s="288"/>
      <c r="D175" s="288"/>
      <c r="E175" s="288"/>
      <c r="F175" s="288"/>
      <c r="G175" s="288"/>
      <c r="H175" s="288"/>
      <c r="I175" s="288"/>
      <c r="J175" s="288"/>
      <c r="K175" s="288"/>
      <c r="L175" s="288"/>
      <c r="M175" s="288"/>
      <c r="N175" s="288"/>
      <c r="O175" s="288"/>
      <c r="P175" s="288"/>
      <c r="Q175" s="288"/>
      <c r="R175" s="288"/>
      <c r="S175" s="288"/>
      <c r="T175" s="288"/>
      <c r="U175" s="288"/>
      <c r="V175" s="222"/>
      <c r="W175" s="222"/>
      <c r="X175" s="222"/>
      <c r="Y175" s="222"/>
      <c r="Z175" s="222"/>
      <c r="AA175" s="222"/>
      <c r="AB175" s="222"/>
      <c r="AC175" s="222"/>
      <c r="AD175" s="222"/>
      <c r="AE175" s="222"/>
    </row>
    <row r="176" spans="1:90" s="187" customFormat="1" ht="19.5" customHeight="1" x14ac:dyDescent="0.25">
      <c r="A176" s="2020" t="s">
        <v>50</v>
      </c>
      <c r="B176" s="2023" t="s">
        <v>15</v>
      </c>
      <c r="C176" s="606" t="s">
        <v>261</v>
      </c>
      <c r="D176" s="607" t="s">
        <v>224</v>
      </c>
      <c r="E176" s="608" t="s">
        <v>329</v>
      </c>
      <c r="F176" s="607" t="s">
        <v>260</v>
      </c>
      <c r="G176" s="607" t="s">
        <v>260</v>
      </c>
      <c r="H176" s="628"/>
      <c r="I176" s="222"/>
      <c r="J176" s="288"/>
      <c r="K176" s="288"/>
      <c r="L176" s="288"/>
      <c r="M176" s="288"/>
      <c r="N176" s="288"/>
      <c r="O176" s="610"/>
      <c r="P176" s="288"/>
      <c r="Q176" s="288"/>
      <c r="R176" s="610"/>
      <c r="S176" s="288"/>
      <c r="T176" s="288"/>
      <c r="U176" s="610"/>
      <c r="V176" s="288"/>
      <c r="W176" s="288"/>
      <c r="X176" s="288"/>
      <c r="Y176" s="288"/>
      <c r="Z176" s="222"/>
      <c r="AA176" s="288"/>
      <c r="AB176" s="288"/>
      <c r="AC176" s="222"/>
      <c r="AD176" s="222"/>
      <c r="AE176" s="222"/>
    </row>
    <row r="177" spans="1:52" s="222" customFormat="1" ht="19.5" customHeight="1" x14ac:dyDescent="0.25">
      <c r="A177" s="2021"/>
      <c r="B177" s="2024"/>
      <c r="C177" s="2026" t="s">
        <v>340</v>
      </c>
      <c r="D177" s="613" t="s">
        <v>328</v>
      </c>
      <c r="E177" s="613" t="s">
        <v>87</v>
      </c>
      <c r="F177" s="613"/>
      <c r="G177" s="614" t="s">
        <v>11</v>
      </c>
      <c r="H177" s="628"/>
      <c r="J177" s="288"/>
      <c r="K177" s="288"/>
      <c r="L177" s="288"/>
      <c r="M177" s="288"/>
      <c r="N177" s="288"/>
      <c r="O177" s="610"/>
      <c r="P177" s="288"/>
      <c r="Q177" s="288"/>
      <c r="R177" s="610"/>
      <c r="S177" s="288"/>
      <c r="T177" s="288"/>
      <c r="U177" s="610"/>
      <c r="V177" s="288"/>
      <c r="W177" s="288"/>
      <c r="X177" s="288"/>
      <c r="Y177" s="288"/>
      <c r="AA177" s="288"/>
      <c r="AB177" s="288"/>
    </row>
    <row r="178" spans="1:52" s="222" customFormat="1" ht="19.5" customHeight="1" x14ac:dyDescent="0.25">
      <c r="A178" s="2022"/>
      <c r="B178" s="2025"/>
      <c r="C178" s="2027"/>
      <c r="D178" s="617" t="s">
        <v>229</v>
      </c>
      <c r="E178" s="617"/>
      <c r="F178" s="614" t="s">
        <v>337</v>
      </c>
      <c r="G178" s="614" t="s">
        <v>166</v>
      </c>
      <c r="H178" s="628"/>
      <c r="J178" s="288"/>
      <c r="K178" s="288"/>
      <c r="L178" s="288"/>
      <c r="M178" s="288"/>
      <c r="N178" s="288"/>
      <c r="O178" s="610"/>
      <c r="P178" s="288"/>
      <c r="Q178" s="288"/>
      <c r="R178" s="610"/>
      <c r="S178" s="288"/>
      <c r="T178" s="288"/>
      <c r="U178" s="610"/>
      <c r="V178" s="288"/>
      <c r="W178" s="288"/>
      <c r="X178" s="288"/>
      <c r="Y178" s="288"/>
      <c r="AA178" s="288"/>
      <c r="AB178" s="288"/>
    </row>
    <row r="179" spans="1:52" s="222" customFormat="1" ht="30" customHeight="1" x14ac:dyDescent="0.25">
      <c r="A179" s="630"/>
      <c r="B179" s="631" t="str">
        <f>Samenvatting!A276</f>
        <v>werken in nabijheid geactiveerde target</v>
      </c>
      <c r="C179" s="1861">
        <v>25</v>
      </c>
      <c r="D179" s="1861">
        <v>0.5</v>
      </c>
      <c r="E179" s="1861">
        <v>4</v>
      </c>
      <c r="F179" s="632">
        <f>C179*D179/10^3</f>
        <v>1.2500000000000001E-2</v>
      </c>
      <c r="G179" s="621">
        <f>F179*E179</f>
        <v>0.05</v>
      </c>
      <c r="H179" s="633"/>
      <c r="M179" s="288"/>
      <c r="N179" s="288"/>
      <c r="O179" s="288"/>
      <c r="P179" s="288"/>
      <c r="Q179" s="288"/>
      <c r="R179" s="288"/>
      <c r="S179" s="288"/>
      <c r="T179" s="288"/>
      <c r="U179" s="288"/>
      <c r="V179" s="288"/>
      <c r="W179" s="288"/>
      <c r="X179" s="288"/>
      <c r="Y179" s="288"/>
      <c r="Z179" s="288"/>
      <c r="AA179" s="288"/>
    </row>
    <row r="180" spans="1:52" s="222" customFormat="1" ht="19.5" customHeight="1" x14ac:dyDescent="0.25">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189"/>
      <c r="W180" s="189"/>
      <c r="X180" s="189"/>
      <c r="Y180" s="189"/>
      <c r="Z180" s="189"/>
      <c r="AA180" s="189"/>
      <c r="AB180" s="202"/>
      <c r="AC180" s="202"/>
      <c r="AD180" s="202"/>
      <c r="AE180" s="202"/>
    </row>
    <row r="181" spans="1:52" s="225" customFormat="1" ht="19.5" customHeight="1" x14ac:dyDescent="0.25">
      <c r="A181" s="634" t="s">
        <v>327</v>
      </c>
      <c r="C181" s="288"/>
      <c r="D181" s="288"/>
      <c r="E181" s="288"/>
      <c r="F181" s="288"/>
      <c r="G181" s="288"/>
      <c r="H181" s="288"/>
      <c r="I181" s="288"/>
      <c r="J181" s="288"/>
      <c r="K181" s="288"/>
      <c r="L181" s="288"/>
      <c r="M181" s="288"/>
      <c r="N181" s="288"/>
      <c r="O181" s="288"/>
      <c r="P181" s="288"/>
      <c r="Q181" s="288"/>
      <c r="R181" s="288"/>
      <c r="S181" s="288"/>
      <c r="T181" s="288"/>
      <c r="U181" s="288"/>
      <c r="V181" s="222"/>
      <c r="W181" s="222"/>
      <c r="X181" s="222"/>
      <c r="Y181" s="222"/>
      <c r="Z181" s="222"/>
      <c r="AA181" s="222"/>
      <c r="AB181" s="222"/>
      <c r="AC181" s="222"/>
      <c r="AD181" s="222"/>
      <c r="AE181" s="222"/>
      <c r="AG181" s="328"/>
      <c r="AI181" s="328"/>
      <c r="AJ181" s="328"/>
      <c r="AK181" s="328"/>
      <c r="AL181" s="328"/>
      <c r="AP181" s="222"/>
      <c r="AQ181" s="211"/>
      <c r="AR181" s="222"/>
      <c r="AS181" s="222"/>
      <c r="AY181" s="300"/>
      <c r="AZ181" s="300"/>
    </row>
    <row r="182" spans="1:52" s="187" customFormat="1" ht="19.5" customHeight="1" x14ac:dyDescent="0.25">
      <c r="A182" s="2020" t="s">
        <v>50</v>
      </c>
      <c r="B182" s="2023" t="s">
        <v>15</v>
      </c>
      <c r="C182" s="606" t="s">
        <v>261</v>
      </c>
      <c r="D182" s="607" t="s">
        <v>224</v>
      </c>
      <c r="E182" s="608" t="s">
        <v>329</v>
      </c>
      <c r="F182" s="607" t="s">
        <v>260</v>
      </c>
      <c r="G182" s="607" t="s">
        <v>260</v>
      </c>
      <c r="H182" s="628"/>
      <c r="I182" s="222"/>
      <c r="J182" s="288"/>
      <c r="K182" s="288"/>
      <c r="L182" s="288"/>
      <c r="M182" s="288"/>
      <c r="N182" s="288"/>
      <c r="O182" s="610"/>
      <c r="P182" s="288"/>
      <c r="Q182" s="288"/>
      <c r="R182" s="610"/>
      <c r="S182" s="288"/>
      <c r="T182" s="288"/>
      <c r="U182" s="610"/>
      <c r="V182" s="288"/>
      <c r="W182" s="288"/>
      <c r="X182" s="288"/>
      <c r="Y182" s="288"/>
      <c r="Z182" s="222"/>
      <c r="AA182" s="288"/>
      <c r="AB182" s="288"/>
      <c r="AC182" s="222"/>
      <c r="AD182" s="222"/>
      <c r="AE182" s="222"/>
    </row>
    <row r="183" spans="1:52" s="222" customFormat="1" ht="19.5" customHeight="1" x14ac:dyDescent="0.25">
      <c r="A183" s="2021"/>
      <c r="B183" s="2024"/>
      <c r="C183" s="2026" t="s">
        <v>340</v>
      </c>
      <c r="D183" s="613" t="s">
        <v>328</v>
      </c>
      <c r="E183" s="613" t="s">
        <v>87</v>
      </c>
      <c r="F183" s="613"/>
      <c r="G183" s="614" t="s">
        <v>11</v>
      </c>
      <c r="H183" s="628"/>
      <c r="J183" s="288"/>
      <c r="K183" s="288"/>
      <c r="L183" s="288"/>
      <c r="M183" s="288"/>
      <c r="N183" s="288"/>
      <c r="O183" s="610"/>
      <c r="P183" s="288"/>
      <c r="Q183" s="288"/>
      <c r="R183" s="610"/>
      <c r="S183" s="288"/>
      <c r="T183" s="288"/>
      <c r="U183" s="610"/>
      <c r="V183" s="288"/>
      <c r="W183" s="288"/>
      <c r="X183" s="288"/>
      <c r="Y183" s="288"/>
      <c r="AA183" s="288"/>
      <c r="AB183" s="288"/>
    </row>
    <row r="184" spans="1:52" s="222" customFormat="1" ht="19.5" customHeight="1" x14ac:dyDescent="0.25">
      <c r="A184" s="2022"/>
      <c r="B184" s="2025"/>
      <c r="C184" s="2027"/>
      <c r="D184" s="617" t="s">
        <v>229</v>
      </c>
      <c r="E184" s="617"/>
      <c r="F184" s="614" t="s">
        <v>337</v>
      </c>
      <c r="G184" s="614" t="s">
        <v>166</v>
      </c>
      <c r="H184" s="628"/>
      <c r="J184" s="288"/>
      <c r="K184" s="288"/>
      <c r="L184" s="288"/>
      <c r="M184" s="288"/>
      <c r="N184" s="288"/>
      <c r="O184" s="610"/>
      <c r="P184" s="288"/>
      <c r="Q184" s="288"/>
      <c r="R184" s="610"/>
      <c r="S184" s="288"/>
      <c r="T184" s="288"/>
      <c r="U184" s="610"/>
      <c r="V184" s="288"/>
      <c r="W184" s="288"/>
      <c r="X184" s="288"/>
      <c r="Y184" s="288"/>
      <c r="AA184" s="288"/>
      <c r="AB184" s="288"/>
    </row>
    <row r="185" spans="1:52" s="222" customFormat="1" ht="30" customHeight="1" x14ac:dyDescent="0.25">
      <c r="A185" s="623"/>
      <c r="B185" s="631" t="str">
        <f>Samenvatting!A287</f>
        <v>werken in nabijheid geactiveerde onderdelen</v>
      </c>
      <c r="C185" s="1861">
        <v>1.5</v>
      </c>
      <c r="D185" s="1861">
        <v>2</v>
      </c>
      <c r="E185" s="1861">
        <v>24</v>
      </c>
      <c r="F185" s="632">
        <f>C185*D185/10^3</f>
        <v>3.0000000000000001E-3</v>
      </c>
      <c r="G185" s="621">
        <f>F185*E185</f>
        <v>7.2000000000000008E-2</v>
      </c>
      <c r="H185" s="635"/>
      <c r="M185" s="288"/>
      <c r="N185" s="288"/>
      <c r="O185" s="288"/>
      <c r="P185" s="288"/>
      <c r="Q185" s="288"/>
      <c r="R185" s="288"/>
      <c r="S185" s="288"/>
      <c r="T185" s="288"/>
      <c r="U185" s="288"/>
      <c r="V185" s="288"/>
      <c r="W185" s="288"/>
      <c r="X185" s="288"/>
      <c r="Y185" s="288"/>
      <c r="Z185" s="288"/>
      <c r="AA185" s="288"/>
    </row>
    <row r="186" spans="1:52" s="222" customFormat="1" ht="19.5" customHeight="1" x14ac:dyDescent="0.25">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189"/>
      <c r="W186" s="189"/>
      <c r="X186" s="189"/>
      <c r="Y186" s="189"/>
      <c r="Z186" s="189"/>
      <c r="AA186" s="189"/>
      <c r="AB186" s="202"/>
      <c r="AC186" s="202"/>
      <c r="AD186" s="202"/>
      <c r="AE186" s="202"/>
    </row>
    <row r="187" spans="1:52" s="225" customFormat="1" ht="19.5" customHeight="1" thickBot="1" x14ac:dyDescent="0.3">
      <c r="A187" s="288" t="s">
        <v>326</v>
      </c>
      <c r="C187" s="636"/>
      <c r="D187" s="265"/>
      <c r="E187" s="265"/>
      <c r="F187" s="265"/>
      <c r="G187" s="265"/>
      <c r="H187" s="265"/>
      <c r="I187" s="233"/>
      <c r="J187" s="242"/>
      <c r="K187" s="233"/>
      <c r="L187" s="233"/>
      <c r="M187" s="242"/>
      <c r="N187" s="369"/>
      <c r="O187" s="222"/>
      <c r="P187" s="222"/>
      <c r="Q187" s="222"/>
      <c r="R187" s="222"/>
      <c r="T187" s="328"/>
      <c r="V187" s="328"/>
      <c r="W187" s="328"/>
      <c r="X187" s="328"/>
      <c r="Y187" s="328"/>
      <c r="AC187" s="222"/>
      <c r="AD187" s="211"/>
      <c r="AE187" s="222"/>
      <c r="AF187" s="222"/>
      <c r="AL187" s="300"/>
      <c r="AM187" s="300"/>
    </row>
    <row r="188" spans="1:52" s="225" customFormat="1" ht="19.5" customHeight="1" thickBot="1" x14ac:dyDescent="0.3">
      <c r="A188" s="2020" t="s">
        <v>50</v>
      </c>
      <c r="B188" s="2023" t="s">
        <v>15</v>
      </c>
      <c r="C188" s="1998" t="s">
        <v>25</v>
      </c>
      <c r="D188" s="1998" t="s">
        <v>158</v>
      </c>
      <c r="E188" s="2012" t="s">
        <v>527</v>
      </c>
      <c r="F188" s="304" t="s">
        <v>77</v>
      </c>
      <c r="G188" s="637"/>
      <c r="H188" s="305"/>
      <c r="I188" s="607" t="s">
        <v>224</v>
      </c>
      <c r="J188" s="608" t="s">
        <v>329</v>
      </c>
      <c r="K188" s="2016">
        <v>18</v>
      </c>
      <c r="L188" s="2017"/>
      <c r="M188" s="2018"/>
      <c r="N188" s="2003" t="s">
        <v>16</v>
      </c>
      <c r="O188" s="2004"/>
      <c r="P188" s="222"/>
      <c r="Q188" s="222"/>
      <c r="R188" s="222"/>
      <c r="T188" s="328"/>
      <c r="V188" s="328"/>
      <c r="W188" s="328"/>
      <c r="X188" s="328"/>
      <c r="Y188" s="328"/>
      <c r="AC188" s="222"/>
      <c r="AD188" s="211"/>
      <c r="AE188" s="222"/>
      <c r="AF188" s="222"/>
      <c r="AL188" s="300"/>
      <c r="AM188" s="300"/>
    </row>
    <row r="189" spans="1:52" s="222" customFormat="1" ht="19.5" customHeight="1" x14ac:dyDescent="0.25">
      <c r="A189" s="2021"/>
      <c r="B189" s="2024"/>
      <c r="C189" s="2010"/>
      <c r="D189" s="2010"/>
      <c r="E189" s="2010"/>
      <c r="F189" s="639"/>
      <c r="G189" s="211"/>
      <c r="H189" s="611"/>
      <c r="I189" s="614" t="s">
        <v>328</v>
      </c>
      <c r="J189" s="613" t="s">
        <v>87</v>
      </c>
      <c r="K189" s="312" t="s">
        <v>86</v>
      </c>
      <c r="L189" s="312" t="s">
        <v>206</v>
      </c>
      <c r="M189" s="312" t="s">
        <v>260</v>
      </c>
      <c r="N189" s="613"/>
      <c r="O189" s="614" t="s">
        <v>11</v>
      </c>
      <c r="T189" s="328"/>
      <c r="V189" s="328"/>
      <c r="W189" s="328"/>
      <c r="X189" s="328"/>
      <c r="Y189" s="328"/>
      <c r="AD189" s="211"/>
      <c r="AL189" s="211"/>
      <c r="AM189" s="211"/>
    </row>
    <row r="190" spans="1:52" s="222" customFormat="1" ht="19.5" customHeight="1" thickBot="1" x14ac:dyDescent="0.3">
      <c r="A190" s="2022"/>
      <c r="B190" s="2025"/>
      <c r="C190" s="2011"/>
      <c r="D190" s="2011"/>
      <c r="E190" s="2013"/>
      <c r="F190" s="615" t="s">
        <v>1</v>
      </c>
      <c r="G190" s="615" t="s">
        <v>61</v>
      </c>
      <c r="H190" s="615" t="s">
        <v>3</v>
      </c>
      <c r="I190" s="179" t="s">
        <v>229</v>
      </c>
      <c r="J190" s="179"/>
      <c r="K190" s="505" t="s">
        <v>208</v>
      </c>
      <c r="L190" s="505" t="s">
        <v>207</v>
      </c>
      <c r="M190" s="506" t="s">
        <v>341</v>
      </c>
      <c r="N190" s="614" t="s">
        <v>337</v>
      </c>
      <c r="O190" s="614" t="s">
        <v>166</v>
      </c>
      <c r="U190" s="328"/>
      <c r="W190" s="328"/>
      <c r="X190" s="328"/>
      <c r="Y190" s="328"/>
      <c r="Z190" s="328"/>
      <c r="AE190" s="211"/>
      <c r="AM190" s="211"/>
      <c r="AN190" s="211"/>
    </row>
    <row r="191" spans="1:52" s="222" customFormat="1" ht="30" customHeight="1" x14ac:dyDescent="0.25">
      <c r="A191" s="301"/>
      <c r="B191" s="2008" t="str">
        <f>Samenvatting!A298</f>
        <v>werkzaamheden uitvoeren in gecontroleerde ruimte (buiten de bestralingsruimte) terwijl er gestraald word: bv dak wegens reparaties</v>
      </c>
      <c r="C191" s="323" t="s">
        <v>569</v>
      </c>
      <c r="D191" s="1840">
        <v>6</v>
      </c>
      <c r="E191" s="1863">
        <v>0.25</v>
      </c>
      <c r="F191" s="1834">
        <v>250</v>
      </c>
      <c r="G191" s="1834">
        <v>0</v>
      </c>
      <c r="H191" s="1834">
        <v>0</v>
      </c>
      <c r="I191" s="640"/>
      <c r="J191" s="641"/>
      <c r="K191" s="686">
        <f>IF(K188=C4,IF($F191=0,0,1+($F191-$C$21)/$C$22)+$G191/$C$23+$H191/$C$24,IF(K188=D4,(IF($F191=0,0,1+($F191-$D$21)/$D$22)+$G191/$D$23+$H191/$D$24),IF(K188=E4,IF($F191=0,0,1+($F191-$E$21)/$E$22)+$G191/$E$23+$H191/$E$24,IF(K188=F4,IF($F191=0,0,1+($F191-$F$21)/$F$22)+$G191/$F$23+$H191/$F$24,IF(K188=G4,IF($F191=0,0,1+($F191-$G$21)/$G$22)+$G191/$G$23+$H191/$G$24,2)))))</f>
        <v>5.7674418604651159</v>
      </c>
      <c r="L191" s="72">
        <f>10^(-K191)</f>
        <v>1.7082763938087111E-6</v>
      </c>
      <c r="M191" s="71">
        <f>($C$7*$C$14*I192/40*$E191/$D191^2*L191*10^6)</f>
        <v>1.1863030512560492E-2</v>
      </c>
      <c r="N191" s="642">
        <f>M191+M192</f>
        <v>1.8104733127211996E-2</v>
      </c>
      <c r="O191" s="643">
        <f>N191*J192</f>
        <v>1.8104733127211996E-2</v>
      </c>
      <c r="U191" s="328"/>
      <c r="V191" s="328"/>
      <c r="W191" s="328"/>
      <c r="X191" s="328"/>
      <c r="Y191" s="328"/>
      <c r="Z191" s="328"/>
      <c r="AE191" s="211"/>
      <c r="AM191" s="211"/>
      <c r="AN191" s="211"/>
    </row>
    <row r="192" spans="1:52" s="222" customFormat="1" ht="30" customHeight="1" thickBot="1" x14ac:dyDescent="0.3">
      <c r="A192" s="623"/>
      <c r="B192" s="2019"/>
      <c r="C192" s="331" t="s">
        <v>568</v>
      </c>
      <c r="D192" s="1864">
        <v>5</v>
      </c>
      <c r="E192" s="644"/>
      <c r="F192" s="1865">
        <v>250</v>
      </c>
      <c r="G192" s="1865">
        <v>0</v>
      </c>
      <c r="H192" s="1865">
        <v>0</v>
      </c>
      <c r="I192" s="1866">
        <v>1</v>
      </c>
      <c r="J192" s="1867">
        <v>1</v>
      </c>
      <c r="K192" s="105">
        <f>IF(K188=$C$4,$F192/$C$27+$G192/$C$28+$H192/$C$29,IF(K188=$D$4,$F192/$D$27+$G192/$D$28+$H192/$D$29,IF(K188=$E$4,$F192/$E$27+$G192/$E$28+$H192/$E$29,IF(K188=$F$4,$F192/$F$27+$G192/$F$28+$H192/$F$29,IF(K188=$G$4,$F192/$G$27+$G192/$G$28+$H192/$G$29, )))))</f>
        <v>5.6818181818181817</v>
      </c>
      <c r="L192" s="106">
        <f>10^(-K192)</f>
        <v>2.0805675382171676E-6</v>
      </c>
      <c r="M192" s="105">
        <f>($C$7*I192/40*$C$15*($C$9+$C$10*$C$11)/$D192^2*L192*10^6)</f>
        <v>6.2417026146515033E-3</v>
      </c>
      <c r="N192" s="645"/>
      <c r="O192" s="646"/>
      <c r="U192" s="328"/>
      <c r="V192" s="328"/>
      <c r="W192" s="328"/>
      <c r="X192" s="328"/>
      <c r="Y192" s="328"/>
      <c r="Z192" s="328"/>
      <c r="AE192" s="211"/>
      <c r="AM192" s="211"/>
      <c r="AN192" s="211"/>
    </row>
    <row r="193" spans="1:31" s="222" customFormat="1" ht="30" customHeight="1" x14ac:dyDescent="0.25">
      <c r="A193" s="201"/>
      <c r="B193" s="201"/>
      <c r="C193" s="201"/>
      <c r="D193" s="201"/>
      <c r="E193" s="201"/>
      <c r="F193" s="201"/>
      <c r="G193" s="201"/>
      <c r="H193" s="201"/>
      <c r="I193" s="201"/>
      <c r="J193" s="201"/>
      <c r="K193" s="201"/>
      <c r="L193" s="201"/>
      <c r="M193" s="201"/>
      <c r="N193" s="189"/>
      <c r="O193" s="202"/>
      <c r="P193" s="202"/>
      <c r="Q193" s="202"/>
      <c r="R193" s="202"/>
    </row>
    <row r="194" spans="1:31" s="222" customFormat="1" ht="19.5" customHeight="1" x14ac:dyDescent="0.25">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189"/>
      <c r="W194" s="189"/>
      <c r="X194" s="189"/>
      <c r="Y194" s="189"/>
      <c r="Z194" s="189"/>
      <c r="AA194" s="189"/>
      <c r="AB194" s="202"/>
      <c r="AC194" s="202"/>
      <c r="AD194" s="202"/>
      <c r="AE194" s="202"/>
    </row>
    <row r="195" spans="1:31" ht="19.5" customHeight="1" x14ac:dyDescent="0.25">
      <c r="C195" s="279"/>
      <c r="D195" s="280"/>
      <c r="L195" s="647"/>
      <c r="M195" s="647"/>
      <c r="S195" s="648"/>
      <c r="U195" s="189"/>
      <c r="V195" s="190"/>
      <c r="AA195" s="202"/>
      <c r="AB195" s="538"/>
      <c r="AC195" s="538"/>
      <c r="AD195" s="538"/>
      <c r="AE195" s="538"/>
    </row>
    <row r="196" spans="1:31" ht="19.5" customHeight="1" x14ac:dyDescent="0.25"/>
    <row r="197" spans="1:31" ht="19.5" customHeight="1" x14ac:dyDescent="0.25"/>
  </sheetData>
  <sheetProtection algorithmName="SHA-512" hashValue="xgod+PwD6w68mzg220cYPxEeQdM69WefUxCamU/G1JzpUKNe/IcDRN+YRiTqXQvyT0DamAXkLOkZIoo6R0ICzg==" saltValue="V9pI0i67dPQvhuAb32eNUw==" spinCount="100000" sheet="1" objects="1" scenarios="1"/>
  <mergeCells count="37">
    <mergeCell ref="B191:B192"/>
    <mergeCell ref="P140:R140"/>
    <mergeCell ref="S140:U140"/>
    <mergeCell ref="V140:X140"/>
    <mergeCell ref="Y140:AA140"/>
    <mergeCell ref="N188:O188"/>
    <mergeCell ref="K188:M188"/>
    <mergeCell ref="X128:Z128"/>
    <mergeCell ref="A182:A184"/>
    <mergeCell ref="B182:B184"/>
    <mergeCell ref="C183:C184"/>
    <mergeCell ref="M141:M142"/>
    <mergeCell ref="P141:P142"/>
    <mergeCell ref="B172:B173"/>
    <mergeCell ref="I169:J169"/>
    <mergeCell ref="A176:A178"/>
    <mergeCell ref="B176:B178"/>
    <mergeCell ref="C177:C178"/>
    <mergeCell ref="S141:S142"/>
    <mergeCell ref="V141:V142"/>
    <mergeCell ref="Y141:Y142"/>
    <mergeCell ref="Q132:Q133"/>
    <mergeCell ref="R132:R133"/>
    <mergeCell ref="AB130:AB135"/>
    <mergeCell ref="AC130:AC135"/>
    <mergeCell ref="A188:A190"/>
    <mergeCell ref="B188:B190"/>
    <mergeCell ref="C188:C190"/>
    <mergeCell ref="D188:D190"/>
    <mergeCell ref="E188:E190"/>
    <mergeCell ref="AB140:AD140"/>
    <mergeCell ref="AC141:AD141"/>
    <mergeCell ref="L134:L135"/>
    <mergeCell ref="M134:M135"/>
    <mergeCell ref="F132:F133"/>
    <mergeCell ref="J132:J133"/>
    <mergeCell ref="K130:K133"/>
  </mergeCells>
  <dataValidations count="21">
    <dataValidation allowBlank="1" showInputMessage="1" showErrorMessage="1" prompt="Als labyrint 1 bocht heeft dan dan is er geen A5: 1 invullen_x000a_" sqref="E116:E117"/>
    <dataValidation allowBlank="1" showInputMessage="1" showErrorMessage="1" promptTitle="let op" prompt="Als labyrint 1 bocht heeft dan dan is er geen A5: 1 invullen" sqref="R130:R132"/>
    <dataValidation allowBlank="1" showInputMessage="1" showErrorMessage="1" prompt="als versneller parallel aan het labyrint draait is er geen A2_x000a_: 1 invullen" sqref="O131"/>
    <dataValidation allowBlank="1" showInputMessage="1" showErrorMessage="1" promptTitle="let op" prompt="als versneller parallel aan het labyrint draait is er geen dz2:_x000a_ 1 invullen" sqref="H131:J131"/>
    <dataValidation allowBlank="1" showInputMessage="1" showErrorMessage="1" promptTitle="let op" prompt="is 1 las versneller parallel aan het labyrint draait" sqref="R15:R16"/>
    <dataValidation type="list" allowBlank="1" showInputMessage="1" showErrorMessage="1" sqref="G106">
      <formula1>"parallel,loodrecht"</formula1>
    </dataValidation>
    <dataValidation type="list" allowBlank="1" showInputMessage="1" showErrorMessage="1" sqref="G107:G108">
      <formula1>"1,2"</formula1>
    </dataValidation>
    <dataValidation allowBlank="1" showInputMessage="1" showErrorMessage="1" promptTitle="let op" prompt="als er geen afstand dp is: 1 invullen_x000a_Bij de voorbeeld plattegronden is er alleen een afstand dp in fig 6. " sqref="P17"/>
    <dataValidation allowBlank="1" showInputMessage="1" showErrorMessage="1" promptTitle="let op" prompt="Alleen van belang als E &gt; 10 MV (neutronenproduktie)" sqref="G125:G126"/>
    <dataValidation allowBlank="1" showInputMessage="1" showErrorMessage="1" prompt="Fr richting  opp A1_x000a_" sqref="W130"/>
    <dataValidation allowBlank="1" showInputMessage="1" showErrorMessage="1" promptTitle="let op" prompt="Fr richting opp A2._x000a_Als versneller parallel aan labyrint draait dan is er geen A2: fr is dan 0" sqref="W131"/>
    <dataValidation allowBlank="1" showInputMessage="1" showErrorMessage="1" promptTitle="let op" prompt="als versneller parallel aan het labyrint draait is er geen dp2: 1 invullen" sqref="E131:G131"/>
    <dataValidation allowBlank="1" showInputMessage="1" showErrorMessage="1" promptTitle="let op" prompt="Als labyrint 1 bocht heeft dan dan is er geen dz5: 1 invullen_x000a_" sqref="S131:V131 P131:Q131 K130 L131:N131"/>
    <dataValidation allowBlank="1" showInputMessage="1" showErrorMessage="1" prompt="Fr voor gantry  90 graden als versneller parallel aan labyrint draait of Fr voor gantry 270 graden als versneller loodrecht op labyrint draait _x000a_" sqref="W133"/>
    <dataValidation allowBlank="1" showInputMessage="1" showErrorMessage="1" prompt="binnenmuur labyrint" sqref="X131:AA131"/>
    <dataValidation allowBlank="1" showInputMessage="1" showErrorMessage="1" prompt="Als kort labyrint (&lt; 5m) gebruik dan 6,1 cm" sqref="O115"/>
    <dataValidation type="list" allowBlank="1" showInputMessage="1" showErrorMessage="1" prompt="Zie handleiding voor verwijzing naar literatuur._x000a_" sqref="Q113">
      <formula1>"1,3,9,5,4,6,2"</formula1>
    </dataValidation>
    <dataValidation type="list" allowBlank="1" showInputMessage="1" showErrorMessage="1" prompt="Zie handleiding voor verwijzing naar literatuur._x000a_" sqref="Q111">
      <formula1>"1,5,7E-16,6,9E-16"</formula1>
    </dataValidation>
    <dataValidation type="list" allowBlank="1" showInputMessage="1" showErrorMessage="1" sqref="K188:M188">
      <formula1>$C$4:$H$4</formula1>
    </dataValidation>
    <dataValidation allowBlank="1" showInputMessage="1" showErrorMessage="1" prompt="Stralingsweegfactor, WR = 20" sqref="E173"/>
    <dataValidation type="list" allowBlank="1" showInputMessage="1" showErrorMessage="1" prompt="als head shielding van wolfraam dan 0,85, als van lood dan 1_x000a_als geen neutronen dan ook 1" sqref="C16">
      <formula1>"0,85,1"</formula1>
    </dataValidation>
  </dataValidations>
  <pageMargins left="0.70866141732283472" right="0.70866141732283472" top="0.74803149606299213" bottom="0.74803149606299213" header="0.31496062992125984" footer="0.31496062992125984"/>
  <pageSetup paperSize="8" scale="30" orientation="landscape" r:id="rId1"/>
  <headerFooter>
    <oddFooter>&amp;C&amp;F &amp;A</oddFooter>
  </headerFooter>
  <ignoredErrors>
    <ignoredError sqref="B179 B185" unlocked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CL197"/>
  <sheetViews>
    <sheetView showGridLines="0" topLeftCell="A164" zoomScale="85" zoomScaleNormal="85" workbookViewId="0">
      <selection activeCell="K196" sqref="K196"/>
    </sheetView>
  </sheetViews>
  <sheetFormatPr defaultRowHeight="15" x14ac:dyDescent="0.25"/>
  <cols>
    <col min="1" max="1" width="6.7109375" style="201" customWidth="1"/>
    <col min="2" max="2" width="20.7109375" style="201" customWidth="1"/>
    <col min="3" max="21" width="12.7109375" style="201" customWidth="1"/>
    <col min="22" max="27" width="12.7109375" style="189" customWidth="1"/>
    <col min="28" max="36" width="12.7109375" style="202" customWidth="1"/>
    <col min="37" max="37" width="10" style="202" bestFit="1" customWidth="1"/>
    <col min="38" max="38" width="12.7109375" style="202" customWidth="1"/>
    <col min="39" max="39" width="10" style="202" bestFit="1" customWidth="1"/>
    <col min="40" max="45" width="12.7109375" style="202" customWidth="1"/>
    <col min="46" max="48" width="10.140625" style="202" bestFit="1" customWidth="1"/>
    <col min="49" max="55" width="12.140625" style="202" customWidth="1"/>
    <col min="56" max="60" width="10.140625" style="202" bestFit="1" customWidth="1"/>
    <col min="61" max="16384" width="9.140625" style="202"/>
  </cols>
  <sheetData>
    <row r="1" spans="1:31" s="187" customFormat="1" ht="26.25" customHeight="1" thickBot="1" x14ac:dyDescent="0.3">
      <c r="A1" s="181" t="s">
        <v>51</v>
      </c>
      <c r="B1" s="182"/>
      <c r="C1" s="183"/>
      <c r="D1" s="182"/>
      <c r="E1" s="182"/>
      <c r="F1" s="182"/>
      <c r="G1" s="182"/>
      <c r="H1" s="182"/>
      <c r="I1" s="182"/>
      <c r="J1" s="182"/>
      <c r="K1" s="182"/>
      <c r="L1" s="182"/>
      <c r="M1" s="182"/>
      <c r="N1" s="182"/>
      <c r="O1" s="182"/>
      <c r="P1" s="182"/>
      <c r="Q1" s="182"/>
      <c r="R1" s="182"/>
      <c r="S1" s="182"/>
      <c r="T1" s="182"/>
      <c r="U1" s="182"/>
      <c r="V1" s="184"/>
      <c r="W1" s="184"/>
      <c r="X1" s="184"/>
      <c r="Y1" s="184"/>
      <c r="Z1" s="184"/>
      <c r="AA1" s="184"/>
      <c r="AB1" s="185"/>
      <c r="AC1" s="185"/>
      <c r="AD1" s="185"/>
      <c r="AE1" s="186"/>
    </row>
    <row r="2" spans="1:31" s="189" customFormat="1" ht="18.75" customHeight="1" thickBot="1" x14ac:dyDescent="0.3">
      <c r="A2" s="188"/>
      <c r="F2" s="190"/>
      <c r="G2" s="190"/>
      <c r="H2" s="190"/>
    </row>
    <row r="3" spans="1:31" s="189" customFormat="1" ht="26.25" customHeight="1" thickBot="1" x14ac:dyDescent="0.3">
      <c r="A3" s="687" t="s">
        <v>314</v>
      </c>
      <c r="B3" s="688"/>
      <c r="C3" s="1868" t="s">
        <v>315</v>
      </c>
      <c r="D3" s="1868"/>
      <c r="E3" s="1868"/>
      <c r="F3" s="1869"/>
      <c r="G3" s="1870"/>
      <c r="H3" s="190"/>
      <c r="L3" s="193"/>
      <c r="M3" s="194" t="s">
        <v>420</v>
      </c>
      <c r="N3" s="195"/>
      <c r="O3" s="195"/>
      <c r="P3" s="195"/>
      <c r="Q3" s="195"/>
      <c r="R3" s="195"/>
      <c r="S3" s="195"/>
      <c r="T3" s="195"/>
    </row>
    <row r="4" spans="1:31" s="212" customFormat="1" ht="19.5" customHeight="1" thickBot="1" x14ac:dyDescent="0.3">
      <c r="A4" s="689" t="s">
        <v>55</v>
      </c>
      <c r="B4" s="690"/>
      <c r="C4" s="691">
        <v>6</v>
      </c>
      <c r="D4" s="691">
        <v>10</v>
      </c>
      <c r="E4" s="692">
        <v>18</v>
      </c>
      <c r="F4" s="691" t="s">
        <v>188</v>
      </c>
      <c r="G4" s="693" t="s">
        <v>189</v>
      </c>
      <c r="H4" s="207"/>
      <c r="I4" s="207"/>
      <c r="L4" s="195"/>
      <c r="M4" s="194"/>
      <c r="N4" s="195"/>
      <c r="O4" s="195"/>
      <c r="P4" s="195"/>
      <c r="Q4" s="195"/>
      <c r="R4" s="195"/>
      <c r="S4" s="195"/>
      <c r="T4" s="195"/>
      <c r="AD4" s="189"/>
    </row>
    <row r="5" spans="1:31" ht="22.5" customHeight="1" x14ac:dyDescent="0.25">
      <c r="A5" s="188"/>
      <c r="C5" s="205"/>
      <c r="D5" s="205"/>
      <c r="E5" s="205"/>
      <c r="F5" s="205"/>
      <c r="G5" s="205"/>
      <c r="L5" s="210"/>
      <c r="M5" s="194" t="s">
        <v>421</v>
      </c>
      <c r="N5" s="195"/>
      <c r="O5" s="195"/>
      <c r="P5" s="195"/>
      <c r="Q5" s="195"/>
      <c r="R5" s="195"/>
      <c r="S5" s="195"/>
      <c r="T5" s="195"/>
      <c r="U5" s="189"/>
      <c r="Z5" s="202"/>
      <c r="AA5" s="202"/>
    </row>
    <row r="6" spans="1:31" ht="19.5" customHeight="1" thickBot="1" x14ac:dyDescent="0.3">
      <c r="A6" s="188" t="s">
        <v>532</v>
      </c>
      <c r="B6" s="203"/>
      <c r="C6" s="650"/>
      <c r="D6" s="651"/>
      <c r="E6" s="651"/>
      <c r="F6" s="652"/>
      <c r="G6" s="652"/>
      <c r="H6" s="207"/>
      <c r="I6" s="207"/>
      <c r="J6" s="208"/>
      <c r="K6" s="209"/>
      <c r="L6" s="214"/>
      <c r="M6" s="194"/>
      <c r="N6" s="195"/>
      <c r="O6" s="195"/>
      <c r="P6" s="195"/>
      <c r="Q6" s="195"/>
      <c r="R6" s="195"/>
      <c r="S6" s="195"/>
      <c r="T6" s="195"/>
      <c r="AD6" s="211"/>
    </row>
    <row r="7" spans="1:31" s="212" customFormat="1" ht="19.5" customHeight="1" thickBot="1" x14ac:dyDescent="0.3">
      <c r="A7" s="215" t="s">
        <v>240</v>
      </c>
      <c r="B7" s="216"/>
      <c r="C7" s="1815">
        <f>10^3</f>
        <v>1000</v>
      </c>
      <c r="D7" s="217"/>
      <c r="E7" s="217"/>
      <c r="F7" s="217"/>
      <c r="G7" s="218"/>
      <c r="H7" s="189"/>
      <c r="I7" s="189"/>
      <c r="L7" s="219"/>
      <c r="M7" s="194" t="s">
        <v>651</v>
      </c>
      <c r="N7" s="195"/>
      <c r="O7" s="195"/>
      <c r="P7" s="195"/>
      <c r="Q7" s="195"/>
      <c r="R7" s="195"/>
      <c r="S7" s="195"/>
      <c r="T7" s="195"/>
    </row>
    <row r="8" spans="1:31" s="212" customFormat="1" ht="19.5" customHeight="1" x14ac:dyDescent="0.25">
      <c r="A8" s="215" t="s">
        <v>122</v>
      </c>
      <c r="B8" s="216"/>
      <c r="C8" s="1816">
        <v>0.2</v>
      </c>
      <c r="D8" s="1816">
        <v>0.2</v>
      </c>
      <c r="E8" s="1818">
        <v>0.2</v>
      </c>
      <c r="F8" s="1816">
        <v>0.2</v>
      </c>
      <c r="G8" s="1819">
        <v>0.2</v>
      </c>
      <c r="J8" s="220"/>
      <c r="K8" s="220"/>
      <c r="L8" s="195"/>
      <c r="M8" s="194"/>
      <c r="N8" s="195"/>
      <c r="O8" s="195"/>
      <c r="P8" s="195"/>
      <c r="Q8" s="195"/>
      <c r="R8" s="195"/>
      <c r="S8" s="195"/>
      <c r="T8" s="195"/>
    </row>
    <row r="9" spans="1:31" s="212" customFormat="1" ht="19.5" customHeight="1" x14ac:dyDescent="0.25">
      <c r="A9" s="221" t="s">
        <v>123</v>
      </c>
      <c r="B9" s="222"/>
      <c r="C9" s="1817">
        <v>0.5</v>
      </c>
      <c r="D9" s="1817">
        <v>0.5</v>
      </c>
      <c r="E9" s="1820">
        <v>0.5</v>
      </c>
      <c r="F9" s="1817">
        <v>0.5</v>
      </c>
      <c r="G9" s="1821">
        <v>0.5</v>
      </c>
      <c r="H9" s="189"/>
      <c r="I9" s="189"/>
      <c r="J9" s="220"/>
      <c r="K9" s="220"/>
      <c r="L9" s="223"/>
      <c r="M9" s="194" t="s">
        <v>422</v>
      </c>
      <c r="N9" s="195"/>
      <c r="O9" s="195"/>
      <c r="P9" s="195"/>
      <c r="Q9" s="195"/>
      <c r="R9" s="195"/>
      <c r="S9" s="195"/>
      <c r="T9" s="195"/>
    </row>
    <row r="10" spans="1:31" s="212" customFormat="1" ht="19.5" customHeight="1" x14ac:dyDescent="0.25">
      <c r="A10" s="221" t="s">
        <v>124</v>
      </c>
      <c r="B10" s="222"/>
      <c r="C10" s="178">
        <f>1-C9</f>
        <v>0.5</v>
      </c>
      <c r="D10" s="178">
        <f>1-D9</f>
        <v>0.5</v>
      </c>
      <c r="E10" s="179">
        <f>1-E9</f>
        <v>0.5</v>
      </c>
      <c r="F10" s="178">
        <f>1-F9</f>
        <v>0.5</v>
      </c>
      <c r="G10" s="180">
        <f>1-G9</f>
        <v>0.5</v>
      </c>
      <c r="H10" s="189"/>
      <c r="I10" s="189"/>
      <c r="J10" s="220"/>
      <c r="K10" s="220"/>
      <c r="L10" s="195"/>
      <c r="M10" s="195"/>
      <c r="N10" s="195"/>
      <c r="O10" s="195"/>
      <c r="P10" s="195"/>
      <c r="Q10" s="195"/>
      <c r="R10" s="195"/>
      <c r="S10" s="195"/>
      <c r="T10" s="195"/>
      <c r="U10" s="222"/>
      <c r="V10" s="225"/>
      <c r="W10" s="225"/>
      <c r="X10" s="225"/>
      <c r="Y10" s="225"/>
      <c r="Z10" s="225"/>
      <c r="AA10" s="225"/>
      <c r="AB10" s="225"/>
      <c r="AC10" s="225"/>
    </row>
    <row r="11" spans="1:31" s="212" customFormat="1" ht="19.5" customHeight="1" thickBot="1" x14ac:dyDescent="0.3">
      <c r="A11" s="226" t="s">
        <v>125</v>
      </c>
      <c r="B11" s="227"/>
      <c r="C11" s="1822">
        <v>5</v>
      </c>
      <c r="D11" s="1822">
        <v>5</v>
      </c>
      <c r="E11" s="1823">
        <v>5</v>
      </c>
      <c r="F11" s="1822">
        <v>5</v>
      </c>
      <c r="G11" s="1824">
        <v>5</v>
      </c>
      <c r="H11" s="189"/>
      <c r="I11" s="189"/>
      <c r="J11" s="220"/>
      <c r="K11" s="220"/>
      <c r="L11" s="228"/>
      <c r="M11" s="194" t="s">
        <v>650</v>
      </c>
      <c r="N11" s="195"/>
      <c r="O11" s="195"/>
      <c r="P11" s="195"/>
      <c r="Q11" s="195"/>
      <c r="R11" s="195"/>
      <c r="S11" s="195"/>
      <c r="T11" s="195"/>
      <c r="U11" s="222"/>
      <c r="V11" s="225"/>
      <c r="W11" s="225"/>
      <c r="X11" s="225"/>
      <c r="Y11" s="225"/>
      <c r="Z11" s="225"/>
      <c r="AA11" s="225"/>
      <c r="AB11" s="225"/>
      <c r="AC11" s="225"/>
    </row>
    <row r="12" spans="1:31" s="212" customFormat="1" ht="22.5" customHeight="1" x14ac:dyDescent="0.25">
      <c r="A12" s="222"/>
      <c r="B12" s="222"/>
      <c r="C12" s="229"/>
      <c r="D12" s="229"/>
      <c r="E12" s="229"/>
      <c r="F12" s="229"/>
      <c r="G12" s="229"/>
      <c r="H12" s="189"/>
      <c r="I12" s="189"/>
      <c r="J12" s="220"/>
      <c r="K12" s="220"/>
      <c r="L12" s="195"/>
      <c r="M12" s="194"/>
      <c r="N12" s="195"/>
      <c r="O12" s="195"/>
      <c r="P12" s="195"/>
      <c r="Q12" s="195"/>
      <c r="R12" s="195"/>
      <c r="S12" s="195"/>
      <c r="T12" s="195"/>
      <c r="U12" s="222"/>
      <c r="V12" s="225"/>
      <c r="W12" s="225"/>
      <c r="X12" s="225"/>
      <c r="Y12" s="225"/>
      <c r="Z12" s="225"/>
      <c r="AA12" s="225"/>
      <c r="AB12" s="225"/>
      <c r="AC12" s="225"/>
    </row>
    <row r="13" spans="1:31" s="212" customFormat="1" ht="19.5" customHeight="1" thickBot="1" x14ac:dyDescent="0.3">
      <c r="A13" s="230" t="s">
        <v>429</v>
      </c>
      <c r="B13" s="222"/>
      <c r="C13" s="231"/>
      <c r="D13" s="231"/>
      <c r="E13" s="231"/>
      <c r="F13" s="231"/>
      <c r="G13" s="231"/>
      <c r="H13" s="189"/>
      <c r="I13" s="189"/>
      <c r="J13" s="220"/>
      <c r="K13" s="220"/>
      <c r="L13" s="232"/>
      <c r="M13" s="194" t="s">
        <v>649</v>
      </c>
      <c r="N13" s="222"/>
      <c r="O13" s="222"/>
      <c r="P13" s="225"/>
      <c r="Q13" s="222"/>
      <c r="R13" s="222"/>
      <c r="S13" s="222"/>
      <c r="T13" s="233"/>
      <c r="U13" s="222"/>
      <c r="V13" s="225"/>
      <c r="W13" s="225"/>
      <c r="X13" s="225"/>
      <c r="Y13" s="225"/>
      <c r="Z13" s="225"/>
      <c r="AA13" s="225"/>
      <c r="AB13" s="225"/>
      <c r="AC13" s="225"/>
    </row>
    <row r="14" spans="1:31" s="212" customFormat="1" ht="19.5" customHeight="1" x14ac:dyDescent="0.2">
      <c r="A14" s="215" t="s">
        <v>417</v>
      </c>
      <c r="B14" s="234"/>
      <c r="C14" s="1825">
        <v>0.04</v>
      </c>
      <c r="D14" s="1825">
        <v>0.04</v>
      </c>
      <c r="E14" s="1825">
        <v>0.04</v>
      </c>
      <c r="F14" s="1825">
        <v>0.04</v>
      </c>
      <c r="G14" s="1826">
        <v>0.04</v>
      </c>
      <c r="H14" s="189"/>
      <c r="I14" s="189"/>
      <c r="L14" s="235"/>
      <c r="M14" s="194"/>
    </row>
    <row r="15" spans="1:31" s="212" customFormat="1" ht="19.5" customHeight="1" thickBot="1" x14ac:dyDescent="0.25">
      <c r="A15" s="236" t="s">
        <v>121</v>
      </c>
      <c r="B15" s="237"/>
      <c r="C15" s="1827">
        <v>1E-3</v>
      </c>
      <c r="D15" s="238"/>
      <c r="E15" s="238"/>
      <c r="F15" s="238"/>
      <c r="G15" s="239"/>
      <c r="H15" s="189"/>
      <c r="I15" s="189"/>
      <c r="J15" s="240"/>
      <c r="K15" s="225"/>
      <c r="L15" s="241"/>
      <c r="M15" s="194" t="s">
        <v>423</v>
      </c>
      <c r="N15" s="225"/>
      <c r="O15" s="225"/>
      <c r="P15" s="225"/>
      <c r="AD15" s="242"/>
    </row>
    <row r="16" spans="1:31" s="212" customFormat="1" ht="19.5" customHeight="1" thickBot="1" x14ac:dyDescent="0.25">
      <c r="A16" s="226" t="s">
        <v>652</v>
      </c>
      <c r="B16" s="227"/>
      <c r="C16" s="1828">
        <v>0.85</v>
      </c>
      <c r="D16" s="243"/>
      <c r="E16" s="243"/>
      <c r="F16" s="243"/>
      <c r="G16" s="244"/>
      <c r="H16" s="189"/>
      <c r="I16" s="189"/>
      <c r="J16" s="240"/>
      <c r="K16" s="225"/>
      <c r="L16" s="235"/>
      <c r="M16" s="194"/>
      <c r="N16" s="225"/>
      <c r="O16" s="225"/>
      <c r="P16" s="225"/>
      <c r="AD16" s="242"/>
    </row>
    <row r="17" spans="1:29" s="212" customFormat="1" ht="19.5" customHeight="1" thickBot="1" x14ac:dyDescent="0.3">
      <c r="A17" s="245" t="s">
        <v>210</v>
      </c>
      <c r="B17" s="246"/>
      <c r="C17" s="1829">
        <v>1</v>
      </c>
      <c r="D17" s="1830">
        <v>1</v>
      </c>
      <c r="E17" s="1831">
        <v>1</v>
      </c>
      <c r="F17" s="1832">
        <v>1</v>
      </c>
      <c r="G17" s="1833">
        <v>1</v>
      </c>
      <c r="J17" s="220"/>
      <c r="K17" s="220"/>
      <c r="L17" s="222"/>
      <c r="M17" s="222"/>
      <c r="N17" s="222"/>
      <c r="O17" s="222"/>
      <c r="P17" s="57"/>
      <c r="Q17" s="222"/>
    </row>
    <row r="18" spans="1:29" s="212" customFormat="1" ht="22.5" customHeight="1" x14ac:dyDescent="0.25">
      <c r="A18" s="222"/>
      <c r="B18" s="222"/>
      <c r="C18" s="229"/>
      <c r="D18" s="229"/>
      <c r="E18" s="229"/>
      <c r="F18" s="229"/>
      <c r="G18" s="229"/>
      <c r="H18" s="189"/>
      <c r="I18" s="189"/>
      <c r="J18" s="220"/>
      <c r="K18" s="220"/>
      <c r="L18" s="222"/>
      <c r="M18" s="222"/>
      <c r="N18" s="222"/>
      <c r="O18" s="222"/>
      <c r="P18" s="225"/>
      <c r="Q18" s="222"/>
      <c r="R18" s="222"/>
      <c r="S18" s="222"/>
      <c r="T18" s="233"/>
      <c r="U18" s="222"/>
      <c r="V18" s="225"/>
      <c r="W18" s="225"/>
      <c r="X18" s="225"/>
      <c r="Y18" s="225"/>
      <c r="Z18" s="225"/>
      <c r="AA18" s="225"/>
      <c r="AB18" s="225"/>
      <c r="AC18" s="225"/>
    </row>
    <row r="19" spans="1:29" s="212" customFormat="1" ht="19.5" customHeight="1" thickBot="1" x14ac:dyDescent="0.3">
      <c r="A19" s="247" t="s">
        <v>419</v>
      </c>
      <c r="B19" s="222"/>
      <c r="C19" s="231"/>
      <c r="D19" s="231"/>
      <c r="E19" s="231"/>
      <c r="F19" s="231"/>
      <c r="G19" s="231"/>
      <c r="H19" s="189"/>
      <c r="I19" s="189"/>
      <c r="J19" s="220"/>
      <c r="K19" s="220"/>
      <c r="L19" s="222"/>
      <c r="M19" s="222"/>
      <c r="N19" s="222"/>
      <c r="O19" s="222"/>
      <c r="P19" s="225"/>
      <c r="Q19" s="222"/>
      <c r="R19" s="222"/>
      <c r="S19" s="222"/>
      <c r="T19" s="233"/>
      <c r="U19" s="222"/>
      <c r="V19" s="225"/>
      <c r="W19" s="225"/>
      <c r="X19" s="225"/>
      <c r="Y19" s="225"/>
      <c r="Z19" s="225"/>
      <c r="AA19" s="225"/>
      <c r="AB19" s="225"/>
      <c r="AC19" s="225"/>
    </row>
    <row r="20" spans="1:29" s="212" customFormat="1" ht="19.5" customHeight="1" x14ac:dyDescent="0.25">
      <c r="A20" s="248"/>
      <c r="B20" s="249"/>
      <c r="C20" s="250" t="s">
        <v>20</v>
      </c>
      <c r="D20" s="251"/>
      <c r="E20" s="251"/>
      <c r="F20" s="251"/>
      <c r="G20" s="252"/>
      <c r="H20" s="221"/>
      <c r="I20" s="222"/>
      <c r="J20" s="220"/>
      <c r="K20" s="220"/>
      <c r="L20" s="222"/>
      <c r="M20" s="222"/>
      <c r="N20" s="222"/>
      <c r="O20" s="222"/>
      <c r="P20" s="225"/>
      <c r="Q20" s="222"/>
      <c r="R20" s="222"/>
      <c r="S20" s="222"/>
      <c r="T20" s="233"/>
      <c r="U20" s="222"/>
      <c r="V20" s="225"/>
      <c r="W20" s="225"/>
      <c r="X20" s="225"/>
      <c r="Y20" s="225"/>
      <c r="Z20" s="225"/>
      <c r="AA20" s="225"/>
      <c r="AB20" s="225"/>
      <c r="AC20" s="225"/>
    </row>
    <row r="21" spans="1:29" s="212" customFormat="1" ht="19.5" customHeight="1" x14ac:dyDescent="0.25">
      <c r="A21" s="221"/>
      <c r="B21" s="253" t="s">
        <v>266</v>
      </c>
      <c r="C21" s="254">
        <f>VLOOKUP($C$4,'TVT''s afscherming'!$A$10:$J$23,2)</f>
        <v>37</v>
      </c>
      <c r="D21" s="255">
        <f>VLOOKUP($D$4,'TVT''s afscherming'!$A$10:$J$23,2)</f>
        <v>41</v>
      </c>
      <c r="E21" s="255">
        <f>VLOOKUP($E$4,'TVT''s afscherming'!$A$10:$J$23,2)</f>
        <v>45</v>
      </c>
      <c r="F21" s="255">
        <f>VLOOKUP($F$4,'TVT''s afscherming'!$A$10:$J$23,2)</f>
        <v>30</v>
      </c>
      <c r="G21" s="256">
        <f>VLOOKUP($G$4,'TVT''s afscherming'!$A$10:$J$23,2)</f>
        <v>36</v>
      </c>
      <c r="H21" s="221"/>
      <c r="I21" s="225"/>
      <c r="J21" s="220"/>
      <c r="K21" s="220"/>
      <c r="L21" s="222"/>
      <c r="M21" s="222"/>
      <c r="N21" s="222"/>
      <c r="O21" s="222"/>
      <c r="P21" s="225"/>
      <c r="Q21" s="222"/>
      <c r="R21" s="222"/>
      <c r="S21" s="222"/>
      <c r="T21" s="233"/>
      <c r="U21" s="222"/>
      <c r="V21" s="225"/>
      <c r="W21" s="225"/>
      <c r="X21" s="225"/>
      <c r="Y21" s="225"/>
      <c r="Z21" s="225"/>
      <c r="AA21" s="225"/>
      <c r="AB21" s="225"/>
      <c r="AC21" s="225"/>
    </row>
    <row r="22" spans="1:29" s="262" customFormat="1" ht="19.5" customHeight="1" x14ac:dyDescent="0.25">
      <c r="A22" s="257"/>
      <c r="B22" s="222" t="s">
        <v>267</v>
      </c>
      <c r="C22" s="258">
        <f>VLOOKUP($C$4,'TVT''s afscherming'!$A$10:$J$23,3)</f>
        <v>33</v>
      </c>
      <c r="D22" s="258">
        <f>VLOOKUP($D$4,'TVT''s afscherming'!$A$10:$J$23,3)</f>
        <v>37</v>
      </c>
      <c r="E22" s="258">
        <f>VLOOKUP($E$4,'TVT''s afscherming'!$A$10:$J$23,3)</f>
        <v>43</v>
      </c>
      <c r="F22" s="258">
        <f>VLOOKUP($F$4,'TVT''s afscherming'!$A$10:$J$23,3)</f>
        <v>27</v>
      </c>
      <c r="G22" s="259">
        <f>VLOOKUP($G$4,'TVT''s afscherming'!$A$10:$J$23,3)</f>
        <v>36</v>
      </c>
      <c r="H22" s="260"/>
      <c r="I22" s="261"/>
      <c r="J22" s="220"/>
      <c r="K22" s="220"/>
      <c r="L22" s="222"/>
      <c r="M22" s="222"/>
      <c r="N22" s="222"/>
      <c r="O22" s="222"/>
      <c r="P22" s="261"/>
      <c r="Q22" s="222"/>
      <c r="R22" s="222"/>
      <c r="S22" s="222"/>
      <c r="U22" s="222"/>
      <c r="V22" s="222"/>
      <c r="W22" s="222"/>
      <c r="X22" s="261"/>
      <c r="Y22" s="261"/>
      <c r="Z22" s="225"/>
      <c r="AA22" s="225"/>
      <c r="AB22" s="225"/>
      <c r="AC22" s="225"/>
    </row>
    <row r="23" spans="1:29" s="262" customFormat="1" ht="19.5" customHeight="1" x14ac:dyDescent="0.25">
      <c r="A23" s="221"/>
      <c r="B23" s="211" t="s">
        <v>61</v>
      </c>
      <c r="C23" s="263">
        <f>VLOOKUP($C$4,'TVT''s afscherming'!$A$10:$J$23,4)</f>
        <v>24.2</v>
      </c>
      <c r="D23" s="258">
        <f>VLOOKUP($D$4,'TVT''s afscherming'!$A$10:$J$23,4)</f>
        <v>27</v>
      </c>
      <c r="E23" s="258">
        <f>VLOOKUP($E$4,'TVT''s afscherming'!$A$10:$J$23,4)</f>
        <v>27</v>
      </c>
      <c r="F23" s="258">
        <f>VLOOKUP($F$4,'TVT''s afscherming'!$A$10:$J$23,4)</f>
        <v>19.7</v>
      </c>
      <c r="G23" s="259">
        <f>VLOOKUP($G$4,'TVT''s afscherming'!$A$10:$J$23,4)</f>
        <v>23.6</v>
      </c>
      <c r="H23" s="264"/>
      <c r="I23" s="261"/>
      <c r="J23" s="220"/>
      <c r="K23" s="220"/>
      <c r="L23" s="222"/>
      <c r="M23" s="222"/>
      <c r="N23" s="222"/>
      <c r="O23" s="222"/>
      <c r="P23" s="261"/>
      <c r="Q23" s="222"/>
      <c r="R23" s="222"/>
      <c r="S23" s="222"/>
      <c r="U23" s="222"/>
      <c r="V23" s="222"/>
      <c r="W23" s="222"/>
      <c r="X23" s="261"/>
      <c r="Y23" s="261"/>
      <c r="Z23" s="261"/>
      <c r="AA23" s="225"/>
      <c r="AB23" s="225"/>
      <c r="AC23" s="225"/>
    </row>
    <row r="24" spans="1:29" s="212" customFormat="1" ht="19.5" customHeight="1" x14ac:dyDescent="0.25">
      <c r="A24" s="221"/>
      <c r="B24" s="211" t="s">
        <v>3</v>
      </c>
      <c r="C24" s="263">
        <f>VLOOKUP($C$4,'TVT''s afscherming'!$A$10:$J$23,5)</f>
        <v>9.9</v>
      </c>
      <c r="D24" s="258">
        <f>VLOOKUP($D$4,'TVT''s afscherming'!$A$10:$J$23,5)</f>
        <v>10</v>
      </c>
      <c r="E24" s="258">
        <f>VLOOKUP($E$4,'TVT''s afscherming'!$A$10:$J$23,5)</f>
        <v>11</v>
      </c>
      <c r="F24" s="258">
        <f>VLOOKUP($F$4,'TVT''s afscherming'!$A$10:$J$23,5)</f>
        <v>10.199999999999999</v>
      </c>
      <c r="G24" s="259">
        <f>VLOOKUP($G$4,'TVT''s afscherming'!$A$10:$J$23,5)</f>
        <v>10.199999999999999</v>
      </c>
      <c r="H24" s="257"/>
      <c r="I24" s="225"/>
      <c r="J24" s="220"/>
      <c r="K24" s="220"/>
      <c r="L24" s="222"/>
      <c r="M24" s="222"/>
      <c r="N24" s="222"/>
      <c r="O24" s="261"/>
      <c r="P24" s="225"/>
      <c r="Q24" s="262"/>
      <c r="R24" s="262"/>
      <c r="S24" s="262"/>
      <c r="T24" s="233"/>
      <c r="U24" s="222"/>
      <c r="V24" s="265"/>
      <c r="W24" s="266"/>
      <c r="X24" s="225"/>
      <c r="Y24" s="225"/>
      <c r="Z24" s="261"/>
      <c r="AA24" s="225"/>
      <c r="AB24" s="225"/>
      <c r="AC24" s="225"/>
    </row>
    <row r="25" spans="1:29" s="212" customFormat="1" ht="19.5" customHeight="1" x14ac:dyDescent="0.25">
      <c r="A25" s="221"/>
      <c r="B25" s="211" t="s">
        <v>22</v>
      </c>
      <c r="C25" s="263">
        <f>VLOOKUP($C$4,'TVT''s afscherming'!$A$10:$J$23,6)</f>
        <v>5.7</v>
      </c>
      <c r="D25" s="258">
        <f>VLOOKUP($D$4,'TVT''s afscherming'!$A$10:$J$23,6)</f>
        <v>5.7</v>
      </c>
      <c r="E25" s="258">
        <f>VLOOKUP($E$4,'TVT''s afscherming'!$A$10:$J$23,6)</f>
        <v>5.6</v>
      </c>
      <c r="F25" s="258">
        <f>VLOOKUP($F$4,'TVT''s afscherming'!$A$10:$J$23,6)</f>
        <v>5.7</v>
      </c>
      <c r="G25" s="259">
        <f>VLOOKUP($G$4,'TVT''s afscherming'!$A$10:$J$23,6)</f>
        <v>5.7</v>
      </c>
      <c r="H25" s="257"/>
      <c r="I25" s="225"/>
      <c r="J25" s="267"/>
      <c r="K25" s="267"/>
      <c r="L25" s="222"/>
      <c r="M25" s="222"/>
      <c r="N25" s="222"/>
      <c r="O25" s="261"/>
      <c r="P25" s="225"/>
      <c r="Q25" s="262"/>
      <c r="R25" s="262"/>
      <c r="S25" s="262"/>
      <c r="U25" s="222"/>
      <c r="V25" s="222"/>
      <c r="W25" s="222"/>
      <c r="X25" s="225"/>
      <c r="Y25" s="225"/>
      <c r="Z25" s="225"/>
      <c r="AA25" s="225"/>
      <c r="AB25" s="225"/>
      <c r="AC25" s="225"/>
    </row>
    <row r="26" spans="1:29" s="212" customFormat="1" ht="19.5" customHeight="1" x14ac:dyDescent="0.25">
      <c r="A26" s="257"/>
      <c r="B26" s="268"/>
      <c r="C26" s="269" t="s">
        <v>139</v>
      </c>
      <c r="D26" s="270"/>
      <c r="E26" s="270"/>
      <c r="F26" s="270"/>
      <c r="G26" s="271"/>
      <c r="H26" s="257"/>
      <c r="I26" s="225"/>
      <c r="J26" s="240"/>
      <c r="K26" s="225"/>
      <c r="L26" s="225"/>
      <c r="M26" s="225"/>
      <c r="N26" s="225"/>
      <c r="O26" s="225"/>
      <c r="P26" s="225"/>
      <c r="Q26" s="225"/>
      <c r="S26" s="222"/>
      <c r="U26" s="222"/>
      <c r="V26" s="222"/>
      <c r="W26" s="222"/>
      <c r="X26" s="225"/>
      <c r="Y26" s="225"/>
      <c r="Z26" s="225"/>
      <c r="AA26" s="225"/>
      <c r="AB26" s="225"/>
      <c r="AC26" s="225"/>
    </row>
    <row r="27" spans="1:29" s="212" customFormat="1" ht="19.5" customHeight="1" x14ac:dyDescent="0.25">
      <c r="A27" s="257"/>
      <c r="B27" s="253" t="s">
        <v>2</v>
      </c>
      <c r="C27" s="254">
        <f>VLOOKUP($C$4,'TVT''s afscherming'!$A$10:$J$23,7)</f>
        <v>34</v>
      </c>
      <c r="D27" s="254">
        <f>VLOOKUP($D$4,'TVT''s afscherming'!$A$10:$J$23,7)</f>
        <v>38</v>
      </c>
      <c r="E27" s="255">
        <f>VLOOKUP($E$4,'TVT''s afscherming'!$A$10:$J$23,7)</f>
        <v>44</v>
      </c>
      <c r="F27" s="254">
        <f>VLOOKUP($F$4,'TVT''s afscherming'!$A$10:$J$23,7)</f>
        <v>30.5</v>
      </c>
      <c r="G27" s="256">
        <f>VLOOKUP($G$4,'TVT''s afscherming'!$A$10:$J$23,7)</f>
        <v>35.6</v>
      </c>
      <c r="H27" s="257"/>
      <c r="I27" s="225"/>
      <c r="J27" s="272"/>
      <c r="K27" s="272"/>
      <c r="L27" s="222"/>
      <c r="M27" s="222"/>
      <c r="N27" s="222"/>
      <c r="O27" s="222"/>
      <c r="P27" s="225"/>
      <c r="Q27" s="222"/>
      <c r="U27" s="222"/>
      <c r="V27" s="225"/>
      <c r="W27" s="225"/>
      <c r="X27" s="225"/>
      <c r="Y27" s="225"/>
      <c r="Z27" s="225"/>
      <c r="AA27" s="261"/>
      <c r="AB27" s="261"/>
      <c r="AC27" s="261"/>
    </row>
    <row r="28" spans="1:29" s="212" customFormat="1" ht="19.5" customHeight="1" x14ac:dyDescent="0.25">
      <c r="A28" s="257"/>
      <c r="B28" s="211" t="s">
        <v>61</v>
      </c>
      <c r="C28" s="263">
        <f>VLOOKUP($C$4,'TVT''s afscherming'!$A$10:$J$23,8)</f>
        <v>20</v>
      </c>
      <c r="D28" s="263">
        <f>VLOOKUP($D$4,'TVT''s afscherming'!$A$10:$J$23,8)</f>
        <v>24</v>
      </c>
      <c r="E28" s="258">
        <f>VLOOKUP($E$4,'TVT''s afscherming'!$A$10:$J$23,8)</f>
        <v>26.8</v>
      </c>
      <c r="F28" s="263">
        <f>VLOOKUP($F$4,'TVT''s afscherming'!$A$10:$J$23,8)</f>
        <v>20.3</v>
      </c>
      <c r="G28" s="259">
        <f>VLOOKUP($G$4,'TVT''s afscherming'!$A$10:$J$23,8)</f>
        <v>23.7</v>
      </c>
      <c r="J28" s="272"/>
      <c r="K28" s="272"/>
      <c r="L28" s="222"/>
      <c r="M28" s="222"/>
      <c r="N28" s="222"/>
      <c r="O28" s="222"/>
      <c r="P28" s="225"/>
      <c r="Q28" s="222"/>
      <c r="U28" s="222"/>
      <c r="V28" s="222"/>
      <c r="W28" s="222"/>
      <c r="X28" s="222"/>
    </row>
    <row r="29" spans="1:29" s="212" customFormat="1" ht="19.5" customHeight="1" x14ac:dyDescent="0.25">
      <c r="A29" s="257"/>
      <c r="B29" s="211" t="s">
        <v>3</v>
      </c>
      <c r="C29" s="263">
        <f>VLOOKUP($C$4,'TVT''s afscherming'!$A$10:$J$23,9)</f>
        <v>9.9</v>
      </c>
      <c r="D29" s="263">
        <f>VLOOKUP($D$4,'TVT''s afscherming'!$A$10:$J$23,9)</f>
        <v>10</v>
      </c>
      <c r="E29" s="258">
        <f>VLOOKUP($E$4,'TVT''s afscherming'!$A$10:$J$23,9)</f>
        <v>11</v>
      </c>
      <c r="F29" s="263">
        <f>VLOOKUP($F$4,'TVT''s afscherming'!$A$10:$J$23,9)</f>
        <v>10.199999999999999</v>
      </c>
      <c r="G29" s="259">
        <f>VLOOKUP($G$4,'TVT''s afscherming'!$A$10:$J$23,9)</f>
        <v>10.7</v>
      </c>
      <c r="I29" s="211"/>
      <c r="J29" s="272"/>
      <c r="K29" s="272"/>
      <c r="L29" s="222"/>
      <c r="M29" s="222"/>
      <c r="N29" s="222"/>
      <c r="O29" s="222"/>
      <c r="P29" s="225"/>
      <c r="Q29" s="222"/>
      <c r="U29" s="222"/>
      <c r="V29" s="222"/>
      <c r="W29" s="222"/>
      <c r="X29" s="222"/>
    </row>
    <row r="30" spans="1:29" s="212" customFormat="1" ht="19.5" customHeight="1" thickBot="1" x14ac:dyDescent="0.3">
      <c r="A30" s="273"/>
      <c r="B30" s="274" t="s">
        <v>22</v>
      </c>
      <c r="C30" s="275">
        <f>VLOOKUP($C$4,'TVT''s afscherming'!$A$10:$J$23,10)</f>
        <v>5.7</v>
      </c>
      <c r="D30" s="275">
        <f>VLOOKUP($D$4,'TVT''s afscherming'!$A$10:$J$23,10)</f>
        <v>5.7</v>
      </c>
      <c r="E30" s="276">
        <f>VLOOKUP($E$4,'TVT''s afscherming'!$A$10:$J$23,10)</f>
        <v>5.6</v>
      </c>
      <c r="F30" s="275">
        <f>VLOOKUP($F$4,'TVT''s afscherming'!$A$10:$J$23,10)</f>
        <v>5</v>
      </c>
      <c r="G30" s="277">
        <f>VLOOKUP($G$4,'TVT''s afscherming'!$A$10:$J$23,10)</f>
        <v>5.7</v>
      </c>
      <c r="J30" s="272"/>
      <c r="K30" s="272"/>
      <c r="L30" s="222"/>
      <c r="M30" s="222"/>
      <c r="N30" s="222"/>
      <c r="O30" s="222"/>
      <c r="P30" s="225"/>
      <c r="Q30" s="222"/>
      <c r="T30" s="222"/>
      <c r="U30" s="242"/>
      <c r="V30" s="222"/>
      <c r="W30" s="222"/>
      <c r="X30" s="222"/>
      <c r="Y30" s="222"/>
    </row>
    <row r="31" spans="1:29" s="212" customFormat="1" ht="19.5" customHeight="1" x14ac:dyDescent="0.25">
      <c r="A31" s="222"/>
      <c r="J31" s="272"/>
      <c r="K31" s="272"/>
      <c r="L31" s="222"/>
      <c r="M31" s="222"/>
      <c r="N31" s="222"/>
      <c r="O31" s="222"/>
      <c r="P31" s="225"/>
      <c r="Q31" s="222"/>
      <c r="T31" s="222"/>
      <c r="U31" s="242"/>
      <c r="V31" s="222"/>
      <c r="W31" s="222"/>
      <c r="X31" s="222"/>
      <c r="Y31" s="222"/>
    </row>
    <row r="32" spans="1:29" s="212" customFormat="1" ht="22.5" customHeight="1" x14ac:dyDescent="0.25">
      <c r="T32" s="222"/>
      <c r="U32" s="233"/>
      <c r="V32" s="233"/>
      <c r="W32" s="222"/>
      <c r="X32" s="222"/>
      <c r="Y32" s="222"/>
    </row>
    <row r="33" spans="1:52" s="212" customFormat="1" ht="22.5" customHeight="1" x14ac:dyDescent="0.25">
      <c r="I33" s="189"/>
      <c r="T33" s="222"/>
      <c r="U33" s="233"/>
      <c r="V33" s="233"/>
      <c r="W33" s="222"/>
      <c r="X33" s="222"/>
      <c r="Y33" s="222"/>
    </row>
    <row r="34" spans="1:52" ht="19.5" customHeight="1" thickBot="1" x14ac:dyDescent="0.3">
      <c r="A34" s="283" t="s">
        <v>506</v>
      </c>
      <c r="B34" s="284"/>
      <c r="C34" s="284"/>
      <c r="D34" s="280"/>
      <c r="L34" s="289"/>
      <c r="M34" s="290"/>
      <c r="N34" s="290"/>
      <c r="O34" s="290"/>
      <c r="P34" s="290"/>
      <c r="Q34" s="290"/>
      <c r="R34" s="290"/>
      <c r="S34" s="290"/>
      <c r="T34" s="290"/>
      <c r="U34" s="290"/>
      <c r="V34" s="290"/>
      <c r="W34" s="290"/>
      <c r="X34" s="290"/>
      <c r="AB34" s="189"/>
      <c r="AF34" s="281"/>
      <c r="AG34" s="281"/>
      <c r="AH34" s="282"/>
      <c r="AI34" s="282"/>
    </row>
    <row r="35" spans="1:52" s="212" customFormat="1" ht="19.5" customHeight="1" x14ac:dyDescent="0.25">
      <c r="J35" s="653"/>
      <c r="K35" s="292">
        <f>$C$4</f>
        <v>6</v>
      </c>
      <c r="L35" s="293"/>
      <c r="M35" s="294"/>
      <c r="N35" s="292">
        <f>$D$4</f>
        <v>10</v>
      </c>
      <c r="O35" s="293"/>
      <c r="P35" s="294"/>
      <c r="Q35" s="292">
        <f>$E$4</f>
        <v>18</v>
      </c>
      <c r="R35" s="293"/>
      <c r="S35" s="294"/>
      <c r="T35" s="292" t="str">
        <f>$F$4</f>
        <v>6 FFF</v>
      </c>
      <c r="U35" s="293"/>
      <c r="V35" s="294"/>
      <c r="W35" s="292" t="str">
        <f>$G$4</f>
        <v>10 FFF</v>
      </c>
      <c r="X35" s="295"/>
      <c r="Y35" s="296"/>
      <c r="Z35" s="297" t="s">
        <v>16</v>
      </c>
      <c r="AA35" s="298"/>
      <c r="AB35" s="257"/>
      <c r="AC35" s="225"/>
      <c r="AG35" s="299"/>
      <c r="AH35" s="299"/>
      <c r="AI35" s="299"/>
      <c r="AJ35" s="299"/>
      <c r="AK35" s="299"/>
      <c r="AL35" s="299"/>
      <c r="AP35" s="222"/>
      <c r="AQ35" s="211"/>
      <c r="AR35" s="266"/>
      <c r="AS35" s="222"/>
      <c r="AT35" s="187"/>
      <c r="AU35" s="187"/>
      <c r="AV35" s="187"/>
      <c r="AW35" s="187"/>
      <c r="AX35" s="187"/>
      <c r="AY35" s="300"/>
      <c r="AZ35" s="300"/>
    </row>
    <row r="36" spans="1:52" s="212" customFormat="1" ht="19.5" customHeight="1" x14ac:dyDescent="0.25">
      <c r="A36" s="301" t="s">
        <v>50</v>
      </c>
      <c r="B36" s="301" t="s">
        <v>15</v>
      </c>
      <c r="C36" s="302" t="s">
        <v>25</v>
      </c>
      <c r="D36" s="302" t="s">
        <v>158</v>
      </c>
      <c r="E36" s="301" t="s">
        <v>524</v>
      </c>
      <c r="F36" s="303"/>
      <c r="G36" s="304" t="s">
        <v>77</v>
      </c>
      <c r="H36" s="305"/>
      <c r="I36" s="306"/>
      <c r="J36" s="301" t="s">
        <v>86</v>
      </c>
      <c r="K36" s="301" t="s">
        <v>206</v>
      </c>
      <c r="L36" s="301" t="s">
        <v>16</v>
      </c>
      <c r="M36" s="301" t="s">
        <v>86</v>
      </c>
      <c r="N36" s="301" t="s">
        <v>206</v>
      </c>
      <c r="O36" s="301" t="s">
        <v>16</v>
      </c>
      <c r="P36" s="301" t="s">
        <v>86</v>
      </c>
      <c r="Q36" s="301" t="s">
        <v>206</v>
      </c>
      <c r="R36" s="301" t="s">
        <v>16</v>
      </c>
      <c r="S36" s="301" t="s">
        <v>86</v>
      </c>
      <c r="T36" s="301" t="s">
        <v>206</v>
      </c>
      <c r="U36" s="301" t="s">
        <v>16</v>
      </c>
      <c r="V36" s="301" t="s">
        <v>86</v>
      </c>
      <c r="W36" s="301" t="s">
        <v>206</v>
      </c>
      <c r="X36" s="301" t="s">
        <v>16</v>
      </c>
      <c r="Y36" s="307" t="s">
        <v>23</v>
      </c>
      <c r="Z36" s="308" t="s">
        <v>11</v>
      </c>
      <c r="AA36" s="309" t="s">
        <v>11</v>
      </c>
      <c r="AG36" s="310"/>
      <c r="AH36" s="310"/>
      <c r="AI36" s="310"/>
      <c r="AJ36" s="310"/>
      <c r="AK36" s="310"/>
      <c r="AL36" s="310"/>
      <c r="AP36" s="222"/>
      <c r="AQ36" s="211"/>
      <c r="AR36" s="242"/>
      <c r="AS36" s="222"/>
      <c r="AT36" s="225"/>
      <c r="AU36" s="225"/>
      <c r="AV36" s="311"/>
      <c r="AW36" s="225"/>
      <c r="AX36" s="225"/>
      <c r="AY36" s="300"/>
      <c r="AZ36" s="300"/>
    </row>
    <row r="37" spans="1:52" s="212" customFormat="1" ht="19.5" customHeight="1" thickBot="1" x14ac:dyDescent="0.3">
      <c r="A37" s="308"/>
      <c r="B37" s="308"/>
      <c r="C37" s="313"/>
      <c r="D37" s="313" t="s">
        <v>383</v>
      </c>
      <c r="E37" s="312" t="s">
        <v>528</v>
      </c>
      <c r="F37" s="312" t="s">
        <v>1</v>
      </c>
      <c r="G37" s="312" t="s">
        <v>61</v>
      </c>
      <c r="H37" s="312" t="s">
        <v>3</v>
      </c>
      <c r="I37" s="312" t="s">
        <v>22</v>
      </c>
      <c r="J37" s="314" t="s">
        <v>208</v>
      </c>
      <c r="K37" s="314" t="s">
        <v>207</v>
      </c>
      <c r="L37" s="315" t="s">
        <v>174</v>
      </c>
      <c r="M37" s="314" t="s">
        <v>208</v>
      </c>
      <c r="N37" s="314" t="s">
        <v>207</v>
      </c>
      <c r="O37" s="315" t="s">
        <v>174</v>
      </c>
      <c r="P37" s="314" t="s">
        <v>208</v>
      </c>
      <c r="Q37" s="314" t="s">
        <v>207</v>
      </c>
      <c r="R37" s="315" t="s">
        <v>174</v>
      </c>
      <c r="S37" s="314" t="s">
        <v>208</v>
      </c>
      <c r="T37" s="314" t="s">
        <v>207</v>
      </c>
      <c r="U37" s="315" t="s">
        <v>174</v>
      </c>
      <c r="V37" s="314" t="s">
        <v>208</v>
      </c>
      <c r="W37" s="314" t="s">
        <v>207</v>
      </c>
      <c r="X37" s="315" t="s">
        <v>174</v>
      </c>
      <c r="Y37" s="316" t="s">
        <v>173</v>
      </c>
      <c r="Z37" s="179" t="s">
        <v>173</v>
      </c>
      <c r="AA37" s="309" t="s">
        <v>166</v>
      </c>
      <c r="AG37" s="310"/>
      <c r="AH37" s="310"/>
      <c r="AI37" s="310"/>
      <c r="AJ37" s="310"/>
      <c r="AK37" s="310"/>
      <c r="AL37" s="310"/>
      <c r="AP37" s="222"/>
      <c r="AQ37" s="211"/>
      <c r="AR37" s="222"/>
      <c r="AS37" s="222"/>
      <c r="AT37" s="225"/>
      <c r="AU37" s="225"/>
      <c r="AV37" s="225"/>
      <c r="AW37" s="225"/>
      <c r="AX37" s="225"/>
      <c r="AY37" s="300"/>
      <c r="AZ37" s="300"/>
    </row>
    <row r="38" spans="1:52" s="212" customFormat="1" ht="19.5" hidden="1" customHeight="1" thickBot="1" x14ac:dyDescent="0.3">
      <c r="A38" s="694"/>
      <c r="B38" s="694"/>
      <c r="C38" s="695"/>
      <c r="D38" s="695"/>
      <c r="E38" s="694"/>
      <c r="F38" s="694"/>
      <c r="G38" s="694"/>
      <c r="H38" s="694"/>
      <c r="I38" s="694"/>
      <c r="J38" s="97"/>
      <c r="K38" s="97"/>
      <c r="L38" s="58"/>
      <c r="M38" s="97"/>
      <c r="N38" s="97"/>
      <c r="O38" s="58"/>
      <c r="P38" s="97"/>
      <c r="Q38" s="97"/>
      <c r="R38" s="58"/>
      <c r="S38" s="97"/>
      <c r="T38" s="97"/>
      <c r="U38" s="58"/>
      <c r="V38" s="97"/>
      <c r="W38" s="97"/>
      <c r="X38" s="90"/>
      <c r="Y38" s="319"/>
      <c r="Z38" s="320"/>
      <c r="AA38" s="321"/>
      <c r="AG38" s="310"/>
      <c r="AH38" s="310"/>
      <c r="AI38" s="310"/>
      <c r="AJ38" s="310"/>
      <c r="AK38" s="310"/>
      <c r="AL38" s="310"/>
      <c r="AP38" s="222"/>
      <c r="AQ38" s="211"/>
      <c r="AR38" s="222"/>
      <c r="AS38" s="222"/>
      <c r="AT38" s="225"/>
      <c r="AU38" s="225"/>
      <c r="AV38" s="225"/>
      <c r="AW38" s="225"/>
      <c r="AX38" s="225"/>
      <c r="AY38" s="300"/>
      <c r="AZ38" s="300"/>
    </row>
    <row r="39" spans="1:52" s="212" customFormat="1" ht="30" customHeight="1" x14ac:dyDescent="0.25">
      <c r="A39" s="322"/>
      <c r="B39" s="322"/>
      <c r="C39" s="323" t="s">
        <v>569</v>
      </c>
      <c r="D39" s="1834">
        <v>6</v>
      </c>
      <c r="E39" s="1834">
        <v>1</v>
      </c>
      <c r="F39" s="1834">
        <v>250</v>
      </c>
      <c r="G39" s="1834">
        <v>0</v>
      </c>
      <c r="H39" s="1834">
        <v>0</v>
      </c>
      <c r="I39" s="1835">
        <v>0</v>
      </c>
      <c r="J39" s="91">
        <f>IF($F39=0,0,1+($F39-$C$21)/$C$22)+$G39/$C$23+$H39/$C$24+$I39/$C$25</f>
        <v>7.4545454545454541</v>
      </c>
      <c r="K39" s="97">
        <f t="shared" ref="K39:K76" si="0">10^(-J39)</f>
        <v>3.5111917342151263E-8</v>
      </c>
      <c r="L39" s="91">
        <f>($C$7*$C$14*$C$8*$E39/$D39^2*K39*10^6)</f>
        <v>7.8026482982558355E-3</v>
      </c>
      <c r="M39" s="91">
        <f>IF($F39=0,0,1+($F39-$D$21)/$D$22)+$G39/$D$23+$H39/$D$24+$I39/$D$25</f>
        <v>6.6486486486486482</v>
      </c>
      <c r="N39" s="97">
        <f t="shared" ref="N39:N76" si="1">10^(-M39)</f>
        <v>2.2456979955397711E-7</v>
      </c>
      <c r="O39" s="91">
        <f>($C$7*$D$14*$D$8*$E39/$D39^2*N39*10^6)</f>
        <v>4.99043999008838E-2</v>
      </c>
      <c r="P39" s="91">
        <f>IF($F39=0,0,1+($F39-$E$21)/$E$22)+$G39/$E$23+$H39/$E$24+$I39/$E$25</f>
        <v>5.7674418604651159</v>
      </c>
      <c r="Q39" s="97">
        <f t="shared" ref="Q39:Q76" si="2">10^(-P39)</f>
        <v>1.7082763938087111E-6</v>
      </c>
      <c r="R39" s="91">
        <f>($C$7*$E$14*$E$8*$E39/$D39^2*Q39*10^6)</f>
        <v>0.37961697640193576</v>
      </c>
      <c r="S39" s="91">
        <f>IF($F39=0,0,1+($F39-$F$21)/$F$22)+$G39/$F$23+$H39/$F$24+$I39/$F$25</f>
        <v>9.1481481481481488</v>
      </c>
      <c r="T39" s="97">
        <f t="shared" ref="T39:T76" si="3">10^(-S39)</f>
        <v>7.1097094323124171E-10</v>
      </c>
      <c r="U39" s="91">
        <f>($C$7*$F$14*$F$8*$E39/$D39^2*T39*10^6)</f>
        <v>1.5799354294027593E-4</v>
      </c>
      <c r="V39" s="91">
        <f>IF($F39=0,0,1+($F39-$G$21)/$G$22)+$G39/$G$23+$H39/$G$24+$I39/$G$25</f>
        <v>6.9444444444444446</v>
      </c>
      <c r="W39" s="97">
        <f t="shared" ref="W39:W76" si="4">10^(-V39)</f>
        <v>1.136463666385722E-7</v>
      </c>
      <c r="X39" s="76">
        <f>($C$7*$G$14*$G$8*$E39/$D39^2*W39*10^6)</f>
        <v>2.5254748141904933E-2</v>
      </c>
      <c r="Y39" s="654">
        <f t="shared" ref="Y39:Y49" si="5">SUM(L39,O39,R39,U39,X39)</f>
        <v>0.46273676628592059</v>
      </c>
      <c r="Z39" s="325"/>
      <c r="AA39" s="326"/>
      <c r="AG39" s="328"/>
      <c r="AI39" s="328"/>
      <c r="AJ39" s="328"/>
      <c r="AK39" s="328"/>
      <c r="AL39" s="328"/>
      <c r="AP39" s="222"/>
      <c r="AQ39" s="211"/>
      <c r="AR39" s="222"/>
      <c r="AS39" s="222"/>
      <c r="AT39" s="225"/>
      <c r="AU39" s="225"/>
      <c r="AV39" s="225"/>
      <c r="AW39" s="225"/>
      <c r="AX39" s="225"/>
      <c r="AY39" s="300"/>
      <c r="AZ39" s="300"/>
    </row>
    <row r="40" spans="1:52" s="212" customFormat="1" ht="30" customHeight="1" thickBot="1" x14ac:dyDescent="0.3">
      <c r="A40" s="329" t="str">
        <f>Samenvatting!A13</f>
        <v>B1</v>
      </c>
      <c r="B40" s="330" t="str">
        <f>Samenvatting!B13</f>
        <v>bedieningsruimte Linac 1</v>
      </c>
      <c r="C40" s="331" t="s">
        <v>568</v>
      </c>
      <c r="D40" s="1836">
        <v>5</v>
      </c>
      <c r="E40" s="89"/>
      <c r="F40" s="1834">
        <v>250</v>
      </c>
      <c r="G40" s="1834">
        <v>0</v>
      </c>
      <c r="H40" s="1834">
        <v>0</v>
      </c>
      <c r="I40" s="1835">
        <v>0</v>
      </c>
      <c r="J40" s="91">
        <f>$F40/$C$27+$G40/$C$28+$H40/$C$29+$I40/$C$30</f>
        <v>7.3529411764705879</v>
      </c>
      <c r="K40" s="97">
        <f t="shared" si="0"/>
        <v>4.4366873309786093E-8</v>
      </c>
      <c r="L40" s="91">
        <f>($C$7*$C$15*$C$8*($C$9+$C$10*$C$11)/$D40^2*K40*10^6)</f>
        <v>1.0648049594348663E-3</v>
      </c>
      <c r="M40" s="91">
        <f>$F40/$D$27+$G40/$D$28+$H40/$D$29+$I40/$D$30</f>
        <v>6.5789473684210522</v>
      </c>
      <c r="N40" s="97">
        <f t="shared" si="1"/>
        <v>2.636650898730358E-7</v>
      </c>
      <c r="O40" s="91">
        <f>($C$7*$C$15*$D$8*($D$9+$D$10*$D$11)/$D40^2*N40*10^6)</f>
        <v>6.3279621569528599E-3</v>
      </c>
      <c r="P40" s="91">
        <f>$F40/$E$27+$G40/$E$28+$H40/$E$29+$I40/$E$30</f>
        <v>5.6818181818181817</v>
      </c>
      <c r="Q40" s="97">
        <f t="shared" si="2"/>
        <v>2.0805675382171676E-6</v>
      </c>
      <c r="R40" s="91">
        <f>($C$7*$C$15*$E$8*($E$9+$E$10*$E$11)/$D40^2*Q40*10^6)</f>
        <v>4.9933620917212027E-2</v>
      </c>
      <c r="S40" s="91">
        <f>$F40/$F$27+$G40/$F$28+$H40/$F$29+$I40/$F$30</f>
        <v>8.1967213114754092</v>
      </c>
      <c r="T40" s="97">
        <f t="shared" si="3"/>
        <v>6.3573875711648393E-9</v>
      </c>
      <c r="U40" s="91">
        <f>($C$7*$C$15*$F$8*($F$9+$F$10*$F$11)/$D40^2*T40*10^6)</f>
        <v>1.5257730170795616E-4</v>
      </c>
      <c r="V40" s="91">
        <f>$F40/$G$27+$G40/$G$28+$H40/$G$29+$I40/$G$30</f>
        <v>7.0224719101123592</v>
      </c>
      <c r="W40" s="97">
        <f t="shared" si="4"/>
        <v>9.4957241494880226E-8</v>
      </c>
      <c r="X40" s="76">
        <f>($C$7*$C$15*$G$8*($G$9+$G$10*$G$11)/$D40^2*W40*10^6)</f>
        <v>2.278973795877126E-3</v>
      </c>
      <c r="Y40" s="655">
        <f t="shared" si="5"/>
        <v>5.9757939131184837E-2</v>
      </c>
      <c r="Z40" s="333">
        <f>SUM(Y38:Y41)</f>
        <v>0.52249470541710541</v>
      </c>
      <c r="AA40" s="334">
        <f>Z40*52/10^3</f>
        <v>2.7169724681689482E-2</v>
      </c>
      <c r="AG40" s="328"/>
      <c r="AH40" s="328"/>
      <c r="AI40" s="328"/>
      <c r="AJ40" s="328"/>
      <c r="AK40" s="328"/>
      <c r="AL40" s="328"/>
      <c r="AP40" s="222"/>
      <c r="AQ40" s="211"/>
      <c r="AR40" s="222"/>
      <c r="AS40" s="222"/>
      <c r="AT40" s="225"/>
      <c r="AU40" s="225"/>
      <c r="AV40" s="225"/>
      <c r="AW40" s="225"/>
      <c r="AX40" s="225"/>
      <c r="AY40" s="300"/>
      <c r="AZ40" s="300"/>
    </row>
    <row r="41" spans="1:52" s="212" customFormat="1" ht="30" hidden="1" customHeight="1" thickBot="1" x14ac:dyDescent="0.3">
      <c r="A41" s="317"/>
      <c r="B41" s="317"/>
      <c r="C41" s="318"/>
      <c r="D41" s="1838"/>
      <c r="E41" s="1839"/>
      <c r="F41" s="1839"/>
      <c r="G41" s="1839"/>
      <c r="H41" s="1839"/>
      <c r="I41" s="1839"/>
      <c r="J41" s="91"/>
      <c r="K41" s="97"/>
      <c r="L41" s="91"/>
      <c r="M41" s="91"/>
      <c r="N41" s="97"/>
      <c r="O41" s="91"/>
      <c r="P41" s="91"/>
      <c r="Q41" s="97"/>
      <c r="R41" s="91"/>
      <c r="S41" s="91"/>
      <c r="T41" s="97"/>
      <c r="U41" s="91"/>
      <c r="V41" s="91"/>
      <c r="W41" s="97"/>
      <c r="X41" s="76"/>
      <c r="Y41" s="335"/>
      <c r="Z41" s="336"/>
      <c r="AA41" s="309"/>
      <c r="AG41" s="328"/>
      <c r="AH41" s="328"/>
      <c r="AI41" s="328"/>
      <c r="AJ41" s="328"/>
      <c r="AK41" s="328"/>
      <c r="AL41" s="328"/>
      <c r="AP41" s="222"/>
      <c r="AQ41" s="211"/>
      <c r="AR41" s="222"/>
      <c r="AS41" s="222"/>
      <c r="AT41" s="225"/>
      <c r="AU41" s="225"/>
      <c r="AV41" s="225"/>
      <c r="AW41" s="225"/>
      <c r="AX41" s="225"/>
      <c r="AY41" s="300"/>
      <c r="AZ41" s="300"/>
    </row>
    <row r="42" spans="1:52" s="212" customFormat="1" ht="30" customHeight="1" x14ac:dyDescent="0.25">
      <c r="A42" s="322"/>
      <c r="B42" s="322"/>
      <c r="C42" s="323" t="s">
        <v>569</v>
      </c>
      <c r="D42" s="1840">
        <v>6</v>
      </c>
      <c r="E42" s="1840">
        <v>1</v>
      </c>
      <c r="F42" s="1834">
        <v>250</v>
      </c>
      <c r="G42" s="1834">
        <v>0</v>
      </c>
      <c r="H42" s="1834">
        <v>0</v>
      </c>
      <c r="I42" s="1835">
        <v>0</v>
      </c>
      <c r="J42" s="91">
        <f>IF($F42=0,0,1+($F42-$C$21)/$C$22)+$G42/$C$23+$H42/$C$24+$I42/$C$25</f>
        <v>7.4545454545454541</v>
      </c>
      <c r="K42" s="97">
        <f t="shared" si="0"/>
        <v>3.5111917342151263E-8</v>
      </c>
      <c r="L42" s="91">
        <f>($C$7*$C$14*$C$8*$E42/$D42^2*K42*10^6)</f>
        <v>7.8026482982558355E-3</v>
      </c>
      <c r="M42" s="91">
        <f>IF($F42=0,0,1+($F42-$D$21)/$D$22)+$G42/$D$23+$H42/$D$24+$I42/$D$25</f>
        <v>6.6486486486486482</v>
      </c>
      <c r="N42" s="97">
        <f t="shared" si="1"/>
        <v>2.2456979955397711E-7</v>
      </c>
      <c r="O42" s="91">
        <f>($C$7*$D$14*$D$8*$E42/$D42^2*N42*10^6)</f>
        <v>4.99043999008838E-2</v>
      </c>
      <c r="P42" s="91">
        <f>IF($F42=0,0,1+($F42-$E$21)/$E$22)+$G42/$E$23+$H42/$E$24+$I42/$E$25</f>
        <v>5.7674418604651159</v>
      </c>
      <c r="Q42" s="97">
        <f t="shared" si="2"/>
        <v>1.7082763938087111E-6</v>
      </c>
      <c r="R42" s="91">
        <f>($C$7*$E$14*$E$8*$E42/$D42^2*Q42*10^6)</f>
        <v>0.37961697640193576</v>
      </c>
      <c r="S42" s="91">
        <f>IF($F42=0,0,1+($F42-$F$21)/$F$22)+$G42/$F$23+$H42/$F$24+$I42/$F$25</f>
        <v>9.1481481481481488</v>
      </c>
      <c r="T42" s="97">
        <f t="shared" si="3"/>
        <v>7.1097094323124171E-10</v>
      </c>
      <c r="U42" s="91">
        <f>($C$7*$F$14*$F$8*$E42/$D42^2*T42*10^6)</f>
        <v>1.5799354294027593E-4</v>
      </c>
      <c r="V42" s="91">
        <f>IF($F42=0,0,1+($F42-$G$21)/$G$22)+$G42/$G$23+$H42/$G$24+$I42/$G$25</f>
        <v>6.9444444444444446</v>
      </c>
      <c r="W42" s="97">
        <f t="shared" si="4"/>
        <v>1.136463666385722E-7</v>
      </c>
      <c r="X42" s="76">
        <f>($C$7*$G$14*$G$8*$E42/$D42^2*W42*10^6)</f>
        <v>2.5254748141904933E-2</v>
      </c>
      <c r="Y42" s="324">
        <f t="shared" si="5"/>
        <v>0.46273676628592059</v>
      </c>
      <c r="Z42" s="325"/>
      <c r="AA42" s="326"/>
      <c r="AG42" s="328"/>
      <c r="AI42" s="328"/>
      <c r="AJ42" s="328"/>
      <c r="AK42" s="328"/>
      <c r="AL42" s="328"/>
      <c r="AP42" s="222"/>
      <c r="AQ42" s="211"/>
      <c r="AR42" s="222"/>
      <c r="AS42" s="222"/>
      <c r="AT42" s="225"/>
      <c r="AU42" s="225"/>
      <c r="AV42" s="225"/>
      <c r="AW42" s="225"/>
      <c r="AX42" s="225"/>
      <c r="AY42" s="300"/>
      <c r="AZ42" s="300"/>
    </row>
    <row r="43" spans="1:52" s="212" customFormat="1" ht="30" customHeight="1" thickBot="1" x14ac:dyDescent="0.3">
      <c r="A43" s="337" t="str">
        <f>Samenvatting!A25</f>
        <v>B2</v>
      </c>
      <c r="B43" s="338" t="str">
        <f>Samenvatting!B25</f>
        <v>bedieningsruimte Linac 2</v>
      </c>
      <c r="C43" s="331" t="s">
        <v>568</v>
      </c>
      <c r="D43" s="1836">
        <v>5</v>
      </c>
      <c r="E43" s="89"/>
      <c r="F43" s="1834">
        <v>250</v>
      </c>
      <c r="G43" s="1834">
        <v>0</v>
      </c>
      <c r="H43" s="1834">
        <v>0</v>
      </c>
      <c r="I43" s="1835">
        <v>0</v>
      </c>
      <c r="J43" s="91">
        <f>$F43/$C$27+$G43/$C$28+$H43/$C$29+$I43/$C$30</f>
        <v>7.3529411764705879</v>
      </c>
      <c r="K43" s="97">
        <f t="shared" si="0"/>
        <v>4.4366873309786093E-8</v>
      </c>
      <c r="L43" s="91">
        <f>($C$7*$C$15*$C$8*($C$9+$C$10*$C$11)/$D43^2*K43*10^6)</f>
        <v>1.0648049594348663E-3</v>
      </c>
      <c r="M43" s="91">
        <f>$F43/$D$27+$G43/$D$28+$H43/$D$29+$I43/$D$30</f>
        <v>6.5789473684210522</v>
      </c>
      <c r="N43" s="97">
        <f t="shared" si="1"/>
        <v>2.636650898730358E-7</v>
      </c>
      <c r="O43" s="91">
        <f>($C$7*$C$15*$D$8*($D$9+$D$10*$D$11)/$D43^2*N43*10^6)</f>
        <v>6.3279621569528599E-3</v>
      </c>
      <c r="P43" s="91">
        <f>$F43/$E$27+$G43/$E$28+$H43/$E$29+$I43/$E$30</f>
        <v>5.6818181818181817</v>
      </c>
      <c r="Q43" s="97">
        <f t="shared" si="2"/>
        <v>2.0805675382171676E-6</v>
      </c>
      <c r="R43" s="91">
        <f>($C$7*$C$15*$E$8*($E$9+$E$10*$E$11)/$D43^2*Q43*10^6)</f>
        <v>4.9933620917212027E-2</v>
      </c>
      <c r="S43" s="91">
        <f>$F43/$F$27+$G43/$F$28+$H43/$F$29+$I43/$F$30</f>
        <v>8.1967213114754092</v>
      </c>
      <c r="T43" s="97">
        <f t="shared" si="3"/>
        <v>6.3573875711648393E-9</v>
      </c>
      <c r="U43" s="91">
        <f>($C$7*$C$15*$F$8*($F$9+$F$10*$F$11)/$D43^2*T43*10^6)</f>
        <v>1.5257730170795616E-4</v>
      </c>
      <c r="V43" s="91">
        <f>$F43/$G$27+$G43/$G$28+$H43/$G$29+$I43/$G$30</f>
        <v>7.0224719101123592</v>
      </c>
      <c r="W43" s="97">
        <f t="shared" si="4"/>
        <v>9.4957241494880226E-8</v>
      </c>
      <c r="X43" s="76">
        <f>($C$7*$C$15*$G$8*($G$9+$G$10*$G$11)/$D43^2*W43*10^6)</f>
        <v>2.278973795877126E-3</v>
      </c>
      <c r="Y43" s="339">
        <f t="shared" si="5"/>
        <v>5.9757939131184837E-2</v>
      </c>
      <c r="Z43" s="333">
        <f>SUM(Y41:Y44)</f>
        <v>0.52249470541710541</v>
      </c>
      <c r="AA43" s="334">
        <f>Z43*52/10^3</f>
        <v>2.7169724681689482E-2</v>
      </c>
      <c r="AG43" s="328"/>
      <c r="AH43" s="328"/>
      <c r="AI43" s="328"/>
      <c r="AJ43" s="328"/>
      <c r="AK43" s="328"/>
      <c r="AL43" s="328"/>
      <c r="AP43" s="222"/>
      <c r="AQ43" s="211"/>
      <c r="AR43" s="222"/>
      <c r="AS43" s="222"/>
      <c r="AT43" s="225"/>
      <c r="AU43" s="225"/>
      <c r="AV43" s="225"/>
      <c r="AW43" s="225"/>
      <c r="AX43" s="225"/>
      <c r="AY43" s="300"/>
      <c r="AZ43" s="300"/>
    </row>
    <row r="44" spans="1:52" s="212" customFormat="1" ht="30" hidden="1" customHeight="1" thickBot="1" x14ac:dyDescent="0.3">
      <c r="A44" s="317"/>
      <c r="B44" s="317"/>
      <c r="C44" s="341"/>
      <c r="D44" s="1841"/>
      <c r="E44" s="1842"/>
      <c r="F44" s="1842"/>
      <c r="G44" s="1842"/>
      <c r="H44" s="1842"/>
      <c r="I44" s="1842"/>
      <c r="J44" s="91"/>
      <c r="K44" s="97"/>
      <c r="L44" s="91"/>
      <c r="M44" s="91"/>
      <c r="N44" s="97"/>
      <c r="O44" s="91"/>
      <c r="P44" s="91"/>
      <c r="Q44" s="97"/>
      <c r="R44" s="91"/>
      <c r="S44" s="91"/>
      <c r="T44" s="97"/>
      <c r="U44" s="91"/>
      <c r="V44" s="91"/>
      <c r="W44" s="97"/>
      <c r="X44" s="76"/>
      <c r="Y44" s="316"/>
      <c r="Z44" s="344"/>
      <c r="AA44" s="345"/>
      <c r="AG44" s="328"/>
      <c r="AH44" s="328"/>
      <c r="AI44" s="328"/>
      <c r="AJ44" s="328"/>
      <c r="AK44" s="328"/>
      <c r="AL44" s="328"/>
      <c r="AP44" s="222"/>
      <c r="AQ44" s="211"/>
      <c r="AR44" s="222"/>
      <c r="AS44" s="222"/>
      <c r="AT44" s="225"/>
      <c r="AU44" s="225"/>
      <c r="AV44" s="225"/>
      <c r="AW44" s="225"/>
      <c r="AX44" s="225"/>
      <c r="AY44" s="300"/>
      <c r="AZ44" s="300"/>
    </row>
    <row r="45" spans="1:52" s="212" customFormat="1" ht="30" customHeight="1" x14ac:dyDescent="0.25">
      <c r="A45" s="322"/>
      <c r="B45" s="322"/>
      <c r="C45" s="323" t="s">
        <v>569</v>
      </c>
      <c r="D45" s="1840">
        <v>6</v>
      </c>
      <c r="E45" s="1840">
        <v>1</v>
      </c>
      <c r="F45" s="1834">
        <v>250</v>
      </c>
      <c r="G45" s="1834">
        <v>0</v>
      </c>
      <c r="H45" s="1834">
        <v>0</v>
      </c>
      <c r="I45" s="1835">
        <v>0</v>
      </c>
      <c r="J45" s="91">
        <f>IF($F45=0,0,1+($F45-$C$21)/$C$22)+$G45/$C$23+$H45/$C$24+$I45/$C$25</f>
        <v>7.4545454545454541</v>
      </c>
      <c r="K45" s="97">
        <f t="shared" si="0"/>
        <v>3.5111917342151263E-8</v>
      </c>
      <c r="L45" s="91">
        <f>($C$7*$C$14*$C$8*$E45/$D45^2*K45*10^6)</f>
        <v>7.8026482982558355E-3</v>
      </c>
      <c r="M45" s="91">
        <f>IF($F45=0,0,1+($F45-$D$21)/$D$22)+$G45/$D$23+$H45/$D$24+$I45/$D$25</f>
        <v>6.6486486486486482</v>
      </c>
      <c r="N45" s="97">
        <f t="shared" si="1"/>
        <v>2.2456979955397711E-7</v>
      </c>
      <c r="O45" s="91">
        <f>($C$7*$E$14*$D$8*$E45/$D45^2*N45*10^6)</f>
        <v>4.99043999008838E-2</v>
      </c>
      <c r="P45" s="91">
        <f>IF($F45=0,0,1+($F45-$E$21)/$E$22)+$G45/$E$23+$H45/$E$24+$I45/$E$25</f>
        <v>5.7674418604651159</v>
      </c>
      <c r="Q45" s="97">
        <f t="shared" si="2"/>
        <v>1.7082763938087111E-6</v>
      </c>
      <c r="R45" s="91">
        <f>($C$7*$E$14*$E$8*$E45/$D45^2*Q45*10^6)</f>
        <v>0.37961697640193576</v>
      </c>
      <c r="S45" s="91">
        <f>IF($F45=0,0,1+($F45-$F$21)/$F$22)+$G45/$F$23+$H45/$F$24+$I45/$F$25</f>
        <v>9.1481481481481488</v>
      </c>
      <c r="T45" s="97">
        <f t="shared" si="3"/>
        <v>7.1097094323124171E-10</v>
      </c>
      <c r="U45" s="91">
        <f>($C$7*$F$14*$F$8*$E45/$D45^2*T45*10^6)</f>
        <v>1.5799354294027593E-4</v>
      </c>
      <c r="V45" s="91">
        <f>IF($F45=0,0,1+($F45-$G$21)/$G$22)+$G45/$G$23+$H45/$G$24+$I45/$G$25</f>
        <v>6.9444444444444446</v>
      </c>
      <c r="W45" s="97">
        <f t="shared" si="4"/>
        <v>1.136463666385722E-7</v>
      </c>
      <c r="X45" s="76">
        <f>($C$7*$G$14*$G$8*$E45/$D45^2*W45*10^6)</f>
        <v>2.5254748141904933E-2</v>
      </c>
      <c r="Y45" s="324">
        <f t="shared" si="5"/>
        <v>0.46273676628592059</v>
      </c>
      <c r="Z45" s="325"/>
      <c r="AA45" s="326"/>
      <c r="AG45" s="328"/>
      <c r="AI45" s="328"/>
      <c r="AJ45" s="328"/>
      <c r="AK45" s="328"/>
      <c r="AL45" s="328"/>
      <c r="AP45" s="222"/>
      <c r="AQ45" s="211"/>
      <c r="AR45" s="222"/>
      <c r="AS45" s="222"/>
      <c r="AT45" s="225"/>
      <c r="AU45" s="225"/>
      <c r="AV45" s="225"/>
      <c r="AW45" s="225"/>
      <c r="AX45" s="225"/>
      <c r="AY45" s="300"/>
      <c r="AZ45" s="300"/>
    </row>
    <row r="46" spans="1:52" s="212" customFormat="1" ht="30" customHeight="1" thickBot="1" x14ac:dyDescent="0.3">
      <c r="A46" s="343" t="str">
        <f>Samenvatting!A37</f>
        <v>B3</v>
      </c>
      <c r="B46" s="338" t="str">
        <f>Samenvatting!B37</f>
        <v>bedieningsruimte Linac 3</v>
      </c>
      <c r="C46" s="331" t="s">
        <v>568</v>
      </c>
      <c r="D46" s="1836">
        <v>5</v>
      </c>
      <c r="E46" s="89"/>
      <c r="F46" s="1834">
        <v>250</v>
      </c>
      <c r="G46" s="1834">
        <v>0</v>
      </c>
      <c r="H46" s="1834">
        <v>0</v>
      </c>
      <c r="I46" s="1835">
        <v>0</v>
      </c>
      <c r="J46" s="91">
        <f>$F46/$C$27+$G46/$C$28+$H46/$C$29+$I46/$C$30</f>
        <v>7.3529411764705879</v>
      </c>
      <c r="K46" s="97">
        <f t="shared" si="0"/>
        <v>4.4366873309786093E-8</v>
      </c>
      <c r="L46" s="91">
        <f>($C$7*$C$15*$C$8*($C$9+$C$10*$C$11)/$D46^2*K46*10^6)</f>
        <v>1.0648049594348663E-3</v>
      </c>
      <c r="M46" s="91">
        <f>$F46/$D$27+$G46/$D$28+$H46/$D$29+$I46/$D$30</f>
        <v>6.5789473684210522</v>
      </c>
      <c r="N46" s="97">
        <f t="shared" si="1"/>
        <v>2.636650898730358E-7</v>
      </c>
      <c r="O46" s="91">
        <f>($C$7*$C$15*$D$8*($D$9+$D$10*$D$11)/$D46^2*N46*10^6)</f>
        <v>6.3279621569528599E-3</v>
      </c>
      <c r="P46" s="91">
        <f>$F46/$E$27+$G46/$E$28+$H46/$E$29+$I46/$E$30</f>
        <v>5.6818181818181817</v>
      </c>
      <c r="Q46" s="97">
        <f t="shared" si="2"/>
        <v>2.0805675382171676E-6</v>
      </c>
      <c r="R46" s="91">
        <f>($C$7*$C$15*$E$8*($E$9+$E$10*$E$11)/$D46^2*Q46*10^6)</f>
        <v>4.9933620917212027E-2</v>
      </c>
      <c r="S46" s="91">
        <f>$F46/$F$27+$G46/$F$28+$H46/$F$29+$I46/$F$30</f>
        <v>8.1967213114754092</v>
      </c>
      <c r="T46" s="97">
        <f t="shared" si="3"/>
        <v>6.3573875711648393E-9</v>
      </c>
      <c r="U46" s="91">
        <f>($C$7*$C$15*$F$8*($F$9+$F$10*$F$11)/$D46^2*T46*10^6)</f>
        <v>1.5257730170795616E-4</v>
      </c>
      <c r="V46" s="91">
        <f>$F46/$G$27+$G46/$G$28+$H46/$G$29+$I46/$G$30</f>
        <v>7.0224719101123592</v>
      </c>
      <c r="W46" s="97">
        <f t="shared" si="4"/>
        <v>9.4957241494880226E-8</v>
      </c>
      <c r="X46" s="76">
        <f>($C$7*$C$15*$G$8*($G$9+$G$10*$G$11)/$D46^2*W46*10^6)</f>
        <v>2.278973795877126E-3</v>
      </c>
      <c r="Y46" s="339">
        <f t="shared" si="5"/>
        <v>5.9757939131184837E-2</v>
      </c>
      <c r="Z46" s="333">
        <f>SUM(Y44:Y47)</f>
        <v>0.52249470541710541</v>
      </c>
      <c r="AA46" s="334">
        <f>Z46*52/10^3</f>
        <v>2.7169724681689482E-2</v>
      </c>
      <c r="AG46" s="328"/>
      <c r="AH46" s="328"/>
      <c r="AI46" s="328"/>
      <c r="AJ46" s="328"/>
      <c r="AK46" s="328"/>
      <c r="AL46" s="328"/>
      <c r="AP46" s="222"/>
      <c r="AQ46" s="211"/>
      <c r="AR46" s="222"/>
      <c r="AS46" s="222"/>
      <c r="AT46" s="225"/>
      <c r="AU46" s="225"/>
      <c r="AV46" s="225"/>
      <c r="AW46" s="225"/>
      <c r="AX46" s="225"/>
      <c r="AY46" s="300"/>
      <c r="AZ46" s="300"/>
    </row>
    <row r="47" spans="1:52" s="212" customFormat="1" ht="30" hidden="1" customHeight="1" thickBot="1" x14ac:dyDescent="0.3">
      <c r="A47" s="317"/>
      <c r="B47" s="317"/>
      <c r="C47" s="318"/>
      <c r="D47" s="1838"/>
      <c r="E47" s="1839"/>
      <c r="F47" s="1839"/>
      <c r="G47" s="1839"/>
      <c r="H47" s="1839"/>
      <c r="I47" s="1839"/>
      <c r="J47" s="91"/>
      <c r="K47" s="97"/>
      <c r="L47" s="91"/>
      <c r="M47" s="91"/>
      <c r="N47" s="97"/>
      <c r="O47" s="91"/>
      <c r="P47" s="91"/>
      <c r="Q47" s="97"/>
      <c r="R47" s="91"/>
      <c r="S47" s="91"/>
      <c r="T47" s="97"/>
      <c r="U47" s="91"/>
      <c r="V47" s="91"/>
      <c r="W47" s="97"/>
      <c r="X47" s="76"/>
      <c r="Y47" s="335"/>
      <c r="Z47" s="344"/>
      <c r="AA47" s="345"/>
      <c r="AG47" s="328"/>
      <c r="AH47" s="328"/>
      <c r="AI47" s="328"/>
      <c r="AJ47" s="328"/>
      <c r="AK47" s="328"/>
      <c r="AL47" s="328"/>
      <c r="AP47" s="222"/>
      <c r="AQ47" s="211"/>
      <c r="AR47" s="222"/>
      <c r="AS47" s="222"/>
      <c r="AT47" s="225"/>
      <c r="AU47" s="225"/>
      <c r="AV47" s="225"/>
      <c r="AW47" s="225"/>
      <c r="AX47" s="225"/>
      <c r="AY47" s="300"/>
      <c r="AZ47" s="300"/>
    </row>
    <row r="48" spans="1:52" s="212" customFormat="1" ht="30" customHeight="1" x14ac:dyDescent="0.25">
      <c r="A48" s="322"/>
      <c r="B48" s="322"/>
      <c r="C48" s="323" t="s">
        <v>569</v>
      </c>
      <c r="D48" s="1840">
        <v>6</v>
      </c>
      <c r="E48" s="1840">
        <v>1</v>
      </c>
      <c r="F48" s="1834">
        <v>250</v>
      </c>
      <c r="G48" s="1834">
        <v>0</v>
      </c>
      <c r="H48" s="1834">
        <v>0</v>
      </c>
      <c r="I48" s="1835">
        <v>0</v>
      </c>
      <c r="J48" s="91">
        <f>IF($F48=0,0,1+($F48-$C$21)/$C$22)+$G48/$C$23+$H48/$C$24+$I48/$C$25</f>
        <v>7.4545454545454541</v>
      </c>
      <c r="K48" s="97">
        <f t="shared" si="0"/>
        <v>3.5111917342151263E-8</v>
      </c>
      <c r="L48" s="91">
        <f>($C$7*$C$14*$C$8*$E48/$D48^2*K48*10^6)</f>
        <v>7.8026482982558355E-3</v>
      </c>
      <c r="M48" s="91">
        <f>IF($F48=0,0,1+($F48-$D$21)/$D$22)+$G48/$D$23+$H48/$D$24+$I48/$D$25</f>
        <v>6.6486486486486482</v>
      </c>
      <c r="N48" s="97">
        <f t="shared" si="1"/>
        <v>2.2456979955397711E-7</v>
      </c>
      <c r="O48" s="91">
        <f>($C$7*$D$14*$D$8*$E48/$D48^2*N48*10^6)</f>
        <v>4.99043999008838E-2</v>
      </c>
      <c r="P48" s="91">
        <f>IF($F48=0,0,1+($F48-$E$21)/$E$22)+$G48/$E$23+$H48/$E$24+$I48/$E$25</f>
        <v>5.7674418604651159</v>
      </c>
      <c r="Q48" s="97">
        <f t="shared" si="2"/>
        <v>1.7082763938087111E-6</v>
      </c>
      <c r="R48" s="91">
        <f>($C$7*$E$14*$E$8*$E48/$D48^2*Q48*10^6)</f>
        <v>0.37961697640193576</v>
      </c>
      <c r="S48" s="91">
        <f>IF($F48=0,0,1+($F48-$F$21)/$F$22)+$G48/$F$23+$H48/$F$24+$I48/$F$25</f>
        <v>9.1481481481481488</v>
      </c>
      <c r="T48" s="97">
        <f t="shared" si="3"/>
        <v>7.1097094323124171E-10</v>
      </c>
      <c r="U48" s="91">
        <f>($C$7*$F$14*$F$8*$E48/$D48^2*T48*10^6)</f>
        <v>1.5799354294027593E-4</v>
      </c>
      <c r="V48" s="91">
        <f>IF($F48=0,0,1+($F48-$G$21)/$G$22)+$G48/$G$23+$H48/$G$24+$I48/$G$25</f>
        <v>6.9444444444444446</v>
      </c>
      <c r="W48" s="97">
        <f t="shared" si="4"/>
        <v>1.136463666385722E-7</v>
      </c>
      <c r="X48" s="76">
        <f>($C$7*$G$14*$G$8*$E48/$D48^2*W48*10^6)</f>
        <v>2.5254748141904933E-2</v>
      </c>
      <c r="Y48" s="324">
        <f t="shared" si="5"/>
        <v>0.46273676628592059</v>
      </c>
      <c r="Z48" s="325"/>
      <c r="AA48" s="326"/>
      <c r="AG48" s="328"/>
      <c r="AI48" s="328"/>
      <c r="AJ48" s="328"/>
      <c r="AK48" s="328"/>
      <c r="AL48" s="328"/>
      <c r="AP48" s="222"/>
      <c r="AQ48" s="211"/>
      <c r="AR48" s="222"/>
      <c r="AS48" s="222"/>
      <c r="AT48" s="225"/>
      <c r="AU48" s="225"/>
      <c r="AV48" s="225"/>
      <c r="AW48" s="225"/>
      <c r="AX48" s="225"/>
      <c r="AY48" s="300"/>
      <c r="AZ48" s="300"/>
    </row>
    <row r="49" spans="1:52" s="212" customFormat="1" ht="30" customHeight="1" thickBot="1" x14ac:dyDescent="0.3">
      <c r="A49" s="343" t="str">
        <f>Samenvatting!A49</f>
        <v>B4</v>
      </c>
      <c r="B49" s="338" t="str">
        <f>Samenvatting!B49</f>
        <v>bedieningsruimte Linac 4</v>
      </c>
      <c r="C49" s="331" t="s">
        <v>568</v>
      </c>
      <c r="D49" s="1836">
        <v>5</v>
      </c>
      <c r="E49" s="89"/>
      <c r="F49" s="1834">
        <v>250</v>
      </c>
      <c r="G49" s="1834">
        <v>0</v>
      </c>
      <c r="H49" s="1834">
        <v>0</v>
      </c>
      <c r="I49" s="1835">
        <v>0</v>
      </c>
      <c r="J49" s="91">
        <f>$F49/$C$27+$G49/$C$28+$H49/$C$29+$I49/$C$30</f>
        <v>7.3529411764705879</v>
      </c>
      <c r="K49" s="97">
        <f t="shared" si="0"/>
        <v>4.4366873309786093E-8</v>
      </c>
      <c r="L49" s="91">
        <f>($C$7*$C$15*$C$8*($C$9+$C$10*$C$11)/$D49^2*K49*10^6)</f>
        <v>1.0648049594348663E-3</v>
      </c>
      <c r="M49" s="91">
        <f>$F49/$D$27+$G49/$D$28+$H49/$D$29+$I49/$D$30</f>
        <v>6.5789473684210522</v>
      </c>
      <c r="N49" s="97">
        <f t="shared" si="1"/>
        <v>2.636650898730358E-7</v>
      </c>
      <c r="O49" s="91">
        <f>($C$7*$C$15*$D$8*($D$9+$D$10*$D$11)/$D49^2*N49*10^6)</f>
        <v>6.3279621569528599E-3</v>
      </c>
      <c r="P49" s="91">
        <f>$F49/$E$27+$G49/$E$28+$H49/$E$29+$I49/$E$30</f>
        <v>5.6818181818181817</v>
      </c>
      <c r="Q49" s="97">
        <f t="shared" si="2"/>
        <v>2.0805675382171676E-6</v>
      </c>
      <c r="R49" s="91">
        <f>($C$7*$C$15*$E$8*($E$9+$E$10*$E$11)/$D49^2*Q49*10^6)</f>
        <v>4.9933620917212027E-2</v>
      </c>
      <c r="S49" s="91">
        <f>$F49/$F$27+$G49/$F$28+$H49/$F$29+$I49/$F$30</f>
        <v>8.1967213114754092</v>
      </c>
      <c r="T49" s="97">
        <f t="shared" si="3"/>
        <v>6.3573875711648393E-9</v>
      </c>
      <c r="U49" s="91">
        <f>($C$7*$C$15*$F$8*($F$9+$F$10*$F$11)/$D49^2*T49*10^6)</f>
        <v>1.5257730170795616E-4</v>
      </c>
      <c r="V49" s="91">
        <f>$F49/$G$27+$G49/$G$28+$H49/$G$29+$I49/$G$30</f>
        <v>7.0224719101123592</v>
      </c>
      <c r="W49" s="97">
        <f t="shared" si="4"/>
        <v>9.4957241494880226E-8</v>
      </c>
      <c r="X49" s="76">
        <f>($C$7*$C$15*$G$8*($G$9+$G$10*$G$11)/$D49^2*W49*10^6)</f>
        <v>2.278973795877126E-3</v>
      </c>
      <c r="Y49" s="339">
        <f t="shared" si="5"/>
        <v>5.9757939131184837E-2</v>
      </c>
      <c r="Z49" s="333">
        <f>SUM(Y47:Y50)</f>
        <v>0.52249470541710541</v>
      </c>
      <c r="AA49" s="334">
        <f>Z49*52/10^3</f>
        <v>2.7169724681689482E-2</v>
      </c>
      <c r="AG49" s="328"/>
      <c r="AH49" s="328"/>
      <c r="AI49" s="328"/>
      <c r="AJ49" s="328"/>
      <c r="AK49" s="328"/>
      <c r="AL49" s="328"/>
      <c r="AP49" s="222"/>
      <c r="AQ49" s="211"/>
      <c r="AR49" s="222"/>
      <c r="AS49" s="222"/>
      <c r="AT49" s="225"/>
      <c r="AU49" s="225"/>
      <c r="AV49" s="225"/>
      <c r="AW49" s="225"/>
      <c r="AX49" s="225"/>
      <c r="AY49" s="300"/>
      <c r="AZ49" s="300"/>
    </row>
    <row r="50" spans="1:52" s="212" customFormat="1" ht="30" hidden="1" customHeight="1" thickBot="1" x14ac:dyDescent="0.3">
      <c r="A50" s="317"/>
      <c r="B50" s="317"/>
      <c r="C50" s="318"/>
      <c r="D50" s="1838"/>
      <c r="E50" s="1839"/>
      <c r="F50" s="1839"/>
      <c r="G50" s="1839"/>
      <c r="H50" s="1839"/>
      <c r="I50" s="1839"/>
      <c r="J50" s="91"/>
      <c r="K50" s="97"/>
      <c r="L50" s="91"/>
      <c r="M50" s="91"/>
      <c r="N50" s="97"/>
      <c r="O50" s="91"/>
      <c r="P50" s="91"/>
      <c r="Q50" s="97"/>
      <c r="R50" s="91"/>
      <c r="S50" s="91"/>
      <c r="T50" s="97"/>
      <c r="U50" s="91"/>
      <c r="V50" s="91"/>
      <c r="W50" s="97"/>
      <c r="X50" s="76"/>
      <c r="Y50" s="316"/>
      <c r="Z50" s="344"/>
      <c r="AA50" s="345"/>
      <c r="AG50" s="328"/>
      <c r="AH50" s="328"/>
      <c r="AI50" s="328"/>
      <c r="AJ50" s="328"/>
      <c r="AK50" s="328"/>
      <c r="AL50" s="328"/>
      <c r="AP50" s="222"/>
      <c r="AQ50" s="211"/>
      <c r="AR50" s="222"/>
      <c r="AS50" s="222"/>
      <c r="AT50" s="225"/>
      <c r="AU50" s="225"/>
      <c r="AV50" s="225"/>
      <c r="AW50" s="225"/>
      <c r="AX50" s="225"/>
      <c r="AY50" s="300"/>
      <c r="AZ50" s="300"/>
    </row>
    <row r="51" spans="1:52" s="212" customFormat="1" ht="30" customHeight="1" x14ac:dyDescent="0.25">
      <c r="A51" s="322"/>
      <c r="B51" s="322"/>
      <c r="C51" s="323" t="s">
        <v>569</v>
      </c>
      <c r="D51" s="1840">
        <v>6</v>
      </c>
      <c r="E51" s="1840">
        <v>1</v>
      </c>
      <c r="F51" s="1834">
        <v>250</v>
      </c>
      <c r="G51" s="1834">
        <v>0</v>
      </c>
      <c r="H51" s="1834">
        <v>0</v>
      </c>
      <c r="I51" s="1835">
        <v>0</v>
      </c>
      <c r="J51" s="91">
        <f>IF($F51=0,0,1+($F51-$C$21)/$C$22)+$G51/$C$23+$H51/$C$24+$I51/$C$25</f>
        <v>7.4545454545454541</v>
      </c>
      <c r="K51" s="97">
        <f t="shared" si="0"/>
        <v>3.5111917342151263E-8</v>
      </c>
      <c r="L51" s="91">
        <f>($C$7*$C$14*$C$8*$E51/$D51^2*K51*10^6)</f>
        <v>7.8026482982558355E-3</v>
      </c>
      <c r="M51" s="91">
        <f>IF($F51=0,0,1+($F51-$D$21)/$D$22)+$G51/$D$23+$H51/$D$24+$I51/$D$25</f>
        <v>6.6486486486486482</v>
      </c>
      <c r="N51" s="97">
        <f t="shared" si="1"/>
        <v>2.2456979955397711E-7</v>
      </c>
      <c r="O51" s="91">
        <f>($C$7*$D$14*$D$8*$E51/$D51^2*N51*10^6)</f>
        <v>4.99043999008838E-2</v>
      </c>
      <c r="P51" s="91">
        <f>IF($F51=0,0,1+($F51-$E$21)/$E$22)+$G51/$E$23+$H51/$E$24+$I51/$E$25</f>
        <v>5.7674418604651159</v>
      </c>
      <c r="Q51" s="97">
        <f t="shared" si="2"/>
        <v>1.7082763938087111E-6</v>
      </c>
      <c r="R51" s="91">
        <f>($C$7*$E$14*$E$8*$E51/$D51^2*Q51*10^6)</f>
        <v>0.37961697640193576</v>
      </c>
      <c r="S51" s="91">
        <f>IF($F51=0,0,1+($F51-$F$21)/$F$22)+$G51/$F$23+$H51/$F$24+$I51/$F$25</f>
        <v>9.1481481481481488</v>
      </c>
      <c r="T51" s="97">
        <f t="shared" si="3"/>
        <v>7.1097094323124171E-10</v>
      </c>
      <c r="U51" s="91">
        <f>($C$7*$F$14*$F$8*$E51/$D51^2*T51*10^6)</f>
        <v>1.5799354294027593E-4</v>
      </c>
      <c r="V51" s="91">
        <f>IF($F51=0,0,1+($F51-$G$21)/$G$22)+$G51/$G$23+$H51/$G$24+$I51/$G$25</f>
        <v>6.9444444444444446</v>
      </c>
      <c r="W51" s="97">
        <f t="shared" si="4"/>
        <v>1.136463666385722E-7</v>
      </c>
      <c r="X51" s="76">
        <f>($C$7*$G$14*$G$8*$E51/$D51^2*W51*10^6)</f>
        <v>2.5254748141904933E-2</v>
      </c>
      <c r="Y51" s="324">
        <f>SUM(L51,O51,R51,U51,X51)</f>
        <v>0.46273676628592059</v>
      </c>
      <c r="Z51" s="325"/>
      <c r="AA51" s="326"/>
      <c r="AG51" s="328"/>
      <c r="AI51" s="328"/>
      <c r="AJ51" s="328"/>
      <c r="AK51" s="328"/>
      <c r="AL51" s="328"/>
      <c r="AP51" s="222"/>
      <c r="AQ51" s="211"/>
      <c r="AR51" s="222"/>
      <c r="AS51" s="222"/>
      <c r="AT51" s="225"/>
      <c r="AU51" s="225"/>
      <c r="AV51" s="225"/>
      <c r="AW51" s="225"/>
      <c r="AX51" s="225"/>
      <c r="AY51" s="300"/>
      <c r="AZ51" s="300"/>
    </row>
    <row r="52" spans="1:52" s="212" customFormat="1" ht="30" customHeight="1" thickBot="1" x14ac:dyDescent="0.3">
      <c r="A52" s="343" t="str">
        <f>Samenvatting!A61</f>
        <v>B5</v>
      </c>
      <c r="B52" s="346" t="str">
        <f>Samenvatting!B61</f>
        <v>bedieningsruimte Linac 5</v>
      </c>
      <c r="C52" s="331" t="s">
        <v>568</v>
      </c>
      <c r="D52" s="1843">
        <v>5</v>
      </c>
      <c r="E52" s="347"/>
      <c r="F52" s="1834">
        <v>250</v>
      </c>
      <c r="G52" s="1834">
        <v>0</v>
      </c>
      <c r="H52" s="1834">
        <v>0</v>
      </c>
      <c r="I52" s="1835">
        <v>0</v>
      </c>
      <c r="J52" s="91">
        <f>$F52/$C$27+$G52/$C$28+$H52/$C$29+$I52/$C$30</f>
        <v>7.3529411764705879</v>
      </c>
      <c r="K52" s="97">
        <f t="shared" si="0"/>
        <v>4.4366873309786093E-8</v>
      </c>
      <c r="L52" s="91">
        <f>($C$7*$C$15*$C$8*($C$9+$C$10*$C$11)/$D52^2*K52*10^6)</f>
        <v>1.0648049594348663E-3</v>
      </c>
      <c r="M52" s="91">
        <f>$F52/$D$27+$G52/$D$28+$H52/$D$29+$I52/$D$30</f>
        <v>6.5789473684210522</v>
      </c>
      <c r="N52" s="97">
        <f t="shared" si="1"/>
        <v>2.636650898730358E-7</v>
      </c>
      <c r="O52" s="91">
        <f>($C$7*$C$15*$D$8*($D$9+$D$10*$D$11)/$D52^2*N52*10^6)</f>
        <v>6.3279621569528599E-3</v>
      </c>
      <c r="P52" s="91">
        <f>$F52/$E$27+$G52/$E$28+$H52/$E$29+$I52/$E$30</f>
        <v>5.6818181818181817</v>
      </c>
      <c r="Q52" s="97">
        <f t="shared" si="2"/>
        <v>2.0805675382171676E-6</v>
      </c>
      <c r="R52" s="91">
        <f>($C$7*$C$15*$E$8*($E$9+$E$10*$E$11)/$D52^2*Q52*10^6)</f>
        <v>4.9933620917212027E-2</v>
      </c>
      <c r="S52" s="91">
        <f>$F52/$F$27+$G52/$F$28+$H52/$F$29+$I52/$F$30</f>
        <v>8.1967213114754092</v>
      </c>
      <c r="T52" s="97">
        <f t="shared" si="3"/>
        <v>6.3573875711648393E-9</v>
      </c>
      <c r="U52" s="91">
        <f>($C$7*$C$15*$F$8*($F$9+$F$10*$F$11)/$D52^2*T52*10^6)</f>
        <v>1.5257730170795616E-4</v>
      </c>
      <c r="V52" s="91">
        <f>$F52/$G$27+$G52/$G$28+$H52/$G$29+$I52/$G$30</f>
        <v>7.0224719101123592</v>
      </c>
      <c r="W52" s="97">
        <f t="shared" si="4"/>
        <v>9.4957241494880226E-8</v>
      </c>
      <c r="X52" s="76">
        <f>($C$7*$C$15*$G$8*($G$9+$G$10*$G$11)/$D52^2*W52*10^6)</f>
        <v>2.278973795877126E-3</v>
      </c>
      <c r="Y52" s="339">
        <f>SUM(L52,O52,R52,U52,X52)</f>
        <v>5.9757939131184837E-2</v>
      </c>
      <c r="Z52" s="333">
        <f>SUM(Y50:Y53)</f>
        <v>0.52249470541710541</v>
      </c>
      <c r="AA52" s="334">
        <f>Z52*52/10^3</f>
        <v>2.7169724681689482E-2</v>
      </c>
      <c r="AG52" s="328"/>
      <c r="AH52" s="328"/>
      <c r="AI52" s="328"/>
      <c r="AJ52" s="328"/>
      <c r="AK52" s="328"/>
      <c r="AL52" s="328"/>
      <c r="AP52" s="222"/>
      <c r="AQ52" s="211"/>
      <c r="AR52" s="222"/>
      <c r="AS52" s="222"/>
      <c r="AT52" s="225"/>
      <c r="AU52" s="225"/>
      <c r="AV52" s="225"/>
      <c r="AW52" s="225"/>
      <c r="AX52" s="225"/>
      <c r="AY52" s="300"/>
      <c r="AZ52" s="300"/>
    </row>
    <row r="53" spans="1:52" s="212" customFormat="1" ht="30" hidden="1" customHeight="1" thickBot="1" x14ac:dyDescent="0.3">
      <c r="A53" s="317"/>
      <c r="B53" s="317"/>
      <c r="C53" s="318"/>
      <c r="D53" s="1838"/>
      <c r="E53" s="1839"/>
      <c r="F53" s="1839"/>
      <c r="G53" s="1839"/>
      <c r="H53" s="1839"/>
      <c r="I53" s="1839"/>
      <c r="J53" s="91"/>
      <c r="K53" s="97"/>
      <c r="L53" s="91"/>
      <c r="M53" s="91"/>
      <c r="N53" s="97"/>
      <c r="O53" s="91"/>
      <c r="P53" s="91"/>
      <c r="Q53" s="97"/>
      <c r="R53" s="91"/>
      <c r="S53" s="91"/>
      <c r="T53" s="97"/>
      <c r="U53" s="91"/>
      <c r="V53" s="91"/>
      <c r="W53" s="97"/>
      <c r="X53" s="76"/>
      <c r="Y53" s="316"/>
      <c r="Z53" s="344"/>
      <c r="AA53" s="345"/>
      <c r="AG53" s="328"/>
      <c r="AH53" s="328"/>
      <c r="AI53" s="328"/>
      <c r="AJ53" s="328"/>
      <c r="AK53" s="328"/>
      <c r="AL53" s="328"/>
      <c r="AP53" s="222"/>
      <c r="AQ53" s="211"/>
      <c r="AR53" s="222"/>
      <c r="AS53" s="222"/>
      <c r="AT53" s="225"/>
      <c r="AU53" s="225"/>
      <c r="AV53" s="225"/>
      <c r="AW53" s="225"/>
      <c r="AX53" s="225"/>
      <c r="AY53" s="300"/>
      <c r="AZ53" s="300"/>
    </row>
    <row r="54" spans="1:52" s="212" customFormat="1" ht="30" customHeight="1" x14ac:dyDescent="0.25">
      <c r="A54" s="322"/>
      <c r="B54" s="322"/>
      <c r="C54" s="323" t="s">
        <v>569</v>
      </c>
      <c r="D54" s="1840">
        <v>6</v>
      </c>
      <c r="E54" s="1840">
        <v>1</v>
      </c>
      <c r="F54" s="1834">
        <v>250</v>
      </c>
      <c r="G54" s="1834">
        <v>0</v>
      </c>
      <c r="H54" s="1834">
        <v>0</v>
      </c>
      <c r="I54" s="1835">
        <v>0</v>
      </c>
      <c r="J54" s="91">
        <f>IF($F54=0,0,1+($F54-$C$21)/$C$22)+$G54/$C$23+$H54/$C$24+$I54/$C$25</f>
        <v>7.4545454545454541</v>
      </c>
      <c r="K54" s="97">
        <f t="shared" si="0"/>
        <v>3.5111917342151263E-8</v>
      </c>
      <c r="L54" s="91">
        <f>($C$7*$C$14*$C$8*$E54/$D54^2*K54*10^6)</f>
        <v>7.8026482982558355E-3</v>
      </c>
      <c r="M54" s="91">
        <f>IF($F54=0,0,1+($F54-$D$21)/$D$22)+$G54/$D$23+$H54/$D$24+$I54/$D$25</f>
        <v>6.6486486486486482</v>
      </c>
      <c r="N54" s="97">
        <f t="shared" si="1"/>
        <v>2.2456979955397711E-7</v>
      </c>
      <c r="O54" s="91">
        <f>($C$7*$D$14*$D$8*$E54/$D54^2*N54*10^6)</f>
        <v>4.99043999008838E-2</v>
      </c>
      <c r="P54" s="91">
        <f>IF($F54=0,0,1+($F54-$E$21)/$E$22)+$G54/$E$23+$H54/$E$24+$I54/$E$25</f>
        <v>5.7674418604651159</v>
      </c>
      <c r="Q54" s="97">
        <f t="shared" si="2"/>
        <v>1.7082763938087111E-6</v>
      </c>
      <c r="R54" s="91">
        <f>($C$7*$E$14*$E$8*$E54/$D54^2*Q54*10^6)</f>
        <v>0.37961697640193576</v>
      </c>
      <c r="S54" s="91">
        <f>IF($F54=0,0,1+($F54-$F$21)/$F$22)+$G54/$F$23+$H54/$F$24+$I54/$F$25</f>
        <v>9.1481481481481488</v>
      </c>
      <c r="T54" s="97">
        <f t="shared" si="3"/>
        <v>7.1097094323124171E-10</v>
      </c>
      <c r="U54" s="91">
        <f>($C$7*$F$14*$F$8*$E54/$D54^2*T54*10^6)</f>
        <v>1.5799354294027593E-4</v>
      </c>
      <c r="V54" s="91">
        <f>IF($F54=0,0,1+($F54-$G$21)/$G$22)+$G54/$G$23+$H54/$G$24+$I54/$G$25</f>
        <v>6.9444444444444446</v>
      </c>
      <c r="W54" s="97">
        <f t="shared" si="4"/>
        <v>1.136463666385722E-7</v>
      </c>
      <c r="X54" s="76">
        <f>($C$7*$G$14*$G$8*$E54/$D54^2*W54*10^6)</f>
        <v>2.5254748141904933E-2</v>
      </c>
      <c r="Y54" s="324">
        <f>SUM(L54,O54,R54,U54,X54)</f>
        <v>0.46273676628592059</v>
      </c>
      <c r="Z54" s="325"/>
      <c r="AA54" s="326"/>
      <c r="AG54" s="328"/>
      <c r="AI54" s="328"/>
      <c r="AJ54" s="328"/>
      <c r="AK54" s="328"/>
      <c r="AL54" s="328"/>
      <c r="AP54" s="222"/>
      <c r="AQ54" s="211"/>
      <c r="AR54" s="222"/>
      <c r="AS54" s="222"/>
      <c r="AT54" s="225"/>
      <c r="AU54" s="225"/>
      <c r="AV54" s="225"/>
      <c r="AW54" s="225"/>
      <c r="AX54" s="225"/>
      <c r="AY54" s="300"/>
      <c r="AZ54" s="300"/>
    </row>
    <row r="55" spans="1:52" s="212" customFormat="1" ht="30" customHeight="1" thickBot="1" x14ac:dyDescent="0.3">
      <c r="A55" s="343" t="str">
        <f>Samenvatting!A73</f>
        <v>B6</v>
      </c>
      <c r="B55" s="338" t="str">
        <f>Samenvatting!B73</f>
        <v>bedieningsruimte Linac 6</v>
      </c>
      <c r="C55" s="331" t="s">
        <v>568</v>
      </c>
      <c r="D55" s="1836">
        <v>5</v>
      </c>
      <c r="E55" s="89"/>
      <c r="F55" s="1834">
        <v>250</v>
      </c>
      <c r="G55" s="1834">
        <v>0</v>
      </c>
      <c r="H55" s="1834">
        <v>0</v>
      </c>
      <c r="I55" s="1835">
        <v>0</v>
      </c>
      <c r="J55" s="91">
        <f>$F55/$C$27+$G55/$C$28+$H55/$C$29+$I55/$C$30</f>
        <v>7.3529411764705879</v>
      </c>
      <c r="K55" s="97">
        <f t="shared" si="0"/>
        <v>4.4366873309786093E-8</v>
      </c>
      <c r="L55" s="91">
        <f>($C$7*$C$15*$C$8*($C$9+$C$10*$C$11)/$D55^2*K55*10^6)</f>
        <v>1.0648049594348663E-3</v>
      </c>
      <c r="M55" s="91">
        <f>$F55/$D$27+$G55/$D$28+$H55/$D$29+$I55/$D$30</f>
        <v>6.5789473684210522</v>
      </c>
      <c r="N55" s="97">
        <f t="shared" si="1"/>
        <v>2.636650898730358E-7</v>
      </c>
      <c r="O55" s="91">
        <f>($C$7*$C$15*$D$8*($D$9+$D$10*$D$11)/$D55^2*N55*10^6)</f>
        <v>6.3279621569528599E-3</v>
      </c>
      <c r="P55" s="91">
        <f>$F55/$E$27+$G55/$E$28+$H55/$E$29+$I55/$E$30</f>
        <v>5.6818181818181817</v>
      </c>
      <c r="Q55" s="97">
        <f t="shared" si="2"/>
        <v>2.0805675382171676E-6</v>
      </c>
      <c r="R55" s="91">
        <f>($C$7*$C$15*$E$8*($E$9+$E$10*$E$11)/$D55^2*Q55*10^6)</f>
        <v>4.9933620917212027E-2</v>
      </c>
      <c r="S55" s="91">
        <f>$F55/$F$27+$G55/$F$28+$H55/$F$29+$I55/$F$30</f>
        <v>8.1967213114754092</v>
      </c>
      <c r="T55" s="97">
        <f t="shared" si="3"/>
        <v>6.3573875711648393E-9</v>
      </c>
      <c r="U55" s="91">
        <f>($C$7*$C$15*$F$8*($F$9+$F$10*$F$11)/$D55^2*T55*10^6)</f>
        <v>1.5257730170795616E-4</v>
      </c>
      <c r="V55" s="91">
        <f>$F55/$G$27+$G55/$G$28+$H55/$G$29+$I55/$G$30</f>
        <v>7.0224719101123592</v>
      </c>
      <c r="W55" s="97">
        <f t="shared" si="4"/>
        <v>9.4957241494880226E-8</v>
      </c>
      <c r="X55" s="76">
        <f>($C$7*$C$15*$G$8*($G$9+$G$10*$G$11)/$D55^2*W55*10^6)</f>
        <v>2.278973795877126E-3</v>
      </c>
      <c r="Y55" s="339">
        <f>SUM(L55,O55,R55,U55,X55)</f>
        <v>5.9757939131184837E-2</v>
      </c>
      <c r="Z55" s="333">
        <f>SUM(Y53:Y56)</f>
        <v>0.52249470541710541</v>
      </c>
      <c r="AA55" s="334">
        <f>Z55*52/10^3</f>
        <v>2.7169724681689482E-2</v>
      </c>
      <c r="AG55" s="328"/>
      <c r="AH55" s="328"/>
      <c r="AI55" s="328"/>
      <c r="AJ55" s="328"/>
      <c r="AK55" s="328"/>
      <c r="AL55" s="328"/>
      <c r="AP55" s="222"/>
      <c r="AQ55" s="211"/>
      <c r="AR55" s="222"/>
      <c r="AS55" s="222"/>
      <c r="AT55" s="225"/>
      <c r="AU55" s="225"/>
      <c r="AV55" s="225"/>
      <c r="AW55" s="225"/>
      <c r="AX55" s="225"/>
      <c r="AY55" s="300"/>
      <c r="AZ55" s="300"/>
    </row>
    <row r="56" spans="1:52" s="212" customFormat="1" ht="30" hidden="1" customHeight="1" thickBot="1" x14ac:dyDescent="0.3">
      <c r="A56" s="317"/>
      <c r="B56" s="317"/>
      <c r="C56" s="318"/>
      <c r="D56" s="1838"/>
      <c r="E56" s="1839"/>
      <c r="F56" s="1839"/>
      <c r="G56" s="1839"/>
      <c r="H56" s="1839"/>
      <c r="I56" s="1839"/>
      <c r="J56" s="91"/>
      <c r="K56" s="97"/>
      <c r="L56" s="91"/>
      <c r="M56" s="91"/>
      <c r="N56" s="97"/>
      <c r="O56" s="91"/>
      <c r="P56" s="91"/>
      <c r="Q56" s="97"/>
      <c r="R56" s="91"/>
      <c r="S56" s="91"/>
      <c r="T56" s="97"/>
      <c r="U56" s="91"/>
      <c r="V56" s="91"/>
      <c r="W56" s="97"/>
      <c r="X56" s="76"/>
      <c r="Y56" s="316"/>
      <c r="Z56" s="344"/>
      <c r="AA56" s="345"/>
      <c r="AG56" s="328"/>
      <c r="AH56" s="328"/>
      <c r="AI56" s="328"/>
      <c r="AJ56" s="328"/>
      <c r="AK56" s="328"/>
      <c r="AL56" s="328"/>
      <c r="AP56" s="222"/>
      <c r="AQ56" s="211"/>
      <c r="AR56" s="222"/>
      <c r="AS56" s="222"/>
      <c r="AT56" s="225"/>
      <c r="AU56" s="225"/>
      <c r="AV56" s="225"/>
      <c r="AW56" s="225"/>
      <c r="AX56" s="225"/>
      <c r="AY56" s="300"/>
      <c r="AZ56" s="300"/>
    </row>
    <row r="57" spans="1:52" s="212" customFormat="1" ht="30" customHeight="1" x14ac:dyDescent="0.25">
      <c r="A57" s="322"/>
      <c r="B57" s="322"/>
      <c r="C57" s="323" t="s">
        <v>569</v>
      </c>
      <c r="D57" s="1840">
        <v>6</v>
      </c>
      <c r="E57" s="1840">
        <v>1</v>
      </c>
      <c r="F57" s="1834">
        <v>250</v>
      </c>
      <c r="G57" s="1834">
        <v>0</v>
      </c>
      <c r="H57" s="1834">
        <v>0</v>
      </c>
      <c r="I57" s="1835">
        <v>0</v>
      </c>
      <c r="J57" s="91">
        <f>IF($F57=0,0,1+($F57-$C$21)/$C$22)+$G57/$C$23+$H57/$C$24+$I57/$C$25</f>
        <v>7.4545454545454541</v>
      </c>
      <c r="K57" s="97">
        <f t="shared" si="0"/>
        <v>3.5111917342151263E-8</v>
      </c>
      <c r="L57" s="91">
        <f>($C$7*$C$14*$C$8*$E57/$D57^2*K57*10^6)</f>
        <v>7.8026482982558355E-3</v>
      </c>
      <c r="M57" s="91">
        <f>IF($F57=0,0,1+($F57-$D$21)/$D$22)+$G57/$D$23+$H57/$D$24+$I57/$D$25</f>
        <v>6.6486486486486482</v>
      </c>
      <c r="N57" s="97">
        <f t="shared" si="1"/>
        <v>2.2456979955397711E-7</v>
      </c>
      <c r="O57" s="91">
        <f>($C$7*$D$14*$D$8*$E57/$D57^2*N57*10^6)</f>
        <v>4.99043999008838E-2</v>
      </c>
      <c r="P57" s="91">
        <f>IF($F57=0,0,1+($F57-$E$21)/$E$22)+$G57/$E$23+$H57/$E$24+$I57/$E$25</f>
        <v>5.7674418604651159</v>
      </c>
      <c r="Q57" s="97">
        <f t="shared" si="2"/>
        <v>1.7082763938087111E-6</v>
      </c>
      <c r="R57" s="91">
        <f>($C$7*$E$14*$E$8*$E57/$D57^2*Q57*10^6)</f>
        <v>0.37961697640193576</v>
      </c>
      <c r="S57" s="91">
        <f>IF($F57=0,0,1+($F57-$F$21)/$F$22)+$G57/$F$23+$H57/$F$24+$I57/$F$25</f>
        <v>9.1481481481481488</v>
      </c>
      <c r="T57" s="97">
        <f t="shared" si="3"/>
        <v>7.1097094323124171E-10</v>
      </c>
      <c r="U57" s="91">
        <f>($C$7*$F$14*$F$8*$E57/$D57^2*T57*10^6)</f>
        <v>1.5799354294027593E-4</v>
      </c>
      <c r="V57" s="91">
        <f>IF($F57=0,0,1+($F57-$G$21)/$G$22)+$G57/$G$23+$H57/$G$24+$I57/$G$25</f>
        <v>6.9444444444444446</v>
      </c>
      <c r="W57" s="97">
        <f t="shared" si="4"/>
        <v>1.136463666385722E-7</v>
      </c>
      <c r="X57" s="76">
        <f>($C$7*$G$14*$G$8*$E57/$D57^2*W57*10^6)</f>
        <v>2.5254748141904933E-2</v>
      </c>
      <c r="Y57" s="324">
        <f>SUM(L57,O57,R57,U57,X57)</f>
        <v>0.46273676628592059</v>
      </c>
      <c r="Z57" s="325"/>
      <c r="AA57" s="326"/>
      <c r="AG57" s="328"/>
      <c r="AI57" s="328"/>
      <c r="AJ57" s="328"/>
      <c r="AK57" s="328"/>
      <c r="AL57" s="328"/>
      <c r="AP57" s="222"/>
      <c r="AQ57" s="211"/>
      <c r="AR57" s="222"/>
      <c r="AS57" s="222"/>
      <c r="AT57" s="225"/>
      <c r="AU57" s="225"/>
      <c r="AV57" s="225"/>
      <c r="AW57" s="225"/>
      <c r="AX57" s="225"/>
      <c r="AY57" s="300"/>
      <c r="AZ57" s="300"/>
    </row>
    <row r="58" spans="1:52" s="212" customFormat="1" ht="30" customHeight="1" thickBot="1" x14ac:dyDescent="0.3">
      <c r="A58" s="343" t="str">
        <f>Samenvatting!A85</f>
        <v>B7</v>
      </c>
      <c r="B58" s="338" t="str">
        <f>Samenvatting!B85</f>
        <v>bedieningsruimte Linac 7</v>
      </c>
      <c r="C58" s="331" t="s">
        <v>568</v>
      </c>
      <c r="D58" s="1836">
        <v>5</v>
      </c>
      <c r="E58" s="89"/>
      <c r="F58" s="1834">
        <v>250</v>
      </c>
      <c r="G58" s="1834">
        <v>0</v>
      </c>
      <c r="H58" s="1834">
        <v>0</v>
      </c>
      <c r="I58" s="1835">
        <v>0</v>
      </c>
      <c r="J58" s="91">
        <f>$F58/$C$27+$G58/$C$28+$H58/$C$29+$I58/$C$30</f>
        <v>7.3529411764705879</v>
      </c>
      <c r="K58" s="97">
        <f t="shared" si="0"/>
        <v>4.4366873309786093E-8</v>
      </c>
      <c r="L58" s="91">
        <f>($C$7*$C$15*$C$8*($C$9+$C$10*$C$11)/$D58^2*K58*10^6)</f>
        <v>1.0648049594348663E-3</v>
      </c>
      <c r="M58" s="91">
        <f>$F58/$D$27+$G58/$D$28+$H58/$D$29+$I58/$D$30</f>
        <v>6.5789473684210522</v>
      </c>
      <c r="N58" s="97">
        <f t="shared" si="1"/>
        <v>2.636650898730358E-7</v>
      </c>
      <c r="O58" s="91">
        <f>($C$7*$C$15*$D$8*($D$9+$D$10*$D$11)/$D58^2*N58*10^6)</f>
        <v>6.3279621569528599E-3</v>
      </c>
      <c r="P58" s="91">
        <f>$F58/$E$27+$G58/$E$28+$H58/$E$29+$I58/$E$30</f>
        <v>5.6818181818181817</v>
      </c>
      <c r="Q58" s="97">
        <f t="shared" si="2"/>
        <v>2.0805675382171676E-6</v>
      </c>
      <c r="R58" s="91">
        <f>($C$7*$C$15*$E$8*($E$9+$E$10*$E$11)/$D58^2*Q58*10^6)</f>
        <v>4.9933620917212027E-2</v>
      </c>
      <c r="S58" s="91">
        <f>$F58/$F$27+$G58/$F$28+$H58/$F$29+$I58/$F$30</f>
        <v>8.1967213114754092</v>
      </c>
      <c r="T58" s="97">
        <f t="shared" si="3"/>
        <v>6.3573875711648393E-9</v>
      </c>
      <c r="U58" s="91">
        <f>($C$7*$C$15*$F$8*($F$9+$F$10*$F$11)/$D58^2*T58*10^6)</f>
        <v>1.5257730170795616E-4</v>
      </c>
      <c r="V58" s="91">
        <f>$F58/$G$27+$G58/$G$28+$H58/$G$29+$I58/$G$30</f>
        <v>7.0224719101123592</v>
      </c>
      <c r="W58" s="97">
        <f t="shared" si="4"/>
        <v>9.4957241494880226E-8</v>
      </c>
      <c r="X58" s="76">
        <f>($C$7*$C$15*$G$8*($G$9+$G$10*$G$11)/$D58^2*W58*10^6)</f>
        <v>2.278973795877126E-3</v>
      </c>
      <c r="Y58" s="339">
        <f>SUM(L58,O58,R58,U58,X58)</f>
        <v>5.9757939131184837E-2</v>
      </c>
      <c r="Z58" s="333">
        <f>SUM(Y56:Y59)</f>
        <v>0.52249470541710541</v>
      </c>
      <c r="AA58" s="334">
        <f>Z58*52/10^3</f>
        <v>2.7169724681689482E-2</v>
      </c>
      <c r="AG58" s="328"/>
      <c r="AH58" s="328"/>
      <c r="AI58" s="328"/>
      <c r="AJ58" s="328"/>
      <c r="AK58" s="328"/>
      <c r="AL58" s="328"/>
      <c r="AP58" s="222"/>
      <c r="AQ58" s="211"/>
      <c r="AR58" s="222"/>
      <c r="AS58" s="222"/>
      <c r="AT58" s="225"/>
      <c r="AU58" s="225"/>
      <c r="AV58" s="225"/>
      <c r="AW58" s="225"/>
      <c r="AX58" s="225"/>
      <c r="AY58" s="300"/>
      <c r="AZ58" s="300"/>
    </row>
    <row r="59" spans="1:52" s="212" customFormat="1" ht="30" hidden="1" customHeight="1" thickBot="1" x14ac:dyDescent="0.3">
      <c r="A59" s="317"/>
      <c r="B59" s="317"/>
      <c r="C59" s="318"/>
      <c r="D59" s="1838"/>
      <c r="E59" s="1839"/>
      <c r="F59" s="1839"/>
      <c r="G59" s="1839"/>
      <c r="H59" s="1839"/>
      <c r="I59" s="1839"/>
      <c r="J59" s="91"/>
      <c r="K59" s="97"/>
      <c r="L59" s="91"/>
      <c r="M59" s="91"/>
      <c r="N59" s="97"/>
      <c r="O59" s="91"/>
      <c r="P59" s="91"/>
      <c r="Q59" s="97"/>
      <c r="R59" s="91"/>
      <c r="S59" s="91"/>
      <c r="T59" s="97"/>
      <c r="U59" s="91"/>
      <c r="V59" s="91"/>
      <c r="W59" s="97"/>
      <c r="X59" s="76"/>
      <c r="Y59" s="316"/>
      <c r="Z59" s="344"/>
      <c r="AA59" s="345"/>
      <c r="AG59" s="328"/>
      <c r="AH59" s="328"/>
      <c r="AI59" s="328"/>
      <c r="AJ59" s="328"/>
      <c r="AK59" s="328"/>
      <c r="AL59" s="328"/>
      <c r="AP59" s="222"/>
      <c r="AQ59" s="211"/>
      <c r="AR59" s="222"/>
      <c r="AS59" s="222"/>
      <c r="AT59" s="225"/>
      <c r="AU59" s="225"/>
      <c r="AV59" s="225"/>
      <c r="AW59" s="225"/>
      <c r="AX59" s="225"/>
      <c r="AY59" s="300"/>
      <c r="AZ59" s="300"/>
    </row>
    <row r="60" spans="1:52" s="212" customFormat="1" ht="30" customHeight="1" x14ac:dyDescent="0.25">
      <c r="A60" s="322"/>
      <c r="B60" s="322"/>
      <c r="C60" s="323" t="s">
        <v>569</v>
      </c>
      <c r="D60" s="1840">
        <v>6</v>
      </c>
      <c r="E60" s="1840">
        <v>1</v>
      </c>
      <c r="F60" s="1834">
        <v>250</v>
      </c>
      <c r="G60" s="1834">
        <v>0</v>
      </c>
      <c r="H60" s="1834">
        <v>0</v>
      </c>
      <c r="I60" s="1835">
        <v>0</v>
      </c>
      <c r="J60" s="91">
        <f>IF($F60=0,0,1+($F60-$C$21)/$C$22)+$G60/$C$23+$H60/$C$24+$I60/$C$25</f>
        <v>7.4545454545454541</v>
      </c>
      <c r="K60" s="97">
        <f t="shared" si="0"/>
        <v>3.5111917342151263E-8</v>
      </c>
      <c r="L60" s="91">
        <f>($C$7*$C$14*$C$8*$E60/$D60^2*K60*10^6)</f>
        <v>7.8026482982558355E-3</v>
      </c>
      <c r="M60" s="91">
        <f>IF($F60=0,0,1+($F60-$D$21)/$D$22)+$G60/$D$23+$H60/$D$24+$I60/$D$25</f>
        <v>6.6486486486486482</v>
      </c>
      <c r="N60" s="97">
        <f t="shared" si="1"/>
        <v>2.2456979955397711E-7</v>
      </c>
      <c r="O60" s="91">
        <f>($C$7*$D$14*$D$8*$E60/$D60^2*N60*10^6)</f>
        <v>4.99043999008838E-2</v>
      </c>
      <c r="P60" s="91">
        <f>IF($F60=0,0,1+($F60-$E$21)/$E$22)+$G60/$E$23+$H60/$E$24+$I60/$E$25</f>
        <v>5.7674418604651159</v>
      </c>
      <c r="Q60" s="97">
        <f t="shared" si="2"/>
        <v>1.7082763938087111E-6</v>
      </c>
      <c r="R60" s="91">
        <f>($C$7*$E$14*$E$8*$E60/$D60^2*Q60*10^6)</f>
        <v>0.37961697640193576</v>
      </c>
      <c r="S60" s="91">
        <f>IF($F60=0,0,1+($F60-$F$21)/$F$22)+$G60/$F$23+$H60/$F$24+$I60/$F$25</f>
        <v>9.1481481481481488</v>
      </c>
      <c r="T60" s="97">
        <f t="shared" si="3"/>
        <v>7.1097094323124171E-10</v>
      </c>
      <c r="U60" s="91">
        <f>($C$7*$F$14*$F$8*$E60/$D60^2*T60*10^6)</f>
        <v>1.5799354294027593E-4</v>
      </c>
      <c r="V60" s="91">
        <f>IF($F60=0,0,1+($F60-$G$21)/$G$22)+$G60/$G$23+$H60/$G$24+$I60/$G$25</f>
        <v>6.9444444444444446</v>
      </c>
      <c r="W60" s="97">
        <f t="shared" si="4"/>
        <v>1.136463666385722E-7</v>
      </c>
      <c r="X60" s="76">
        <f>($C$7*$G$14*$G$8*$E60/$D60^2*W60*10^6)</f>
        <v>2.5254748141904933E-2</v>
      </c>
      <c r="Y60" s="324">
        <f>SUM(L60,O60,R60,U60,X60)</f>
        <v>0.46273676628592059</v>
      </c>
      <c r="Z60" s="325"/>
      <c r="AA60" s="326"/>
      <c r="AG60" s="328"/>
      <c r="AI60" s="328"/>
      <c r="AJ60" s="328"/>
      <c r="AK60" s="328"/>
      <c r="AL60" s="328"/>
      <c r="AP60" s="222"/>
      <c r="AQ60" s="211"/>
      <c r="AR60" s="222"/>
      <c r="AS60" s="222"/>
      <c r="AT60" s="225"/>
      <c r="AU60" s="225"/>
      <c r="AV60" s="225"/>
      <c r="AW60" s="225"/>
      <c r="AX60" s="225"/>
      <c r="AY60" s="300"/>
      <c r="AZ60" s="300"/>
    </row>
    <row r="61" spans="1:52" s="212" customFormat="1" ht="30" customHeight="1" thickBot="1" x14ac:dyDescent="0.3">
      <c r="A61" s="343" t="str">
        <f>Samenvatting!A97</f>
        <v>B8</v>
      </c>
      <c r="B61" s="338" t="str">
        <f>Samenvatting!B97</f>
        <v>bedieningsruimte Linac 8</v>
      </c>
      <c r="C61" s="331" t="s">
        <v>568</v>
      </c>
      <c r="D61" s="1836">
        <v>5</v>
      </c>
      <c r="E61" s="89"/>
      <c r="F61" s="1834">
        <v>250</v>
      </c>
      <c r="G61" s="1834">
        <v>0</v>
      </c>
      <c r="H61" s="1834">
        <v>0</v>
      </c>
      <c r="I61" s="1835">
        <v>0</v>
      </c>
      <c r="J61" s="91">
        <f>$F61/$C$27+$G61/$C$28+$H61/$C$29+$I61/$C$30</f>
        <v>7.3529411764705879</v>
      </c>
      <c r="K61" s="97">
        <f t="shared" si="0"/>
        <v>4.4366873309786093E-8</v>
      </c>
      <c r="L61" s="91">
        <f>($C$7*$C$15*$C$8*($C$9+$C$10*$C$11)/$D61^2*K61*10^6)</f>
        <v>1.0648049594348663E-3</v>
      </c>
      <c r="M61" s="91">
        <f>$F61/$D$27+$G61/$D$28+$H61/$D$29+$I61/$D$30</f>
        <v>6.5789473684210522</v>
      </c>
      <c r="N61" s="97">
        <f t="shared" si="1"/>
        <v>2.636650898730358E-7</v>
      </c>
      <c r="O61" s="91">
        <f>($C$7*$C$15*$D$8*($D$9+$D$10*$D$11)/$D61^2*N61*10^6)</f>
        <v>6.3279621569528599E-3</v>
      </c>
      <c r="P61" s="91">
        <f>$F61/$E$27+$G61/$E$28+$H61/$E$29+$I61/$E$30</f>
        <v>5.6818181818181817</v>
      </c>
      <c r="Q61" s="97">
        <f t="shared" si="2"/>
        <v>2.0805675382171676E-6</v>
      </c>
      <c r="R61" s="91">
        <f>($C$7*$C$15*$E$8*($E$9+$E$10*$E$11)/$D61^2*Q61*10^6)</f>
        <v>4.9933620917212027E-2</v>
      </c>
      <c r="S61" s="91">
        <f>$F61/$F$27+$G61/$F$28+$H61/$F$29+$I61/$F$30</f>
        <v>8.1967213114754092</v>
      </c>
      <c r="T61" s="97">
        <f t="shared" si="3"/>
        <v>6.3573875711648393E-9</v>
      </c>
      <c r="U61" s="91">
        <f>($C$7*$C$15*$F$8*($F$9+$F$10*$F$11)/$D61^2*T61*10^6)</f>
        <v>1.5257730170795616E-4</v>
      </c>
      <c r="V61" s="91">
        <f>$F61/$G$27+$G61/$G$28+$H61/$G$29+$I61/$G$30</f>
        <v>7.0224719101123592</v>
      </c>
      <c r="W61" s="97">
        <f t="shared" si="4"/>
        <v>9.4957241494880226E-8</v>
      </c>
      <c r="X61" s="76">
        <f>($C$7*$C$15*$G$8*($G$9+$G$10*$G$11)/$D61^2*W61*10^6)</f>
        <v>2.278973795877126E-3</v>
      </c>
      <c r="Y61" s="339">
        <f>SUM(L61,O61,R61,U61,X61)</f>
        <v>5.9757939131184837E-2</v>
      </c>
      <c r="Z61" s="333">
        <f>SUM(Y59:Y62)</f>
        <v>0.52249470541710541</v>
      </c>
      <c r="AA61" s="334">
        <f>Z61*52/10^3</f>
        <v>2.7169724681689482E-2</v>
      </c>
      <c r="AG61" s="328"/>
      <c r="AH61" s="328"/>
      <c r="AI61" s="328"/>
      <c r="AJ61" s="328"/>
      <c r="AK61" s="328"/>
      <c r="AL61" s="328"/>
      <c r="AP61" s="222"/>
      <c r="AQ61" s="211"/>
      <c r="AR61" s="222"/>
      <c r="AS61" s="222"/>
      <c r="AT61" s="225"/>
      <c r="AU61" s="225"/>
      <c r="AV61" s="225"/>
      <c r="AW61" s="225"/>
      <c r="AX61" s="225"/>
      <c r="AY61" s="300"/>
      <c r="AZ61" s="300"/>
    </row>
    <row r="62" spans="1:52" s="212" customFormat="1" ht="30" hidden="1" customHeight="1" thickBot="1" x14ac:dyDescent="0.3">
      <c r="A62" s="317"/>
      <c r="B62" s="317"/>
      <c r="C62" s="318"/>
      <c r="D62" s="1838"/>
      <c r="E62" s="1839"/>
      <c r="F62" s="1839"/>
      <c r="G62" s="1839"/>
      <c r="H62" s="1839"/>
      <c r="I62" s="1839"/>
      <c r="J62" s="91"/>
      <c r="K62" s="97"/>
      <c r="L62" s="91"/>
      <c r="M62" s="91"/>
      <c r="N62" s="97"/>
      <c r="O62" s="91"/>
      <c r="P62" s="91"/>
      <c r="Q62" s="97"/>
      <c r="R62" s="91"/>
      <c r="S62" s="91"/>
      <c r="T62" s="97"/>
      <c r="U62" s="91"/>
      <c r="V62" s="91"/>
      <c r="W62" s="97"/>
      <c r="X62" s="76"/>
      <c r="Y62" s="316"/>
      <c r="Z62" s="344"/>
      <c r="AA62" s="345"/>
      <c r="AG62" s="328"/>
      <c r="AH62" s="328"/>
      <c r="AI62" s="328"/>
      <c r="AJ62" s="328"/>
      <c r="AK62" s="328"/>
      <c r="AL62" s="328"/>
      <c r="AP62" s="222"/>
      <c r="AQ62" s="211"/>
      <c r="AR62" s="222"/>
      <c r="AS62" s="222"/>
      <c r="AT62" s="225"/>
      <c r="AU62" s="225"/>
      <c r="AV62" s="225"/>
      <c r="AW62" s="225"/>
      <c r="AX62" s="225"/>
      <c r="AY62" s="300"/>
      <c r="AZ62" s="300"/>
    </row>
    <row r="63" spans="1:52" s="212" customFormat="1" ht="30" customHeight="1" x14ac:dyDescent="0.25">
      <c r="A63" s="322"/>
      <c r="B63" s="322"/>
      <c r="C63" s="323" t="s">
        <v>569</v>
      </c>
      <c r="D63" s="1840">
        <v>6</v>
      </c>
      <c r="E63" s="1840">
        <v>1</v>
      </c>
      <c r="F63" s="1834">
        <v>250</v>
      </c>
      <c r="G63" s="1834">
        <v>0</v>
      </c>
      <c r="H63" s="1834">
        <v>0</v>
      </c>
      <c r="I63" s="1835">
        <v>0</v>
      </c>
      <c r="J63" s="91">
        <f>IF($F63=0,0,1+($F63-$C$21)/$C$22)+$G63/$C$23+$H63/$C$24+$I63/$C$25</f>
        <v>7.4545454545454541</v>
      </c>
      <c r="K63" s="97">
        <f t="shared" si="0"/>
        <v>3.5111917342151263E-8</v>
      </c>
      <c r="L63" s="91">
        <f>($C$7*$C$14*$C$8*$E63/$D63^2*K63*10^6)</f>
        <v>7.8026482982558355E-3</v>
      </c>
      <c r="M63" s="91">
        <f>IF($F63=0,0,1+($F63-$D$21)/$D$22)+$G63/$D$23+$H63/$D$24+$I63/$D$25</f>
        <v>6.6486486486486482</v>
      </c>
      <c r="N63" s="97">
        <f t="shared" si="1"/>
        <v>2.2456979955397711E-7</v>
      </c>
      <c r="O63" s="91">
        <f>($C$7*$D$14*$D$8*$E63/$D63^2*N63*10^6)</f>
        <v>4.99043999008838E-2</v>
      </c>
      <c r="P63" s="91">
        <f>IF($F63=0,0,1+($F63-$E$21)/$E$22)+$G63/$E$23+$H63/$E$24+$I63/$E$25</f>
        <v>5.7674418604651159</v>
      </c>
      <c r="Q63" s="97">
        <f t="shared" si="2"/>
        <v>1.7082763938087111E-6</v>
      </c>
      <c r="R63" s="91">
        <f>($C$7*$E$14*$E$8*$E63/$D63^2*Q63*10^6)</f>
        <v>0.37961697640193576</v>
      </c>
      <c r="S63" s="91">
        <f>IF($F63=0,0,1+($F63-$F$21)/$F$22)+$G63/$F$23+$H63/$F$24+$I63/$F$25</f>
        <v>9.1481481481481488</v>
      </c>
      <c r="T63" s="97">
        <f t="shared" si="3"/>
        <v>7.1097094323124171E-10</v>
      </c>
      <c r="U63" s="91">
        <f>($C$7*$F$14*$F$8*$E63/$D63^2*T63*10^6)</f>
        <v>1.5799354294027593E-4</v>
      </c>
      <c r="V63" s="91">
        <f>IF($F63=0,0,1+($F63-$G$21)/$G$22)+$G63/$G$23+$H63/$G$24+$I63/$G$25</f>
        <v>6.9444444444444446</v>
      </c>
      <c r="W63" s="97">
        <f t="shared" si="4"/>
        <v>1.136463666385722E-7</v>
      </c>
      <c r="X63" s="76">
        <f>($C$7*$G$14*$G$8*$E63/$D63^2*W63*10^6)</f>
        <v>2.5254748141904933E-2</v>
      </c>
      <c r="Y63" s="324">
        <f>SUM(L63,O63,R63,U63,X63)</f>
        <v>0.46273676628592059</v>
      </c>
      <c r="Z63" s="325"/>
      <c r="AA63" s="326"/>
      <c r="AG63" s="328"/>
      <c r="AI63" s="328"/>
      <c r="AJ63" s="328"/>
      <c r="AK63" s="328"/>
      <c r="AL63" s="328"/>
      <c r="AP63" s="222"/>
      <c r="AQ63" s="211"/>
      <c r="AR63" s="222"/>
      <c r="AS63" s="222"/>
      <c r="AT63" s="225"/>
      <c r="AU63" s="225"/>
      <c r="AV63" s="225"/>
      <c r="AW63" s="225"/>
      <c r="AX63" s="225"/>
      <c r="AY63" s="300"/>
      <c r="AZ63" s="300"/>
    </row>
    <row r="64" spans="1:52" s="212" customFormat="1" ht="30" customHeight="1" thickBot="1" x14ac:dyDescent="0.3">
      <c r="A64" s="343" t="str">
        <f>Samenvatting!A109</f>
        <v>B9</v>
      </c>
      <c r="B64" s="338" t="str">
        <f>Samenvatting!B109</f>
        <v>bedieningsruimte Linac 9</v>
      </c>
      <c r="C64" s="331" t="s">
        <v>568</v>
      </c>
      <c r="D64" s="1843">
        <v>5</v>
      </c>
      <c r="E64" s="347"/>
      <c r="F64" s="1834">
        <v>250</v>
      </c>
      <c r="G64" s="1834">
        <v>0</v>
      </c>
      <c r="H64" s="1834">
        <v>0</v>
      </c>
      <c r="I64" s="1835">
        <v>0</v>
      </c>
      <c r="J64" s="91">
        <f>$F64/$C$27+$G64/$C$28+$H64/$C$29+$I64/$C$30</f>
        <v>7.3529411764705879</v>
      </c>
      <c r="K64" s="97">
        <f t="shared" si="0"/>
        <v>4.4366873309786093E-8</v>
      </c>
      <c r="L64" s="91">
        <f>($C$7*$C$15*$C$8*($C$9+$C$10*$C$11)/$D64^2*K64*10^6)</f>
        <v>1.0648049594348663E-3</v>
      </c>
      <c r="M64" s="91">
        <f>$F64/$D$27+$G64/$D$28+$H64/$D$29+$I64/$D$30</f>
        <v>6.5789473684210522</v>
      </c>
      <c r="N64" s="97">
        <f t="shared" si="1"/>
        <v>2.636650898730358E-7</v>
      </c>
      <c r="O64" s="91">
        <f>($C$7*$C$15*$D$8*($D$9+$D$10*$D$11)/$D64^2*N64*10^6)</f>
        <v>6.3279621569528599E-3</v>
      </c>
      <c r="P64" s="91">
        <f>$F64/$E$27+$G64/$E$28+$H64/$E$29+$I64/$E$30</f>
        <v>5.6818181818181817</v>
      </c>
      <c r="Q64" s="97">
        <f t="shared" si="2"/>
        <v>2.0805675382171676E-6</v>
      </c>
      <c r="R64" s="91">
        <f>($C$7*$C$15*$E$8*($E$9+$E$10*$E$11)/$D64^2*Q64*10^6)</f>
        <v>4.9933620917212027E-2</v>
      </c>
      <c r="S64" s="91">
        <f>$F64/$F$27+$G64/$F$28+$H64/$F$29+$I64/$F$30</f>
        <v>8.1967213114754092</v>
      </c>
      <c r="T64" s="97">
        <f t="shared" si="3"/>
        <v>6.3573875711648393E-9</v>
      </c>
      <c r="U64" s="91">
        <f>($C$7*$C$15*$F$8*($F$9+$F$10*$F$11)/$D64^2*T64*10^6)</f>
        <v>1.5257730170795616E-4</v>
      </c>
      <c r="V64" s="91">
        <f>$F64/$G$27+$G64/$G$28+$H64/$G$29+$I64/$G$30</f>
        <v>7.0224719101123592</v>
      </c>
      <c r="W64" s="97">
        <f t="shared" si="4"/>
        <v>9.4957241494880226E-8</v>
      </c>
      <c r="X64" s="76">
        <f>($C$7*$C$15*$G$8*($G$9+$G$10*$G$11)/$D64^2*W64*10^6)</f>
        <v>2.278973795877126E-3</v>
      </c>
      <c r="Y64" s="339">
        <f>SUM(L64,O64,R64,U64,X64)</f>
        <v>5.9757939131184837E-2</v>
      </c>
      <c r="Z64" s="333">
        <f>SUM(Y62:Y65)</f>
        <v>0.52249470541710541</v>
      </c>
      <c r="AA64" s="334">
        <f>Z64*52/10^3</f>
        <v>2.7169724681689482E-2</v>
      </c>
      <c r="AG64" s="328"/>
      <c r="AH64" s="328"/>
      <c r="AI64" s="328"/>
      <c r="AJ64" s="328"/>
      <c r="AK64" s="328"/>
      <c r="AL64" s="328"/>
      <c r="AP64" s="222"/>
      <c r="AQ64" s="211"/>
      <c r="AR64" s="222"/>
      <c r="AS64" s="222"/>
      <c r="AT64" s="225"/>
      <c r="AU64" s="225"/>
      <c r="AV64" s="225"/>
      <c r="AW64" s="225"/>
      <c r="AX64" s="225"/>
      <c r="AY64" s="300"/>
      <c r="AZ64" s="300"/>
    </row>
    <row r="65" spans="1:52" s="212" customFormat="1" ht="30" hidden="1" customHeight="1" thickBot="1" x14ac:dyDescent="0.3">
      <c r="A65" s="317"/>
      <c r="B65" s="317"/>
      <c r="C65" s="318"/>
      <c r="D65" s="1838"/>
      <c r="E65" s="1839"/>
      <c r="F65" s="1839"/>
      <c r="G65" s="1839"/>
      <c r="H65" s="1839"/>
      <c r="I65" s="1839"/>
      <c r="J65" s="91"/>
      <c r="K65" s="97"/>
      <c r="L65" s="91"/>
      <c r="M65" s="91"/>
      <c r="N65" s="97"/>
      <c r="O65" s="91"/>
      <c r="P65" s="91"/>
      <c r="Q65" s="97"/>
      <c r="R65" s="91"/>
      <c r="S65" s="91"/>
      <c r="T65" s="97"/>
      <c r="U65" s="91"/>
      <c r="V65" s="91"/>
      <c r="W65" s="97"/>
      <c r="X65" s="76"/>
      <c r="Y65" s="316"/>
      <c r="Z65" s="344"/>
      <c r="AA65" s="345"/>
      <c r="AG65" s="328"/>
      <c r="AH65" s="328"/>
      <c r="AI65" s="328"/>
      <c r="AJ65" s="328"/>
      <c r="AK65" s="328"/>
      <c r="AL65" s="328"/>
      <c r="AP65" s="222"/>
      <c r="AQ65" s="211"/>
      <c r="AR65" s="222"/>
      <c r="AS65" s="222"/>
      <c r="AT65" s="225"/>
      <c r="AU65" s="225"/>
      <c r="AV65" s="225"/>
      <c r="AW65" s="225"/>
      <c r="AX65" s="225"/>
      <c r="AY65" s="300"/>
      <c r="AZ65" s="300"/>
    </row>
    <row r="66" spans="1:52" s="212" customFormat="1" ht="30" customHeight="1" x14ac:dyDescent="0.25">
      <c r="A66" s="322"/>
      <c r="B66" s="322"/>
      <c r="C66" s="323" t="s">
        <v>569</v>
      </c>
      <c r="D66" s="1840">
        <v>6</v>
      </c>
      <c r="E66" s="1840">
        <v>1</v>
      </c>
      <c r="F66" s="1834">
        <v>250</v>
      </c>
      <c r="G66" s="1834">
        <v>0</v>
      </c>
      <c r="H66" s="1834">
        <v>0</v>
      </c>
      <c r="I66" s="1835">
        <v>0</v>
      </c>
      <c r="J66" s="91">
        <f>IF($F66=0,0,1+($F66-$C$21)/$C$22)+$G66/$C$23+$H66/$C$24+$I66/$C$25</f>
        <v>7.4545454545454541</v>
      </c>
      <c r="K66" s="97">
        <f t="shared" si="0"/>
        <v>3.5111917342151263E-8</v>
      </c>
      <c r="L66" s="91">
        <f>($C$7*$C$14*$C$8*$E66/$D66^2*K66*10^6)</f>
        <v>7.8026482982558355E-3</v>
      </c>
      <c r="M66" s="91">
        <f>IF($F66=0,0,1+($F66-$D$21)/$D$22)+$G66/$D$23+$H66/$D$24+$I66/$D$25</f>
        <v>6.6486486486486482</v>
      </c>
      <c r="N66" s="97">
        <f t="shared" si="1"/>
        <v>2.2456979955397711E-7</v>
      </c>
      <c r="O66" s="91">
        <f>($C$7*$D$14*$D$8*$E66/$D66^2*N66*10^6)</f>
        <v>4.99043999008838E-2</v>
      </c>
      <c r="P66" s="91">
        <f>IF($F66=0,0,1+($F66-$E$21)/$E$22)+$G66/$E$23+$H66/$E$24+$I66/$E$25</f>
        <v>5.7674418604651159</v>
      </c>
      <c r="Q66" s="97">
        <f t="shared" si="2"/>
        <v>1.7082763938087111E-6</v>
      </c>
      <c r="R66" s="91">
        <f>($C$7*$E$14*$E$8*$E66/$D66^2*Q66*10^6)</f>
        <v>0.37961697640193576</v>
      </c>
      <c r="S66" s="91">
        <f>IF($F66=0,0,1+($F66-$F$21)/$F$22)+$G66/$F$23+$H66/$F$24+$I66/$F$25</f>
        <v>9.1481481481481488</v>
      </c>
      <c r="T66" s="97">
        <f t="shared" si="3"/>
        <v>7.1097094323124171E-10</v>
      </c>
      <c r="U66" s="91">
        <f>($C$7*$F$14*$F$8*$E66/$D66^2*T66*10^6)</f>
        <v>1.5799354294027593E-4</v>
      </c>
      <c r="V66" s="91">
        <f>IF($F66=0,0,1+($F66-$G$21)/$G$22)+$G66/$G$23+$H66/$G$24+$I66/$G$25</f>
        <v>6.9444444444444446</v>
      </c>
      <c r="W66" s="97">
        <f t="shared" si="4"/>
        <v>1.136463666385722E-7</v>
      </c>
      <c r="X66" s="76">
        <f>($C$7*$G$14*$G$8*$E66/$D66^2*W66*10^6)</f>
        <v>2.5254748141904933E-2</v>
      </c>
      <c r="Y66" s="324">
        <f>SUM(L66,O66,R66,U66,X66)</f>
        <v>0.46273676628592059</v>
      </c>
      <c r="Z66" s="325"/>
      <c r="AA66" s="326"/>
      <c r="AG66" s="328"/>
      <c r="AI66" s="328"/>
      <c r="AJ66" s="328"/>
      <c r="AK66" s="328"/>
      <c r="AL66" s="328"/>
      <c r="AP66" s="222"/>
      <c r="AQ66" s="211"/>
      <c r="AR66" s="222"/>
      <c r="AS66" s="222"/>
      <c r="AT66" s="225"/>
      <c r="AU66" s="225"/>
      <c r="AV66" s="225"/>
      <c r="AW66" s="225"/>
      <c r="AX66" s="225"/>
      <c r="AY66" s="300"/>
      <c r="AZ66" s="300"/>
    </row>
    <row r="67" spans="1:52" s="212" customFormat="1" ht="30" customHeight="1" thickBot="1" x14ac:dyDescent="0.3">
      <c r="A67" s="343" t="str">
        <f>Samenvatting!A121</f>
        <v>B10</v>
      </c>
      <c r="B67" s="656" t="str">
        <f>Samenvatting!B121</f>
        <v>bedieningsruimte Linac 10</v>
      </c>
      <c r="C67" s="331" t="s">
        <v>568</v>
      </c>
      <c r="D67" s="1836">
        <v>5</v>
      </c>
      <c r="E67" s="89"/>
      <c r="F67" s="1834">
        <v>250</v>
      </c>
      <c r="G67" s="1834">
        <v>0</v>
      </c>
      <c r="H67" s="1834">
        <v>0</v>
      </c>
      <c r="I67" s="1835">
        <v>0</v>
      </c>
      <c r="J67" s="91">
        <f>$F67/$C$27+$G67/$C$28+$H67/$C$29+$I67/$C$30</f>
        <v>7.3529411764705879</v>
      </c>
      <c r="K67" s="97">
        <f t="shared" si="0"/>
        <v>4.4366873309786093E-8</v>
      </c>
      <c r="L67" s="91">
        <f>($C$7*$C$15*$C$8*($C$9+$C$10*$C$11)/$D67^2*K67*10^6)</f>
        <v>1.0648049594348663E-3</v>
      </c>
      <c r="M67" s="91">
        <f>$F67/$D$27+$G67/$D$28+$H67/$D$29+$I67/$D$30</f>
        <v>6.5789473684210522</v>
      </c>
      <c r="N67" s="97">
        <f t="shared" si="1"/>
        <v>2.636650898730358E-7</v>
      </c>
      <c r="O67" s="91">
        <f>($C$7*$C$15*$D$8*($D$9+$D$10*$D$11)/$D67^2*N67*10^6)</f>
        <v>6.3279621569528599E-3</v>
      </c>
      <c r="P67" s="91">
        <f>$F67/$E$27+$G67/$E$28+$H67/$E$29+$I67/$E$30</f>
        <v>5.6818181818181817</v>
      </c>
      <c r="Q67" s="97">
        <f t="shared" si="2"/>
        <v>2.0805675382171676E-6</v>
      </c>
      <c r="R67" s="91">
        <f>($C$7*$C$15*$E$8*($E$9+$E$10*$E$11)/$D67^2*Q67*10^6)</f>
        <v>4.9933620917212027E-2</v>
      </c>
      <c r="S67" s="91">
        <f>$F67/$F$27+$G67/$F$28+$H67/$F$29+$I67/$F$30</f>
        <v>8.1967213114754092</v>
      </c>
      <c r="T67" s="97">
        <f t="shared" si="3"/>
        <v>6.3573875711648393E-9</v>
      </c>
      <c r="U67" s="91">
        <f>($C$7*$C$15*$F$8*($F$9+$F$10*$F$11)/$D67^2*T67*10^6)</f>
        <v>1.5257730170795616E-4</v>
      </c>
      <c r="V67" s="91">
        <f>$F67/$G$27+$G67/$G$28+$H67/$G$29+$I67/$G$30</f>
        <v>7.0224719101123592</v>
      </c>
      <c r="W67" s="97">
        <f t="shared" si="4"/>
        <v>9.4957241494880226E-8</v>
      </c>
      <c r="X67" s="76">
        <f>($C$7*$C$15*$G$8*($G$9+$G$10*$G$11)/$D67^2*W67*10^6)</f>
        <v>2.278973795877126E-3</v>
      </c>
      <c r="Y67" s="339">
        <f>SUM(L67,O67,R67,U67,X67)</f>
        <v>5.9757939131184837E-2</v>
      </c>
      <c r="Z67" s="333">
        <f>SUM(Y65:Y68)</f>
        <v>0.52249470541710541</v>
      </c>
      <c r="AA67" s="334">
        <f>Z67*52/10^3</f>
        <v>2.7169724681689482E-2</v>
      </c>
      <c r="AG67" s="328"/>
      <c r="AH67" s="328"/>
      <c r="AI67" s="328"/>
      <c r="AJ67" s="328"/>
      <c r="AK67" s="328"/>
      <c r="AL67" s="328"/>
      <c r="AP67" s="222"/>
      <c r="AQ67" s="211"/>
      <c r="AR67" s="222"/>
      <c r="AS67" s="222"/>
      <c r="AT67" s="225"/>
      <c r="AU67" s="225"/>
      <c r="AV67" s="225"/>
      <c r="AW67" s="225"/>
      <c r="AX67" s="225"/>
      <c r="AY67" s="300"/>
      <c r="AZ67" s="300"/>
    </row>
    <row r="68" spans="1:52" s="212" customFormat="1" ht="30" hidden="1" customHeight="1" thickBot="1" x14ac:dyDescent="0.3">
      <c r="A68" s="312"/>
      <c r="B68" s="450"/>
      <c r="C68" s="318"/>
      <c r="D68" s="58"/>
      <c r="E68" s="58"/>
      <c r="F68" s="58"/>
      <c r="G68" s="58"/>
      <c r="H68" s="58"/>
      <c r="I68" s="58"/>
      <c r="J68" s="91"/>
      <c r="K68" s="97"/>
      <c r="L68" s="91"/>
      <c r="M68" s="91"/>
      <c r="N68" s="97"/>
      <c r="O68" s="91"/>
      <c r="P68" s="91"/>
      <c r="Q68" s="97"/>
      <c r="R68" s="91"/>
      <c r="S68" s="91"/>
      <c r="T68" s="97"/>
      <c r="U68" s="91"/>
      <c r="V68" s="91"/>
      <c r="W68" s="97"/>
      <c r="X68" s="76"/>
      <c r="Y68" s="335"/>
      <c r="Z68" s="344"/>
      <c r="AA68" s="345"/>
      <c r="AG68" s="328"/>
      <c r="AH68" s="328"/>
      <c r="AI68" s="328"/>
      <c r="AJ68" s="328"/>
      <c r="AK68" s="328"/>
      <c r="AL68" s="328"/>
      <c r="AP68" s="222"/>
      <c r="AQ68" s="211"/>
      <c r="AR68" s="222"/>
      <c r="AS68" s="222"/>
      <c r="AT68" s="225"/>
      <c r="AU68" s="225"/>
      <c r="AV68" s="225"/>
      <c r="AW68" s="225"/>
      <c r="AX68" s="225"/>
      <c r="AY68" s="300"/>
      <c r="AZ68" s="300"/>
    </row>
    <row r="69" spans="1:52" s="212" customFormat="1" ht="30" customHeight="1" x14ac:dyDescent="0.25">
      <c r="A69" s="322"/>
      <c r="B69" s="322"/>
      <c r="C69" s="323" t="s">
        <v>569</v>
      </c>
      <c r="D69" s="1859">
        <v>6</v>
      </c>
      <c r="E69" s="1859">
        <v>1</v>
      </c>
      <c r="F69" s="1859">
        <v>250</v>
      </c>
      <c r="G69" s="1859">
        <v>0</v>
      </c>
      <c r="H69" s="1859">
        <v>0</v>
      </c>
      <c r="I69" s="1859">
        <v>0</v>
      </c>
      <c r="J69" s="91">
        <f>IF($F69=0,0,1+($F69-$C$21)/$C$22)+$G69/$C$23+$H69/$C$24+$I69/$C$25</f>
        <v>7.4545454545454541</v>
      </c>
      <c r="K69" s="97">
        <f t="shared" si="0"/>
        <v>3.5111917342151263E-8</v>
      </c>
      <c r="L69" s="91">
        <f>($C$7*$C$14*$C$8*$E69/$D69^2*K69*10^6)</f>
        <v>7.8026482982558355E-3</v>
      </c>
      <c r="M69" s="91">
        <f>IF($F69=0,0,1+($F69-$D$21)/$D$22)+$G69/$D$23+$H69/$D$24+$I69/$D$25</f>
        <v>6.6486486486486482</v>
      </c>
      <c r="N69" s="97">
        <f t="shared" si="1"/>
        <v>2.2456979955397711E-7</v>
      </c>
      <c r="O69" s="91">
        <f>($C$7*$D$14*$D$8*$E69/$D69^2*N69*10^6)</f>
        <v>4.99043999008838E-2</v>
      </c>
      <c r="P69" s="91">
        <f>IF($F69=0,0,1+($F69-$E$21)/$E$22)+$G69/$E$23+$H69/$E$24+$I69/$E$25</f>
        <v>5.7674418604651159</v>
      </c>
      <c r="Q69" s="97">
        <f t="shared" si="2"/>
        <v>1.7082763938087111E-6</v>
      </c>
      <c r="R69" s="91">
        <f>($C$7*$D$14*$E$8*$E69/$D69^2*Q69*10^6)</f>
        <v>0.37961697640193576</v>
      </c>
      <c r="S69" s="91">
        <f>IF($F69=0,0,1+($F69-$F$21)/$F$22)+$G69/$F$23+$H69/$F$24+$I69/$F$25</f>
        <v>9.1481481481481488</v>
      </c>
      <c r="T69" s="97">
        <f t="shared" si="3"/>
        <v>7.1097094323124171E-10</v>
      </c>
      <c r="U69" s="91">
        <f>($C$7*$F$14*$F$8*$E69/$D69^2*T69*10^6)</f>
        <v>1.5799354294027593E-4</v>
      </c>
      <c r="V69" s="91">
        <f>IF($F69=0,0,1+($F69-$G$21)/$G$22)+$G69/$G$23+$H69/$G$24+$I69/$G$25</f>
        <v>6.9444444444444446</v>
      </c>
      <c r="W69" s="97">
        <f t="shared" si="4"/>
        <v>1.136463666385722E-7</v>
      </c>
      <c r="X69" s="76">
        <f>($C$7*$G$14*$G$8*$E69/$D69^2*W69*10^6)</f>
        <v>2.5254748141904933E-2</v>
      </c>
      <c r="Y69" s="324">
        <f>SUM(L69,O69,R69,U69,X69)</f>
        <v>0.46273676628592059</v>
      </c>
      <c r="Z69" s="325"/>
      <c r="AA69" s="350"/>
      <c r="AG69" s="328"/>
      <c r="AI69" s="328"/>
      <c r="AJ69" s="328"/>
      <c r="AK69" s="328"/>
      <c r="AL69" s="328"/>
      <c r="AP69" s="222"/>
      <c r="AQ69" s="211"/>
      <c r="AR69" s="222"/>
      <c r="AS69" s="222"/>
      <c r="AT69" s="225"/>
      <c r="AU69" s="225"/>
      <c r="AV69" s="225"/>
      <c r="AW69" s="225"/>
      <c r="AX69" s="225"/>
      <c r="AY69" s="300"/>
      <c r="AZ69" s="300"/>
    </row>
    <row r="70" spans="1:52" s="212" customFormat="1" ht="30" customHeight="1" thickBot="1" x14ac:dyDescent="0.3">
      <c r="A70" s="329" t="str">
        <f>Samenvatting!A123</f>
        <v>L1</v>
      </c>
      <c r="B70" s="656" t="str">
        <f>Samenvatting!B123</f>
        <v>ingang labyrint linac 1</v>
      </c>
      <c r="C70" s="331" t="s">
        <v>568</v>
      </c>
      <c r="D70" s="1859">
        <v>5</v>
      </c>
      <c r="E70" s="58"/>
      <c r="F70" s="1859">
        <v>250</v>
      </c>
      <c r="G70" s="1859">
        <v>0</v>
      </c>
      <c r="H70" s="1859">
        <v>0</v>
      </c>
      <c r="I70" s="1859">
        <v>0</v>
      </c>
      <c r="J70" s="91">
        <f>$F70/$C$27+$G70/$C$28+$H70/$C$29+$I70/$C$30</f>
        <v>7.3529411764705879</v>
      </c>
      <c r="K70" s="97">
        <f t="shared" si="0"/>
        <v>4.4366873309786093E-8</v>
      </c>
      <c r="L70" s="91">
        <f>($C$7*$C$15*$C$8*($C$9+$C$10*$C$11)/$D70^2*K70*10^6)</f>
        <v>1.0648049594348663E-3</v>
      </c>
      <c r="M70" s="91">
        <f>$F70/$D$27+$G70/$D$28+$H70/$D$29+$I70/$D$30</f>
        <v>6.5789473684210522</v>
      </c>
      <c r="N70" s="97">
        <f t="shared" si="1"/>
        <v>2.636650898730358E-7</v>
      </c>
      <c r="O70" s="91">
        <f>($C$7*$C$15*$D$8*($D$9+$D$10*$D$11)/$D70^2*N70*10^6)</f>
        <v>6.3279621569528599E-3</v>
      </c>
      <c r="P70" s="91">
        <f>$F70/$E$27+$G70/$E$28+$H70/$E$29+$I70/$E$30</f>
        <v>5.6818181818181817</v>
      </c>
      <c r="Q70" s="97">
        <f t="shared" si="2"/>
        <v>2.0805675382171676E-6</v>
      </c>
      <c r="R70" s="91">
        <f>($C$7*$C$15*$E$8*($E$9+$E$10*$E$11)/$D70^2*Q70*10^6)</f>
        <v>4.9933620917212027E-2</v>
      </c>
      <c r="S70" s="91">
        <f>$F70/$F$27+$G70/$F$28+$H70/$F$29+$I70/$F$30</f>
        <v>8.1967213114754092</v>
      </c>
      <c r="T70" s="97">
        <f t="shared" si="3"/>
        <v>6.3573875711648393E-9</v>
      </c>
      <c r="U70" s="91">
        <f>($C$7*$C$15*$F$8*($F$9+$F$10*$F$11)/$D70^2*T70*10^6)</f>
        <v>1.5257730170795616E-4</v>
      </c>
      <c r="V70" s="91">
        <f>$F70/$G$27+$G70/$G$28+$H70/$G$29+$I70/$G$30</f>
        <v>7.0224719101123592</v>
      </c>
      <c r="W70" s="97">
        <f t="shared" si="4"/>
        <v>9.4957241494880226E-8</v>
      </c>
      <c r="X70" s="76">
        <f>($C$7*$C$15*$G$8*($G$9+$G$10*$G$11)/$D70^2*W70*10^6)</f>
        <v>2.278973795877126E-3</v>
      </c>
      <c r="Y70" s="339">
        <f>SUM(L70,O70,R70,U70,X70)</f>
        <v>5.9757939131184837E-2</v>
      </c>
      <c r="Z70" s="363">
        <f>SUM(Y68:Y71)</f>
        <v>0.52249470541710541</v>
      </c>
      <c r="AA70" s="334">
        <f>Z70*52/10^3</f>
        <v>2.7169724681689482E-2</v>
      </c>
      <c r="AG70" s="328"/>
      <c r="AH70" s="328"/>
      <c r="AI70" s="328"/>
      <c r="AJ70" s="328"/>
      <c r="AK70" s="328"/>
      <c r="AL70" s="328"/>
      <c r="AP70" s="222"/>
      <c r="AQ70" s="211"/>
      <c r="AR70" s="222"/>
      <c r="AS70" s="222"/>
      <c r="AT70" s="225"/>
      <c r="AU70" s="225"/>
      <c r="AV70" s="225"/>
      <c r="AW70" s="225"/>
      <c r="AX70" s="225"/>
      <c r="AY70" s="300"/>
      <c r="AZ70" s="300"/>
    </row>
    <row r="71" spans="1:52" s="212" customFormat="1" ht="30" hidden="1" customHeight="1" thickBot="1" x14ac:dyDescent="0.3">
      <c r="A71" s="317"/>
      <c r="B71" s="317"/>
      <c r="C71" s="360"/>
      <c r="D71" s="1871"/>
      <c r="E71" s="1871"/>
      <c r="F71" s="1871"/>
      <c r="G71" s="1871"/>
      <c r="H71" s="1871"/>
      <c r="I71" s="1871"/>
      <c r="J71" s="91"/>
      <c r="K71" s="97"/>
      <c r="L71" s="91"/>
      <c r="M71" s="91"/>
      <c r="N71" s="97"/>
      <c r="O71" s="91"/>
      <c r="P71" s="91"/>
      <c r="Q71" s="97"/>
      <c r="R71" s="91"/>
      <c r="S71" s="91"/>
      <c r="T71" s="97"/>
      <c r="U71" s="91"/>
      <c r="V71" s="91"/>
      <c r="W71" s="97"/>
      <c r="X71" s="76"/>
      <c r="Y71" s="577"/>
      <c r="Z71" s="659"/>
      <c r="AA71" s="660"/>
      <c r="AG71" s="328"/>
      <c r="AH71" s="328"/>
      <c r="AI71" s="328"/>
      <c r="AJ71" s="328"/>
      <c r="AK71" s="328"/>
      <c r="AL71" s="328"/>
      <c r="AP71" s="222"/>
      <c r="AQ71" s="211"/>
      <c r="AR71" s="222"/>
      <c r="AS71" s="222"/>
      <c r="AT71" s="225"/>
      <c r="AU71" s="225"/>
      <c r="AV71" s="225"/>
      <c r="AW71" s="225"/>
      <c r="AX71" s="225"/>
      <c r="AY71" s="300"/>
      <c r="AZ71" s="300"/>
    </row>
    <row r="72" spans="1:52" s="212" customFormat="1" ht="30" customHeight="1" x14ac:dyDescent="0.25">
      <c r="A72" s="322"/>
      <c r="B72" s="322"/>
      <c r="C72" s="323" t="s">
        <v>569</v>
      </c>
      <c r="D72" s="1859">
        <v>6</v>
      </c>
      <c r="E72" s="1859">
        <v>1</v>
      </c>
      <c r="F72" s="1859">
        <v>250</v>
      </c>
      <c r="G72" s="1859">
        <v>0</v>
      </c>
      <c r="H72" s="1859">
        <v>0</v>
      </c>
      <c r="I72" s="1859">
        <v>0</v>
      </c>
      <c r="J72" s="91">
        <f>IF($F72=0,0,1+($F72-$C$21)/$C$22)+$G72/$C$23+$H72/$C$24+$I72/$C$25</f>
        <v>7.4545454545454541</v>
      </c>
      <c r="K72" s="97">
        <f t="shared" si="0"/>
        <v>3.5111917342151263E-8</v>
      </c>
      <c r="L72" s="91">
        <f>($C$7*$C$14*$C$8*$E72/$D72^2*K72*10^6)</f>
        <v>7.8026482982558355E-3</v>
      </c>
      <c r="M72" s="91">
        <f>IF($F72=0,0,1+($F72-$D$21)/$D$22)+$G72/$D$23+$H72/$D$24+$I72/$D$25</f>
        <v>6.6486486486486482</v>
      </c>
      <c r="N72" s="97">
        <f t="shared" si="1"/>
        <v>2.2456979955397711E-7</v>
      </c>
      <c r="O72" s="91">
        <f>($C$7*$D$14*$D$8*$E72/$D72^2*N72*10^6)</f>
        <v>4.99043999008838E-2</v>
      </c>
      <c r="P72" s="91">
        <f>IF($F$72=0,0,1+($F72-$E$21)/$E$22)+$G72/$E$23+$H72/$E$24+$I72/$E$25</f>
        <v>5.7674418604651159</v>
      </c>
      <c r="Q72" s="97">
        <f t="shared" si="2"/>
        <v>1.7082763938087111E-6</v>
      </c>
      <c r="R72" s="91">
        <f>($C$7*$D$14*$E$8*$E72/$D72^2*Q72*10^6)</f>
        <v>0.37961697640193576</v>
      </c>
      <c r="S72" s="91">
        <f>IF($F72=0,0,1+($F72-$F$21)/$F$22)+$G72/$F$23+$H72/$F$24+$I72/$F$25</f>
        <v>9.1481481481481488</v>
      </c>
      <c r="T72" s="97">
        <f t="shared" si="3"/>
        <v>7.1097094323124171E-10</v>
      </c>
      <c r="U72" s="91">
        <f>($C$7*$F$14*$F$8*$E72/$D72^2*T72*10^6)</f>
        <v>1.5799354294027593E-4</v>
      </c>
      <c r="V72" s="91">
        <f>IF($F72=0,0,1+($F72-$G$21)/$G$22)+$G72/$G$23+$H72/$G$24+$I72/$G$25</f>
        <v>6.9444444444444446</v>
      </c>
      <c r="W72" s="97">
        <f t="shared" si="4"/>
        <v>1.136463666385722E-7</v>
      </c>
      <c r="X72" s="76">
        <f>($C$7*$G$14*$G$8*$E72/$D72^2*W72*10^6)</f>
        <v>2.5254748141904933E-2</v>
      </c>
      <c r="Y72" s="324">
        <f>SUM(L72,O72,R72,U72,X72)</f>
        <v>0.46273676628592059</v>
      </c>
      <c r="Z72" s="325"/>
      <c r="AA72" s="350"/>
      <c r="AG72" s="328"/>
      <c r="AI72" s="328"/>
      <c r="AJ72" s="328"/>
      <c r="AK72" s="328"/>
      <c r="AL72" s="328"/>
      <c r="AP72" s="222"/>
      <c r="AQ72" s="211"/>
      <c r="AR72" s="222"/>
      <c r="AS72" s="222"/>
      <c r="AT72" s="225"/>
      <c r="AU72" s="225"/>
      <c r="AV72" s="225"/>
      <c r="AW72" s="225"/>
      <c r="AX72" s="225"/>
      <c r="AY72" s="300"/>
      <c r="AZ72" s="300"/>
    </row>
    <row r="73" spans="1:52" s="212" customFormat="1" ht="30" customHeight="1" thickBot="1" x14ac:dyDescent="0.3">
      <c r="A73" s="343" t="str">
        <f>Samenvatting!A135</f>
        <v>L2</v>
      </c>
      <c r="B73" s="338" t="str">
        <f>Samenvatting!B135</f>
        <v>ingang labyrint linac 2</v>
      </c>
      <c r="C73" s="331" t="s">
        <v>568</v>
      </c>
      <c r="D73" s="1859">
        <v>5</v>
      </c>
      <c r="E73" s="58"/>
      <c r="F73" s="1859">
        <v>250</v>
      </c>
      <c r="G73" s="1859">
        <v>0</v>
      </c>
      <c r="H73" s="1859">
        <v>0</v>
      </c>
      <c r="I73" s="1859">
        <v>0</v>
      </c>
      <c r="J73" s="91">
        <f>$F73/$C$27+$G73/$C$28+$H73/$C$29+$I73/$C$30</f>
        <v>7.3529411764705879</v>
      </c>
      <c r="K73" s="97">
        <f t="shared" si="0"/>
        <v>4.4366873309786093E-8</v>
      </c>
      <c r="L73" s="91">
        <f>($C$7*$C$15*$C$8*($C$9+$C$10*$C$11)/$D73^2*K73*10^6)</f>
        <v>1.0648049594348663E-3</v>
      </c>
      <c r="M73" s="91">
        <f>$F73/$D$27+$G73/$D$28+$H73/$D$29+$I73/$D$30</f>
        <v>6.5789473684210522</v>
      </c>
      <c r="N73" s="97">
        <f t="shared" si="1"/>
        <v>2.636650898730358E-7</v>
      </c>
      <c r="O73" s="91">
        <f>($C$7*$C$15*$D$8*($D$9+$D$10*$D$11)/$D73^2*N73*10^6)</f>
        <v>6.3279621569528599E-3</v>
      </c>
      <c r="P73" s="91">
        <f>$F73/$E$27+$G73/$E$28+$H73/$E$29+$I73/$E$30</f>
        <v>5.6818181818181817</v>
      </c>
      <c r="Q73" s="97">
        <f t="shared" si="2"/>
        <v>2.0805675382171676E-6</v>
      </c>
      <c r="R73" s="91">
        <f>($C$7*$C$15*$E$8*($E$9+$E$10*$E$11)/$D73^2*Q73*10^6)</f>
        <v>4.9933620917212027E-2</v>
      </c>
      <c r="S73" s="91">
        <f>$F73/$F$27+$G73/$F$28+$H73/$F$29+$I73/$F$30</f>
        <v>8.1967213114754092</v>
      </c>
      <c r="T73" s="97">
        <f t="shared" si="3"/>
        <v>6.3573875711648393E-9</v>
      </c>
      <c r="U73" s="91">
        <f>($C$7*$C$15*$F$8*($F$9+$F$10*$F$11)/$D73^2*T73*10^6)</f>
        <v>1.5257730170795616E-4</v>
      </c>
      <c r="V73" s="91">
        <f>$F73/$G$27+$G73/$G$28+$H73/$G$29+$I73/$G$30</f>
        <v>7.0224719101123592</v>
      </c>
      <c r="W73" s="97">
        <f t="shared" si="4"/>
        <v>9.4957241494880226E-8</v>
      </c>
      <c r="X73" s="76">
        <f>($C$7*$C$15*$G$8*($G$9+$G$10*$G$11)/$D73^2*W73*10^6)</f>
        <v>2.278973795877126E-3</v>
      </c>
      <c r="Y73" s="339">
        <f>SUM(L73,O73,R73,U73,X73)</f>
        <v>5.9757939131184837E-2</v>
      </c>
      <c r="Z73" s="363">
        <f>SUM(Y71:Y74)</f>
        <v>0.52249470541710541</v>
      </c>
      <c r="AA73" s="334">
        <f>Z73*52/10^3</f>
        <v>2.7169724681689482E-2</v>
      </c>
      <c r="AG73" s="328"/>
      <c r="AH73" s="328"/>
      <c r="AI73" s="328"/>
      <c r="AJ73" s="328"/>
      <c r="AK73" s="328"/>
      <c r="AL73" s="328"/>
      <c r="AP73" s="222"/>
      <c r="AQ73" s="211"/>
      <c r="AR73" s="222"/>
      <c r="AS73" s="222"/>
      <c r="AT73" s="225"/>
      <c r="AU73" s="225"/>
      <c r="AV73" s="225"/>
      <c r="AW73" s="225"/>
      <c r="AX73" s="225"/>
      <c r="AY73" s="300"/>
      <c r="AZ73" s="300"/>
    </row>
    <row r="74" spans="1:52" s="212" customFormat="1" ht="30" hidden="1" customHeight="1" thickBot="1" x14ac:dyDescent="0.3">
      <c r="A74" s="317"/>
      <c r="B74" s="317"/>
      <c r="C74" s="331"/>
      <c r="D74" s="1871"/>
      <c r="E74" s="1871"/>
      <c r="F74" s="1871"/>
      <c r="G74" s="1871"/>
      <c r="H74" s="1871"/>
      <c r="I74" s="1871"/>
      <c r="J74" s="91"/>
      <c r="K74" s="97"/>
      <c r="L74" s="91"/>
      <c r="M74" s="91"/>
      <c r="N74" s="97"/>
      <c r="O74" s="91"/>
      <c r="P74" s="91"/>
      <c r="Q74" s="97"/>
      <c r="R74" s="91"/>
      <c r="S74" s="91"/>
      <c r="T74" s="97"/>
      <c r="U74" s="91"/>
      <c r="V74" s="91"/>
      <c r="W74" s="97"/>
      <c r="X74" s="76"/>
      <c r="Y74" s="577"/>
      <c r="Z74" s="659"/>
      <c r="AA74" s="660"/>
      <c r="AG74" s="328"/>
      <c r="AH74" s="328"/>
      <c r="AI74" s="328"/>
      <c r="AJ74" s="328"/>
      <c r="AK74" s="328"/>
      <c r="AL74" s="328"/>
      <c r="AP74" s="222"/>
      <c r="AQ74" s="211"/>
      <c r="AR74" s="222"/>
      <c r="AS74" s="222"/>
      <c r="AT74" s="225"/>
      <c r="AU74" s="225"/>
      <c r="AV74" s="225"/>
      <c r="AW74" s="225"/>
      <c r="AX74" s="225"/>
      <c r="AY74" s="300"/>
      <c r="AZ74" s="300"/>
    </row>
    <row r="75" spans="1:52" s="212" customFormat="1" ht="30" customHeight="1" x14ac:dyDescent="0.25">
      <c r="A75" s="322"/>
      <c r="B75" s="322"/>
      <c r="C75" s="323" t="s">
        <v>569</v>
      </c>
      <c r="D75" s="1859">
        <v>6</v>
      </c>
      <c r="E75" s="1859">
        <v>1</v>
      </c>
      <c r="F75" s="1859">
        <v>250</v>
      </c>
      <c r="G75" s="1859">
        <v>0</v>
      </c>
      <c r="H75" s="1859">
        <v>0</v>
      </c>
      <c r="I75" s="1859">
        <v>0</v>
      </c>
      <c r="J75" s="91">
        <f>IF($F75=0,0,1+($F75-$C$21)/$C$22)+$G75/$C$23+$H75/$C$24+$I75/$C$25</f>
        <v>7.4545454545454541</v>
      </c>
      <c r="K75" s="97">
        <f t="shared" si="0"/>
        <v>3.5111917342151263E-8</v>
      </c>
      <c r="L75" s="91">
        <f>($C$7*$C$14*$C$8*$E75/$D75^2*K75*10^6)</f>
        <v>7.8026482982558355E-3</v>
      </c>
      <c r="M75" s="91">
        <f>IF($F75=0,0,1+($F75-$D$21)/$D$22)+$G75/$D$23+$H75/$D$24+$I75/$D$25</f>
        <v>6.6486486486486482</v>
      </c>
      <c r="N75" s="97">
        <f t="shared" si="1"/>
        <v>2.2456979955397711E-7</v>
      </c>
      <c r="O75" s="91">
        <f>($C$7*$D$14*$D$8*$E75/$D75^2*N75*10^6)</f>
        <v>4.99043999008838E-2</v>
      </c>
      <c r="P75" s="91">
        <f>IF($F75=0,0,1+($F75-$E$21)/$E$22)+$G75/$E$23+$H75/$E$24+$I75/$E$25</f>
        <v>5.7674418604651159</v>
      </c>
      <c r="Q75" s="97">
        <f t="shared" si="2"/>
        <v>1.7082763938087111E-6</v>
      </c>
      <c r="R75" s="91">
        <f>($C$7*$D$14*$E$8*$E75/$D75^2*Q75*10^6)</f>
        <v>0.37961697640193576</v>
      </c>
      <c r="S75" s="91">
        <f>IF($F75=0,0,1+($F75-$F$21)/$F$22)+$G75/$F$23+$H75/$F$24+$I75/$F$25</f>
        <v>9.1481481481481488</v>
      </c>
      <c r="T75" s="97">
        <f t="shared" si="3"/>
        <v>7.1097094323124171E-10</v>
      </c>
      <c r="U75" s="91">
        <f>($C$7*$F$14*$F$8*$E75/$D75^2*T75*10^6)</f>
        <v>1.5799354294027593E-4</v>
      </c>
      <c r="V75" s="91">
        <f>IF($F75=0,0,1+($F75-$G$21)/$G$22)+$G75/$G$23+$H75/$G$24+$I75/$G$25</f>
        <v>6.9444444444444446</v>
      </c>
      <c r="W75" s="97">
        <f t="shared" si="4"/>
        <v>1.136463666385722E-7</v>
      </c>
      <c r="X75" s="76">
        <f>($C$7*$G$14*$G$8*$E75/$D75^2*W75*10^6)</f>
        <v>2.5254748141904933E-2</v>
      </c>
      <c r="Y75" s="324">
        <f>SUM(L75,O75,R75,U75,X75)</f>
        <v>0.46273676628592059</v>
      </c>
      <c r="Z75" s="325"/>
      <c r="AA75" s="350"/>
      <c r="AG75" s="328"/>
      <c r="AI75" s="328"/>
      <c r="AJ75" s="328"/>
      <c r="AK75" s="328"/>
      <c r="AL75" s="328"/>
      <c r="AP75" s="222"/>
      <c r="AQ75" s="211"/>
      <c r="AR75" s="222"/>
      <c r="AS75" s="222"/>
      <c r="AT75" s="225"/>
      <c r="AU75" s="225"/>
      <c r="AV75" s="225"/>
      <c r="AW75" s="225"/>
      <c r="AX75" s="225"/>
      <c r="AY75" s="300"/>
      <c r="AZ75" s="300"/>
    </row>
    <row r="76" spans="1:52" s="212" customFormat="1" ht="30" customHeight="1" thickBot="1" x14ac:dyDescent="0.3">
      <c r="A76" s="657" t="str">
        <f>Samenvatting!A147</f>
        <v>L3</v>
      </c>
      <c r="B76" s="656" t="str">
        <f>Samenvatting!B147</f>
        <v>ingang labyrint linac 3</v>
      </c>
      <c r="C76" s="331" t="s">
        <v>568</v>
      </c>
      <c r="D76" s="1859">
        <v>5</v>
      </c>
      <c r="E76" s="58"/>
      <c r="F76" s="1859">
        <v>250</v>
      </c>
      <c r="G76" s="1859">
        <v>0</v>
      </c>
      <c r="H76" s="1859">
        <v>0</v>
      </c>
      <c r="I76" s="1859">
        <v>0</v>
      </c>
      <c r="J76" s="91">
        <f>$F76/$C$27+$G76/$C$28+$H76/$C$29+$I76/$C$30</f>
        <v>7.3529411764705879</v>
      </c>
      <c r="K76" s="97">
        <f t="shared" si="0"/>
        <v>4.4366873309786093E-8</v>
      </c>
      <c r="L76" s="91">
        <f>($C$7*$C$15*$C$8*($C$9+$C$10*$C$11)/$D76^2*K76*10^6)</f>
        <v>1.0648049594348663E-3</v>
      </c>
      <c r="M76" s="91">
        <f>$F76/$D$27+$G76/$D$28+$H76/$D$29+$I76/$D$30</f>
        <v>6.5789473684210522</v>
      </c>
      <c r="N76" s="97">
        <f t="shared" si="1"/>
        <v>2.636650898730358E-7</v>
      </c>
      <c r="O76" s="91">
        <f>($C$7*$C$15*$D$8*($D$9+$D$10*$D$11)/$D76^2*N76*10^6)</f>
        <v>6.3279621569528599E-3</v>
      </c>
      <c r="P76" s="91">
        <f>$F76/$E$27+$G76/$E$28+$H76/$E$29+$I76/$E$30</f>
        <v>5.6818181818181817</v>
      </c>
      <c r="Q76" s="97">
        <f t="shared" si="2"/>
        <v>2.0805675382171676E-6</v>
      </c>
      <c r="R76" s="91">
        <f>($C$7*$C$15*$E$8*($E$9+$E$10*$E$11)/$D76^2*Q76*10^6)</f>
        <v>4.9933620917212027E-2</v>
      </c>
      <c r="S76" s="91">
        <f>$F76/$F$27+$G76/$F$28+$H76/$F$29+$I76/$F$30</f>
        <v>8.1967213114754092</v>
      </c>
      <c r="T76" s="97">
        <f t="shared" si="3"/>
        <v>6.3573875711648393E-9</v>
      </c>
      <c r="U76" s="91">
        <f>($C$7*$C$15*$F$8*($F$9+$F$10*$F$11)/$D76^2*T76*10^6)</f>
        <v>1.5257730170795616E-4</v>
      </c>
      <c r="V76" s="91">
        <f>$F76/$G$27+$G76/$G$28+$H76/$G$29+$I76/$G$30</f>
        <v>7.0224719101123592</v>
      </c>
      <c r="W76" s="97">
        <f t="shared" si="4"/>
        <v>9.4957241494880226E-8</v>
      </c>
      <c r="X76" s="76">
        <f>($C$7*$C$15*$G$8*($G$9+$G$10*$G$11)/$D76^2*W76*10^6)</f>
        <v>2.278973795877126E-3</v>
      </c>
      <c r="Y76" s="339">
        <f>SUM(L76,O76,R76,U76,X76)</f>
        <v>5.9757939131184837E-2</v>
      </c>
      <c r="Z76" s="363">
        <f>SUM(Y74:Y77)</f>
        <v>0.52249470541710541</v>
      </c>
      <c r="AA76" s="334">
        <f>Z76*52/10^3</f>
        <v>2.7169724681689482E-2</v>
      </c>
      <c r="AG76" s="328"/>
      <c r="AH76" s="328"/>
      <c r="AI76" s="328"/>
      <c r="AJ76" s="328"/>
      <c r="AK76" s="328"/>
      <c r="AL76" s="328"/>
      <c r="AP76" s="222"/>
      <c r="AQ76" s="211"/>
      <c r="AR76" s="222"/>
      <c r="AS76" s="222"/>
      <c r="AT76" s="225"/>
      <c r="AU76" s="225"/>
      <c r="AV76" s="225"/>
      <c r="AW76" s="225"/>
      <c r="AX76" s="225"/>
      <c r="AY76" s="300"/>
      <c r="AZ76" s="300"/>
    </row>
    <row r="77" spans="1:52" s="212" customFormat="1" ht="30" hidden="1" customHeight="1" thickBot="1" x14ac:dyDescent="0.3">
      <c r="A77" s="715"/>
      <c r="B77" s="716"/>
      <c r="C77" s="331"/>
      <c r="D77" s="1871"/>
      <c r="E77" s="1871"/>
      <c r="F77" s="1871"/>
      <c r="G77" s="1871"/>
      <c r="H77" s="1871"/>
      <c r="I77" s="1871"/>
      <c r="J77" s="91"/>
      <c r="K77" s="97"/>
      <c r="L77" s="91"/>
      <c r="M77" s="91"/>
      <c r="N77" s="97"/>
      <c r="O77" s="91"/>
      <c r="P77" s="91"/>
      <c r="Q77" s="97"/>
      <c r="R77" s="91"/>
      <c r="S77" s="91"/>
      <c r="T77" s="97"/>
      <c r="U77" s="91"/>
      <c r="V77" s="91"/>
      <c r="W77" s="97"/>
      <c r="X77" s="76"/>
      <c r="Y77" s="577"/>
      <c r="Z77" s="659"/>
      <c r="AA77" s="660"/>
      <c r="AG77" s="328"/>
      <c r="AH77" s="328"/>
      <c r="AI77" s="328"/>
      <c r="AJ77" s="328"/>
      <c r="AK77" s="328"/>
      <c r="AL77" s="328"/>
      <c r="AP77" s="222"/>
      <c r="AQ77" s="211"/>
      <c r="AR77" s="222"/>
      <c r="AS77" s="222"/>
      <c r="AT77" s="225"/>
      <c r="AU77" s="225"/>
      <c r="AV77" s="225"/>
      <c r="AW77" s="225"/>
      <c r="AX77" s="225"/>
      <c r="AY77" s="300"/>
      <c r="AZ77" s="300"/>
    </row>
    <row r="78" spans="1:52" s="212" customFormat="1" ht="30" customHeight="1" x14ac:dyDescent="0.25">
      <c r="A78" s="552"/>
      <c r="B78" s="322"/>
      <c r="C78" s="348" t="s">
        <v>209</v>
      </c>
      <c r="D78" s="1859">
        <v>6</v>
      </c>
      <c r="E78" s="1859">
        <v>1</v>
      </c>
      <c r="F78" s="1859">
        <v>250</v>
      </c>
      <c r="G78" s="1859">
        <v>0</v>
      </c>
      <c r="H78" s="1859">
        <v>0</v>
      </c>
      <c r="I78" s="1859">
        <v>0</v>
      </c>
      <c r="J78" s="91">
        <f>IF($F78=0,0,1+($F78-$C$21)/$C$22)+$G78/$C$23+$H78/$C$24+$I78/$C$25</f>
        <v>7.4545454545454541</v>
      </c>
      <c r="K78" s="97">
        <f>10^(-J78)</f>
        <v>3.5111917342151263E-8</v>
      </c>
      <c r="L78" s="91">
        <f>($C$7*$C$14*$C$8*$E78/$D78^2*K78*10^6)</f>
        <v>7.8026482982558355E-3</v>
      </c>
      <c r="M78" s="91">
        <f>IF($F78=0,0,1+($F78-$D$21)/$D$22)+$G78/$D$23+$H78/$D$24+$I78/$D$25</f>
        <v>6.6486486486486482</v>
      </c>
      <c r="N78" s="97">
        <f>10^(-M78)</f>
        <v>2.2456979955397711E-7</v>
      </c>
      <c r="O78" s="91">
        <f>($C$7*$D$14*$D$8*$E78/$D78^2*N78*10^6)</f>
        <v>4.99043999008838E-2</v>
      </c>
      <c r="P78" s="91">
        <f>IF($F78=0,0,1+($F78-$E$21)/$E$22)+$G78/$E$23+$H78/$E$24+$I78/$E$25</f>
        <v>5.7674418604651159</v>
      </c>
      <c r="Q78" s="97">
        <f>10^(-P78)</f>
        <v>1.7082763938087111E-6</v>
      </c>
      <c r="R78" s="91">
        <f>($C$7*$D$14*$E$8*$E78/$D78^2*Q78*10^6)</f>
        <v>0.37961697640193576</v>
      </c>
      <c r="S78" s="91">
        <f>IF($F78=0,0,1+($F78-$F$21)/$F$22)+$G78/$F$23+$H78/$F$24+$I78/$F$25</f>
        <v>9.1481481481481488</v>
      </c>
      <c r="T78" s="97">
        <f>10^(-S78)</f>
        <v>7.1097094323124171E-10</v>
      </c>
      <c r="U78" s="91">
        <f>($C$7*$F$14*$F$8*$E78/$D78^2*T78*10^6)</f>
        <v>1.5799354294027593E-4</v>
      </c>
      <c r="V78" s="91">
        <f>IF($F78=0,0,1+($F78-$G$21)/$G$22)+$G78/$G$23+$H78/$G$24+$I78/$G$25</f>
        <v>6.9444444444444446</v>
      </c>
      <c r="W78" s="97">
        <f>10^(-V78)</f>
        <v>1.136463666385722E-7</v>
      </c>
      <c r="X78" s="76">
        <f>($C$7*$G$14*$G$8*$E78/$D78^2*W78*10^6)</f>
        <v>2.5254748141904933E-2</v>
      </c>
      <c r="Y78" s="324">
        <f>SUM(L78,O78,R78,U78,X78)</f>
        <v>0.46273676628592059</v>
      </c>
      <c r="Z78" s="717"/>
      <c r="AA78" s="718"/>
      <c r="AG78" s="328"/>
      <c r="AI78" s="328"/>
      <c r="AJ78" s="328"/>
      <c r="AK78" s="328"/>
      <c r="AL78" s="328"/>
      <c r="AP78" s="222"/>
      <c r="AQ78" s="211"/>
      <c r="AR78" s="222"/>
      <c r="AS78" s="222"/>
      <c r="AT78" s="225"/>
      <c r="AU78" s="225"/>
      <c r="AV78" s="225"/>
      <c r="AW78" s="225"/>
      <c r="AX78" s="225"/>
      <c r="AY78" s="300"/>
      <c r="AZ78" s="300"/>
    </row>
    <row r="79" spans="1:52" s="212" customFormat="1" ht="30" customHeight="1" x14ac:dyDescent="0.25">
      <c r="A79" s="351" t="str">
        <f>Samenvatting!A159</f>
        <v>L4</v>
      </c>
      <c r="B79" s="719" t="str">
        <f>Samenvatting!B159</f>
        <v>ingang labyrint linac 4</v>
      </c>
      <c r="C79" s="353" t="s">
        <v>361</v>
      </c>
      <c r="D79" s="1859">
        <v>5</v>
      </c>
      <c r="E79" s="58"/>
      <c r="F79" s="1859">
        <v>250</v>
      </c>
      <c r="G79" s="1859">
        <v>0</v>
      </c>
      <c r="H79" s="1859">
        <v>0</v>
      </c>
      <c r="I79" s="1859">
        <v>0</v>
      </c>
      <c r="J79" s="91">
        <f>$F79/$C$27+$G79/$C$28+$H79/$C$29+$I79/$C$30</f>
        <v>7.3529411764705879</v>
      </c>
      <c r="K79" s="97">
        <f>10^(-J79)</f>
        <v>4.4366873309786093E-8</v>
      </c>
      <c r="L79" s="91">
        <f>($C$7*$C$15*$C$8*($C$9+$C$10*$C$11)/$D79^2*K79*10^6)</f>
        <v>1.0648049594348663E-3</v>
      </c>
      <c r="M79" s="91">
        <f>$F79/$D$27+$G79/$D$28+$H79/$D$29+$I79/$D$30</f>
        <v>6.5789473684210522</v>
      </c>
      <c r="N79" s="97">
        <f>10^(-M79)</f>
        <v>2.636650898730358E-7</v>
      </c>
      <c r="O79" s="91">
        <f>($C$7*$C$15*$D$8*($D$9+$D$10*$D$11)/$D79^2*N79*10^6)</f>
        <v>6.3279621569528599E-3</v>
      </c>
      <c r="P79" s="91">
        <f>$F79/$E$27+$G79/$E$28+$H79/$E$29+$I79/$E$30</f>
        <v>5.6818181818181817</v>
      </c>
      <c r="Q79" s="97">
        <f>10^(-P79)</f>
        <v>2.0805675382171676E-6</v>
      </c>
      <c r="R79" s="91">
        <f>($C$7*$C$15*$E$8*($E$9+$E$10*$E$11)/$D79^2*Q79*10^6)</f>
        <v>4.9933620917212027E-2</v>
      </c>
      <c r="S79" s="91">
        <f>$F79/$F$27+$G79/$F$28+$H79/$F$29+$I79/$F$30</f>
        <v>8.1967213114754092</v>
      </c>
      <c r="T79" s="97">
        <f>10^(-S79)</f>
        <v>6.3573875711648393E-9</v>
      </c>
      <c r="U79" s="91">
        <f>($C$7*$C$15*$F$8*($F$9+$F$10*$F$11)/$D79^2*T79*10^6)</f>
        <v>1.5257730170795616E-4</v>
      </c>
      <c r="V79" s="91">
        <f>$F79/$G$27+$G79/$G$28+$H79/$G$29+$I79/$G$30</f>
        <v>7.0224719101123592</v>
      </c>
      <c r="W79" s="97">
        <f>10^(-V79)</f>
        <v>9.4957241494880226E-8</v>
      </c>
      <c r="X79" s="76">
        <f>($C$7*$C$15*$G$8*($G$9+$G$10*$G$11)/$D79^2*W79*10^6)</f>
        <v>2.278973795877126E-3</v>
      </c>
      <c r="Y79" s="355">
        <f>SUM(L79,O79,R79,U79,X79)</f>
        <v>5.9757939131184837E-2</v>
      </c>
      <c r="Z79" s="662">
        <f>SUM(Y77:Y81)</f>
        <v>298.71327202141981</v>
      </c>
      <c r="AA79" s="663">
        <f>Z79*52/10^3</f>
        <v>15.53309014511383</v>
      </c>
      <c r="AG79" s="328"/>
      <c r="AH79" s="328"/>
      <c r="AI79" s="328"/>
      <c r="AJ79" s="328"/>
      <c r="AK79" s="328"/>
      <c r="AL79" s="328"/>
      <c r="AP79" s="222"/>
      <c r="AQ79" s="211"/>
      <c r="AR79" s="222"/>
      <c r="AS79" s="222"/>
      <c r="AT79" s="225"/>
      <c r="AU79" s="225"/>
      <c r="AV79" s="225"/>
      <c r="AW79" s="225"/>
      <c r="AX79" s="225"/>
      <c r="AY79" s="300"/>
      <c r="AZ79" s="300"/>
    </row>
    <row r="80" spans="1:52" s="212" customFormat="1" ht="30" customHeight="1" thickBot="1" x14ac:dyDescent="0.3">
      <c r="A80" s="657"/>
      <c r="B80" s="700"/>
      <c r="C80" s="360" t="s">
        <v>360</v>
      </c>
      <c r="D80" s="701" t="s">
        <v>362</v>
      </c>
      <c r="E80" s="58"/>
      <c r="F80" s="58"/>
      <c r="G80" s="58"/>
      <c r="H80" s="58"/>
      <c r="I80" s="58"/>
      <c r="J80" s="91"/>
      <c r="K80" s="97"/>
      <c r="L80" s="91"/>
      <c r="M80" s="702"/>
      <c r="N80" s="703"/>
      <c r="O80" s="704"/>
      <c r="P80" s="704"/>
      <c r="Q80" s="703"/>
      <c r="R80" s="704"/>
      <c r="S80" s="704"/>
      <c r="T80" s="703"/>
      <c r="U80" s="704"/>
      <c r="V80" s="704"/>
      <c r="W80" s="703"/>
      <c r="X80" s="705"/>
      <c r="Y80" s="339">
        <f>SUM(AT130:AT135)</f>
        <v>298.19077731600271</v>
      </c>
      <c r="Z80" s="720"/>
      <c r="AA80" s="364"/>
      <c r="AG80" s="328"/>
      <c r="AH80" s="328"/>
      <c r="AI80" s="328"/>
      <c r="AJ80" s="328"/>
      <c r="AK80" s="328"/>
      <c r="AL80" s="328"/>
      <c r="AP80" s="222"/>
      <c r="AQ80" s="211"/>
      <c r="AR80" s="222"/>
      <c r="AS80" s="222"/>
      <c r="AT80" s="225"/>
      <c r="AU80" s="225"/>
      <c r="AV80" s="225"/>
      <c r="AW80" s="225"/>
      <c r="AX80" s="225"/>
      <c r="AY80" s="300"/>
      <c r="AZ80" s="300"/>
    </row>
    <row r="81" spans="1:52" s="212" customFormat="1" ht="30" hidden="1" customHeight="1" thickBot="1" x14ac:dyDescent="0.3">
      <c r="A81" s="211"/>
      <c r="B81" s="671"/>
      <c r="C81" s="318"/>
      <c r="D81" s="1872"/>
      <c r="E81" s="1871"/>
      <c r="F81" s="1871"/>
      <c r="G81" s="1871"/>
      <c r="H81" s="1871"/>
      <c r="I81" s="1871"/>
      <c r="J81" s="91"/>
      <c r="K81" s="97"/>
      <c r="L81" s="91"/>
      <c r="M81" s="702"/>
      <c r="N81" s="703"/>
      <c r="O81" s="704"/>
      <c r="P81" s="704"/>
      <c r="Q81" s="703"/>
      <c r="R81" s="704"/>
      <c r="S81" s="704"/>
      <c r="T81" s="703"/>
      <c r="U81" s="704"/>
      <c r="V81" s="704"/>
      <c r="W81" s="703"/>
      <c r="X81" s="705"/>
      <c r="Y81" s="577"/>
      <c r="Z81" s="707"/>
      <c r="AA81" s="708"/>
      <c r="AG81" s="328"/>
      <c r="AH81" s="328"/>
      <c r="AI81" s="328"/>
      <c r="AJ81" s="328"/>
      <c r="AK81" s="328"/>
      <c r="AL81" s="328"/>
      <c r="AP81" s="222"/>
      <c r="AQ81" s="211"/>
      <c r="AR81" s="222"/>
      <c r="AS81" s="222"/>
      <c r="AT81" s="225"/>
      <c r="AU81" s="225"/>
      <c r="AV81" s="225"/>
      <c r="AW81" s="225"/>
      <c r="AX81" s="225"/>
      <c r="AY81" s="300"/>
      <c r="AZ81" s="300"/>
    </row>
    <row r="82" spans="1:52" s="212" customFormat="1" ht="30" customHeight="1" x14ac:dyDescent="0.25">
      <c r="A82" s="322"/>
      <c r="B82" s="322"/>
      <c r="C82" s="323" t="s">
        <v>569</v>
      </c>
      <c r="D82" s="1859">
        <v>6</v>
      </c>
      <c r="E82" s="1859">
        <v>1</v>
      </c>
      <c r="F82" s="1859">
        <v>250</v>
      </c>
      <c r="G82" s="1859">
        <v>0</v>
      </c>
      <c r="H82" s="1859">
        <v>0</v>
      </c>
      <c r="I82" s="1859">
        <v>0</v>
      </c>
      <c r="J82" s="91">
        <f>IF($F82=0,0,1+($F82-$C$21)/$C$22)+$G82/$C$23+$H82/$C$24+$I82/$C$25</f>
        <v>7.4545454545454541</v>
      </c>
      <c r="K82" s="97">
        <f t="shared" ref="K82:K101" si="6">10^(-J82)</f>
        <v>3.5111917342151263E-8</v>
      </c>
      <c r="L82" s="91">
        <f>($C$7*$C$14*$C$8*$E82/$D82^2*K82*10^6)</f>
        <v>7.8026482982558355E-3</v>
      </c>
      <c r="M82" s="91">
        <f>IF($F82=0,0,1+($F82-$D$21)/$D$22)+$G82/$D$23+$H82/$D$24+$I82/$D$25</f>
        <v>6.6486486486486482</v>
      </c>
      <c r="N82" s="97">
        <f t="shared" ref="N82:N101" si="7">10^(-M82)</f>
        <v>2.2456979955397711E-7</v>
      </c>
      <c r="O82" s="91">
        <f>($C$7*$D$14*$D$8*$E82/$D82^2*N82*10^6)</f>
        <v>4.99043999008838E-2</v>
      </c>
      <c r="P82" s="91">
        <f>IF($F82=0,0,1+($F82-$E$21)/$E$22)+$G82/$E$23+$H82/$E$24+$I82/$E$25</f>
        <v>5.7674418604651159</v>
      </c>
      <c r="Q82" s="97">
        <f t="shared" ref="Q82:Q101" si="8">10^(-P82)</f>
        <v>1.7082763938087111E-6</v>
      </c>
      <c r="R82" s="91">
        <f>($C$7*$D$14*$E$8*$E82/$D82^2*Q82*10^6)</f>
        <v>0.37961697640193576</v>
      </c>
      <c r="S82" s="91">
        <f>IF($F82=0,0,1+($F82-$F$21)/$F$22)+$G82/$F$23+$H82/$F$24+$I82/$F$25</f>
        <v>9.1481481481481488</v>
      </c>
      <c r="T82" s="97">
        <f t="shared" ref="T82:T101" si="9">10^(-S82)</f>
        <v>7.1097094323124171E-10</v>
      </c>
      <c r="U82" s="91">
        <f>($C$7*$F$14*$F$8*$E82/$D82^2*T82*10^6)</f>
        <v>1.5799354294027593E-4</v>
      </c>
      <c r="V82" s="91">
        <f>IF($F82=0,0,1+($F82-$G$21)/$G$22)+$G82/$G$23+$H82/$G$24+$I82/$G$25</f>
        <v>6.9444444444444446</v>
      </c>
      <c r="W82" s="97">
        <f t="shared" ref="W82:W101" si="10">10^(-V82)</f>
        <v>1.136463666385722E-7</v>
      </c>
      <c r="X82" s="76">
        <f>($C$7*$G$14*$G$8*$E82/$D82^2*W82*10^6)</f>
        <v>2.5254748141904933E-2</v>
      </c>
      <c r="Y82" s="324">
        <f>SUM(L82,O82,R82,U82,X82)</f>
        <v>0.46273676628592059</v>
      </c>
      <c r="Z82" s="325"/>
      <c r="AA82" s="350"/>
      <c r="AG82" s="328"/>
      <c r="AI82" s="328"/>
      <c r="AJ82" s="328"/>
      <c r="AK82" s="328"/>
      <c r="AL82" s="328"/>
      <c r="AP82" s="222"/>
      <c r="AQ82" s="211"/>
      <c r="AR82" s="222"/>
      <c r="AS82" s="222"/>
      <c r="AT82" s="225"/>
      <c r="AU82" s="225"/>
      <c r="AV82" s="225"/>
      <c r="AW82" s="225"/>
      <c r="AX82" s="225"/>
      <c r="AY82" s="300"/>
      <c r="AZ82" s="300"/>
    </row>
    <row r="83" spans="1:52" s="212" customFormat="1" ht="30" customHeight="1" thickBot="1" x14ac:dyDescent="0.3">
      <c r="A83" s="343" t="str">
        <f>Samenvatting!A171</f>
        <v>L5</v>
      </c>
      <c r="B83" s="352" t="str">
        <f>Samenvatting!B171</f>
        <v>ingang labyrint linac 5</v>
      </c>
      <c r="C83" s="331" t="s">
        <v>568</v>
      </c>
      <c r="D83" s="1859">
        <v>5</v>
      </c>
      <c r="E83" s="58"/>
      <c r="F83" s="1859">
        <v>250</v>
      </c>
      <c r="G83" s="1859">
        <v>0</v>
      </c>
      <c r="H83" s="1859">
        <v>0</v>
      </c>
      <c r="I83" s="1859">
        <v>0</v>
      </c>
      <c r="J83" s="91">
        <f>$F83/$C$27+$G83/$C$28+$H83/$C$29+$I83/$C$30</f>
        <v>7.3529411764705879</v>
      </c>
      <c r="K83" s="97">
        <f t="shared" si="6"/>
        <v>4.4366873309786093E-8</v>
      </c>
      <c r="L83" s="91">
        <f>($C$7*$C$15*$C$8*($C$9+$C$10*$C$11)/$D83^2*K83*10^6)</f>
        <v>1.0648049594348663E-3</v>
      </c>
      <c r="M83" s="91">
        <f>$F83/$D$27+$G83/$D$28+$H83/$D$29+$I83/$D$30</f>
        <v>6.5789473684210522</v>
      </c>
      <c r="N83" s="97">
        <f t="shared" si="7"/>
        <v>2.636650898730358E-7</v>
      </c>
      <c r="O83" s="91">
        <f>($C$7*$C$15*$D$8*($D$9+$D$10*$D$11)/$D83^2*N83*10^6)</f>
        <v>6.3279621569528599E-3</v>
      </c>
      <c r="P83" s="91">
        <f>$F83/$E$27+$G83/$E$28+$H83/$E$29+$I83/$E$30</f>
        <v>5.6818181818181817</v>
      </c>
      <c r="Q83" s="97">
        <f t="shared" si="8"/>
        <v>2.0805675382171676E-6</v>
      </c>
      <c r="R83" s="91">
        <f>($C$7*$C$15*$E$8*($E$9+$E$10*$E$11)/$D83^2*Q83*10^6)</f>
        <v>4.9933620917212027E-2</v>
      </c>
      <c r="S83" s="91">
        <f>$F83/$F$27+$G83/$F$28+$H83/$F$29+$I83/$F$30</f>
        <v>8.1967213114754092</v>
      </c>
      <c r="T83" s="97">
        <f t="shared" si="9"/>
        <v>6.3573875711648393E-9</v>
      </c>
      <c r="U83" s="91">
        <f>($C$7*$C$15*$F$8*($F$9+$F$10*$F$11)/$D83^2*T83*10^6)</f>
        <v>1.5257730170795616E-4</v>
      </c>
      <c r="V83" s="91">
        <f>$F83/$G$27+$G83/$G$28+$H83/$G$29+$I83/$G$30</f>
        <v>7.0224719101123592</v>
      </c>
      <c r="W83" s="97">
        <f t="shared" si="10"/>
        <v>9.4957241494880226E-8</v>
      </c>
      <c r="X83" s="76">
        <f>($C$7*$C$15*$G$8*($G$9+$G$10*$G$11)/$D83^2*W83*10^6)</f>
        <v>2.278973795877126E-3</v>
      </c>
      <c r="Y83" s="339">
        <f>SUM(L83,O83,R83,U83,X83)</f>
        <v>5.9757939131184837E-2</v>
      </c>
      <c r="Z83" s="363">
        <f>SUM(Y81:Y84)</f>
        <v>0.52249470541710541</v>
      </c>
      <c r="AA83" s="334">
        <f>Z83*52/10^3</f>
        <v>2.7169724681689482E-2</v>
      </c>
      <c r="AG83" s="328"/>
      <c r="AH83" s="328"/>
      <c r="AI83" s="328"/>
      <c r="AJ83" s="328"/>
      <c r="AK83" s="328"/>
      <c r="AL83" s="328"/>
      <c r="AP83" s="222"/>
      <c r="AQ83" s="211"/>
      <c r="AR83" s="222"/>
      <c r="AS83" s="222"/>
      <c r="AT83" s="225"/>
      <c r="AU83" s="225"/>
      <c r="AV83" s="225"/>
      <c r="AW83" s="225"/>
      <c r="AX83" s="225"/>
      <c r="AY83" s="300"/>
      <c r="AZ83" s="300"/>
    </row>
    <row r="84" spans="1:52" s="212" customFormat="1" ht="30" hidden="1" customHeight="1" thickBot="1" x14ac:dyDescent="0.3">
      <c r="A84" s="317"/>
      <c r="B84" s="317"/>
      <c r="C84" s="318"/>
      <c r="D84" s="1871"/>
      <c r="E84" s="1871"/>
      <c r="F84" s="1871"/>
      <c r="G84" s="1871"/>
      <c r="H84" s="1871"/>
      <c r="I84" s="1871"/>
      <c r="J84" s="91"/>
      <c r="K84" s="97"/>
      <c r="L84" s="91"/>
      <c r="M84" s="91"/>
      <c r="N84" s="97"/>
      <c r="O84" s="91"/>
      <c r="P84" s="91"/>
      <c r="Q84" s="97"/>
      <c r="R84" s="91"/>
      <c r="S84" s="91"/>
      <c r="T84" s="97"/>
      <c r="U84" s="91"/>
      <c r="V84" s="91"/>
      <c r="W84" s="97"/>
      <c r="X84" s="76"/>
      <c r="Y84" s="577"/>
      <c r="Z84" s="659"/>
      <c r="AA84" s="660"/>
      <c r="AG84" s="328"/>
      <c r="AH84" s="328"/>
      <c r="AI84" s="328"/>
      <c r="AJ84" s="328"/>
      <c r="AK84" s="328"/>
      <c r="AL84" s="328"/>
      <c r="AP84" s="222"/>
      <c r="AQ84" s="211"/>
      <c r="AR84" s="222"/>
      <c r="AS84" s="222"/>
      <c r="AT84" s="225"/>
      <c r="AU84" s="225"/>
      <c r="AV84" s="225"/>
      <c r="AW84" s="225"/>
      <c r="AX84" s="225"/>
      <c r="AY84" s="300"/>
      <c r="AZ84" s="300"/>
    </row>
    <row r="85" spans="1:52" s="212" customFormat="1" ht="30" customHeight="1" x14ac:dyDescent="0.25">
      <c r="A85" s="322"/>
      <c r="B85" s="322"/>
      <c r="C85" s="323" t="s">
        <v>209</v>
      </c>
      <c r="D85" s="1859">
        <v>6</v>
      </c>
      <c r="E85" s="1859">
        <v>1</v>
      </c>
      <c r="F85" s="1859">
        <v>250</v>
      </c>
      <c r="G85" s="1859">
        <v>0</v>
      </c>
      <c r="H85" s="1859">
        <v>0</v>
      </c>
      <c r="I85" s="1859">
        <v>0</v>
      </c>
      <c r="J85" s="91">
        <f>IF($F85=0,0,1+($F85-$C$21)/$C$22)+$G85/$C$23+$H85/$C$24+$I85/$C$25</f>
        <v>7.4545454545454541</v>
      </c>
      <c r="K85" s="97">
        <f t="shared" si="6"/>
        <v>3.5111917342151263E-8</v>
      </c>
      <c r="L85" s="91">
        <f>($C$7*$C$14*$C$8*$E85/$D85^2*K85*10^6)</f>
        <v>7.8026482982558355E-3</v>
      </c>
      <c r="M85" s="91">
        <f>IF($F85=0,0,1+($F85-$D$21)/$D$22)+$G85/$D$23+$H85/$D$24+$I85/$D$25</f>
        <v>6.6486486486486482</v>
      </c>
      <c r="N85" s="97">
        <f t="shared" si="7"/>
        <v>2.2456979955397711E-7</v>
      </c>
      <c r="O85" s="91">
        <f>($C$7*$D$14*$D$8*$E85/$D85^2*N85*10^6)</f>
        <v>4.99043999008838E-2</v>
      </c>
      <c r="P85" s="91">
        <f>IF($F85=0,0,1+($F85-$E$21)/$E$22)+$G85/$E$23+$H85/$E$24+$I85/$E$25</f>
        <v>5.7674418604651159</v>
      </c>
      <c r="Q85" s="97">
        <f t="shared" si="8"/>
        <v>1.7082763938087111E-6</v>
      </c>
      <c r="R85" s="91">
        <f>($C$7*$D$14*$E$8*$E85/$D85^2*Q85*10^6)</f>
        <v>0.37961697640193576</v>
      </c>
      <c r="S85" s="91">
        <f>IF($F85=0,0,1+($F85-$F$21)/$F$22)+$G85/$F$23+$H85/$F$24+$I85/$F$25</f>
        <v>9.1481481481481488</v>
      </c>
      <c r="T85" s="97">
        <f t="shared" si="9"/>
        <v>7.1097094323124171E-10</v>
      </c>
      <c r="U85" s="91">
        <f>($C$7*$F$14*$F$8*$E85/$D85^2*T85*10^6)</f>
        <v>1.5799354294027593E-4</v>
      </c>
      <c r="V85" s="91">
        <f>IF($F85=0,0,1+($F85-$G$21)/$G$22)+$G85/$G$23+$H85/$G$24+$I85/$G$25</f>
        <v>6.9444444444444446</v>
      </c>
      <c r="W85" s="97">
        <f t="shared" si="10"/>
        <v>1.136463666385722E-7</v>
      </c>
      <c r="X85" s="76">
        <f>($C$7*$G$14*$G$8*$E85/$D85^2*W85*10^6)</f>
        <v>2.5254748141904933E-2</v>
      </c>
      <c r="Y85" s="324">
        <f>SUM(L85,O85,R85,U85,X85)</f>
        <v>0.46273676628592059</v>
      </c>
      <c r="Z85" s="325"/>
      <c r="AA85" s="350"/>
      <c r="AG85" s="328"/>
      <c r="AI85" s="328"/>
      <c r="AJ85" s="328"/>
      <c r="AK85" s="328"/>
      <c r="AL85" s="328"/>
      <c r="AP85" s="222"/>
      <c r="AQ85" s="211"/>
      <c r="AR85" s="222"/>
      <c r="AS85" s="222"/>
      <c r="AT85" s="225"/>
      <c r="AU85" s="225"/>
      <c r="AV85" s="225"/>
      <c r="AW85" s="225"/>
      <c r="AX85" s="225"/>
      <c r="AY85" s="300"/>
      <c r="AZ85" s="300"/>
    </row>
    <row r="86" spans="1:52" s="212" customFormat="1" ht="30" customHeight="1" thickBot="1" x14ac:dyDescent="0.3">
      <c r="A86" s="343" t="str">
        <f>Samenvatting!A183</f>
        <v>L6</v>
      </c>
      <c r="B86" s="352" t="str">
        <f>Samenvatting!B183</f>
        <v>ingang labyrint linac 6</v>
      </c>
      <c r="C86" s="331" t="s">
        <v>361</v>
      </c>
      <c r="D86" s="1859">
        <v>5</v>
      </c>
      <c r="E86" s="58"/>
      <c r="F86" s="1859">
        <v>250</v>
      </c>
      <c r="G86" s="1859">
        <v>0</v>
      </c>
      <c r="H86" s="1859">
        <v>0</v>
      </c>
      <c r="I86" s="1859">
        <v>0</v>
      </c>
      <c r="J86" s="91">
        <f>$F86/$C$27+$G86/$C$28+$H86/$C$29+$I86/$C$30</f>
        <v>7.3529411764705879</v>
      </c>
      <c r="K86" s="97">
        <f t="shared" si="6"/>
        <v>4.4366873309786093E-8</v>
      </c>
      <c r="L86" s="91">
        <f>($C$7*$C$15*$C$8*($C$9+$C$10*$C$11)/$D86^2*K86*10^6)</f>
        <v>1.0648049594348663E-3</v>
      </c>
      <c r="M86" s="91">
        <f>$F86/$D$27+$G86/$D$28+$H86/$D$29+$I86/$D$30</f>
        <v>6.5789473684210522</v>
      </c>
      <c r="N86" s="97">
        <f t="shared" si="7"/>
        <v>2.636650898730358E-7</v>
      </c>
      <c r="O86" s="91">
        <f>($C$7*$C$15*$D$8*($D$9+$D$10*$D$11)/$D86^2*N86*10^6)</f>
        <v>6.3279621569528599E-3</v>
      </c>
      <c r="P86" s="91">
        <f>$F86/$E$27+$G86/$E$28+$H86/$E$29+$I86/$E$30</f>
        <v>5.6818181818181817</v>
      </c>
      <c r="Q86" s="97">
        <f t="shared" si="8"/>
        <v>2.0805675382171676E-6</v>
      </c>
      <c r="R86" s="91">
        <f>($C$7*$C$15*$E$8*($E$9+$E$10*$E$11)/$D86^2*Q86*10^6)</f>
        <v>4.9933620917212027E-2</v>
      </c>
      <c r="S86" s="91">
        <f>$F86/$F$27+$G86/$F$28+$H86/$F$29+$I86/$F$30</f>
        <v>8.1967213114754092</v>
      </c>
      <c r="T86" s="97">
        <f t="shared" si="9"/>
        <v>6.3573875711648393E-9</v>
      </c>
      <c r="U86" s="91">
        <f>($C$7*$C$15*$F$8*($F$9+$F$10*$F$11)/$D86^2*T86*10^6)</f>
        <v>1.5257730170795616E-4</v>
      </c>
      <c r="V86" s="91">
        <f>$F86/$G$27+$G86/$G$28+$H86/$G$29+$I86/$G$30</f>
        <v>7.0224719101123592</v>
      </c>
      <c r="W86" s="97">
        <f t="shared" si="10"/>
        <v>9.4957241494880226E-8</v>
      </c>
      <c r="X86" s="76">
        <f>($C$7*$C$15*$G$8*($G$9+$G$10*$G$11)/$D86^2*W86*10^6)</f>
        <v>2.278973795877126E-3</v>
      </c>
      <c r="Y86" s="339">
        <f>SUM(L86,O86,R86,U86,X86)</f>
        <v>5.9757939131184837E-2</v>
      </c>
      <c r="Z86" s="363">
        <f>SUM(Y84:Y87)</f>
        <v>0.52249470541710541</v>
      </c>
      <c r="AA86" s="334">
        <f>Z86*52/10^3</f>
        <v>2.7169724681689482E-2</v>
      </c>
      <c r="AG86" s="328"/>
      <c r="AH86" s="328"/>
      <c r="AI86" s="328"/>
      <c r="AJ86" s="328"/>
      <c r="AK86" s="328"/>
      <c r="AL86" s="328"/>
      <c r="AP86" s="222"/>
      <c r="AQ86" s="211"/>
      <c r="AR86" s="222"/>
      <c r="AS86" s="222"/>
      <c r="AT86" s="225"/>
      <c r="AU86" s="225"/>
      <c r="AV86" s="225"/>
      <c r="AW86" s="225"/>
      <c r="AX86" s="225"/>
      <c r="AY86" s="300"/>
      <c r="AZ86" s="300"/>
    </row>
    <row r="87" spans="1:52" s="212" customFormat="1" ht="30" hidden="1" customHeight="1" thickBot="1" x14ac:dyDescent="0.3">
      <c r="A87" s="317"/>
      <c r="B87" s="317"/>
      <c r="C87" s="318"/>
      <c r="D87" s="1871"/>
      <c r="E87" s="1871"/>
      <c r="F87" s="1871"/>
      <c r="G87" s="1871"/>
      <c r="H87" s="1871"/>
      <c r="I87" s="1871"/>
      <c r="J87" s="91"/>
      <c r="K87" s="97"/>
      <c r="L87" s="91"/>
      <c r="M87" s="91"/>
      <c r="N87" s="97"/>
      <c r="O87" s="91"/>
      <c r="P87" s="91"/>
      <c r="Q87" s="97"/>
      <c r="R87" s="91"/>
      <c r="S87" s="91"/>
      <c r="T87" s="97"/>
      <c r="U87" s="91"/>
      <c r="V87" s="91"/>
      <c r="W87" s="97"/>
      <c r="X87" s="76"/>
      <c r="Y87" s="577"/>
      <c r="Z87" s="659"/>
      <c r="AA87" s="660"/>
      <c r="AG87" s="328"/>
      <c r="AH87" s="328"/>
      <c r="AI87" s="328"/>
      <c r="AJ87" s="328"/>
      <c r="AK87" s="328"/>
      <c r="AL87" s="328"/>
      <c r="AP87" s="222"/>
      <c r="AQ87" s="211"/>
      <c r="AR87" s="222"/>
      <c r="AS87" s="222"/>
      <c r="AT87" s="225"/>
      <c r="AU87" s="225"/>
      <c r="AV87" s="225"/>
      <c r="AW87" s="225"/>
      <c r="AX87" s="225"/>
      <c r="AY87" s="300"/>
      <c r="AZ87" s="300"/>
    </row>
    <row r="88" spans="1:52" s="212" customFormat="1" ht="30" customHeight="1" x14ac:dyDescent="0.25">
      <c r="A88" s="322"/>
      <c r="B88" s="322"/>
      <c r="C88" s="323" t="s">
        <v>569</v>
      </c>
      <c r="D88" s="1859">
        <v>6</v>
      </c>
      <c r="E88" s="1859">
        <v>1</v>
      </c>
      <c r="F88" s="1859">
        <v>250</v>
      </c>
      <c r="G88" s="1859">
        <v>0</v>
      </c>
      <c r="H88" s="1859">
        <v>0</v>
      </c>
      <c r="I88" s="1859">
        <v>0</v>
      </c>
      <c r="J88" s="91">
        <f>IF($F88=0,0,1+($F88-$C$21)/$C$22)+$G88/$C$23+$H88/$C$24+$I88/$C$25</f>
        <v>7.4545454545454541</v>
      </c>
      <c r="K88" s="97">
        <f t="shared" si="6"/>
        <v>3.5111917342151263E-8</v>
      </c>
      <c r="L88" s="91">
        <f>($C$7*$C$14*$C$8*$E88/$D88^2*K88*10^6)</f>
        <v>7.8026482982558355E-3</v>
      </c>
      <c r="M88" s="91">
        <f>IF($F88=0,0,1+($F88-$D$21)/$D$22)+$G88/$D$23+$H88/$D$24+$I88/$D$25</f>
        <v>6.6486486486486482</v>
      </c>
      <c r="N88" s="97">
        <f t="shared" si="7"/>
        <v>2.2456979955397711E-7</v>
      </c>
      <c r="O88" s="91">
        <f>($C$7*$D$14*$D$8*$E88/$D88^2*N88*10^6)</f>
        <v>4.99043999008838E-2</v>
      </c>
      <c r="P88" s="91">
        <f>IF($F88=0,0,1+($F88-$E$21)/$E$22)+$G88/$E$23+$H88/$E$24+$I88/$E$25</f>
        <v>5.7674418604651159</v>
      </c>
      <c r="Q88" s="97">
        <f t="shared" si="8"/>
        <v>1.7082763938087111E-6</v>
      </c>
      <c r="R88" s="91">
        <f>($C$7*$D$14*$E$8*$E88/$D88^2*Q88*10^6)</f>
        <v>0.37961697640193576</v>
      </c>
      <c r="S88" s="91">
        <f>IF($F88=0,0,1+($F88-$F$21)/$F$22)+$G88/$F$23+$H88/$F$24+$I88/$F$25</f>
        <v>9.1481481481481488</v>
      </c>
      <c r="T88" s="97">
        <f t="shared" si="9"/>
        <v>7.1097094323124171E-10</v>
      </c>
      <c r="U88" s="91">
        <f>($C$7*$F$14*$F$8*$E88/$D88^2*T88*10^6)</f>
        <v>1.5799354294027593E-4</v>
      </c>
      <c r="V88" s="91">
        <f>IF($F88=0,0,1+($F88-$G$21)/$G$22)+$G88/$G$23+$H88/$G$24+$I88/$G$25</f>
        <v>6.9444444444444446</v>
      </c>
      <c r="W88" s="97">
        <f t="shared" si="10"/>
        <v>1.136463666385722E-7</v>
      </c>
      <c r="X88" s="76">
        <f>($C$7*$G$14*$G$8*$E88/$D88^2*W88*10^6)</f>
        <v>2.5254748141904933E-2</v>
      </c>
      <c r="Y88" s="324">
        <f>SUM(L88,O88,R88,U88,X88)</f>
        <v>0.46273676628592059</v>
      </c>
      <c r="Z88" s="325"/>
      <c r="AA88" s="350"/>
      <c r="AG88" s="328"/>
      <c r="AI88" s="328"/>
      <c r="AJ88" s="328"/>
      <c r="AK88" s="328"/>
      <c r="AL88" s="328"/>
      <c r="AP88" s="222"/>
      <c r="AQ88" s="211"/>
      <c r="AR88" s="222"/>
      <c r="AS88" s="222"/>
      <c r="AT88" s="225"/>
      <c r="AU88" s="225"/>
      <c r="AV88" s="225"/>
      <c r="AW88" s="225"/>
      <c r="AX88" s="225"/>
      <c r="AY88" s="300"/>
      <c r="AZ88" s="300"/>
    </row>
    <row r="89" spans="1:52" s="212" customFormat="1" ht="30" customHeight="1" thickBot="1" x14ac:dyDescent="0.3">
      <c r="A89" s="343" t="str">
        <f>Samenvatting!A195</f>
        <v>L7</v>
      </c>
      <c r="B89" s="352" t="str">
        <f>Samenvatting!B195</f>
        <v>ingang labyrint linac 7</v>
      </c>
      <c r="C89" s="331" t="s">
        <v>568</v>
      </c>
      <c r="D89" s="1859">
        <v>5</v>
      </c>
      <c r="E89" s="58"/>
      <c r="F89" s="1859">
        <v>250</v>
      </c>
      <c r="G89" s="1859">
        <v>0</v>
      </c>
      <c r="H89" s="1859">
        <v>0</v>
      </c>
      <c r="I89" s="1859">
        <v>0</v>
      </c>
      <c r="J89" s="91">
        <f>$F89/$C$27+$G89/$C$28+$H89/$C$29+$I89/$C$30</f>
        <v>7.3529411764705879</v>
      </c>
      <c r="K89" s="97">
        <f t="shared" si="6"/>
        <v>4.4366873309786093E-8</v>
      </c>
      <c r="L89" s="91">
        <f>($C$7*$C$15*$C$8*($C$9+$C$10*$C$11)/$D89^2*K89*10^6)</f>
        <v>1.0648049594348663E-3</v>
      </c>
      <c r="M89" s="91">
        <f>$F89/$D$27+$G89/$D$28+$H89/$D$29+$I89/$D$30</f>
        <v>6.5789473684210522</v>
      </c>
      <c r="N89" s="97">
        <f t="shared" si="7"/>
        <v>2.636650898730358E-7</v>
      </c>
      <c r="O89" s="91">
        <f>($C$7*$C$15*$D$8*($D$9+$D$10*$D$11)/$D89^2*N89*10^6)</f>
        <v>6.3279621569528599E-3</v>
      </c>
      <c r="P89" s="91">
        <f>$F89/$E$27+$G89/$E$28+$H89/$E$29+$I89/$E$30</f>
        <v>5.6818181818181817</v>
      </c>
      <c r="Q89" s="97">
        <f t="shared" si="8"/>
        <v>2.0805675382171676E-6</v>
      </c>
      <c r="R89" s="91">
        <f>($C$7*$C$15*$E$8*($E$9+$E$10*$E$11)/$D89^2*Q89*10^6)</f>
        <v>4.9933620917212027E-2</v>
      </c>
      <c r="S89" s="91">
        <f>$F89/$F$27+$G89/$F$28+$H89/$F$29+$I89/$F$30</f>
        <v>8.1967213114754092</v>
      </c>
      <c r="T89" s="97">
        <f t="shared" si="9"/>
        <v>6.3573875711648393E-9</v>
      </c>
      <c r="U89" s="91">
        <f>($C$7*$C$15*$F$8*($F$9+$F$10*$F$11)/$D89^2*T89*10^6)</f>
        <v>1.5257730170795616E-4</v>
      </c>
      <c r="V89" s="91">
        <f>$F89/$G$27+$G89/$G$28+$H89/$G$29+$I89/$G$30</f>
        <v>7.0224719101123592</v>
      </c>
      <c r="W89" s="97">
        <f t="shared" si="10"/>
        <v>9.4957241494880226E-8</v>
      </c>
      <c r="X89" s="76">
        <f>($C$7*$C$15*$G$8*($G$9+$G$10*$G$11)/$D89^2*W89*10^6)</f>
        <v>2.278973795877126E-3</v>
      </c>
      <c r="Y89" s="339">
        <f>SUM(L89,O89,R89,U89,X89)</f>
        <v>5.9757939131184837E-2</v>
      </c>
      <c r="Z89" s="363">
        <f>SUM(Y87:Y90)</f>
        <v>0.52249470541710541</v>
      </c>
      <c r="AA89" s="334">
        <f>Z89*52/10^3</f>
        <v>2.7169724681689482E-2</v>
      </c>
      <c r="AG89" s="328"/>
      <c r="AH89" s="328"/>
      <c r="AI89" s="328"/>
      <c r="AJ89" s="328"/>
      <c r="AK89" s="328"/>
      <c r="AL89" s="328"/>
      <c r="AP89" s="222"/>
      <c r="AQ89" s="211"/>
      <c r="AR89" s="222"/>
      <c r="AS89" s="222"/>
      <c r="AT89" s="225"/>
      <c r="AU89" s="225"/>
      <c r="AV89" s="225"/>
      <c r="AW89" s="225"/>
      <c r="AX89" s="225"/>
      <c r="AY89" s="300"/>
      <c r="AZ89" s="300"/>
    </row>
    <row r="90" spans="1:52" s="212" customFormat="1" ht="30" hidden="1" customHeight="1" thickBot="1" x14ac:dyDescent="0.3">
      <c r="A90" s="317"/>
      <c r="B90" s="317"/>
      <c r="C90" s="318"/>
      <c r="D90" s="1871"/>
      <c r="E90" s="1871"/>
      <c r="F90" s="1871"/>
      <c r="G90" s="1871"/>
      <c r="H90" s="1871"/>
      <c r="I90" s="1871"/>
      <c r="J90" s="91"/>
      <c r="K90" s="97"/>
      <c r="L90" s="91"/>
      <c r="M90" s="91"/>
      <c r="N90" s="97"/>
      <c r="O90" s="91"/>
      <c r="P90" s="91"/>
      <c r="Q90" s="97"/>
      <c r="R90" s="91"/>
      <c r="S90" s="91"/>
      <c r="T90" s="97"/>
      <c r="U90" s="91"/>
      <c r="V90" s="91"/>
      <c r="W90" s="97"/>
      <c r="X90" s="76"/>
      <c r="Y90" s="577"/>
      <c r="Z90" s="659"/>
      <c r="AA90" s="660"/>
      <c r="AG90" s="328"/>
      <c r="AH90" s="328"/>
      <c r="AI90" s="328"/>
      <c r="AJ90" s="328"/>
      <c r="AK90" s="328"/>
      <c r="AL90" s="328"/>
      <c r="AP90" s="222"/>
      <c r="AQ90" s="211"/>
      <c r="AR90" s="222"/>
      <c r="AS90" s="222"/>
      <c r="AT90" s="225"/>
      <c r="AU90" s="225"/>
      <c r="AV90" s="225"/>
      <c r="AW90" s="225"/>
      <c r="AX90" s="225"/>
      <c r="AY90" s="300"/>
      <c r="AZ90" s="300"/>
    </row>
    <row r="91" spans="1:52" s="212" customFormat="1" ht="30" customHeight="1" x14ac:dyDescent="0.25">
      <c r="A91" s="322"/>
      <c r="B91" s="322"/>
      <c r="C91" s="323" t="s">
        <v>569</v>
      </c>
      <c r="D91" s="1859">
        <v>6</v>
      </c>
      <c r="E91" s="1859">
        <v>1</v>
      </c>
      <c r="F91" s="1859">
        <v>250</v>
      </c>
      <c r="G91" s="1859">
        <v>0</v>
      </c>
      <c r="H91" s="1859">
        <v>0</v>
      </c>
      <c r="I91" s="1859">
        <v>0</v>
      </c>
      <c r="J91" s="91">
        <f>IF($F91=0,0,1+($F91-$C$21)/$C$22)+$G91/$C$23+$H91/$C$24+$I91/$C$25</f>
        <v>7.4545454545454541</v>
      </c>
      <c r="K91" s="97">
        <f t="shared" si="6"/>
        <v>3.5111917342151263E-8</v>
      </c>
      <c r="L91" s="91">
        <f>($C$7*$C$14*$C$8*$E91/$D91^2*K91*10^6)</f>
        <v>7.8026482982558355E-3</v>
      </c>
      <c r="M91" s="91">
        <f>IF($F91=0,0,1+($F91-$D$21)/$D$22)+$G91/$D$23+$H91/$D$24+$I91/$D$25</f>
        <v>6.6486486486486482</v>
      </c>
      <c r="N91" s="97">
        <f t="shared" si="7"/>
        <v>2.2456979955397711E-7</v>
      </c>
      <c r="O91" s="91">
        <f>($C$7*$D$14*$D$8*$E91/$D91^2*N91*10^6)</f>
        <v>4.99043999008838E-2</v>
      </c>
      <c r="P91" s="91">
        <f>IF($F91=0,0,1+($F91-$E$21)/$E$22)+$G91/$E$23+$H91/$E$24+$I91/$E$25</f>
        <v>5.7674418604651159</v>
      </c>
      <c r="Q91" s="97">
        <f t="shared" si="8"/>
        <v>1.7082763938087111E-6</v>
      </c>
      <c r="R91" s="91">
        <f>($C$7*$D$14*$E$8*$E91/$D91^2*Q91*10^6)</f>
        <v>0.37961697640193576</v>
      </c>
      <c r="S91" s="91">
        <f>IF($F91=0,0,1+($F91-$F$21)/$F$22)+$G91/$F$23+$H91/$F$24+$I91/$F$25</f>
        <v>9.1481481481481488</v>
      </c>
      <c r="T91" s="97">
        <f t="shared" si="9"/>
        <v>7.1097094323124171E-10</v>
      </c>
      <c r="U91" s="91">
        <f>($C$7*$F$14*$F$8*$E91/$D91^2*T91*10^6)</f>
        <v>1.5799354294027593E-4</v>
      </c>
      <c r="V91" s="91">
        <f>IF($F91=0,0,1+($F91-$G$21)/$G$22)+$G91/$G$23+$H91/$G$24+$I91/$G$25</f>
        <v>6.9444444444444446</v>
      </c>
      <c r="W91" s="97">
        <f t="shared" si="10"/>
        <v>1.136463666385722E-7</v>
      </c>
      <c r="X91" s="76">
        <f>($C$7*$G$14*$G$8*$E91/$D91^2*W91*10^6)</f>
        <v>2.5254748141904933E-2</v>
      </c>
      <c r="Y91" s="324">
        <f>SUM(L91,O91,R91,U91,X91)</f>
        <v>0.46273676628592059</v>
      </c>
      <c r="Z91" s="325"/>
      <c r="AA91" s="350"/>
      <c r="AG91" s="328"/>
      <c r="AI91" s="328"/>
      <c r="AJ91" s="328"/>
      <c r="AK91" s="328"/>
      <c r="AL91" s="328"/>
      <c r="AP91" s="222"/>
      <c r="AQ91" s="211"/>
      <c r="AR91" s="222"/>
      <c r="AS91" s="222"/>
      <c r="AT91" s="225"/>
      <c r="AU91" s="225"/>
      <c r="AV91" s="225"/>
      <c r="AW91" s="225"/>
      <c r="AX91" s="225"/>
      <c r="AY91" s="300"/>
      <c r="AZ91" s="300"/>
    </row>
    <row r="92" spans="1:52" s="212" customFormat="1" ht="30" customHeight="1" thickBot="1" x14ac:dyDescent="0.3">
      <c r="A92" s="351" t="str">
        <f>Samenvatting!A207</f>
        <v>L8</v>
      </c>
      <c r="B92" s="346" t="str">
        <f>Samenvatting!B207</f>
        <v>ingang labyrint linac 8</v>
      </c>
      <c r="C92" s="331" t="s">
        <v>568</v>
      </c>
      <c r="D92" s="1859">
        <v>5</v>
      </c>
      <c r="E92" s="58"/>
      <c r="F92" s="1859">
        <v>250</v>
      </c>
      <c r="G92" s="1859">
        <v>0</v>
      </c>
      <c r="H92" s="1859">
        <v>0</v>
      </c>
      <c r="I92" s="1859">
        <v>0</v>
      </c>
      <c r="J92" s="91">
        <f>$F92/$C$27+$G92/$C$28+$H92/$C$29+$I92/$C$30</f>
        <v>7.3529411764705879</v>
      </c>
      <c r="K92" s="97">
        <f t="shared" si="6"/>
        <v>4.4366873309786093E-8</v>
      </c>
      <c r="L92" s="91">
        <f>($C$7*$C$15*$C$8*($C$9+$C$10*$C$11)/$D92^2*K92*10^6)</f>
        <v>1.0648049594348663E-3</v>
      </c>
      <c r="M92" s="91">
        <f>$F92/$D$27+$G92/$D$28+$H92/$D$29+$I92/$D$30</f>
        <v>6.5789473684210522</v>
      </c>
      <c r="N92" s="97">
        <f t="shared" si="7"/>
        <v>2.636650898730358E-7</v>
      </c>
      <c r="O92" s="91">
        <f>($C$7*$C$15*$D$8*($D$9+$D$10*$D$11)/$D92^2*N92*10^6)</f>
        <v>6.3279621569528599E-3</v>
      </c>
      <c r="P92" s="91">
        <f>$F92/$E$27+$G92/$E$28+$H92/$E$29+$I92/$E$30</f>
        <v>5.6818181818181817</v>
      </c>
      <c r="Q92" s="97">
        <f t="shared" si="8"/>
        <v>2.0805675382171676E-6</v>
      </c>
      <c r="R92" s="91">
        <f>($C$7*$C$15*$E$8*($E$9+$E$10*$E$11)/$D92^2*Q92*10^6)</f>
        <v>4.9933620917212027E-2</v>
      </c>
      <c r="S92" s="91">
        <f>$F92/$F$27+$G92/$F$28+$H92/$F$29+$I92/$F$30</f>
        <v>8.1967213114754092</v>
      </c>
      <c r="T92" s="97">
        <f t="shared" si="9"/>
        <v>6.3573875711648393E-9</v>
      </c>
      <c r="U92" s="91">
        <f>($C$7*$C$15*$F$8*($F$9+$F$10*$F$11)/$D92^2*T92*10^6)</f>
        <v>1.5257730170795616E-4</v>
      </c>
      <c r="V92" s="91">
        <f>$F92/$G$27+$G92/$G$28+$H92/$G$29+$I92/$G$30</f>
        <v>7.0224719101123592</v>
      </c>
      <c r="W92" s="97">
        <f t="shared" si="10"/>
        <v>9.4957241494880226E-8</v>
      </c>
      <c r="X92" s="76">
        <f>($C$7*$C$15*$G$8*($G$9+$G$10*$G$11)/$D92^2*W92*10^6)</f>
        <v>2.278973795877126E-3</v>
      </c>
      <c r="Y92" s="339">
        <f>SUM(L92,O92,R92,U92,X92)</f>
        <v>5.9757939131184837E-2</v>
      </c>
      <c r="Z92" s="363">
        <f>SUM(Y90:Y93)</f>
        <v>0.52249470541710541</v>
      </c>
      <c r="AA92" s="334">
        <f>Z92*52/10^3</f>
        <v>2.7169724681689482E-2</v>
      </c>
      <c r="AG92" s="328"/>
      <c r="AH92" s="328"/>
      <c r="AI92" s="328"/>
      <c r="AJ92" s="328"/>
      <c r="AK92" s="328"/>
      <c r="AL92" s="328"/>
      <c r="AP92" s="222"/>
      <c r="AQ92" s="211"/>
      <c r="AR92" s="222"/>
      <c r="AS92" s="222"/>
      <c r="AT92" s="225"/>
      <c r="AU92" s="225"/>
      <c r="AV92" s="225"/>
      <c r="AW92" s="225"/>
      <c r="AX92" s="225"/>
      <c r="AY92" s="300"/>
      <c r="AZ92" s="300"/>
    </row>
    <row r="93" spans="1:52" s="212" customFormat="1" ht="30" hidden="1" customHeight="1" thickBot="1" x14ac:dyDescent="0.3">
      <c r="A93" s="317"/>
      <c r="B93" s="317"/>
      <c r="C93" s="318"/>
      <c r="D93" s="1871"/>
      <c r="E93" s="1871"/>
      <c r="F93" s="1871"/>
      <c r="G93" s="1871"/>
      <c r="H93" s="1871"/>
      <c r="I93" s="1871"/>
      <c r="J93" s="91"/>
      <c r="K93" s="97"/>
      <c r="L93" s="91"/>
      <c r="M93" s="91"/>
      <c r="N93" s="97"/>
      <c r="O93" s="91"/>
      <c r="P93" s="91"/>
      <c r="Q93" s="97"/>
      <c r="R93" s="91"/>
      <c r="S93" s="91"/>
      <c r="T93" s="97"/>
      <c r="U93" s="91"/>
      <c r="V93" s="91"/>
      <c r="W93" s="97"/>
      <c r="X93" s="76"/>
      <c r="Y93" s="577"/>
      <c r="Z93" s="659"/>
      <c r="AA93" s="660"/>
      <c r="AG93" s="328"/>
      <c r="AH93" s="328"/>
      <c r="AI93" s="328"/>
      <c r="AJ93" s="328"/>
      <c r="AK93" s="328"/>
      <c r="AL93" s="328"/>
      <c r="AP93" s="222"/>
      <c r="AQ93" s="211"/>
      <c r="AR93" s="222"/>
      <c r="AS93" s="222"/>
      <c r="AT93" s="225"/>
      <c r="AU93" s="225"/>
      <c r="AV93" s="225"/>
      <c r="AW93" s="225"/>
      <c r="AX93" s="225"/>
      <c r="AY93" s="300"/>
      <c r="AZ93" s="300"/>
    </row>
    <row r="94" spans="1:52" s="212" customFormat="1" ht="30" customHeight="1" x14ac:dyDescent="0.25">
      <c r="A94" s="322"/>
      <c r="B94" s="322"/>
      <c r="C94" s="323" t="s">
        <v>569</v>
      </c>
      <c r="D94" s="1859">
        <v>6</v>
      </c>
      <c r="E94" s="1859">
        <v>1</v>
      </c>
      <c r="F94" s="1859">
        <v>250</v>
      </c>
      <c r="G94" s="1859">
        <v>0</v>
      </c>
      <c r="H94" s="1859">
        <v>0</v>
      </c>
      <c r="I94" s="1859">
        <v>0</v>
      </c>
      <c r="J94" s="91">
        <f>IF($F94=0,0,1+($F94-$C$21)/$C$22)+$G94/$C$23+$H94/$C$24+$I94/$C$25</f>
        <v>7.4545454545454541</v>
      </c>
      <c r="K94" s="97">
        <f t="shared" si="6"/>
        <v>3.5111917342151263E-8</v>
      </c>
      <c r="L94" s="91">
        <f>($C$7*$C$14*$C$8*$E94/$D94^2*K94*10^6)</f>
        <v>7.8026482982558355E-3</v>
      </c>
      <c r="M94" s="91">
        <f>IF($F94=0,0,1+($F94-$D$21)/$D$22)+$G94/$D$23+$H94/$D$24+$I94/$D$25</f>
        <v>6.6486486486486482</v>
      </c>
      <c r="N94" s="97">
        <f t="shared" si="7"/>
        <v>2.2456979955397711E-7</v>
      </c>
      <c r="O94" s="91">
        <f>($C$7*$D$14*$D$8*$E94/$D94^2*N94*10^6)</f>
        <v>4.99043999008838E-2</v>
      </c>
      <c r="P94" s="91">
        <f>IF($F94=0,0,1+($F94-$E$21)/$E$22)+$G94/$E$23+$H94/$E$24+$I94/$E$25</f>
        <v>5.7674418604651159</v>
      </c>
      <c r="Q94" s="97">
        <f t="shared" si="8"/>
        <v>1.7082763938087111E-6</v>
      </c>
      <c r="R94" s="91">
        <f>($C$7*$D$14*$E$8*$E94/$D94^2*Q94*10^6)</f>
        <v>0.37961697640193576</v>
      </c>
      <c r="S94" s="91">
        <f>IF($F94=0,0,1+($F94-$F$21)/$F$22)+$G94/$F$23+$H94/$F$24+$I94/$F$25</f>
        <v>9.1481481481481488</v>
      </c>
      <c r="T94" s="97">
        <f t="shared" si="9"/>
        <v>7.1097094323124171E-10</v>
      </c>
      <c r="U94" s="91">
        <f>($C$7*$F$14*$F$8*$E94/$D94^2*T94*10^6)</f>
        <v>1.5799354294027593E-4</v>
      </c>
      <c r="V94" s="91">
        <f>IF($F94=0,0,1+($F94-$G$21)/$G$22)+$G94/$G$23+$H94/$G$24+$I94/$G$25</f>
        <v>6.9444444444444446</v>
      </c>
      <c r="W94" s="97">
        <f t="shared" si="10"/>
        <v>1.136463666385722E-7</v>
      </c>
      <c r="X94" s="76">
        <f>($C$7*$G$14*$G$8*$E94/$D94^2*W94*10^6)</f>
        <v>2.5254748141904933E-2</v>
      </c>
      <c r="Y94" s="324">
        <f>SUM(L94,O94,R94,U94,X94)</f>
        <v>0.46273676628592059</v>
      </c>
      <c r="Z94" s="325"/>
      <c r="AA94" s="350"/>
      <c r="AG94" s="328"/>
      <c r="AI94" s="328"/>
      <c r="AJ94" s="328"/>
      <c r="AK94" s="328"/>
      <c r="AL94" s="328"/>
      <c r="AP94" s="222"/>
      <c r="AQ94" s="211"/>
      <c r="AR94" s="222"/>
      <c r="AS94" s="222"/>
      <c r="AT94" s="225"/>
      <c r="AU94" s="225"/>
      <c r="AV94" s="225"/>
      <c r="AW94" s="225"/>
      <c r="AX94" s="225"/>
      <c r="AY94" s="300"/>
      <c r="AZ94" s="300"/>
    </row>
    <row r="95" spans="1:52" s="212" customFormat="1" ht="30" customHeight="1" thickBot="1" x14ac:dyDescent="0.3">
      <c r="A95" s="351" t="str">
        <f>Samenvatting!A219</f>
        <v>L9</v>
      </c>
      <c r="B95" s="352" t="str">
        <f>Samenvatting!B219</f>
        <v>ingang labyrint linac 9</v>
      </c>
      <c r="C95" s="331" t="s">
        <v>568</v>
      </c>
      <c r="D95" s="1859">
        <v>5</v>
      </c>
      <c r="E95" s="58"/>
      <c r="F95" s="1859">
        <v>250</v>
      </c>
      <c r="G95" s="1859">
        <v>0</v>
      </c>
      <c r="H95" s="1859">
        <v>0</v>
      </c>
      <c r="I95" s="1859">
        <v>0</v>
      </c>
      <c r="J95" s="91">
        <f>$F95/$C$27+$G95/$C$28+$H95/$C$29+$I95/$C$30</f>
        <v>7.3529411764705879</v>
      </c>
      <c r="K95" s="97">
        <f t="shared" si="6"/>
        <v>4.4366873309786093E-8</v>
      </c>
      <c r="L95" s="91">
        <f>($C$7*$C$15*$C$8*($C$9+$C$10*$C$11)/$D95^2*K95*10^6)</f>
        <v>1.0648049594348663E-3</v>
      </c>
      <c r="M95" s="91">
        <f>$F95/$D$27+$G95/$D$28+$H95/$D$29+$I95/$D$30</f>
        <v>6.5789473684210522</v>
      </c>
      <c r="N95" s="97">
        <f t="shared" si="7"/>
        <v>2.636650898730358E-7</v>
      </c>
      <c r="O95" s="91">
        <f>($C$7*$C$15*$D$8*($D$9+$D$10*$D$11)/$D95^2*N95*10^6)</f>
        <v>6.3279621569528599E-3</v>
      </c>
      <c r="P95" s="91">
        <f>$F95/$E$27+$G95/$E$28+$H95/$E$29+$I95/$E$30</f>
        <v>5.6818181818181817</v>
      </c>
      <c r="Q95" s="97">
        <f t="shared" si="8"/>
        <v>2.0805675382171676E-6</v>
      </c>
      <c r="R95" s="91">
        <f>($C$7*$C$15*$E$8*($E$9+$E$10*$E$11)/$D95^2*Q95*10^6)</f>
        <v>4.9933620917212027E-2</v>
      </c>
      <c r="S95" s="91">
        <f>$F95/$F$27+$G95/$F$28+$H95/$F$29+$I95/$F$30</f>
        <v>8.1967213114754092</v>
      </c>
      <c r="T95" s="97">
        <f t="shared" si="9"/>
        <v>6.3573875711648393E-9</v>
      </c>
      <c r="U95" s="91">
        <f>($C$7*$C$15*$F$8*($F$9+$F$10*$F$11)/$D95^2*T95*10^6)</f>
        <v>1.5257730170795616E-4</v>
      </c>
      <c r="V95" s="91">
        <f>$F95/$G$27+$G95/$G$28+$H95/$G$29+$I95/$G$30</f>
        <v>7.0224719101123592</v>
      </c>
      <c r="W95" s="97">
        <f t="shared" si="10"/>
        <v>9.4957241494880226E-8</v>
      </c>
      <c r="X95" s="76">
        <f>($C$7*$C$15*$G$8*($G$9+$G$10*$G$11)/$D95^2*W95*10^6)</f>
        <v>2.278973795877126E-3</v>
      </c>
      <c r="Y95" s="339">
        <f>SUM(L95,O95,R95,U95,X95)</f>
        <v>5.9757939131184837E-2</v>
      </c>
      <c r="Z95" s="363">
        <f>SUM(Y93:Y96)</f>
        <v>0.52249470541710541</v>
      </c>
      <c r="AA95" s="334">
        <f>Z95*52/10^3</f>
        <v>2.7169724681689482E-2</v>
      </c>
      <c r="AG95" s="328"/>
      <c r="AH95" s="328"/>
      <c r="AI95" s="328"/>
      <c r="AJ95" s="328"/>
      <c r="AK95" s="328"/>
      <c r="AL95" s="328"/>
      <c r="AP95" s="222"/>
      <c r="AQ95" s="211"/>
      <c r="AR95" s="222"/>
      <c r="AS95" s="222"/>
      <c r="AT95" s="225"/>
      <c r="AU95" s="225"/>
      <c r="AV95" s="225"/>
      <c r="AW95" s="225"/>
      <c r="AX95" s="225"/>
      <c r="AY95" s="300"/>
      <c r="AZ95" s="300"/>
    </row>
    <row r="96" spans="1:52" s="212" customFormat="1" ht="30" hidden="1" customHeight="1" thickBot="1" x14ac:dyDescent="0.3">
      <c r="A96" s="317"/>
      <c r="B96" s="317"/>
      <c r="C96" s="318"/>
      <c r="D96" s="1871"/>
      <c r="E96" s="1871"/>
      <c r="F96" s="1871"/>
      <c r="G96" s="1871"/>
      <c r="H96" s="1871"/>
      <c r="I96" s="1871"/>
      <c r="J96" s="91"/>
      <c r="K96" s="97"/>
      <c r="L96" s="91"/>
      <c r="M96" s="91"/>
      <c r="N96" s="97"/>
      <c r="O96" s="91"/>
      <c r="P96" s="91"/>
      <c r="Q96" s="97"/>
      <c r="R96" s="91"/>
      <c r="S96" s="91"/>
      <c r="T96" s="97"/>
      <c r="U96" s="91"/>
      <c r="V96" s="91"/>
      <c r="W96" s="97"/>
      <c r="X96" s="76"/>
      <c r="Y96" s="577"/>
      <c r="Z96" s="659"/>
      <c r="AA96" s="660"/>
      <c r="AG96" s="328"/>
      <c r="AH96" s="328"/>
      <c r="AI96" s="328"/>
      <c r="AJ96" s="328"/>
      <c r="AK96" s="328"/>
      <c r="AL96" s="328"/>
      <c r="AP96" s="222"/>
      <c r="AQ96" s="211"/>
      <c r="AR96" s="222"/>
      <c r="AS96" s="222"/>
      <c r="AT96" s="225"/>
      <c r="AU96" s="225"/>
      <c r="AV96" s="225"/>
      <c r="AW96" s="225"/>
      <c r="AX96" s="225"/>
      <c r="AY96" s="300"/>
      <c r="AZ96" s="300"/>
    </row>
    <row r="97" spans="1:54" s="212" customFormat="1" ht="30" customHeight="1" x14ac:dyDescent="0.25">
      <c r="A97" s="322"/>
      <c r="B97" s="322"/>
      <c r="C97" s="323" t="s">
        <v>569</v>
      </c>
      <c r="D97" s="1859">
        <v>6</v>
      </c>
      <c r="E97" s="1859">
        <v>1</v>
      </c>
      <c r="F97" s="1859">
        <v>250</v>
      </c>
      <c r="G97" s="1859">
        <v>0</v>
      </c>
      <c r="H97" s="1859">
        <v>0</v>
      </c>
      <c r="I97" s="1859">
        <v>0</v>
      </c>
      <c r="J97" s="91">
        <f>IF($F97=0,0,1+($F97-$C$21)/$C$22)+$G97/$C$23+$H97/$C$24+$I97/$C$25</f>
        <v>7.4545454545454541</v>
      </c>
      <c r="K97" s="97">
        <f t="shared" si="6"/>
        <v>3.5111917342151263E-8</v>
      </c>
      <c r="L97" s="91">
        <f>($C$7*$C$14*$C$8*$E97/$D97^2*K97*10^6)</f>
        <v>7.8026482982558355E-3</v>
      </c>
      <c r="M97" s="91">
        <f>IF($F97=0,0,1+($F97-$D$21)/$D$22)+$G97/$D$23+$H97/$D$24+$I97/$D$25</f>
        <v>6.6486486486486482</v>
      </c>
      <c r="N97" s="97">
        <f t="shared" si="7"/>
        <v>2.2456979955397711E-7</v>
      </c>
      <c r="O97" s="91">
        <f>($C$7*$D$14*$D$8*$E97/$D97^2*N97*10^6)</f>
        <v>4.99043999008838E-2</v>
      </c>
      <c r="P97" s="91">
        <f>IF($F97=0,0,1+($F97-$E$21)/$E$22)+$G97/$E$23+$H97/$E$24+$I97/$E$25</f>
        <v>5.7674418604651159</v>
      </c>
      <c r="Q97" s="97">
        <f t="shared" si="8"/>
        <v>1.7082763938087111E-6</v>
      </c>
      <c r="R97" s="91">
        <f>($C$7*$D$14*$E$8*$E97/$D97^2*Q97*10^6)</f>
        <v>0.37961697640193576</v>
      </c>
      <c r="S97" s="91">
        <f>IF($F97=0,0,1+($F97-$F$21)/$F$22)+$G97/$F$23+$H97/$F$24+$I97/$F$25</f>
        <v>9.1481481481481488</v>
      </c>
      <c r="T97" s="97">
        <f t="shared" si="9"/>
        <v>7.1097094323124171E-10</v>
      </c>
      <c r="U97" s="91">
        <f>($C$7*$F$14*$F$8*$E97/$D97^2*T97*10^6)</f>
        <v>1.5799354294027593E-4</v>
      </c>
      <c r="V97" s="91">
        <f>IF($F97=0,0,1+($F97-$G$21)/$G$22)+$G97/$G$23+$H97/$G$24+$I97/$G$25</f>
        <v>6.9444444444444446</v>
      </c>
      <c r="W97" s="97">
        <f t="shared" si="10"/>
        <v>1.136463666385722E-7</v>
      </c>
      <c r="X97" s="76">
        <f>($C$7*$G$14*$G$8*$E97/$D97^2*W97*10^6)</f>
        <v>2.5254748141904933E-2</v>
      </c>
      <c r="Y97" s="324">
        <f>SUM(L97,O97,R97,U97,X97)</f>
        <v>0.46273676628592059</v>
      </c>
      <c r="Z97" s="325"/>
      <c r="AA97" s="350"/>
      <c r="AG97" s="328"/>
      <c r="AI97" s="328"/>
      <c r="AJ97" s="328"/>
      <c r="AK97" s="328"/>
      <c r="AL97" s="328"/>
      <c r="AP97" s="222"/>
      <c r="AQ97" s="211"/>
      <c r="AR97" s="222"/>
      <c r="AS97" s="222"/>
      <c r="AT97" s="225"/>
      <c r="AU97" s="225"/>
      <c r="AV97" s="225"/>
      <c r="AW97" s="225"/>
      <c r="AX97" s="225"/>
      <c r="AY97" s="300"/>
      <c r="AZ97" s="300"/>
    </row>
    <row r="98" spans="1:54" s="212" customFormat="1" ht="30" customHeight="1" thickBot="1" x14ac:dyDescent="0.3">
      <c r="A98" s="351" t="str">
        <f>Samenvatting!A231</f>
        <v>L10</v>
      </c>
      <c r="B98" s="656" t="str">
        <f>Samenvatting!B231</f>
        <v>ingang labyrint linac 10</v>
      </c>
      <c r="C98" s="331" t="s">
        <v>568</v>
      </c>
      <c r="D98" s="1859">
        <v>5</v>
      </c>
      <c r="E98" s="58"/>
      <c r="F98" s="1859">
        <v>250</v>
      </c>
      <c r="G98" s="1859">
        <v>0</v>
      </c>
      <c r="H98" s="1859">
        <v>0</v>
      </c>
      <c r="I98" s="1859">
        <v>0</v>
      </c>
      <c r="J98" s="91">
        <f>$F98/$C$27+$G98/$C$28+$H98/$C$29+$I98/$C$30</f>
        <v>7.3529411764705879</v>
      </c>
      <c r="K98" s="97">
        <f t="shared" si="6"/>
        <v>4.4366873309786093E-8</v>
      </c>
      <c r="L98" s="91">
        <f>($C$7*$C$15*$C$8*($C$9+$C$10*$C$11)/$D98^2*K98*10^6)</f>
        <v>1.0648049594348663E-3</v>
      </c>
      <c r="M98" s="91">
        <f>$F98/$D$27+$G98/$D$28+$H98/$D$29+$I98/$D$30</f>
        <v>6.5789473684210522</v>
      </c>
      <c r="N98" s="97">
        <f t="shared" si="7"/>
        <v>2.636650898730358E-7</v>
      </c>
      <c r="O98" s="91">
        <f>($C$7*$C$15*$D$8*($D$9+$D$10*$D$11)/$D98^2*N98*10^6)</f>
        <v>6.3279621569528599E-3</v>
      </c>
      <c r="P98" s="91">
        <f>$F98/$E$27+$G98/$E$28+$H98/$E$29+$I98/$E$30</f>
        <v>5.6818181818181817</v>
      </c>
      <c r="Q98" s="97">
        <f t="shared" si="8"/>
        <v>2.0805675382171676E-6</v>
      </c>
      <c r="R98" s="91">
        <f>($C$7*$C$15*$E$8*($E$9+$E$10*$E$11)/$D98^2*Q98*10^6)</f>
        <v>4.9933620917212027E-2</v>
      </c>
      <c r="S98" s="91">
        <f>$F98/$F$27+$G98/$F$28+$H98/$F$29+$I98/$F$30</f>
        <v>8.1967213114754092</v>
      </c>
      <c r="T98" s="97">
        <f t="shared" si="9"/>
        <v>6.3573875711648393E-9</v>
      </c>
      <c r="U98" s="91">
        <f>($C$7*$C$15*$F$8*($F$9+$F$10*$F$11)/$D98^2*T98*10^6)</f>
        <v>1.5257730170795616E-4</v>
      </c>
      <c r="V98" s="91">
        <f>$F98/$G$27+$G98/$G$28+$H98/$G$29+$I98/$G$30</f>
        <v>7.0224719101123592</v>
      </c>
      <c r="W98" s="97">
        <f t="shared" si="10"/>
        <v>9.4957241494880226E-8</v>
      </c>
      <c r="X98" s="76">
        <f>($C$7*$C$15*$G$8*($G$9+$G$10*$G$11)/$D98^2*W98*10^6)</f>
        <v>2.278973795877126E-3</v>
      </c>
      <c r="Y98" s="339">
        <f>SUM(L98,O98,R98,U98,X98)</f>
        <v>5.9757939131184837E-2</v>
      </c>
      <c r="Z98" s="363">
        <f>SUM(Y96:Y99)</f>
        <v>0.52249470541710541</v>
      </c>
      <c r="AA98" s="334">
        <f>Z98*52/10^3</f>
        <v>2.7169724681689482E-2</v>
      </c>
      <c r="AG98" s="328"/>
      <c r="AH98" s="328"/>
      <c r="AI98" s="328"/>
      <c r="AJ98" s="328"/>
      <c r="AK98" s="328"/>
      <c r="AL98" s="328"/>
      <c r="AP98" s="222"/>
      <c r="AQ98" s="211"/>
      <c r="AR98" s="222"/>
      <c r="AS98" s="222"/>
      <c r="AT98" s="225"/>
      <c r="AU98" s="225"/>
      <c r="AV98" s="225"/>
      <c r="AW98" s="225"/>
      <c r="AX98" s="225"/>
      <c r="AY98" s="300"/>
      <c r="AZ98" s="300"/>
    </row>
    <row r="99" spans="1:54" s="212" customFormat="1" ht="30" hidden="1" customHeight="1" thickBot="1" x14ac:dyDescent="0.3">
      <c r="A99" s="317"/>
      <c r="B99" s="312"/>
      <c r="C99" s="318"/>
      <c r="D99" s="1871"/>
      <c r="E99" s="1871"/>
      <c r="F99" s="1871"/>
      <c r="G99" s="1871"/>
      <c r="H99" s="1871"/>
      <c r="I99" s="1871"/>
      <c r="J99" s="91"/>
      <c r="K99" s="97"/>
      <c r="L99" s="91"/>
      <c r="M99" s="91"/>
      <c r="N99" s="97"/>
      <c r="O99" s="91"/>
      <c r="P99" s="91"/>
      <c r="Q99" s="97"/>
      <c r="R99" s="91"/>
      <c r="S99" s="91"/>
      <c r="T99" s="97"/>
      <c r="U99" s="91"/>
      <c r="V99" s="91"/>
      <c r="W99" s="97"/>
      <c r="X99" s="76"/>
      <c r="Y99" s="577"/>
      <c r="Z99" s="659"/>
      <c r="AA99" s="660"/>
      <c r="AG99" s="328"/>
      <c r="AH99" s="328"/>
      <c r="AI99" s="328"/>
      <c r="AJ99" s="328"/>
      <c r="AK99" s="328"/>
      <c r="AL99" s="328"/>
      <c r="AP99" s="222"/>
      <c r="AQ99" s="211"/>
      <c r="AR99" s="222"/>
      <c r="AS99" s="222"/>
      <c r="AT99" s="225"/>
      <c r="AU99" s="225"/>
      <c r="AV99" s="225"/>
      <c r="AW99" s="225"/>
      <c r="AX99" s="225"/>
      <c r="AY99" s="300"/>
      <c r="AZ99" s="300"/>
    </row>
    <row r="100" spans="1:54" s="212" customFormat="1" ht="30" customHeight="1" x14ac:dyDescent="0.25">
      <c r="A100" s="322"/>
      <c r="B100" s="322"/>
      <c r="C100" s="323" t="s">
        <v>569</v>
      </c>
      <c r="D100" s="1859">
        <v>6</v>
      </c>
      <c r="E100" s="1859">
        <v>1</v>
      </c>
      <c r="F100" s="1859">
        <v>250</v>
      </c>
      <c r="G100" s="1859">
        <v>0</v>
      </c>
      <c r="H100" s="1859">
        <v>0</v>
      </c>
      <c r="I100" s="1859">
        <v>0</v>
      </c>
      <c r="J100" s="91">
        <f>IF($F100=0,0,1+($F100-$C$21)/$C$22)+$G100/$C$23+$H100/$C$24+$I100/$C$25</f>
        <v>7.4545454545454541</v>
      </c>
      <c r="K100" s="97">
        <f t="shared" si="6"/>
        <v>3.5111917342151263E-8</v>
      </c>
      <c r="L100" s="91">
        <f>($C$7*$C$14*$C$8*$E100/$D100^2*K100*10^6)</f>
        <v>7.8026482982558355E-3</v>
      </c>
      <c r="M100" s="91">
        <f>IF($F100=0,0,1+($F100-$D$21)/$D$22)+$G100/$D$23+$H100/$D$24+$I100/$D$25</f>
        <v>6.6486486486486482</v>
      </c>
      <c r="N100" s="97">
        <f t="shared" si="7"/>
        <v>2.2456979955397711E-7</v>
      </c>
      <c r="O100" s="91">
        <f>($C$7*$D$14*$D$8*$E100/$D100^2*N100*10^6)</f>
        <v>4.99043999008838E-2</v>
      </c>
      <c r="P100" s="91">
        <f>IF($F100=0,0,1+($F100-$E$21)/$E$22)+$G100/$E$23+$H100/$E$24+$I100/$E$25</f>
        <v>5.7674418604651159</v>
      </c>
      <c r="Q100" s="97">
        <f t="shared" si="8"/>
        <v>1.7082763938087111E-6</v>
      </c>
      <c r="R100" s="91">
        <f>($C$7*$D$14*$E$8*$E100/$D100^2*Q100*10^6)</f>
        <v>0.37961697640193576</v>
      </c>
      <c r="S100" s="91">
        <f>IF($F100=0,0,1+($F100-$F$21)/$F$22)+$G100/$F$23+$H100/$F$24+$I100/$F$25</f>
        <v>9.1481481481481488</v>
      </c>
      <c r="T100" s="97">
        <f t="shared" si="9"/>
        <v>7.1097094323124171E-10</v>
      </c>
      <c r="U100" s="91">
        <f>($C$7*$F$14*$F$8*$E100/$D100^2*T100*10^6)</f>
        <v>1.5799354294027593E-4</v>
      </c>
      <c r="V100" s="91">
        <f>IF($F100=0,0,1+($F100-$G$21)/$G$22)+$G100/$G$23+$H100/$G$24+$I100/$G$25</f>
        <v>6.9444444444444446</v>
      </c>
      <c r="W100" s="97">
        <f t="shared" si="10"/>
        <v>1.136463666385722E-7</v>
      </c>
      <c r="X100" s="76">
        <f>($C$7*$G$14*$G$8*$E100/$D100^2*W100*10^6)</f>
        <v>2.5254748141904933E-2</v>
      </c>
      <c r="Y100" s="324">
        <f>SUM(L100,O100,R100,U100,X100)</f>
        <v>0.46273676628592059</v>
      </c>
      <c r="Z100" s="325"/>
      <c r="AA100" s="350"/>
      <c r="AG100" s="328"/>
      <c r="AI100" s="328"/>
      <c r="AJ100" s="328"/>
      <c r="AK100" s="328"/>
      <c r="AL100" s="328"/>
      <c r="AP100" s="222"/>
      <c r="AQ100" s="211"/>
      <c r="AR100" s="222"/>
      <c r="AS100" s="222"/>
      <c r="AT100" s="225"/>
      <c r="AU100" s="225"/>
      <c r="AV100" s="225"/>
      <c r="AW100" s="225"/>
      <c r="AX100" s="225"/>
      <c r="AY100" s="300"/>
      <c r="AZ100" s="300"/>
    </row>
    <row r="101" spans="1:54" s="212" customFormat="1" ht="30" customHeight="1" thickBot="1" x14ac:dyDescent="0.3">
      <c r="A101" s="343" t="str">
        <f>Samenvatting!A233</f>
        <v>vrij</v>
      </c>
      <c r="B101" s="338" t="str">
        <f>Samenvatting!B233</f>
        <v>vrij te kiezen</v>
      </c>
      <c r="C101" s="331" t="s">
        <v>568</v>
      </c>
      <c r="D101" s="1859">
        <v>5</v>
      </c>
      <c r="E101" s="58"/>
      <c r="F101" s="1859">
        <v>250</v>
      </c>
      <c r="G101" s="1859">
        <v>0</v>
      </c>
      <c r="H101" s="1859">
        <v>0</v>
      </c>
      <c r="I101" s="1859">
        <v>0</v>
      </c>
      <c r="J101" s="91">
        <f>$F101/$C$27+$G101/$C$28+$H101/$C$29+$I101/$C$30</f>
        <v>7.3529411764705879</v>
      </c>
      <c r="K101" s="97">
        <f t="shared" si="6"/>
        <v>4.4366873309786093E-8</v>
      </c>
      <c r="L101" s="91">
        <f>($C$7*$C$15*$C$8*($C$9+$C$10*$C$11)/$D101^2*K101*10^6)</f>
        <v>1.0648049594348663E-3</v>
      </c>
      <c r="M101" s="91">
        <f>$F101/$D$27+$G101/$D$28+$H101/$D$29+$I101/$D$30</f>
        <v>6.5789473684210522</v>
      </c>
      <c r="N101" s="97">
        <f t="shared" si="7"/>
        <v>2.636650898730358E-7</v>
      </c>
      <c r="O101" s="91">
        <f>($C$7*$C$15*$D$8*($D$9+$D$10*$D$11)/$D101^2*N101*10^6)</f>
        <v>6.3279621569528599E-3</v>
      </c>
      <c r="P101" s="91">
        <f>$F101/$E$27+$G101/$E$28+$H101/$E$29+$I101/$E$30</f>
        <v>5.6818181818181817</v>
      </c>
      <c r="Q101" s="97">
        <f t="shared" si="8"/>
        <v>2.0805675382171676E-6</v>
      </c>
      <c r="R101" s="91">
        <f>($C$7*$C$15*$E$8*($E$9+$E$10*$E$11)/$D101^2*Q101*10^6)</f>
        <v>4.9933620917212027E-2</v>
      </c>
      <c r="S101" s="91">
        <f>$F101/$F$27+$G101/$F$28+$H101/$F$29+$I101/$F$30</f>
        <v>8.1967213114754092</v>
      </c>
      <c r="T101" s="97">
        <f t="shared" si="9"/>
        <v>6.3573875711648393E-9</v>
      </c>
      <c r="U101" s="91">
        <f>($C$7*$C$15*$F$8*($F$9+$F$10*$F$11)/$D101^2*T101*10^6)</f>
        <v>1.5257730170795616E-4</v>
      </c>
      <c r="V101" s="91">
        <f>$F101/$G$27+$G101/$G$28+$H101/$G$29+$I101/$G$30</f>
        <v>7.0224719101123592</v>
      </c>
      <c r="W101" s="97">
        <f t="shared" si="10"/>
        <v>9.4957241494880226E-8</v>
      </c>
      <c r="X101" s="76">
        <f>($C$7*$C$15*$G$8*($G$9+$G$10*$G$11)/$D101^2*W101*10^6)</f>
        <v>2.278973795877126E-3</v>
      </c>
      <c r="Y101" s="339">
        <f>SUM(L101,O101,R101,U101,X101)</f>
        <v>5.9757939131184837E-2</v>
      </c>
      <c r="Z101" s="363">
        <f>SUM(Y99:Y102)</f>
        <v>0.52249470541710541</v>
      </c>
      <c r="AA101" s="334">
        <f>Z101*52/10^3</f>
        <v>2.7169724681689482E-2</v>
      </c>
      <c r="AG101" s="328"/>
      <c r="AH101" s="328"/>
      <c r="AI101" s="328"/>
      <c r="AJ101" s="328"/>
      <c r="AK101" s="328"/>
      <c r="AL101" s="328"/>
      <c r="AP101" s="222"/>
      <c r="AQ101" s="211"/>
      <c r="AR101" s="222"/>
      <c r="AS101" s="222"/>
      <c r="AT101" s="225"/>
      <c r="AU101" s="225"/>
      <c r="AV101" s="225"/>
      <c r="AW101" s="225"/>
      <c r="AX101" s="225"/>
      <c r="AY101" s="300"/>
      <c r="AZ101" s="300"/>
    </row>
    <row r="102" spans="1:54" s="225" customFormat="1" ht="30" hidden="1" customHeight="1" x14ac:dyDescent="0.25">
      <c r="A102" s="211"/>
      <c r="B102" s="220"/>
      <c r="C102" s="310"/>
      <c r="D102" s="57"/>
      <c r="E102" s="57"/>
      <c r="F102" s="57"/>
      <c r="G102" s="57"/>
      <c r="H102" s="57"/>
      <c r="I102" s="57"/>
      <c r="J102" s="369"/>
      <c r="K102" s="328"/>
      <c r="L102" s="369"/>
      <c r="M102" s="369"/>
      <c r="N102" s="328"/>
      <c r="O102" s="369"/>
      <c r="P102" s="369"/>
      <c r="Q102" s="328"/>
      <c r="R102" s="369"/>
      <c r="S102" s="369"/>
      <c r="T102" s="328"/>
      <c r="U102" s="369"/>
      <c r="V102" s="369"/>
      <c r="W102" s="328"/>
      <c r="X102" s="369"/>
      <c r="Y102" s="369"/>
      <c r="Z102" s="233"/>
      <c r="AA102" s="233"/>
      <c r="AG102" s="328"/>
      <c r="AH102" s="328"/>
      <c r="AI102" s="328"/>
      <c r="AJ102" s="328"/>
      <c r="AK102" s="328"/>
      <c r="AL102" s="328"/>
      <c r="AP102" s="222"/>
      <c r="AQ102" s="211"/>
      <c r="AR102" s="222"/>
      <c r="AS102" s="222"/>
      <c r="AY102" s="300"/>
      <c r="AZ102" s="300"/>
    </row>
    <row r="103" spans="1:54" s="225" customFormat="1" ht="19.5" customHeight="1" thickBot="1" x14ac:dyDescent="0.3">
      <c r="A103" s="222"/>
      <c r="B103" s="222"/>
      <c r="C103" s="368"/>
      <c r="D103" s="57"/>
      <c r="E103" s="57"/>
      <c r="F103" s="57"/>
      <c r="G103" s="57"/>
      <c r="H103" s="57"/>
      <c r="I103" s="57"/>
      <c r="J103" s="369"/>
      <c r="K103" s="328"/>
      <c r="L103" s="369"/>
      <c r="M103" s="369"/>
      <c r="N103" s="328"/>
      <c r="O103" s="369"/>
      <c r="P103" s="369"/>
      <c r="Q103" s="328"/>
      <c r="R103" s="369"/>
      <c r="S103" s="369"/>
      <c r="T103" s="328"/>
      <c r="U103" s="369"/>
      <c r="V103" s="369"/>
      <c r="W103" s="328"/>
      <c r="X103" s="369"/>
      <c r="Y103" s="369"/>
      <c r="Z103" s="233"/>
      <c r="AA103" s="233"/>
      <c r="AG103" s="328"/>
      <c r="AH103" s="328"/>
      <c r="AI103" s="328"/>
      <c r="AJ103" s="328"/>
      <c r="AK103" s="328"/>
      <c r="AL103" s="328"/>
      <c r="AP103" s="222"/>
      <c r="AQ103" s="211"/>
      <c r="AR103" s="222"/>
      <c r="AS103" s="222"/>
      <c r="AY103" s="300"/>
      <c r="AZ103" s="300"/>
    </row>
    <row r="104" spans="1:54" ht="19.5" customHeight="1" x14ac:dyDescent="0.25">
      <c r="A104" s="373" t="s">
        <v>363</v>
      </c>
      <c r="B104" s="374"/>
      <c r="C104" s="375"/>
      <c r="D104" s="376"/>
      <c r="E104" s="377"/>
      <c r="F104" s="378"/>
      <c r="G104" s="379"/>
      <c r="H104" s="379"/>
      <c r="I104" s="379"/>
      <c r="J104" s="379"/>
      <c r="K104" s="379"/>
      <c r="L104" s="380"/>
      <c r="M104" s="380"/>
      <c r="N104" s="379"/>
      <c r="O104" s="379"/>
      <c r="P104" s="379"/>
      <c r="Q104" s="379"/>
      <c r="R104" s="379"/>
      <c r="S104" s="381"/>
      <c r="T104" s="379"/>
      <c r="U104" s="379"/>
      <c r="V104" s="379"/>
      <c r="W104" s="379"/>
      <c r="X104" s="379"/>
      <c r="Y104" s="379"/>
      <c r="Z104" s="379"/>
      <c r="AA104" s="216"/>
      <c r="AB104" s="297"/>
      <c r="AC104" s="216"/>
      <c r="AD104" s="216"/>
      <c r="AE104" s="216"/>
      <c r="AF104" s="216"/>
      <c r="AG104" s="382"/>
      <c r="AH104" s="382"/>
      <c r="AI104" s="382"/>
      <c r="AJ104" s="383"/>
      <c r="AK104" s="383"/>
      <c r="AL104" s="383"/>
      <c r="AM104" s="383"/>
      <c r="AN104" s="383"/>
      <c r="AO104" s="383"/>
      <c r="AP104" s="383"/>
      <c r="AQ104" s="383"/>
      <c r="AR104" s="382"/>
      <c r="AS104" s="382"/>
      <c r="AT104" s="382"/>
      <c r="AU104" s="382"/>
      <c r="AV104" s="186"/>
    </row>
    <row r="105" spans="1:54" ht="19.5" customHeight="1" thickBot="1" x14ac:dyDescent="0.3">
      <c r="A105" s="384"/>
      <c r="B105" s="385"/>
      <c r="C105" s="386"/>
      <c r="D105" s="387"/>
      <c r="E105" s="388"/>
      <c r="F105" s="388"/>
      <c r="G105" s="388"/>
      <c r="H105" s="288"/>
      <c r="I105" s="288"/>
      <c r="J105" s="288"/>
      <c r="K105" s="288"/>
      <c r="L105" s="299"/>
      <c r="M105" s="299"/>
      <c r="N105" s="288"/>
      <c r="O105" s="288"/>
      <c r="P105" s="288"/>
      <c r="Q105" s="288"/>
      <c r="R105" s="288"/>
      <c r="S105" s="289"/>
      <c r="T105" s="288"/>
      <c r="U105" s="288"/>
      <c r="V105" s="288"/>
      <c r="W105" s="288"/>
      <c r="X105" s="288"/>
      <c r="Y105" s="288"/>
      <c r="Z105" s="288"/>
      <c r="AA105" s="222"/>
      <c r="AB105" s="211"/>
      <c r="AC105" s="222"/>
      <c r="AD105" s="222"/>
      <c r="AE105" s="222"/>
      <c r="AF105" s="222"/>
      <c r="AG105" s="187"/>
      <c r="AH105" s="187"/>
      <c r="AI105" s="187"/>
      <c r="AJ105" s="282"/>
      <c r="AK105" s="282"/>
      <c r="AL105" s="282"/>
      <c r="AM105" s="282"/>
      <c r="AN105" s="282"/>
      <c r="AO105" s="282"/>
      <c r="AP105" s="282"/>
      <c r="AQ105" s="282"/>
      <c r="AR105" s="187"/>
      <c r="AS105" s="187"/>
      <c r="AT105" s="187"/>
      <c r="AU105" s="187"/>
      <c r="AV105" s="186"/>
    </row>
    <row r="106" spans="1:54" ht="19.5" customHeight="1" x14ac:dyDescent="0.25">
      <c r="A106" s="215" t="s">
        <v>247</v>
      </c>
      <c r="B106" s="389"/>
      <c r="C106" s="389"/>
      <c r="D106" s="389"/>
      <c r="E106" s="389"/>
      <c r="F106" s="389"/>
      <c r="G106" s="1845" t="s">
        <v>387</v>
      </c>
      <c r="H106" s="288"/>
      <c r="I106" s="288"/>
      <c r="J106" s="288"/>
      <c r="K106" s="288"/>
      <c r="L106" s="299"/>
      <c r="M106" s="299"/>
      <c r="N106" s="288"/>
      <c r="O106" s="288"/>
      <c r="P106" s="288"/>
      <c r="Q106" s="288"/>
      <c r="R106" s="288"/>
      <c r="S106" s="289"/>
      <c r="T106" s="288"/>
      <c r="U106" s="288"/>
      <c r="V106" s="288"/>
      <c r="W106" s="288"/>
      <c r="X106" s="288"/>
      <c r="Y106" s="288"/>
      <c r="Z106" s="288"/>
      <c r="AA106" s="222"/>
      <c r="AB106" s="211"/>
      <c r="AC106" s="222"/>
      <c r="AD106" s="222"/>
      <c r="AE106" s="222"/>
      <c r="AF106" s="222"/>
      <c r="AG106" s="187"/>
      <c r="AH106" s="187"/>
      <c r="AI106" s="187"/>
      <c r="AJ106" s="282"/>
      <c r="AK106" s="282"/>
      <c r="AL106" s="282"/>
      <c r="AM106" s="282"/>
      <c r="AN106" s="282"/>
      <c r="AO106" s="282"/>
      <c r="AP106" s="282"/>
      <c r="AQ106" s="282"/>
      <c r="AR106" s="187"/>
      <c r="AS106" s="187"/>
      <c r="AT106" s="187"/>
      <c r="AU106" s="187"/>
      <c r="AV106" s="186"/>
    </row>
    <row r="107" spans="1:54" ht="19.5" customHeight="1" thickBot="1" x14ac:dyDescent="0.3">
      <c r="A107" s="226" t="s">
        <v>246</v>
      </c>
      <c r="B107" s="390"/>
      <c r="C107" s="390"/>
      <c r="D107" s="390"/>
      <c r="E107" s="390"/>
      <c r="F107" s="390"/>
      <c r="G107" s="1846">
        <v>1</v>
      </c>
      <c r="H107" s="288"/>
      <c r="I107" s="288"/>
      <c r="J107" s="288"/>
      <c r="K107" s="288"/>
      <c r="L107" s="299"/>
      <c r="M107" s="299"/>
      <c r="N107" s="288"/>
      <c r="O107" s="288"/>
      <c r="P107" s="288"/>
      <c r="Q107" s="288"/>
      <c r="R107" s="288"/>
      <c r="S107" s="289"/>
      <c r="T107" s="288"/>
      <c r="U107" s="288"/>
      <c r="V107" s="288"/>
      <c r="W107" s="288"/>
      <c r="X107" s="288"/>
      <c r="Y107" s="288"/>
      <c r="Z107" s="288"/>
      <c r="AA107" s="222"/>
      <c r="AB107" s="211"/>
      <c r="AC107" s="222"/>
      <c r="AD107" s="222"/>
      <c r="AE107" s="222"/>
      <c r="AF107" s="222"/>
      <c r="AG107" s="187"/>
      <c r="AH107" s="187"/>
      <c r="AI107" s="187"/>
      <c r="AJ107" s="282"/>
      <c r="AK107" s="282"/>
      <c r="AL107" s="282"/>
      <c r="AM107" s="282"/>
      <c r="AN107" s="282"/>
      <c r="AO107" s="282"/>
      <c r="AP107" s="282"/>
      <c r="AQ107" s="282"/>
      <c r="AR107" s="187"/>
      <c r="AS107" s="187"/>
      <c r="AT107" s="187"/>
      <c r="AU107" s="187"/>
      <c r="AV107" s="186"/>
    </row>
    <row r="108" spans="1:54" ht="19.5" customHeight="1" thickBot="1" x14ac:dyDescent="0.3">
      <c r="A108" s="221"/>
      <c r="B108" s="225"/>
      <c r="C108" s="225"/>
      <c r="D108" s="225"/>
      <c r="E108" s="225"/>
      <c r="F108" s="225"/>
      <c r="G108" s="57"/>
      <c r="H108" s="288"/>
      <c r="I108" s="288"/>
      <c r="J108" s="288"/>
      <c r="K108" s="288"/>
      <c r="L108" s="225"/>
      <c r="M108" s="187"/>
      <c r="N108" s="187"/>
      <c r="O108" s="187"/>
      <c r="P108" s="187"/>
      <c r="Q108" s="187"/>
      <c r="R108" s="288"/>
      <c r="Y108" s="288"/>
      <c r="Z108" s="288"/>
      <c r="AA108" s="222"/>
      <c r="AB108" s="211"/>
      <c r="AC108" s="222"/>
      <c r="AD108" s="222"/>
      <c r="AE108" s="222"/>
      <c r="AF108" s="222"/>
      <c r="AG108" s="187"/>
      <c r="AH108" s="187"/>
      <c r="AI108" s="187"/>
      <c r="AJ108" s="282"/>
      <c r="AK108" s="282"/>
      <c r="AL108" s="282"/>
      <c r="AM108" s="282"/>
      <c r="AN108" s="282"/>
      <c r="AO108" s="282"/>
      <c r="AP108" s="282"/>
      <c r="AQ108" s="282"/>
      <c r="AR108" s="187"/>
      <c r="AS108" s="187"/>
      <c r="AT108" s="187"/>
      <c r="AU108" s="187"/>
      <c r="AV108" s="186"/>
    </row>
    <row r="109" spans="1:54" s="212" customFormat="1" ht="19.5" customHeight="1" thickBot="1" x14ac:dyDescent="0.3">
      <c r="A109" s="391" t="s">
        <v>243</v>
      </c>
      <c r="B109" s="392"/>
      <c r="C109" s="216"/>
      <c r="D109" s="216"/>
      <c r="E109" s="393"/>
      <c r="F109" s="216"/>
      <c r="G109" s="389"/>
      <c r="H109" s="216"/>
      <c r="I109" s="297"/>
      <c r="J109" s="394"/>
      <c r="K109" s="395"/>
      <c r="L109" s="396" t="s">
        <v>163</v>
      </c>
      <c r="M109" s="379"/>
      <c r="N109" s="379"/>
      <c r="O109" s="397"/>
      <c r="Q109" s="396" t="s">
        <v>581</v>
      </c>
      <c r="R109" s="398"/>
      <c r="S109" s="389"/>
      <c r="T109" s="389"/>
      <c r="U109" s="399"/>
      <c r="Y109" s="400"/>
      <c r="Z109" s="400"/>
      <c r="AA109" s="400"/>
      <c r="AB109" s="400"/>
      <c r="AC109" s="400"/>
      <c r="AD109" s="400"/>
      <c r="AE109" s="225"/>
      <c r="AF109" s="299"/>
      <c r="AG109" s="299"/>
      <c r="AH109" s="225"/>
      <c r="AI109" s="299"/>
      <c r="AJ109" s="299"/>
      <c r="AK109" s="225"/>
      <c r="AL109" s="299"/>
      <c r="AM109" s="299"/>
      <c r="AN109" s="225"/>
      <c r="AO109" s="299"/>
      <c r="AP109" s="299"/>
      <c r="AQ109" s="225"/>
      <c r="AR109" s="299"/>
      <c r="AS109" s="299"/>
      <c r="AT109" s="220"/>
      <c r="AU109" s="211"/>
      <c r="AV109" s="221"/>
      <c r="AW109" s="222"/>
      <c r="AX109" s="225"/>
      <c r="AY109" s="225"/>
      <c r="AZ109" s="225"/>
      <c r="BA109" s="225"/>
      <c r="BB109" s="225"/>
    </row>
    <row r="110" spans="1:54" s="212" customFormat="1" ht="19.5" customHeight="1" thickBot="1" x14ac:dyDescent="0.3">
      <c r="A110" s="401"/>
      <c r="B110" s="222"/>
      <c r="C110" s="225"/>
      <c r="D110" s="240"/>
      <c r="E110" s="402"/>
      <c r="F110" s="403" t="s">
        <v>55</v>
      </c>
      <c r="G110" s="211"/>
      <c r="H110" s="222"/>
      <c r="I110" s="211"/>
      <c r="J110" s="404"/>
      <c r="K110" s="395"/>
      <c r="L110" s="405" t="s">
        <v>577</v>
      </c>
      <c r="M110" s="406"/>
      <c r="N110" s="406"/>
      <c r="O110" s="407"/>
      <c r="Q110" s="408" t="s">
        <v>579</v>
      </c>
      <c r="R110" s="398"/>
      <c r="S110" s="389"/>
      <c r="T110" s="389"/>
      <c r="U110" s="399"/>
      <c r="Y110" s="400"/>
      <c r="Z110" s="400"/>
      <c r="AA110" s="400"/>
      <c r="AB110" s="400"/>
      <c r="AC110" s="400"/>
      <c r="AD110" s="400"/>
      <c r="AE110" s="225"/>
      <c r="AF110" s="299"/>
      <c r="AG110" s="299"/>
      <c r="AH110" s="225"/>
      <c r="AI110" s="299"/>
      <c r="AJ110" s="299"/>
      <c r="AK110" s="225"/>
      <c r="AL110" s="299"/>
      <c r="AM110" s="299"/>
      <c r="AN110" s="225"/>
      <c r="AO110" s="299"/>
      <c r="AP110" s="299"/>
      <c r="AQ110" s="225"/>
      <c r="AR110" s="299"/>
      <c r="AS110" s="299"/>
      <c r="AT110" s="220"/>
      <c r="AU110" s="211"/>
      <c r="AV110" s="221"/>
      <c r="AW110" s="222"/>
      <c r="AX110" s="225"/>
      <c r="AY110" s="225"/>
      <c r="AZ110" s="225"/>
      <c r="BA110" s="225"/>
      <c r="BB110" s="225"/>
    </row>
    <row r="111" spans="1:54" s="212" customFormat="1" ht="19.5" customHeight="1" thickBot="1" x14ac:dyDescent="0.3">
      <c r="A111" s="221"/>
      <c r="B111" s="308" t="s">
        <v>68</v>
      </c>
      <c r="C111" s="409" t="s">
        <v>81</v>
      </c>
      <c r="D111" s="410"/>
      <c r="E111" s="58">
        <v>0.5</v>
      </c>
      <c r="F111" s="411">
        <f>$C$4</f>
        <v>6</v>
      </c>
      <c r="G111" s="411">
        <f>$D$4</f>
        <v>10</v>
      </c>
      <c r="H111" s="411">
        <f>$E$4</f>
        <v>18</v>
      </c>
      <c r="I111" s="411" t="str">
        <f>$F$4</f>
        <v>6 FFF</v>
      </c>
      <c r="J111" s="412" t="str">
        <f>$G$4</f>
        <v>10 FFF</v>
      </c>
      <c r="K111" s="395"/>
      <c r="L111" s="413"/>
      <c r="M111" s="414" t="s">
        <v>38</v>
      </c>
      <c r="N111" s="415" t="s">
        <v>38</v>
      </c>
      <c r="O111" s="416" t="s">
        <v>156</v>
      </c>
      <c r="Q111" s="1847">
        <v>5.6999999999999999E-16</v>
      </c>
      <c r="R111" s="390"/>
      <c r="S111" s="390"/>
      <c r="T111" s="390"/>
      <c r="U111" s="417"/>
      <c r="Y111" s="400"/>
      <c r="Z111" s="400"/>
      <c r="AA111" s="400"/>
      <c r="AB111" s="400"/>
      <c r="AC111" s="400"/>
      <c r="AD111" s="400"/>
      <c r="AE111" s="225"/>
      <c r="AF111" s="299"/>
      <c r="AG111" s="299"/>
      <c r="AH111" s="225"/>
      <c r="AI111" s="299"/>
      <c r="AJ111" s="299"/>
      <c r="AK111" s="225"/>
      <c r="AL111" s="299"/>
      <c r="AM111" s="299"/>
      <c r="AN111" s="225"/>
      <c r="AO111" s="299"/>
      <c r="AP111" s="299"/>
      <c r="AQ111" s="225"/>
      <c r="AR111" s="299"/>
      <c r="AS111" s="299"/>
      <c r="AT111" s="220"/>
      <c r="AU111" s="211"/>
      <c r="AV111" s="221"/>
      <c r="AW111" s="222"/>
      <c r="AX111" s="225"/>
      <c r="AY111" s="225"/>
      <c r="AZ111" s="225"/>
      <c r="BA111" s="225"/>
      <c r="BB111" s="225"/>
    </row>
    <row r="112" spans="1:54" s="212" customFormat="1" ht="19.5" customHeight="1" thickBot="1" x14ac:dyDescent="0.3">
      <c r="A112" s="418" t="s">
        <v>293</v>
      </c>
      <c r="B112" s="419" t="s">
        <v>282</v>
      </c>
      <c r="C112" s="420">
        <f>IF($G$106="parallel",75,30)</f>
        <v>75</v>
      </c>
      <c r="D112" s="421"/>
      <c r="E112" s="422"/>
      <c r="F112" s="423">
        <f>IF($G$106="parallel",VLOOKUP($F$111,reflectiecoefficienten!$A$11:$F$20,2),VLOOKUP($F$111,reflectiecoefficienten!$A$28:$F$37,2))</f>
        <v>2.7000000000000001E-3</v>
      </c>
      <c r="G112" s="423">
        <f>IF($G$106="parallel",VLOOKUP($G$111,reflectiecoefficienten!$A$11:$F$20,2),VLOOKUP($G$111,reflectiecoefficienten!$A$28:$F$37,2))</f>
        <v>2.0999999999999999E-3</v>
      </c>
      <c r="H112" s="423">
        <f>IF($G$106="parallel",VLOOKUP($H$111,reflectiecoefficienten!$A$11:$F$20,2),VLOOKUP($H$111,reflectiecoefficienten!$A$28:$F$37,2))</f>
        <v>1.6000000000000001E-3</v>
      </c>
      <c r="I112" s="424">
        <f>IF($G$106="parallel",VLOOKUP($I$111,reflectiecoefficienten!$A$11:$F$20,2),VLOOKUP($I$111,reflectiecoefficienten!$A$28:$F$37,2))</f>
        <v>3.5000000000000001E-3</v>
      </c>
      <c r="J112" s="425">
        <f>IF($G$106="parallel",VLOOKUP($J$111,reflectiecoefficienten!$A$11:$F$20,2),VLOOKUP($J$111,reflectiecoefficienten!$A$28:$F$37,2))</f>
        <v>3.3E-3</v>
      </c>
      <c r="K112" s="395"/>
      <c r="L112" s="257"/>
      <c r="M112" s="312" t="s">
        <v>578</v>
      </c>
      <c r="N112" s="308" t="s">
        <v>33</v>
      </c>
      <c r="O112" s="309" t="s">
        <v>245</v>
      </c>
      <c r="Q112" s="426" t="s">
        <v>580</v>
      </c>
      <c r="R112" s="400"/>
      <c r="S112" s="225"/>
      <c r="T112" s="225"/>
      <c r="U112" s="427"/>
      <c r="Y112" s="400"/>
      <c r="Z112" s="400"/>
      <c r="AA112" s="400"/>
      <c r="AB112" s="400"/>
      <c r="AC112" s="400"/>
      <c r="AD112" s="400"/>
      <c r="AE112" s="225"/>
      <c r="AF112" s="299"/>
      <c r="AG112" s="299"/>
      <c r="AH112" s="225"/>
      <c r="AI112" s="299"/>
      <c r="AJ112" s="299"/>
      <c r="AK112" s="225"/>
      <c r="AL112" s="299"/>
      <c r="AM112" s="299"/>
      <c r="AN112" s="225"/>
      <c r="AO112" s="299"/>
      <c r="AP112" s="299"/>
      <c r="AQ112" s="225"/>
      <c r="AR112" s="299"/>
      <c r="AS112" s="299"/>
      <c r="AT112" s="220"/>
      <c r="AU112" s="211"/>
      <c r="AV112" s="221"/>
      <c r="AW112" s="222"/>
      <c r="AX112" s="225"/>
      <c r="AY112" s="225"/>
      <c r="AZ112" s="225"/>
      <c r="BA112" s="225"/>
      <c r="BB112" s="225"/>
    </row>
    <row r="113" spans="1:54" s="212" customFormat="1" ht="19.5" customHeight="1" thickBot="1" x14ac:dyDescent="0.3">
      <c r="A113" s="428" t="s">
        <v>294</v>
      </c>
      <c r="B113" s="179" t="s">
        <v>282</v>
      </c>
      <c r="C113" s="308">
        <v>75</v>
      </c>
      <c r="D113" s="421"/>
      <c r="E113" s="429"/>
      <c r="F113" s="423">
        <f>IF($G$106="parallel",VLOOKUP($F$111,reflectiecoefficienten!$A$11:$F$20,3),VLOOKUP($F$111,reflectiecoefficienten!$A$28:$F$37,3))</f>
        <v>2.7000000000000001E-3</v>
      </c>
      <c r="G113" s="423">
        <f>IF($G$106="parallel",VLOOKUP($G$111,reflectiecoefficienten!$A$11:$F$20,3),VLOOKUP($G$111,reflectiecoefficienten!$A$28:$F$37,3))</f>
        <v>2.0999999999999999E-3</v>
      </c>
      <c r="H113" s="423">
        <f>IF($G$106="parallel",VLOOKUP($H$111,reflectiecoefficienten!$A$11:$F$20,3),VLOOKUP($H$111,reflectiecoefficienten!$A$28:$F$37,3))</f>
        <v>1.6000000000000001E-3</v>
      </c>
      <c r="I113" s="424">
        <f>IF($G$106="parallel",VLOOKUP($I$111,reflectiecoefficienten!$A$11:$F$20,3),VLOOKUP($I$111,reflectiecoefficienten!$A$28:$F$37,3))</f>
        <v>3.5000000000000001E-3</v>
      </c>
      <c r="J113" s="425">
        <f>IF($G$106="parallel",VLOOKUP($J$111,reflectiecoefficienten!$A$11:$F$20,3),VLOOKUP($J$111,reflectiecoefficienten!$A$28:$F$37,3))</f>
        <v>3.3E-3</v>
      </c>
      <c r="K113" s="395"/>
      <c r="L113" s="307" t="s">
        <v>55</v>
      </c>
      <c r="M113" s="430">
        <v>0.5</v>
      </c>
      <c r="N113" s="415">
        <v>0.1</v>
      </c>
      <c r="O113" s="416">
        <v>3.6</v>
      </c>
      <c r="Q113" s="1848">
        <v>6.2</v>
      </c>
      <c r="R113" s="431"/>
      <c r="S113" s="390"/>
      <c r="T113" s="390"/>
      <c r="U113" s="417"/>
      <c r="Y113" s="400"/>
      <c r="Z113" s="400"/>
      <c r="AA113" s="400"/>
      <c r="AB113" s="400"/>
      <c r="AC113" s="400"/>
      <c r="AD113" s="400"/>
      <c r="AE113" s="225"/>
      <c r="AF113" s="299"/>
      <c r="AG113" s="299"/>
      <c r="AH113" s="225"/>
      <c r="AI113" s="299"/>
      <c r="AJ113" s="299"/>
      <c r="AK113" s="225"/>
      <c r="AL113" s="299"/>
      <c r="AM113" s="299"/>
      <c r="AN113" s="225"/>
      <c r="AO113" s="299"/>
      <c r="AP113" s="299"/>
      <c r="AQ113" s="225"/>
      <c r="AR113" s="299"/>
      <c r="AS113" s="299"/>
      <c r="AT113" s="220"/>
      <c r="AU113" s="211"/>
      <c r="AV113" s="221"/>
      <c r="AW113" s="222"/>
      <c r="AX113" s="225"/>
      <c r="AY113" s="225"/>
      <c r="AZ113" s="225"/>
      <c r="BA113" s="225"/>
      <c r="BB113" s="225"/>
    </row>
    <row r="114" spans="1:54" s="212" customFormat="1" ht="19.5" customHeight="1" x14ac:dyDescent="0.25">
      <c r="A114" s="428" t="s">
        <v>295</v>
      </c>
      <c r="B114" s="308" t="str">
        <f>IF($G$106="parallel","loodrecht",45)</f>
        <v>loodrecht</v>
      </c>
      <c r="C114" s="308">
        <f>IF($G$106="parallel",75,0)</f>
        <v>75</v>
      </c>
      <c r="D114" s="421"/>
      <c r="E114" s="432">
        <f>IF($G$106="parallel",VLOOKUP($E$111,reflectiecoefficienten!$A$11:$F$20,4),VLOOKUP($E$111,reflectiecoefficienten!$A$28:$F$37,4))</f>
        <v>8.0000000000000002E-3</v>
      </c>
      <c r="F114" s="433"/>
      <c r="G114" s="423"/>
      <c r="H114" s="423"/>
      <c r="I114" s="424"/>
      <c r="J114" s="425"/>
      <c r="K114" s="395"/>
      <c r="L114" s="434" t="s">
        <v>3</v>
      </c>
      <c r="M114" s="263">
        <f>VLOOKUP($M$113,'TVT''s afscherming'!$A$10:$J$23,5)</f>
        <v>5.5</v>
      </c>
      <c r="N114" s="435">
        <f>VLOOKUP($N$113,'TVT''s afscherming'!$A$45:$J$45,3)</f>
        <v>37</v>
      </c>
      <c r="O114" s="436">
        <f>VLOOKUP($O$113,'TVT''s afscherming'!$A$47:$J$47,3)</f>
        <v>13.5</v>
      </c>
      <c r="R114" s="400"/>
      <c r="Y114" s="400"/>
      <c r="Z114" s="400"/>
      <c r="AA114" s="400"/>
      <c r="AB114" s="400"/>
      <c r="AC114" s="400"/>
      <c r="AD114" s="400"/>
      <c r="AE114" s="225"/>
      <c r="AF114" s="299"/>
      <c r="AG114" s="299"/>
      <c r="AH114" s="225"/>
      <c r="AI114" s="299"/>
      <c r="AJ114" s="299"/>
      <c r="AK114" s="225"/>
      <c r="AL114" s="299"/>
      <c r="AM114" s="299"/>
      <c r="AN114" s="225"/>
      <c r="AO114" s="299"/>
      <c r="AP114" s="299"/>
      <c r="AQ114" s="225"/>
      <c r="AR114" s="299"/>
      <c r="AS114" s="299"/>
      <c r="AT114" s="220"/>
      <c r="AU114" s="211"/>
      <c r="AV114" s="221"/>
      <c r="AW114" s="222"/>
      <c r="AX114" s="225"/>
      <c r="AY114" s="225"/>
      <c r="AZ114" s="225"/>
      <c r="BA114" s="225"/>
      <c r="BB114" s="225"/>
    </row>
    <row r="115" spans="1:54" s="212" customFormat="1" ht="19.5" customHeight="1" x14ac:dyDescent="0.25">
      <c r="A115" s="428" t="s">
        <v>296</v>
      </c>
      <c r="B115" s="308">
        <v>45</v>
      </c>
      <c r="C115" s="308">
        <v>0</v>
      </c>
      <c r="D115" s="421"/>
      <c r="E115" s="432">
        <f>IF($G$106="parallel",VLOOKUP($E$111,reflectiecoefficienten!$A$11:$F$20,5),VLOOKUP($E$111,reflectiecoefficienten!$A$28:$F$37,5))</f>
        <v>2.1999999999999999E-2</v>
      </c>
      <c r="F115" s="423">
        <f>IF($G$106="parallel",VLOOKUP($F$111,reflectiecoefficienten!$A$11:$F$20,5),VLOOKUP($F$111,reflectiecoefficienten!$A$28:$F$37,5))</f>
        <v>6.4000000000000003E-3</v>
      </c>
      <c r="G115" s="423">
        <f>IF($G$106="parallel",VLOOKUP($G$111,reflectiecoefficienten!$A$11:$F$20,5),VLOOKUP($G$111,reflectiecoefficienten!$A$28:$F$37,5))</f>
        <v>5.1000000000000004E-3</v>
      </c>
      <c r="H115" s="423">
        <f>IF($G$106="parallel",VLOOKUP($H$111,reflectiecoefficienten!$A$11:$F$20,5),VLOOKUP($H$111,reflectiecoefficienten!$A$28:$F$37,5))</f>
        <v>4.4999999999999997E-3</v>
      </c>
      <c r="I115" s="424">
        <f>IF($G$106="parallel",VLOOKUP($I$111,reflectiecoefficienten!$A$11:$F$20,5),VLOOKUP($I$111,reflectiecoefficienten!$A$28:$F$37,5))</f>
        <v>8.3000000000000001E-3</v>
      </c>
      <c r="J115" s="425">
        <f>IF($G$106="parallel",VLOOKUP($J$111,reflectiecoefficienten!$A$11:$F$20,5),VLOOKUP($J$111,reflectiecoefficienten!$A$28:$F$37,5))</f>
        <v>7.3000000000000001E-3</v>
      </c>
      <c r="K115" s="395"/>
      <c r="L115" s="307" t="s">
        <v>22</v>
      </c>
      <c r="M115" s="263">
        <f>VLOOKUP($M$113,'TVT''s afscherming'!$A$10:$J$23,6)</f>
        <v>1.6</v>
      </c>
      <c r="N115" s="258">
        <f>VLOOKUP($N$113,'TVT''s afscherming'!$A$45:$J$45,4)</f>
        <v>37</v>
      </c>
      <c r="O115" s="721">
        <f>IF(M134&gt;5,'TVT''s afscherming'!$D$48,'TVT''s afscherming'!$D$47)</f>
        <v>0.6</v>
      </c>
      <c r="R115" s="400"/>
      <c r="Y115" s="400"/>
      <c r="Z115" s="400"/>
      <c r="AA115" s="400"/>
      <c r="AB115" s="400"/>
      <c r="AC115" s="400"/>
      <c r="AD115" s="400"/>
      <c r="AE115" s="225"/>
      <c r="AF115" s="299"/>
      <c r="AG115" s="299"/>
      <c r="AH115" s="225"/>
      <c r="AI115" s="299"/>
      <c r="AJ115" s="299"/>
      <c r="AK115" s="225"/>
      <c r="AL115" s="299"/>
      <c r="AM115" s="299"/>
      <c r="AN115" s="225"/>
      <c r="AO115" s="299"/>
      <c r="AP115" s="299"/>
      <c r="AQ115" s="225"/>
      <c r="AR115" s="299"/>
      <c r="AS115" s="299"/>
      <c r="AT115" s="220"/>
      <c r="AU115" s="211"/>
      <c r="AV115" s="221"/>
      <c r="AW115" s="222"/>
      <c r="AX115" s="225"/>
      <c r="AY115" s="225"/>
      <c r="AZ115" s="225"/>
      <c r="BA115" s="225"/>
      <c r="BB115" s="225"/>
    </row>
    <row r="116" spans="1:54" s="212" customFormat="1" ht="19.5" customHeight="1" thickBot="1" x14ac:dyDescent="0.3">
      <c r="A116" s="428" t="s">
        <v>297</v>
      </c>
      <c r="B116" s="179" t="s">
        <v>282</v>
      </c>
      <c r="C116" s="308">
        <v>75</v>
      </c>
      <c r="D116" s="222"/>
      <c r="E116" s="424">
        <f>IF(G107=1,1,(IF($G$106="parallel",VLOOKUP($E$111,reflectiecoefficienten!$A$11:$F$20,6),VLOOKUP($E$111,reflectiecoefficienten!$A$28:$F$37,6))))</f>
        <v>1</v>
      </c>
      <c r="F116" s="429"/>
      <c r="G116" s="423"/>
      <c r="H116" s="424"/>
      <c r="I116" s="424"/>
      <c r="J116" s="425"/>
      <c r="K116" s="395"/>
      <c r="L116" s="438" t="s">
        <v>39</v>
      </c>
      <c r="M116" s="439"/>
      <c r="N116" s="276">
        <f>VLOOKUP($N$113,'TVT''s afscherming'!$A$45:$J$45,5)</f>
        <v>4.5</v>
      </c>
      <c r="O116" s="440"/>
      <c r="R116" s="400"/>
      <c r="Y116" s="400"/>
      <c r="Z116" s="400"/>
      <c r="AA116" s="400"/>
      <c r="AB116" s="400"/>
      <c r="AC116" s="400"/>
      <c r="AD116" s="400"/>
      <c r="AE116" s="225"/>
      <c r="AF116" s="299"/>
      <c r="AG116" s="299"/>
      <c r="AH116" s="225"/>
      <c r="AI116" s="299"/>
      <c r="AJ116" s="299"/>
      <c r="AK116" s="225"/>
      <c r="AL116" s="299"/>
      <c r="AM116" s="299"/>
      <c r="AN116" s="225"/>
      <c r="AO116" s="299"/>
      <c r="AP116" s="299"/>
      <c r="AQ116" s="225"/>
      <c r="AR116" s="299"/>
      <c r="AS116" s="299"/>
      <c r="AT116" s="220"/>
      <c r="AU116" s="211"/>
      <c r="AV116" s="221"/>
      <c r="AW116" s="222"/>
      <c r="AX116" s="225"/>
      <c r="AY116" s="225"/>
      <c r="AZ116" s="225"/>
      <c r="BA116" s="225"/>
      <c r="BB116" s="225"/>
    </row>
    <row r="117" spans="1:54" s="212" customFormat="1" ht="19.5" customHeight="1" thickBot="1" x14ac:dyDescent="0.3">
      <c r="A117" s="441"/>
      <c r="B117" s="442"/>
      <c r="C117" s="443"/>
      <c r="D117" s="444"/>
      <c r="E117" s="445"/>
      <c r="F117" s="446"/>
      <c r="G117" s="445"/>
      <c r="H117" s="445"/>
      <c r="I117" s="445"/>
      <c r="J117" s="445"/>
      <c r="K117" s="395"/>
      <c r="R117" s="400"/>
      <c r="Y117" s="400"/>
      <c r="Z117" s="400"/>
      <c r="AA117" s="400"/>
      <c r="AB117" s="400"/>
      <c r="AC117" s="400"/>
      <c r="AD117" s="400"/>
      <c r="AE117" s="225"/>
      <c r="AF117" s="299"/>
      <c r="AG117" s="299"/>
      <c r="AH117" s="225"/>
      <c r="AI117" s="299"/>
      <c r="AJ117" s="299"/>
      <c r="AK117" s="225"/>
      <c r="AL117" s="299"/>
      <c r="AM117" s="299"/>
      <c r="AN117" s="225"/>
      <c r="AO117" s="299"/>
      <c r="AP117" s="299"/>
      <c r="AQ117" s="225"/>
      <c r="AR117" s="299"/>
      <c r="AS117" s="299"/>
      <c r="AT117" s="220"/>
      <c r="AU117" s="211"/>
      <c r="AV117" s="221"/>
      <c r="AW117" s="222"/>
      <c r="AX117" s="225"/>
      <c r="AY117" s="225"/>
      <c r="AZ117" s="225"/>
      <c r="BA117" s="225"/>
      <c r="BB117" s="225"/>
    </row>
    <row r="118" spans="1:54" s="212" customFormat="1" ht="19.5" customHeight="1" x14ac:dyDescent="0.25">
      <c r="A118" s="447" t="s">
        <v>280</v>
      </c>
      <c r="B118" s="272"/>
      <c r="C118" s="222"/>
      <c r="D118" s="222"/>
      <c r="E118" s="310"/>
      <c r="F118" s="448" t="s">
        <v>55</v>
      </c>
      <c r="J118" s="449"/>
      <c r="K118" s="395"/>
      <c r="R118" s="400"/>
      <c r="S118" s="400"/>
      <c r="T118" s="400"/>
      <c r="U118" s="400"/>
      <c r="V118" s="400"/>
      <c r="W118" s="400"/>
      <c r="X118" s="400"/>
      <c r="Y118" s="400"/>
      <c r="Z118" s="400"/>
      <c r="AA118" s="400"/>
      <c r="AB118" s="400"/>
      <c r="AC118" s="400"/>
      <c r="AD118" s="400"/>
      <c r="AE118" s="225"/>
      <c r="AF118" s="299"/>
      <c r="AG118" s="299"/>
      <c r="AH118" s="225"/>
      <c r="AI118" s="299"/>
      <c r="AJ118" s="299"/>
      <c r="AK118" s="225"/>
      <c r="AL118" s="299"/>
      <c r="AM118" s="299"/>
      <c r="AN118" s="225"/>
      <c r="AO118" s="299"/>
      <c r="AP118" s="299"/>
      <c r="AQ118" s="225"/>
      <c r="AR118" s="299"/>
      <c r="AS118" s="299"/>
      <c r="AT118" s="220"/>
      <c r="AU118" s="211"/>
      <c r="AV118" s="221"/>
      <c r="AW118" s="222"/>
      <c r="AX118" s="225"/>
      <c r="AY118" s="225"/>
      <c r="AZ118" s="225"/>
      <c r="BA118" s="225"/>
      <c r="BB118" s="225"/>
    </row>
    <row r="119" spans="1:54" s="212" customFormat="1" ht="19.5" customHeight="1" x14ac:dyDescent="0.25">
      <c r="A119" s="221" t="s">
        <v>291</v>
      </c>
      <c r="B119" s="220"/>
      <c r="C119" s="450" t="s">
        <v>289</v>
      </c>
      <c r="D119" s="266"/>
      <c r="E119" s="451"/>
      <c r="F119" s="411">
        <f>$C$4</f>
        <v>6</v>
      </c>
      <c r="G119" s="269">
        <f>$D$4</f>
        <v>10</v>
      </c>
      <c r="H119" s="269">
        <f>$E$4</f>
        <v>18</v>
      </c>
      <c r="I119" s="411" t="str">
        <f>$F$4</f>
        <v>6 FFF</v>
      </c>
      <c r="J119" s="412" t="str">
        <f>$G$4</f>
        <v>10 FFF</v>
      </c>
      <c r="K119" s="395"/>
      <c r="L119" s="211"/>
      <c r="M119" s="452"/>
      <c r="N119" s="453"/>
      <c r="O119" s="453"/>
      <c r="P119" s="453"/>
      <c r="Q119" s="453"/>
      <c r="R119" s="400"/>
      <c r="S119" s="400"/>
      <c r="T119" s="400"/>
      <c r="U119" s="400"/>
      <c r="V119" s="400"/>
      <c r="W119" s="400"/>
      <c r="X119" s="400"/>
      <c r="Y119" s="400"/>
      <c r="Z119" s="400"/>
      <c r="AA119" s="400"/>
      <c r="AB119" s="400"/>
      <c r="AC119" s="400"/>
      <c r="AD119" s="400"/>
      <c r="AE119" s="225"/>
      <c r="AF119" s="299"/>
      <c r="AG119" s="299"/>
      <c r="AH119" s="225"/>
      <c r="AI119" s="299"/>
      <c r="AJ119" s="299"/>
      <c r="AK119" s="225"/>
      <c r="AL119" s="299"/>
      <c r="AM119" s="299"/>
      <c r="AN119" s="225"/>
      <c r="AO119" s="299"/>
      <c r="AP119" s="299"/>
      <c r="AQ119" s="225"/>
      <c r="AR119" s="299"/>
      <c r="AS119" s="299"/>
      <c r="AT119" s="220"/>
      <c r="AU119" s="211"/>
      <c r="AV119" s="221"/>
      <c r="AW119" s="222"/>
      <c r="AX119" s="225"/>
      <c r="AY119" s="225"/>
      <c r="AZ119" s="225"/>
      <c r="BA119" s="225"/>
      <c r="BB119" s="225"/>
    </row>
    <row r="120" spans="1:54" s="212" customFormat="1" ht="19.5" customHeight="1" x14ac:dyDescent="0.25">
      <c r="A120" s="454" t="s">
        <v>281</v>
      </c>
      <c r="B120" s="455"/>
      <c r="C120" s="456" t="s">
        <v>287</v>
      </c>
      <c r="D120" s="457"/>
      <c r="E120" s="458"/>
      <c r="F120" s="423">
        <f>VLOOKUP($F$119,patientscatterfactoren!$A$18:$I$29,5)</f>
        <v>1.39E-3</v>
      </c>
      <c r="G120" s="423">
        <f>VLOOKUP($G$119,patientscatterfactoren!$A$18:$I$29,5)</f>
        <v>1.3500000000000001E-3</v>
      </c>
      <c r="H120" s="423">
        <f>VLOOKUP($H$119,patientscatterfactoren!$A$18:$I$29,5)</f>
        <v>8.6399999999999997E-4</v>
      </c>
      <c r="I120" s="423">
        <f>VLOOKUP($I$119,patientscatterfactoren!$A$18:$I$29,5)</f>
        <v>1.2999999999999999E-3</v>
      </c>
      <c r="J120" s="425">
        <f>VLOOKUP($J$119,patientscatterfactoren!$A$18:$I$29,5)</f>
        <v>1.1999999999999999E-3</v>
      </c>
      <c r="K120" s="395"/>
      <c r="L120" s="211"/>
      <c r="M120" s="453"/>
      <c r="N120" s="453"/>
      <c r="O120" s="453"/>
      <c r="P120" s="453"/>
      <c r="Q120" s="453"/>
      <c r="R120" s="400"/>
      <c r="S120" s="400"/>
      <c r="T120" s="400"/>
      <c r="U120" s="400"/>
      <c r="V120" s="400"/>
      <c r="W120" s="400"/>
      <c r="X120" s="400"/>
      <c r="Y120" s="400"/>
      <c r="Z120" s="400"/>
      <c r="AA120" s="400"/>
      <c r="AB120" s="400"/>
      <c r="AC120" s="400"/>
      <c r="AD120" s="400"/>
      <c r="AE120" s="225"/>
      <c r="AF120" s="299"/>
      <c r="AG120" s="299"/>
      <c r="AH120" s="225"/>
      <c r="AI120" s="299"/>
      <c r="AJ120" s="299"/>
      <c r="AK120" s="225"/>
      <c r="AL120" s="299"/>
      <c r="AM120" s="299"/>
      <c r="AN120" s="225"/>
      <c r="AO120" s="299"/>
      <c r="AP120" s="299"/>
      <c r="AQ120" s="225"/>
      <c r="AR120" s="299"/>
      <c r="AS120" s="299"/>
      <c r="AT120" s="220"/>
      <c r="AU120" s="211"/>
      <c r="AV120" s="221"/>
      <c r="AW120" s="222"/>
      <c r="AX120" s="225"/>
      <c r="AY120" s="225"/>
      <c r="AZ120" s="225"/>
      <c r="BA120" s="225"/>
      <c r="BB120" s="225"/>
    </row>
    <row r="121" spans="1:54" s="212" customFormat="1" ht="19.5" customHeight="1" x14ac:dyDescent="0.25">
      <c r="A121" s="459" t="s">
        <v>284</v>
      </c>
      <c r="B121" s="272"/>
      <c r="C121" s="460" t="s">
        <v>285</v>
      </c>
      <c r="D121" s="222"/>
      <c r="E121" s="461"/>
      <c r="F121" s="423">
        <f>VLOOKUP($F$119,patientscatterfactoren!$A$18:$I$29,7)</f>
        <v>4.26E-4</v>
      </c>
      <c r="G121" s="423">
        <f>VLOOKUP($G$119,patientscatterfactoren!$A$18:$I$29,7)</f>
        <v>3.8099999999999999E-4</v>
      </c>
      <c r="H121" s="423">
        <f>VLOOKUP($H$119,patientscatterfactoren!$A$18:$I$29,7)</f>
        <v>1.8900000000000001E-4</v>
      </c>
      <c r="I121" s="423">
        <f>VLOOKUP($I$119,patientscatterfactoren!$A$18:$I$29,7)</f>
        <v>4.46E-4</v>
      </c>
      <c r="J121" s="425">
        <f>VLOOKUP($J$119,patientscatterfactoren!$A$18:$I$29,7)</f>
        <v>4.0299999999999998E-4</v>
      </c>
      <c r="K121" s="395"/>
      <c r="L121" s="211"/>
      <c r="M121" s="453"/>
      <c r="N121" s="453"/>
      <c r="O121" s="453"/>
      <c r="P121" s="453"/>
      <c r="Q121" s="453"/>
      <c r="R121" s="400"/>
      <c r="S121" s="400"/>
      <c r="T121" s="400"/>
      <c r="U121" s="400"/>
      <c r="V121" s="400"/>
      <c r="W121" s="400"/>
      <c r="X121" s="400"/>
      <c r="Y121" s="400"/>
      <c r="Z121" s="400"/>
      <c r="AA121" s="400"/>
      <c r="AB121" s="400"/>
      <c r="AC121" s="400"/>
      <c r="AD121" s="400"/>
      <c r="AE121" s="225"/>
      <c r="AF121" s="299"/>
      <c r="AG121" s="299"/>
      <c r="AH121" s="225"/>
      <c r="AI121" s="299"/>
      <c r="AJ121" s="299"/>
      <c r="AK121" s="225"/>
      <c r="AL121" s="299"/>
      <c r="AM121" s="299"/>
      <c r="AN121" s="225"/>
      <c r="AO121" s="299"/>
      <c r="AP121" s="299"/>
      <c r="AQ121" s="225"/>
      <c r="AR121" s="299"/>
      <c r="AS121" s="299"/>
      <c r="AT121" s="220"/>
      <c r="AU121" s="211"/>
      <c r="AV121" s="221"/>
      <c r="AW121" s="222"/>
      <c r="AX121" s="225"/>
      <c r="AY121" s="225"/>
      <c r="AZ121" s="225"/>
      <c r="BA121" s="225"/>
      <c r="BB121" s="225"/>
    </row>
    <row r="122" spans="1:54" s="212" customFormat="1" ht="19.5" customHeight="1" thickBot="1" x14ac:dyDescent="0.3">
      <c r="A122" s="459" t="s">
        <v>286</v>
      </c>
      <c r="B122" s="272"/>
      <c r="C122" s="460" t="s">
        <v>288</v>
      </c>
      <c r="D122" s="222"/>
      <c r="E122" s="462"/>
      <c r="F122" s="423">
        <f>VLOOKUP($F$119,patientscatterfactoren!$A$18:$I$29,8)</f>
        <v>2.9999999999999997E-4</v>
      </c>
      <c r="G122" s="423">
        <f>VLOOKUP($G$119,patientscatterfactoren!$A$18:$I$29,8)</f>
        <v>3.0200000000000002E-4</v>
      </c>
      <c r="H122" s="463">
        <f>VLOOKUP($H$119,patientscatterfactoren!$A$18:$I$29,8)</f>
        <v>1.2400000000000001E-4</v>
      </c>
      <c r="I122" s="463">
        <f>VLOOKUP($I$119,patientscatterfactoren!$A$18:$I$29,8)</f>
        <v>3.4200000000000002E-4</v>
      </c>
      <c r="J122" s="464">
        <f>VLOOKUP($J$119,patientscatterfactoren!$A$18:$I$29,8)</f>
        <v>3.8200000000000002E-4</v>
      </c>
      <c r="K122" s="395"/>
      <c r="L122" s="211"/>
      <c r="M122" s="453"/>
      <c r="N122" s="453"/>
      <c r="O122" s="453"/>
      <c r="P122" s="453"/>
      <c r="Q122" s="453"/>
      <c r="R122" s="400"/>
      <c r="S122" s="400"/>
      <c r="T122" s="400"/>
      <c r="U122" s="400"/>
      <c r="V122" s="400"/>
      <c r="W122" s="400"/>
      <c r="X122" s="400"/>
      <c r="Y122" s="400"/>
      <c r="Z122" s="400"/>
      <c r="AA122" s="400"/>
      <c r="AB122" s="400"/>
      <c r="AC122" s="400"/>
      <c r="AD122" s="400"/>
      <c r="AE122" s="225"/>
      <c r="AF122" s="299"/>
      <c r="AG122" s="299"/>
      <c r="AH122" s="225"/>
      <c r="AI122" s="299"/>
      <c r="AJ122" s="299"/>
      <c r="AK122" s="225"/>
      <c r="AL122" s="299"/>
      <c r="AM122" s="299"/>
      <c r="AN122" s="225"/>
      <c r="AO122" s="299"/>
      <c r="AP122" s="299"/>
      <c r="AQ122" s="225"/>
      <c r="AR122" s="299"/>
      <c r="AS122" s="299"/>
      <c r="AT122" s="220"/>
      <c r="AU122" s="211"/>
      <c r="AV122" s="221"/>
      <c r="AW122" s="222"/>
      <c r="AX122" s="225"/>
      <c r="AY122" s="225"/>
      <c r="AZ122" s="225"/>
      <c r="BA122" s="225"/>
      <c r="BB122" s="225"/>
    </row>
    <row r="123" spans="1:54" s="212" customFormat="1" ht="19.5" customHeight="1" thickBot="1" x14ac:dyDescent="0.3">
      <c r="A123" s="465"/>
      <c r="B123" s="466"/>
      <c r="C123" s="466"/>
      <c r="D123" s="444"/>
      <c r="E123" s="445"/>
      <c r="F123" s="445"/>
      <c r="G123" s="445"/>
      <c r="H123" s="467"/>
      <c r="I123" s="467"/>
      <c r="J123" s="467"/>
      <c r="K123" s="395"/>
      <c r="L123" s="395"/>
      <c r="M123" s="400"/>
      <c r="N123" s="400"/>
      <c r="O123" s="400"/>
      <c r="P123" s="400"/>
      <c r="Q123" s="400"/>
      <c r="R123" s="400"/>
      <c r="S123" s="400"/>
      <c r="T123" s="400"/>
      <c r="U123" s="400"/>
      <c r="V123" s="400"/>
      <c r="W123" s="400"/>
      <c r="X123" s="400"/>
      <c r="Y123" s="400"/>
      <c r="Z123" s="400"/>
      <c r="AA123" s="400"/>
      <c r="AB123" s="400"/>
      <c r="AC123" s="400"/>
      <c r="AD123" s="400"/>
      <c r="AE123" s="225"/>
      <c r="AF123" s="299"/>
      <c r="AG123" s="299"/>
      <c r="AH123" s="225"/>
      <c r="AI123" s="299"/>
      <c r="AJ123" s="299"/>
      <c r="AK123" s="225"/>
      <c r="AL123" s="299"/>
      <c r="AM123" s="299"/>
      <c r="AN123" s="225"/>
      <c r="AO123" s="299"/>
      <c r="AP123" s="299"/>
      <c r="AQ123" s="225"/>
      <c r="AR123" s="299"/>
      <c r="AS123" s="299"/>
      <c r="AT123" s="220"/>
      <c r="AU123" s="211"/>
      <c r="AV123" s="221"/>
      <c r="AW123" s="222"/>
      <c r="AX123" s="225"/>
      <c r="AY123" s="225"/>
      <c r="AZ123" s="225"/>
      <c r="BA123" s="225"/>
      <c r="BB123" s="225"/>
    </row>
    <row r="124" spans="1:54" s="212" customFormat="1" ht="19.5" customHeight="1" x14ac:dyDescent="0.25">
      <c r="A124" s="428" t="s">
        <v>244</v>
      </c>
      <c r="B124" s="225"/>
      <c r="C124" s="225"/>
      <c r="D124" s="211"/>
      <c r="E124" s="211"/>
      <c r="F124" s="225"/>
      <c r="G124" s="427"/>
      <c r="H124" s="225"/>
      <c r="I124" s="225"/>
      <c r="J124" s="222"/>
      <c r="K124" s="395"/>
      <c r="L124" s="395"/>
      <c r="M124" s="400"/>
      <c r="N124" s="400"/>
      <c r="O124" s="400"/>
      <c r="P124" s="400"/>
      <c r="Q124" s="400"/>
      <c r="R124" s="400"/>
      <c r="S124" s="400"/>
      <c r="T124" s="400"/>
      <c r="U124" s="400"/>
      <c r="V124" s="400"/>
      <c r="W124" s="400"/>
      <c r="X124" s="400"/>
      <c r="Y124" s="400"/>
      <c r="Z124" s="400"/>
      <c r="AA124" s="400"/>
      <c r="AB124" s="400"/>
      <c r="AC124" s="400"/>
      <c r="AD124" s="400"/>
      <c r="AE124" s="225"/>
      <c r="AF124" s="299"/>
      <c r="AG124" s="299"/>
      <c r="AH124" s="225"/>
      <c r="AI124" s="299"/>
      <c r="AJ124" s="299"/>
      <c r="AK124" s="225"/>
      <c r="AL124" s="299"/>
      <c r="AM124" s="299"/>
      <c r="AN124" s="225"/>
      <c r="AO124" s="299"/>
      <c r="AP124" s="299"/>
      <c r="AQ124" s="225"/>
      <c r="AR124" s="299"/>
      <c r="AS124" s="299"/>
      <c r="AT124" s="220"/>
      <c r="AU124" s="211"/>
      <c r="AV124" s="221"/>
      <c r="AW124" s="222"/>
      <c r="AX124" s="225"/>
      <c r="AY124" s="225"/>
      <c r="AZ124" s="225"/>
      <c r="BA124" s="225"/>
      <c r="BB124" s="225"/>
    </row>
    <row r="125" spans="1:54" s="212" customFormat="1" ht="19.5" customHeight="1" x14ac:dyDescent="0.25">
      <c r="A125" s="401" t="s">
        <v>241</v>
      </c>
      <c r="B125" s="267"/>
      <c r="C125" s="222"/>
      <c r="D125" s="222"/>
      <c r="E125" s="222"/>
      <c r="F125" s="222"/>
      <c r="G125" s="1849">
        <v>0.5</v>
      </c>
      <c r="H125" s="225"/>
      <c r="I125" s="225"/>
      <c r="J125" s="222"/>
      <c r="K125" s="395"/>
      <c r="L125" s="395"/>
      <c r="M125" s="400"/>
      <c r="N125" s="400"/>
      <c r="O125" s="400"/>
      <c r="P125" s="400"/>
      <c r="Q125" s="400"/>
      <c r="R125" s="400"/>
      <c r="S125" s="400"/>
      <c r="T125" s="400"/>
      <c r="U125" s="400"/>
      <c r="V125" s="400"/>
      <c r="W125" s="400"/>
      <c r="X125" s="400"/>
      <c r="Y125" s="400"/>
      <c r="Z125" s="400"/>
      <c r="AA125" s="400"/>
      <c r="AB125" s="400"/>
      <c r="AC125" s="400"/>
      <c r="AD125" s="400"/>
      <c r="AE125" s="225"/>
      <c r="AF125" s="299"/>
      <c r="AG125" s="299"/>
      <c r="AH125" s="225"/>
      <c r="AI125" s="299"/>
      <c r="AJ125" s="299"/>
      <c r="AK125" s="225"/>
      <c r="AL125" s="299"/>
      <c r="AM125" s="299"/>
      <c r="AN125" s="225"/>
      <c r="AO125" s="299"/>
      <c r="AP125" s="299"/>
      <c r="AQ125" s="225"/>
      <c r="AR125" s="299"/>
      <c r="AS125" s="299"/>
      <c r="AT125" s="220"/>
      <c r="AU125" s="211"/>
      <c r="AV125" s="221"/>
      <c r="AW125" s="222"/>
      <c r="AX125" s="225"/>
      <c r="AY125" s="225"/>
      <c r="AZ125" s="225"/>
      <c r="BA125" s="225"/>
      <c r="BB125" s="225"/>
    </row>
    <row r="126" spans="1:54" s="212" customFormat="1" ht="19.5" customHeight="1" thickBot="1" x14ac:dyDescent="0.3">
      <c r="A126" s="468" t="s">
        <v>242</v>
      </c>
      <c r="B126" s="388"/>
      <c r="C126" s="388"/>
      <c r="D126" s="388"/>
      <c r="E126" s="388"/>
      <c r="F126" s="388"/>
      <c r="G126" s="1850">
        <v>0.32</v>
      </c>
      <c r="H126" s="225"/>
      <c r="I126" s="225"/>
      <c r="J126" s="222"/>
      <c r="K126" s="395"/>
      <c r="L126" s="395"/>
      <c r="M126" s="400"/>
      <c r="N126" s="400"/>
      <c r="O126" s="400"/>
      <c r="P126" s="400"/>
      <c r="Q126" s="400"/>
      <c r="R126" s="400"/>
      <c r="S126" s="400"/>
      <c r="T126" s="400"/>
      <c r="U126" s="400"/>
      <c r="V126" s="400"/>
      <c r="W126" s="400"/>
      <c r="X126" s="400"/>
      <c r="Y126" s="400"/>
      <c r="Z126" s="400"/>
      <c r="AA126" s="400"/>
      <c r="AB126" s="400"/>
      <c r="AC126" s="400"/>
      <c r="AD126" s="400"/>
      <c r="AE126" s="225"/>
      <c r="AF126" s="299"/>
      <c r="AG126" s="299"/>
      <c r="AH126" s="225"/>
      <c r="AI126" s="299"/>
      <c r="AJ126" s="299"/>
      <c r="AK126" s="225"/>
      <c r="AL126" s="299"/>
      <c r="AM126" s="299"/>
      <c r="AN126" s="225"/>
      <c r="AO126" s="299"/>
      <c r="AP126" s="299"/>
      <c r="AQ126" s="225"/>
      <c r="AR126" s="299"/>
      <c r="AS126" s="299"/>
      <c r="AT126" s="220"/>
      <c r="AU126" s="211"/>
      <c r="AV126" s="221"/>
      <c r="AW126" s="222"/>
      <c r="AX126" s="225"/>
      <c r="AY126" s="225"/>
      <c r="AZ126" s="225"/>
      <c r="BA126" s="225"/>
      <c r="BB126" s="225"/>
    </row>
    <row r="127" spans="1:54" s="212" customFormat="1" ht="19.5" customHeight="1" x14ac:dyDescent="0.25">
      <c r="A127" s="469"/>
      <c r="B127" s="400"/>
      <c r="C127" s="400"/>
      <c r="D127" s="400"/>
      <c r="E127" s="400"/>
      <c r="F127" s="400"/>
      <c r="G127" s="395"/>
      <c r="H127" s="395"/>
      <c r="I127" s="395"/>
      <c r="J127" s="395"/>
      <c r="K127" s="395"/>
      <c r="L127" s="395"/>
      <c r="M127" s="400"/>
      <c r="N127" s="400"/>
      <c r="O127" s="400"/>
      <c r="P127" s="400"/>
      <c r="Q127" s="400"/>
      <c r="R127" s="400"/>
      <c r="S127" s="400"/>
      <c r="T127" s="400"/>
      <c r="U127" s="400"/>
      <c r="V127" s="400"/>
      <c r="W127" s="400"/>
      <c r="X127" s="400"/>
      <c r="Y127" s="400"/>
      <c r="Z127" s="400"/>
      <c r="AA127" s="400"/>
      <c r="AB127" s="400"/>
      <c r="AC127" s="400"/>
      <c r="AD127" s="400"/>
      <c r="AE127" s="472"/>
      <c r="AF127" s="473">
        <f>$C$4</f>
        <v>6</v>
      </c>
      <c r="AG127" s="474"/>
      <c r="AH127" s="475"/>
      <c r="AI127" s="473">
        <f>$D$4</f>
        <v>10</v>
      </c>
      <c r="AJ127" s="474"/>
      <c r="AK127" s="476"/>
      <c r="AL127" s="473">
        <f>$E$4</f>
        <v>18</v>
      </c>
      <c r="AM127" s="474"/>
      <c r="AN127" s="476"/>
      <c r="AO127" s="473" t="str">
        <f>$F$4</f>
        <v>6 FFF</v>
      </c>
      <c r="AP127" s="474"/>
      <c r="AQ127" s="476"/>
      <c r="AR127" s="473" t="str">
        <f>$G$4</f>
        <v>10 FFF</v>
      </c>
      <c r="AS127" s="473"/>
      <c r="AT127" s="477" t="s">
        <v>16</v>
      </c>
      <c r="AU127" s="478"/>
      <c r="AV127" s="222"/>
      <c r="AW127" s="222"/>
      <c r="AX127" s="225"/>
      <c r="AY127" s="225"/>
      <c r="AZ127" s="225"/>
      <c r="BA127" s="225"/>
      <c r="BB127" s="225"/>
    </row>
    <row r="128" spans="1:54" s="212" customFormat="1" ht="19.5" customHeight="1" x14ac:dyDescent="0.2">
      <c r="A128" s="479" t="s">
        <v>50</v>
      </c>
      <c r="B128" s="480" t="s">
        <v>15</v>
      </c>
      <c r="C128" s="481" t="s">
        <v>25</v>
      </c>
      <c r="D128" s="482" t="s">
        <v>158</v>
      </c>
      <c r="E128" s="483"/>
      <c r="F128" s="484" t="s">
        <v>386</v>
      </c>
      <c r="G128" s="485"/>
      <c r="H128" s="482"/>
      <c r="I128" s="482"/>
      <c r="J128" s="482"/>
      <c r="K128" s="482"/>
      <c r="L128" s="482"/>
      <c r="M128" s="486"/>
      <c r="N128" s="487" t="s">
        <v>381</v>
      </c>
      <c r="O128" s="484"/>
      <c r="P128" s="484" t="s">
        <v>386</v>
      </c>
      <c r="Q128" s="488"/>
      <c r="R128" s="488"/>
      <c r="S128" s="482"/>
      <c r="T128" s="482"/>
      <c r="U128" s="486"/>
      <c r="V128" s="489" t="s">
        <v>525</v>
      </c>
      <c r="W128" s="301" t="s">
        <v>524</v>
      </c>
      <c r="X128" s="1990" t="s">
        <v>77</v>
      </c>
      <c r="Y128" s="1991"/>
      <c r="Z128" s="1992"/>
      <c r="AA128" s="490"/>
      <c r="AB128" s="491"/>
      <c r="AC128" s="492" t="s">
        <v>334</v>
      </c>
      <c r="AD128" s="485"/>
      <c r="AE128" s="493"/>
      <c r="AF128" s="420" t="s">
        <v>206</v>
      </c>
      <c r="AG128" s="420" t="s">
        <v>16</v>
      </c>
      <c r="AH128" s="420" t="s">
        <v>86</v>
      </c>
      <c r="AI128" s="420" t="s">
        <v>206</v>
      </c>
      <c r="AJ128" s="420" t="s">
        <v>16</v>
      </c>
      <c r="AK128" s="420" t="s">
        <v>86</v>
      </c>
      <c r="AL128" s="420" t="s">
        <v>206</v>
      </c>
      <c r="AM128" s="420" t="s">
        <v>16</v>
      </c>
      <c r="AN128" s="420" t="s">
        <v>86</v>
      </c>
      <c r="AO128" s="420" t="s">
        <v>206</v>
      </c>
      <c r="AP128" s="420" t="s">
        <v>16</v>
      </c>
      <c r="AQ128" s="420" t="s">
        <v>86</v>
      </c>
      <c r="AR128" s="420" t="s">
        <v>206</v>
      </c>
      <c r="AS128" s="420" t="s">
        <v>16</v>
      </c>
      <c r="AT128" s="494"/>
      <c r="AU128" s="495" t="s">
        <v>11</v>
      </c>
      <c r="AV128" s="222"/>
      <c r="AW128" s="222"/>
      <c r="AX128" s="225"/>
      <c r="AY128" s="225"/>
      <c r="AZ128" s="225"/>
      <c r="BA128" s="225"/>
      <c r="BB128" s="225"/>
    </row>
    <row r="129" spans="1:90" s="212" customFormat="1" ht="19.5" customHeight="1" thickBot="1" x14ac:dyDescent="0.25">
      <c r="A129" s="496"/>
      <c r="B129" s="497"/>
      <c r="C129" s="498"/>
      <c r="D129" s="499" t="s">
        <v>367</v>
      </c>
      <c r="E129" s="498" t="s">
        <v>364</v>
      </c>
      <c r="F129" s="498" t="s">
        <v>370</v>
      </c>
      <c r="G129" s="499" t="s">
        <v>368</v>
      </c>
      <c r="H129" s="498" t="s">
        <v>365</v>
      </c>
      <c r="I129" s="499" t="s">
        <v>369</v>
      </c>
      <c r="J129" s="498" t="s">
        <v>371</v>
      </c>
      <c r="K129" s="498" t="s">
        <v>366</v>
      </c>
      <c r="L129" s="498" t="s">
        <v>373</v>
      </c>
      <c r="M129" s="498" t="s">
        <v>372</v>
      </c>
      <c r="N129" s="498" t="s">
        <v>374</v>
      </c>
      <c r="O129" s="498" t="s">
        <v>375</v>
      </c>
      <c r="P129" s="498" t="s">
        <v>376</v>
      </c>
      <c r="Q129" s="498" t="s">
        <v>377</v>
      </c>
      <c r="R129" s="498" t="s">
        <v>378</v>
      </c>
      <c r="S129" s="498" t="s">
        <v>382</v>
      </c>
      <c r="T129" s="498" t="s">
        <v>379</v>
      </c>
      <c r="U129" s="498" t="s">
        <v>380</v>
      </c>
      <c r="V129" s="498" t="s">
        <v>526</v>
      </c>
      <c r="W129" s="308" t="s">
        <v>528</v>
      </c>
      <c r="X129" s="500" t="s">
        <v>1</v>
      </c>
      <c r="Y129" s="501" t="s">
        <v>61</v>
      </c>
      <c r="Z129" s="502" t="s">
        <v>3</v>
      </c>
      <c r="AA129" s="502" t="s">
        <v>22</v>
      </c>
      <c r="AB129" s="502" t="s">
        <v>3</v>
      </c>
      <c r="AC129" s="503" t="s">
        <v>22</v>
      </c>
      <c r="AD129" s="504" t="s">
        <v>39</v>
      </c>
      <c r="AE129" s="505" t="s">
        <v>208</v>
      </c>
      <c r="AF129" s="505" t="s">
        <v>207</v>
      </c>
      <c r="AG129" s="506" t="s">
        <v>174</v>
      </c>
      <c r="AH129" s="505" t="s">
        <v>208</v>
      </c>
      <c r="AI129" s="505" t="s">
        <v>207</v>
      </c>
      <c r="AJ129" s="506" t="s">
        <v>174</v>
      </c>
      <c r="AK129" s="507" t="s">
        <v>208</v>
      </c>
      <c r="AL129" s="507" t="s">
        <v>207</v>
      </c>
      <c r="AM129" s="179" t="s">
        <v>174</v>
      </c>
      <c r="AN129" s="507" t="s">
        <v>208</v>
      </c>
      <c r="AO129" s="507" t="s">
        <v>207</v>
      </c>
      <c r="AP129" s="179" t="s">
        <v>174</v>
      </c>
      <c r="AQ129" s="507" t="s">
        <v>208</v>
      </c>
      <c r="AR129" s="507" t="s">
        <v>207</v>
      </c>
      <c r="AS129" s="179" t="s">
        <v>174</v>
      </c>
      <c r="AT129" s="508" t="s">
        <v>174</v>
      </c>
      <c r="AU129" s="509" t="s">
        <v>166</v>
      </c>
      <c r="AV129" s="211"/>
      <c r="AW129" s="222"/>
      <c r="AX129" s="225"/>
      <c r="AY129" s="225"/>
      <c r="AZ129" s="225"/>
      <c r="BA129" s="225"/>
      <c r="BB129" s="225"/>
    </row>
    <row r="130" spans="1:90" s="212" customFormat="1" ht="30" customHeight="1" thickBot="1" x14ac:dyDescent="0.3">
      <c r="A130" s="510" t="str">
        <f>A79</f>
        <v>L4</v>
      </c>
      <c r="B130" s="712" t="str">
        <f>B79</f>
        <v>ingang labyrint linac 4</v>
      </c>
      <c r="C130" s="512" t="s">
        <v>200</v>
      </c>
      <c r="D130" s="1851">
        <v>5</v>
      </c>
      <c r="E130" s="111"/>
      <c r="F130" s="116"/>
      <c r="G130" s="1851">
        <v>10</v>
      </c>
      <c r="H130" s="120"/>
      <c r="I130" s="1853">
        <v>10</v>
      </c>
      <c r="J130" s="123"/>
      <c r="K130" s="1982">
        <v>1</v>
      </c>
      <c r="L130" s="114"/>
      <c r="M130" s="113"/>
      <c r="N130" s="1851">
        <v>4</v>
      </c>
      <c r="O130" s="120"/>
      <c r="P130" s="1851">
        <v>5</v>
      </c>
      <c r="Q130" s="134"/>
      <c r="R130" s="1828">
        <v>2</v>
      </c>
      <c r="S130" s="137"/>
      <c r="T130" s="114"/>
      <c r="U130" s="138"/>
      <c r="V130" s="141"/>
      <c r="W130" s="1828">
        <v>0.25</v>
      </c>
      <c r="X130" s="149"/>
      <c r="Y130" s="150"/>
      <c r="Z130" s="151"/>
      <c r="AA130" s="152"/>
      <c r="AB130" s="1984">
        <v>0</v>
      </c>
      <c r="AC130" s="1987">
        <v>0</v>
      </c>
      <c r="AD130" s="168"/>
      <c r="AE130" s="171">
        <f>$AB130/$M$114+$AC130/$M$115</f>
        <v>0</v>
      </c>
      <c r="AF130" s="97">
        <f t="shared" ref="AF130:AF135" si="11">10^(-AE130)</f>
        <v>1</v>
      </c>
      <c r="AG130" s="91">
        <f>$C$7*$C$14*$C$8*$W$130/$D$130^2*$N$130*$F$112/$G$130^2*$P$130*$E$114/$I$130^2*$R$130*$E$116/$K$130^2*AF130*10^6</f>
        <v>6.9119999999999997E-3</v>
      </c>
      <c r="AH130" s="91">
        <f>$AB130/$M$114+$AC130/$M$115</f>
        <v>0</v>
      </c>
      <c r="AI130" s="97">
        <f t="shared" ref="AI130:AI135" si="12">10^(-AH130)</f>
        <v>1</v>
      </c>
      <c r="AJ130" s="91">
        <f>$C$7*$D$14*$D$8*$W$130/$D$130^2*$N$130*$G$112/$G$130^2*$P$130*$E$114/$I$130^2*$R$130*$E$116/$K$130^2*AI130*10^6</f>
        <v>5.3760000000000006E-3</v>
      </c>
      <c r="AK130" s="91">
        <f>$AB130/$M$114+$AC130/$M$115</f>
        <v>0</v>
      </c>
      <c r="AL130" s="97">
        <f t="shared" ref="AL130:AL135" si="13">10^(-AK130)</f>
        <v>1</v>
      </c>
      <c r="AM130" s="91">
        <f>$C$7*$E$14*$E$8*$W$130/$D$130^2*$N$130*$H$112/$G$130^2*$P$130*$E$114/$I$130^2*$R$130*$E$116/$K$130^2*AL130*10^6</f>
        <v>4.0960000000000015E-3</v>
      </c>
      <c r="AN130" s="91">
        <f>$AB130/$M$114+$AC130/$M$115</f>
        <v>0</v>
      </c>
      <c r="AO130" s="97">
        <f t="shared" ref="AO130:AO135" si="14">10^(-AN130)</f>
        <v>1</v>
      </c>
      <c r="AP130" s="91">
        <f>$C$7*$F$14*$F$8*$W$130/$D$130^2*$N$130*$I$112/$G$130^2*$P$130*$E$114/$I$130^2*$R$130*$E$116/$K$130^2*AO130*10^6</f>
        <v>8.9600000000000009E-3</v>
      </c>
      <c r="AQ130" s="91">
        <f>$AB130/$M$114+$AC130/$M$115</f>
        <v>0</v>
      </c>
      <c r="AR130" s="97">
        <f t="shared" ref="AR130:AR135" si="15">10^(-AQ130)</f>
        <v>1</v>
      </c>
      <c r="AS130" s="76">
        <f>$C$7*$G$14*$G$8*$W$130/$D$130^2*$N$130*$J$112/$G$130^2*$P$130*$E$114/$I$130^2*$R$130*$E$116/$K$130^2*AR130*10^6</f>
        <v>8.4480000000000006E-3</v>
      </c>
      <c r="AT130" s="513">
        <f t="shared" ref="AT130:AT135" si="16">SUM(AG130,AJ130,AM130,AP130,AS130)</f>
        <v>3.3792000000000003E-2</v>
      </c>
      <c r="AU130" s="514">
        <f>SUM(AT130:AT136)*52/10^3</f>
        <v>15.505920420432142</v>
      </c>
      <c r="AV130" s="222"/>
      <c r="AW130" s="222"/>
      <c r="AX130" s="225"/>
      <c r="AY130" s="225"/>
      <c r="AZ130" s="225"/>
      <c r="BA130" s="225"/>
      <c r="BB130" s="225"/>
    </row>
    <row r="131" spans="1:90" s="212" customFormat="1" ht="30" customHeight="1" thickBot="1" x14ac:dyDescent="0.3">
      <c r="A131" s="447"/>
      <c r="B131" s="460"/>
      <c r="C131" s="515" t="s">
        <v>536</v>
      </c>
      <c r="D131" s="107"/>
      <c r="E131" s="1852">
        <v>1</v>
      </c>
      <c r="F131" s="117"/>
      <c r="G131" s="118"/>
      <c r="H131" s="1828">
        <v>5</v>
      </c>
      <c r="I131" s="122"/>
      <c r="J131" s="124"/>
      <c r="K131" s="2030"/>
      <c r="L131" s="127"/>
      <c r="M131" s="128"/>
      <c r="N131" s="129"/>
      <c r="O131" s="1828">
        <v>5</v>
      </c>
      <c r="P131" s="133"/>
      <c r="Q131" s="133"/>
      <c r="R131" s="1828">
        <v>2</v>
      </c>
      <c r="S131" s="139"/>
      <c r="T131" s="132"/>
      <c r="U131" s="140"/>
      <c r="V131" s="142"/>
      <c r="W131" s="1828">
        <v>0.25</v>
      </c>
      <c r="X131" s="1856">
        <v>200</v>
      </c>
      <c r="Y131" s="1856">
        <v>0</v>
      </c>
      <c r="Z131" s="1857">
        <v>0</v>
      </c>
      <c r="AA131" s="1857">
        <v>0</v>
      </c>
      <c r="AB131" s="1985"/>
      <c r="AC131" s="1988"/>
      <c r="AD131" s="169"/>
      <c r="AE131" s="171">
        <f>IF($X131=0,0,1+($X131-$C$21)/$C$22)+$Y131/$C$23+$Z131/$C$24+$AA131/$C$25+$AB130/$M$114+$AC130/$M$115</f>
        <v>5.9393939393939394</v>
      </c>
      <c r="AF131" s="97">
        <f t="shared" si="11"/>
        <v>1.1497569953977332E-6</v>
      </c>
      <c r="AG131" s="91">
        <f>$C$7*$C$14*$C$8*$W$131/$E$131^2*$O$131*$F$113/$H$131^2*$R$131*$E$116/$K$130^2*AF131*10^6</f>
        <v>2.4834751100591044E-3</v>
      </c>
      <c r="AH131" s="91">
        <f>IF($X131=0,0,1+($X131-$D$21)/$D$22)+$Y131/$D$23+$Z131/$D$24+$AB130/$M$114+$AC130/$M$115</f>
        <v>5.2972972972972974</v>
      </c>
      <c r="AI131" s="97">
        <f t="shared" si="12"/>
        <v>5.0431594871713543E-6</v>
      </c>
      <c r="AJ131" s="91">
        <f>$C$7*$D$14*$D$8*$W$131/$E$131^2*$O$131*$G$113/$H$131^2*$R$131*$E$116/$K$130^2*AI131*10^6</f>
        <v>8.4725079384478739E-3</v>
      </c>
      <c r="AK131" s="91">
        <f>IF($X131=0,0,1+($X131-$E$21)/$E$22)+$Y131/$E$23+$Z131/$E$24+$AB130/$M$114+$AC130/$M$115</f>
        <v>4.6046511627906979</v>
      </c>
      <c r="AL131" s="97">
        <f t="shared" si="13"/>
        <v>2.485128426980553E-5</v>
      </c>
      <c r="AM131" s="91">
        <f>$C$7*$E$14*$E$8*$W$131/$E$131^2*$O$131*$H$113/$H$131^2*$R$131*$E$116/$K$130^2*AL131*10^6</f>
        <v>3.1809643865351081E-2</v>
      </c>
      <c r="AN131" s="91">
        <f>IF($X131=0,0,1+($X131-$F$21)/$F$22)+$Y131/$F$23+$Z131/$E$24+$AB130/$M$114+$AC130/$M$115</f>
        <v>7.2962962962962967</v>
      </c>
      <c r="AO131" s="97">
        <f t="shared" si="14"/>
        <v>5.0547968211912231E-8</v>
      </c>
      <c r="AP131" s="91">
        <f>$C$7*$F$14*$F$8*$W$131/$E$131^2*$O$131*$I$113/$H$131^2*$R$131*$E$116/$K$130^2*AO131*10^6</f>
        <v>1.4153431099335427E-4</v>
      </c>
      <c r="AQ131" s="91">
        <f>IF($X131=0,0,1+($X131-$G$21)/$G$22)+$Y131/$G$23+$Z131/$G$24+$AB130/$M$114+$AC130/$M$115</f>
        <v>5.5555555555555554</v>
      </c>
      <c r="AR131" s="97">
        <f t="shared" si="15"/>
        <v>2.782559402207123E-6</v>
      </c>
      <c r="AS131" s="76">
        <f>$C$7*$G$14*$G$8*$W$131/$E$131^2*$O$131*$J$113/$H$131^2*$R$131*$E$116/$K$130^2*AR131*10^6</f>
        <v>7.3459568218268044E-3</v>
      </c>
      <c r="AT131" s="513">
        <f t="shared" si="16"/>
        <v>5.0253118046678216E-2</v>
      </c>
      <c r="AU131" s="516"/>
      <c r="AV131" s="222"/>
      <c r="AW131" s="222"/>
      <c r="AX131" s="225"/>
      <c r="AY131" s="225"/>
      <c r="AZ131" s="225"/>
      <c r="BA131" s="225"/>
      <c r="BB131" s="225"/>
    </row>
    <row r="132" spans="1:90" s="212" customFormat="1" ht="30" customHeight="1" thickBot="1" x14ac:dyDescent="0.3">
      <c r="A132" s="221"/>
      <c r="B132" s="517"/>
      <c r="C132" s="518" t="s">
        <v>537</v>
      </c>
      <c r="D132" s="108"/>
      <c r="E132" s="112"/>
      <c r="F132" s="1987">
        <v>5</v>
      </c>
      <c r="G132" s="119"/>
      <c r="H132" s="121"/>
      <c r="I132" s="113"/>
      <c r="J132" s="1980">
        <v>10</v>
      </c>
      <c r="K132" s="2030"/>
      <c r="L132" s="114"/>
      <c r="M132" s="113"/>
      <c r="N132" s="119"/>
      <c r="O132" s="121"/>
      <c r="P132" s="113"/>
      <c r="Q132" s="1980">
        <v>5</v>
      </c>
      <c r="R132" s="1982">
        <v>2</v>
      </c>
      <c r="S132" s="137"/>
      <c r="T132" s="114"/>
      <c r="U132" s="138"/>
      <c r="V132" s="143"/>
      <c r="W132" s="144">
        <v>1</v>
      </c>
      <c r="X132" s="153"/>
      <c r="Y132" s="154"/>
      <c r="Z132" s="155"/>
      <c r="AA132" s="156"/>
      <c r="AB132" s="1985"/>
      <c r="AC132" s="1988"/>
      <c r="AD132" s="168"/>
      <c r="AE132" s="91">
        <f>$AB130/$M$114+$AC130/$M$115</f>
        <v>0</v>
      </c>
      <c r="AF132" s="97">
        <f t="shared" si="11"/>
        <v>1</v>
      </c>
      <c r="AG132" s="91">
        <f>$C$7*$C$15*$C$8*($C$9+$C$10*$C$11)*$W$132/$F$132^2*$Q$132*$F$115/$J$132^2*$R$132*$E$116/$K$130^2*AF132*10^6</f>
        <v>15.360000000000005</v>
      </c>
      <c r="AH132" s="91">
        <f>$AB130/$M$114+$AC130/$M$115</f>
        <v>0</v>
      </c>
      <c r="AI132" s="97">
        <f t="shared" si="12"/>
        <v>1</v>
      </c>
      <c r="AJ132" s="91">
        <f>$C$7*$C$15*$D$8*($D$9+$D$10*$D$11)*$W$132/$F$132^2*$Q$132*$G$115/$J$132^2*$R$132*$E$116/$K$130^2*AI132*10^6</f>
        <v>12.240000000000004</v>
      </c>
      <c r="AK132" s="91">
        <f>$AB130/$M$114+$AC130/$M$115</f>
        <v>0</v>
      </c>
      <c r="AL132" s="97">
        <f t="shared" si="13"/>
        <v>1</v>
      </c>
      <c r="AM132" s="91">
        <f>$C$7*$C$15*$E$8*($E$9+$E$10*$E$11)*$W$132/$F$132^2*$Q$132*$H$115/$J$132^2*$R$132*$E$116/$K$130^2*AL132*10^6</f>
        <v>10.800000000000002</v>
      </c>
      <c r="AN132" s="91">
        <f>$AB130/$M$114+$AC130/$M$115</f>
        <v>0</v>
      </c>
      <c r="AO132" s="97">
        <f t="shared" si="14"/>
        <v>1</v>
      </c>
      <c r="AP132" s="91">
        <f>$C$7*$C$15*$F$8*($F$9+$F$10*$F$11)*$W$132/$F$132^2*$Q$132*$I$115/$J$132^2*$R$132*$E$116/$K$130^2*AO132*10^6</f>
        <v>19.920000000000002</v>
      </c>
      <c r="AQ132" s="91">
        <f>$AB130/$M$114+$AC130/$M$115</f>
        <v>0</v>
      </c>
      <c r="AR132" s="97">
        <f t="shared" si="15"/>
        <v>1</v>
      </c>
      <c r="AS132" s="76">
        <f>$C$7*$C$15*$G$8*($G$9+$G$10*$G$11)*$W$132/$F$132^2*$Q$132*$J$115/$J$132^2*$R$132*$E$116/$K$130^2*AR132*10^6</f>
        <v>17.520000000000003</v>
      </c>
      <c r="AT132" s="519">
        <f t="shared" si="16"/>
        <v>75.840000000000018</v>
      </c>
      <c r="AU132" s="516"/>
      <c r="AV132" s="222"/>
      <c r="AW132" s="520"/>
      <c r="AX132" s="222"/>
      <c r="AY132" s="211"/>
      <c r="AZ132" s="222"/>
      <c r="BA132" s="222"/>
      <c r="BB132" s="225"/>
    </row>
    <row r="133" spans="1:90" s="212" customFormat="1" ht="30" customHeight="1" thickBot="1" x14ac:dyDescent="0.3">
      <c r="A133" s="221"/>
      <c r="B133" s="517"/>
      <c r="C133" s="521" t="s">
        <v>523</v>
      </c>
      <c r="D133" s="108"/>
      <c r="E133" s="113"/>
      <c r="F133" s="2029"/>
      <c r="G133" s="119"/>
      <c r="H133" s="114"/>
      <c r="I133" s="113"/>
      <c r="J133" s="1981"/>
      <c r="K133" s="1983"/>
      <c r="L133" s="114"/>
      <c r="M133" s="113"/>
      <c r="N133" s="119"/>
      <c r="O133" s="114"/>
      <c r="P133" s="113"/>
      <c r="Q133" s="1981"/>
      <c r="R133" s="1983"/>
      <c r="S133" s="137"/>
      <c r="T133" s="114"/>
      <c r="U133" s="113"/>
      <c r="V133" s="1855">
        <f>20*20</f>
        <v>400</v>
      </c>
      <c r="W133" s="1828">
        <v>0.25</v>
      </c>
      <c r="X133" s="157"/>
      <c r="Y133" s="158"/>
      <c r="Z133" s="159"/>
      <c r="AA133" s="160"/>
      <c r="AB133" s="1985"/>
      <c r="AC133" s="1988"/>
      <c r="AD133" s="168"/>
      <c r="AE133" s="98">
        <f>$AB130/$M$114+$AC130/$M$115</f>
        <v>0</v>
      </c>
      <c r="AF133" s="97">
        <f t="shared" si="11"/>
        <v>1</v>
      </c>
      <c r="AG133" s="91">
        <f>$C$7*$C$8*$W$133*$F$120*$V$133/400*$E$115*$E$116*$Q$132*$R$132/1/1/$F$132^2/$J$132^2/$K$130^2*AF133*10^6</f>
        <v>6.1159999999999988</v>
      </c>
      <c r="AH133" s="98">
        <f>$AB130/$M$114+$AC130/$M$115</f>
        <v>0</v>
      </c>
      <c r="AI133" s="97">
        <f t="shared" si="12"/>
        <v>1</v>
      </c>
      <c r="AJ133" s="91">
        <f>$C$7*$D$8*$W$133*$G$120*$V$133/400*$E$115*$E$116*$Q$132*$R$132/1/1/$F$132^2/$J$132^2/$K$130^2*AI133*10^6</f>
        <v>5.9399999999999995</v>
      </c>
      <c r="AK133" s="98">
        <f>$AB130/$M$114+$AC130/$M$115</f>
        <v>0</v>
      </c>
      <c r="AL133" s="97">
        <f t="shared" si="13"/>
        <v>1</v>
      </c>
      <c r="AM133" s="91">
        <f>$C$7*$E$8*$W$133*$H$120*$V$133/400*$E$115*$E$116*$Q$132*$R$132/1/1/$F$132^2/$J$132^2/$K$130^2*AL133*10^6</f>
        <v>3.8015999999999992</v>
      </c>
      <c r="AN133" s="98">
        <f>$AB130/$M$114+$AC130/$M$115</f>
        <v>0</v>
      </c>
      <c r="AO133" s="97">
        <f t="shared" si="14"/>
        <v>1</v>
      </c>
      <c r="AP133" s="91">
        <f>$C$7*$F$8*$W$133*$I$120*$V$133/400*$E$115*$E$116*$R$132*$Q$132/1/1/$F$132^2/$J$132^2/$K$130^2*AO133*10^6</f>
        <v>5.7200000000000006</v>
      </c>
      <c r="AQ133" s="98">
        <f>$AB130/$M$114+$AC130/$M$115</f>
        <v>0</v>
      </c>
      <c r="AR133" s="97">
        <f t="shared" si="15"/>
        <v>1</v>
      </c>
      <c r="AS133" s="76">
        <f>$C$7*$G$8*$W$133*$J$120*$V$133/400*$E$115*$E$116*$Q$132*$R$132/1/1/$F$132^2/$J$132^2/$K$130^2*AR133*10^6</f>
        <v>5.2799999999999994</v>
      </c>
      <c r="AT133" s="513">
        <f t="shared" si="16"/>
        <v>26.857599999999998</v>
      </c>
      <c r="AU133" s="516"/>
      <c r="AV133" s="222"/>
      <c r="AW133" s="520"/>
      <c r="AX133" s="222"/>
      <c r="AY133" s="211"/>
      <c r="AZ133" s="222"/>
      <c r="BA133" s="222"/>
      <c r="BB133" s="225"/>
      <c r="BC133" s="225"/>
      <c r="BD133" s="225"/>
      <c r="BE133" s="225"/>
      <c r="BF133" s="225"/>
      <c r="BG133" s="300"/>
      <c r="BH133" s="300"/>
      <c r="BI133" s="300"/>
      <c r="BJ133" s="522"/>
      <c r="BK133" s="522"/>
      <c r="BL133" s="522"/>
    </row>
    <row r="134" spans="1:90" s="212" customFormat="1" ht="30" customHeight="1" x14ac:dyDescent="0.25">
      <c r="A134" s="221"/>
      <c r="B134" s="517"/>
      <c r="C134" s="523" t="s">
        <v>33</v>
      </c>
      <c r="D134" s="109"/>
      <c r="E134" s="114"/>
      <c r="F134" s="114"/>
      <c r="G134" s="114"/>
      <c r="H134" s="114"/>
      <c r="I134" s="114"/>
      <c r="J134" s="114"/>
      <c r="K134" s="125"/>
      <c r="L134" s="2028">
        <v>5</v>
      </c>
      <c r="M134" s="2028">
        <v>10</v>
      </c>
      <c r="N134" s="130"/>
      <c r="O134" s="132"/>
      <c r="P134" s="132"/>
      <c r="Q134" s="132"/>
      <c r="R134" s="135"/>
      <c r="S134" s="1851">
        <v>225</v>
      </c>
      <c r="T134" s="1854">
        <v>1</v>
      </c>
      <c r="U134" s="1851">
        <v>1</v>
      </c>
      <c r="V134" s="145"/>
      <c r="W134" s="146"/>
      <c r="X134" s="161"/>
      <c r="Y134" s="162"/>
      <c r="Z134" s="122"/>
      <c r="AA134" s="163"/>
      <c r="AB134" s="1985"/>
      <c r="AC134" s="1988"/>
      <c r="AD134" s="1858">
        <v>0</v>
      </c>
      <c r="AE134" s="91">
        <f>$AB130/$N$114+$AC130/$N$115+$AD134/$N$116</f>
        <v>0</v>
      </c>
      <c r="AF134" s="97">
        <f t="shared" si="11"/>
        <v>1</v>
      </c>
      <c r="AG134" s="91">
        <f>$C$7*$C$8*($C$9+$C$10*$C$11)*0.0000000000000024*($C$16*$C$17*10^12/(4*PI()*$L$134^2)+5.4*$C$16*$C$17*10^12/(2*PI()*$S$134)+1.3*$C$17*10^12/(2*PI()*$S$134))*(SQRT($T$134/$U$134)*((1.64*10^(-$M$134/1.9)+10^(-$M$134/(2.06*SQRT($U$134))))*(1-$G$125)*$AF$134*10^6))</f>
        <v>0.11345901793121269</v>
      </c>
      <c r="AH134" s="91">
        <f>$AB130/$N$114+$AC130/$N$115+$AD134/$N$116</f>
        <v>0</v>
      </c>
      <c r="AI134" s="97">
        <f t="shared" si="12"/>
        <v>1</v>
      </c>
      <c r="AJ134" s="91">
        <f>$C$7*$D$8*($D$9+$D$10*$D$11)*0.0000000000000024*($C$16*$D$17*10^12/(4*PI()*$L$134^2)+5.4*$C$16*$D$17*10^12/(2*PI()*$S$134)+1.3*$D$17*10^12/(2*PI()*$S$134))*(SQRT($T$134/$U$134)*((1.64*10^(-$M$134/1.9)+10^(-$M$134/(2.06*SQRT($U$134))))*(1-$G$125)*$AI$134*10^6))</f>
        <v>0.11345901793121269</v>
      </c>
      <c r="AK134" s="91">
        <f>$AB130/$N$114+$AC130/$N$115+$AD134/$N$116</f>
        <v>0</v>
      </c>
      <c r="AL134" s="97">
        <f t="shared" si="13"/>
        <v>1</v>
      </c>
      <c r="AM134" s="91">
        <f>$C$7*$E$8*($E$9+$E$10*$E$11)*0.0000000000000024*($C$16*$E$17*10^12/(4*PI()*$L$134^2)+5.4*$C$16*$E$17*10^12/(2*PI()*$S$134)+1.3*$E$17*10^12/(2*PI()*$S$134))*(SQRT($T$134/$U$134)*((1.64*10^(-$M$134/1.9)+10^(-$M$134/(2.06*SQRT($U$134))))*(1-$G$125)*$AL$134*10^6))</f>
        <v>0.11345901793121269</v>
      </c>
      <c r="AN134" s="91">
        <f>$AB130/$N$114+$AC130/$N$115+$AD134/$N$116</f>
        <v>0</v>
      </c>
      <c r="AO134" s="97">
        <f t="shared" si="14"/>
        <v>1</v>
      </c>
      <c r="AP134" s="91">
        <f>$C$7*$F$8*($F$9+$F$10*$F$11)*0.0000000000000024*($C$16*$F$17*10^12/(4*PI()*$L$134^2)+5.4*$C$16*$F$17*10^12/(2*PI()*$S$134)+1.3*$F$17*10^12/(2*PI()*$S$134))*(SQRT($T$134/$U$134)*((1.64*10^(-$M$134/1.9)+10^(-$M$134/(2.06*SQRT($U$134))))*(1-$G$125)*$AO$134*10^6))</f>
        <v>0.11345901793121269</v>
      </c>
      <c r="AQ134" s="91">
        <f>$AB130/$N$114+$AC130/$N$115+$AD134/$N$116</f>
        <v>0</v>
      </c>
      <c r="AR134" s="97">
        <f t="shared" si="15"/>
        <v>1</v>
      </c>
      <c r="AS134" s="76">
        <f>$C$7*$G$8*($G$9+$G$10*$G$11)*0.0000000000000024*($C$16*$G$17*10^12/(4*PI()*$L$134^2)+5.4*$C$16*$G$17*10^12/(2*PI()*$S$134)+1.3*$G$17*10^12/(2*PI()*$S$134))*(SQRT($T$134/$U$134)*((1.64*10^(-$M$134/1.9)+10^(-$M$134/(2.06*SQRT($U$134))))*(1-$G$125)*$AR$134*10^6))</f>
        <v>0.11345901793121269</v>
      </c>
      <c r="AT134" s="513">
        <f t="shared" si="16"/>
        <v>0.56729508965606346</v>
      </c>
      <c r="AU134" s="516"/>
      <c r="AV134" s="222"/>
      <c r="AW134" s="189"/>
      <c r="AX134" s="222"/>
      <c r="AY134" s="211"/>
      <c r="AZ134" s="222"/>
      <c r="BA134" s="222"/>
      <c r="BB134" s="225"/>
      <c r="BC134" s="225"/>
      <c r="BD134" s="225"/>
      <c r="BE134" s="225"/>
      <c r="BF134" s="225"/>
      <c r="BG134" s="300"/>
      <c r="BH134" s="300"/>
      <c r="BI134" s="300"/>
      <c r="BJ134" s="522"/>
      <c r="BK134" s="522"/>
      <c r="BL134" s="522"/>
    </row>
    <row r="135" spans="1:90" s="212" customFormat="1" ht="30" customHeight="1" thickBot="1" x14ac:dyDescent="0.3">
      <c r="A135" s="226"/>
      <c r="B135" s="524"/>
      <c r="C135" s="525" t="s">
        <v>157</v>
      </c>
      <c r="D135" s="110"/>
      <c r="E135" s="115"/>
      <c r="F135" s="115"/>
      <c r="G135" s="115"/>
      <c r="H135" s="115"/>
      <c r="I135" s="115"/>
      <c r="J135" s="115"/>
      <c r="K135" s="126"/>
      <c r="L135" s="1989"/>
      <c r="M135" s="1989"/>
      <c r="N135" s="131"/>
      <c r="O135" s="115"/>
      <c r="P135" s="115"/>
      <c r="Q135" s="136"/>
      <c r="R135" s="136"/>
      <c r="S135" s="115"/>
      <c r="T135" s="115"/>
      <c r="U135" s="126"/>
      <c r="V135" s="147"/>
      <c r="W135" s="148"/>
      <c r="X135" s="164"/>
      <c r="Y135" s="165"/>
      <c r="Z135" s="166"/>
      <c r="AA135" s="167"/>
      <c r="AB135" s="1986"/>
      <c r="AC135" s="1989"/>
      <c r="AD135" s="170"/>
      <c r="AE135" s="172">
        <f>$AB130/$O$114+$AC130/$O$115</f>
        <v>0</v>
      </c>
      <c r="AF135" s="173">
        <f t="shared" si="11"/>
        <v>1</v>
      </c>
      <c r="AG135" s="174">
        <f>$C$7*$C$8*($C$9+$C$10*$C$11)*$Q$111*($C$16*$C$17*10^12/(4*PI()*$L$134^2)+5.4*$C$16*$C$17*10^12/(2*PI()*$S$134)+1.3*$C$17*10^12/(2*PI()*$S$134))*10^-($M$134/$Q$113)*(1-$G$126)*AF135*10^6</f>
        <v>38.968367421659991</v>
      </c>
      <c r="AH135" s="172">
        <f>$AB130/$O$114+$AC130/$O$115</f>
        <v>0</v>
      </c>
      <c r="AI135" s="173">
        <f t="shared" si="12"/>
        <v>1</v>
      </c>
      <c r="AJ135" s="175">
        <f>$C$7*$D$8*($D$9+$D$10*$D$11)*$Q$111*($C$16*$D$17*10^12/(4*PI()*$L$134^2)+5.4*$C$16*$D$17*10^12/(2*PI()*$S$134)+1.3*$D$17*10^12/(2*PI()*$S$134))*10^-($M$134/$Q$113)*(1-$G$126)*AI135*10^6</f>
        <v>38.968367421659991</v>
      </c>
      <c r="AK135" s="176">
        <f>$AB130/$O$114+$AC130/$O$115</f>
        <v>0</v>
      </c>
      <c r="AL135" s="173">
        <f t="shared" si="13"/>
        <v>1</v>
      </c>
      <c r="AM135" s="175">
        <f>$C$7*$E$8*($E$9+$E$10*$E$11)*$Q$111*($C$16*$E$17*10^12/(4*PI()*$L$134^2)+5.4*$C$16*$E$17*10^12/(2*PI()*$S$134)+1.3*$E$17*10^12/(2*PI()*$S$134))*10^-($M$134/$Q$113)*(1-$G$126)*AL135*10^6</f>
        <v>38.968367421659991</v>
      </c>
      <c r="AN135" s="172">
        <f>$AB130/$O$114+$AC130/$O$115</f>
        <v>0</v>
      </c>
      <c r="AO135" s="173">
        <f t="shared" si="14"/>
        <v>1</v>
      </c>
      <c r="AP135" s="175">
        <f>$C$7*$F$8*($F$9+$F$10*$F$11)*$Q$111*($C$16*$F$17*10^12/(4*PI()*$L$134^2)+5.4*$C$16*$F$17*10^12/(2*PI()*$S$134)+1.3*$F$17*10^12/(2*PI()*$S$134))*10^-($M$134/$Q$113)*(1-$G$126)*AO135*10^6</f>
        <v>38.968367421659991</v>
      </c>
      <c r="AQ135" s="172">
        <f>$AB130/$O$114+$AC130/$O$115</f>
        <v>0</v>
      </c>
      <c r="AR135" s="173">
        <f t="shared" si="15"/>
        <v>1</v>
      </c>
      <c r="AS135" s="177">
        <f>$C$7*$G$8*($G$9+$G$10*$G$11)*$Q$111*($C$16*$G$17*10^12/(4*PI()*$L$134^2)+5.4*$C$16*$G$17*10^12/(2*PI()*$S$134)+1.3*$G$17*10^12/(2*PI()*$S$134))*10^-($M$134/$Q$113)*(1-$G$126)*AR135*10^6</f>
        <v>38.968367421659991</v>
      </c>
      <c r="AT135" s="526">
        <f t="shared" si="16"/>
        <v>194.84183710829996</v>
      </c>
      <c r="AU135" s="527"/>
      <c r="AV135" s="222"/>
      <c r="AW135" s="189"/>
      <c r="AX135" s="222"/>
      <c r="AY135" s="211"/>
      <c r="AZ135" s="222"/>
      <c r="BA135" s="222"/>
      <c r="BB135" s="225"/>
      <c r="BC135" s="225"/>
      <c r="BD135" s="225"/>
      <c r="BE135" s="225"/>
      <c r="BF135" s="225"/>
      <c r="BG135" s="300"/>
      <c r="BH135" s="300"/>
      <c r="BI135" s="300"/>
      <c r="BJ135" s="522"/>
      <c r="BK135" s="522"/>
      <c r="BL135" s="522"/>
    </row>
    <row r="136" spans="1:90" s="212" customFormat="1" ht="30" hidden="1" customHeight="1" x14ac:dyDescent="0.25">
      <c r="A136" s="222"/>
      <c r="B136" s="222"/>
      <c r="C136" s="282"/>
      <c r="D136" s="282"/>
      <c r="E136" s="211"/>
      <c r="F136" s="211"/>
      <c r="G136" s="211"/>
      <c r="H136" s="211"/>
      <c r="I136" s="211"/>
      <c r="J136" s="211"/>
      <c r="K136" s="211"/>
      <c r="L136" s="57"/>
      <c r="M136" s="57"/>
      <c r="N136" s="211"/>
      <c r="O136" s="211"/>
      <c r="P136" s="211"/>
      <c r="Q136" s="211"/>
      <c r="R136" s="211"/>
      <c r="S136" s="211"/>
      <c r="T136" s="211"/>
      <c r="U136" s="211"/>
      <c r="V136" s="211"/>
      <c r="W136" s="211"/>
      <c r="X136" s="453"/>
      <c r="Y136" s="528"/>
      <c r="Z136" s="57"/>
      <c r="AA136" s="57"/>
      <c r="AB136" s="57"/>
      <c r="AC136" s="57"/>
      <c r="AD136" s="529"/>
      <c r="AE136" s="369"/>
      <c r="AF136" s="328"/>
      <c r="AG136" s="530"/>
      <c r="AH136" s="369"/>
      <c r="AI136" s="328"/>
      <c r="AJ136" s="530"/>
      <c r="AK136" s="369"/>
      <c r="AL136" s="328"/>
      <c r="AM136" s="530"/>
      <c r="AN136" s="369"/>
      <c r="AO136" s="328"/>
      <c r="AP136" s="530"/>
      <c r="AQ136" s="369"/>
      <c r="AR136" s="328"/>
      <c r="AS136" s="530"/>
      <c r="AT136" s="369"/>
      <c r="AU136" s="233"/>
      <c r="AV136" s="222"/>
      <c r="AW136" s="189"/>
      <c r="AX136" s="222"/>
      <c r="AY136" s="211"/>
      <c r="AZ136" s="222"/>
      <c r="BA136" s="222"/>
      <c r="BB136" s="225"/>
      <c r="BC136" s="225"/>
      <c r="BD136" s="225"/>
      <c r="BE136" s="225"/>
      <c r="BF136" s="225"/>
      <c r="BG136" s="300"/>
      <c r="BH136" s="300"/>
      <c r="BI136" s="300"/>
      <c r="BJ136" s="522"/>
      <c r="BK136" s="522"/>
      <c r="BL136" s="522"/>
    </row>
    <row r="137" spans="1:90" s="212" customFormat="1" ht="19.5" customHeight="1" x14ac:dyDescent="0.25">
      <c r="A137" s="222"/>
      <c r="B137" s="222"/>
      <c r="C137" s="282"/>
      <c r="D137" s="282"/>
      <c r="E137" s="211"/>
      <c r="F137" s="211"/>
      <c r="G137" s="211"/>
      <c r="H137" s="211"/>
      <c r="I137" s="211"/>
      <c r="J137" s="211"/>
      <c r="K137" s="211"/>
      <c r="L137" s="211"/>
      <c r="M137" s="211"/>
      <c r="N137" s="211"/>
      <c r="O137" s="211"/>
      <c r="P137" s="211"/>
      <c r="Q137" s="211"/>
      <c r="R137" s="211"/>
      <c r="S137" s="211"/>
      <c r="T137" s="211"/>
      <c r="U137" s="211"/>
      <c r="V137" s="211"/>
      <c r="W137" s="211"/>
      <c r="X137" s="57"/>
      <c r="Y137" s="453"/>
      <c r="Z137" s="528"/>
      <c r="AA137" s="57"/>
      <c r="AB137" s="57"/>
      <c r="AC137" s="57"/>
      <c r="AD137" s="57"/>
      <c r="AE137" s="529"/>
      <c r="AF137" s="369"/>
      <c r="AG137" s="328"/>
      <c r="AH137" s="530"/>
      <c r="AI137" s="369"/>
      <c r="AJ137" s="328"/>
      <c r="AK137" s="530"/>
      <c r="AL137" s="369"/>
      <c r="AM137" s="328"/>
      <c r="AN137" s="530"/>
      <c r="AO137" s="369"/>
      <c r="AP137" s="328"/>
      <c r="AQ137" s="530"/>
      <c r="AR137" s="369"/>
      <c r="AS137" s="328"/>
      <c r="AT137" s="530"/>
      <c r="AU137" s="369"/>
      <c r="AV137" s="233"/>
      <c r="AW137" s="222"/>
      <c r="AX137" s="189"/>
      <c r="AY137" s="222"/>
      <c r="AZ137" s="211"/>
      <c r="BA137" s="222"/>
      <c r="BB137" s="222"/>
      <c r="BC137" s="225"/>
      <c r="BD137" s="225"/>
      <c r="BE137" s="225"/>
      <c r="BF137" s="225"/>
      <c r="BG137" s="225"/>
      <c r="BH137" s="300"/>
      <c r="BI137" s="300"/>
      <c r="BJ137" s="300"/>
      <c r="BK137" s="522"/>
      <c r="BL137" s="522"/>
      <c r="BM137" s="522"/>
    </row>
    <row r="138" spans="1:90" s="212" customFormat="1" ht="19.5" customHeight="1" x14ac:dyDescent="0.25">
      <c r="A138" s="222"/>
      <c r="B138" s="222"/>
      <c r="C138" s="282"/>
      <c r="D138" s="282"/>
      <c r="E138" s="211"/>
      <c r="F138" s="211"/>
      <c r="G138" s="211"/>
      <c r="H138" s="211"/>
      <c r="I138" s="211"/>
      <c r="J138" s="211"/>
      <c r="K138" s="211"/>
      <c r="L138" s="211"/>
      <c r="M138" s="211"/>
      <c r="N138" s="211"/>
      <c r="O138" s="211"/>
      <c r="P138" s="211"/>
      <c r="Q138" s="211"/>
      <c r="R138" s="211"/>
      <c r="S138" s="211"/>
      <c r="T138" s="211"/>
      <c r="U138" s="211"/>
      <c r="V138" s="211"/>
      <c r="W138" s="211"/>
      <c r="X138" s="57"/>
      <c r="Y138" s="453"/>
      <c r="Z138" s="528"/>
      <c r="AA138" s="57"/>
      <c r="AB138" s="57"/>
      <c r="AC138" s="57"/>
      <c r="AD138" s="529"/>
      <c r="AE138" s="369"/>
      <c r="AF138" s="328"/>
      <c r="AG138" s="530"/>
      <c r="AH138" s="369"/>
      <c r="AI138" s="328"/>
      <c r="AJ138" s="530"/>
      <c r="AK138" s="369"/>
      <c r="AL138" s="328"/>
      <c r="AM138" s="530"/>
      <c r="AN138" s="369"/>
      <c r="AO138" s="328"/>
      <c r="AP138" s="530"/>
      <c r="AQ138" s="369"/>
      <c r="AR138" s="328"/>
      <c r="AS138" s="530"/>
      <c r="AT138" s="369"/>
      <c r="AU138" s="233"/>
      <c r="AV138" s="222"/>
      <c r="AW138" s="189"/>
      <c r="AX138" s="222"/>
      <c r="AY138" s="211"/>
      <c r="AZ138" s="222"/>
      <c r="BA138" s="222"/>
      <c r="BB138" s="225"/>
      <c r="BC138" s="225"/>
      <c r="BD138" s="225"/>
      <c r="BE138" s="225"/>
      <c r="BF138" s="225"/>
      <c r="BG138" s="300"/>
      <c r="BH138" s="300"/>
      <c r="BI138" s="300"/>
      <c r="BJ138" s="522"/>
      <c r="BK138" s="522"/>
      <c r="BL138" s="522"/>
    </row>
    <row r="139" spans="1:90" s="212" customFormat="1" ht="19.5" customHeight="1" thickBot="1" x14ac:dyDescent="0.3">
      <c r="A139" s="532" t="s">
        <v>645</v>
      </c>
      <c r="B139" s="533"/>
      <c r="C139" s="310"/>
      <c r="D139" s="57"/>
      <c r="E139" s="57"/>
      <c r="F139" s="57"/>
      <c r="G139" s="57"/>
      <c r="H139" s="57"/>
      <c r="I139" s="57"/>
      <c r="J139" s="57"/>
      <c r="K139" s="57"/>
      <c r="L139" s="529"/>
      <c r="M139" s="529"/>
      <c r="N139" s="529"/>
      <c r="O139" s="530"/>
      <c r="P139" s="328"/>
      <c r="Q139" s="369"/>
      <c r="R139" s="369"/>
      <c r="S139" s="328"/>
      <c r="T139" s="369"/>
      <c r="U139" s="369"/>
      <c r="V139" s="328"/>
      <c r="W139" s="369"/>
      <c r="X139" s="369"/>
      <c r="Y139" s="328"/>
      <c r="Z139" s="369"/>
      <c r="AA139" s="369"/>
      <c r="AB139" s="328"/>
      <c r="AC139" s="369"/>
      <c r="AD139" s="369"/>
      <c r="AE139" s="328"/>
      <c r="AF139" s="233"/>
      <c r="AG139" s="222"/>
      <c r="AH139" s="189"/>
      <c r="AI139" s="222"/>
      <c r="AJ139" s="211"/>
      <c r="AK139" s="222"/>
      <c r="AL139" s="222"/>
      <c r="AM139" s="225"/>
      <c r="AN139" s="225"/>
      <c r="AO139" s="225"/>
      <c r="AP139" s="225"/>
      <c r="AQ139" s="225"/>
      <c r="AR139" s="300"/>
      <c r="AS139" s="300"/>
      <c r="AT139" s="300"/>
      <c r="AU139" s="300"/>
      <c r="AV139" s="300"/>
      <c r="AW139" s="300"/>
      <c r="AX139" s="225"/>
      <c r="AY139" s="225"/>
      <c r="AZ139" s="225"/>
      <c r="BA139" s="225"/>
      <c r="BB139" s="225"/>
      <c r="BC139" s="225"/>
      <c r="BD139" s="225"/>
      <c r="BE139" s="225"/>
      <c r="BF139" s="225"/>
      <c r="BG139" s="225"/>
      <c r="BH139" s="225"/>
      <c r="BI139" s="225"/>
      <c r="BJ139" s="225"/>
      <c r="BK139" s="225"/>
      <c r="BL139" s="225"/>
    </row>
    <row r="140" spans="1:90" ht="19.5" customHeight="1" x14ac:dyDescent="0.25">
      <c r="C140" s="534"/>
      <c r="D140" s="535"/>
      <c r="E140" s="535"/>
      <c r="F140" s="535"/>
      <c r="G140" s="535"/>
      <c r="H140" s="536"/>
      <c r="I140" s="536"/>
      <c r="J140" s="536"/>
      <c r="K140" s="536"/>
      <c r="L140" s="536"/>
      <c r="M140" s="537"/>
      <c r="N140" s="473">
        <f>$C$4</f>
        <v>6</v>
      </c>
      <c r="O140" s="293"/>
      <c r="P140" s="2005">
        <f>$D$4</f>
        <v>10</v>
      </c>
      <c r="Q140" s="2006"/>
      <c r="R140" s="2007"/>
      <c r="S140" s="2005">
        <f>$E$4</f>
        <v>18</v>
      </c>
      <c r="T140" s="2006"/>
      <c r="U140" s="2007"/>
      <c r="V140" s="2005" t="str">
        <f>$F$4</f>
        <v>6 FFF</v>
      </c>
      <c r="W140" s="2006"/>
      <c r="X140" s="2007"/>
      <c r="Y140" s="2005" t="str">
        <f>$G$4</f>
        <v>10 FFF</v>
      </c>
      <c r="Z140" s="2006"/>
      <c r="AA140" s="2033"/>
      <c r="AB140" s="1995" t="s">
        <v>16</v>
      </c>
      <c r="AC140" s="1996"/>
      <c r="AD140" s="1997"/>
      <c r="AE140" s="538"/>
      <c r="AF140" s="538"/>
      <c r="AG140" s="538"/>
      <c r="AH140" s="538"/>
    </row>
    <row r="141" spans="1:90" s="212" customFormat="1" ht="19.5" customHeight="1" x14ac:dyDescent="0.25">
      <c r="A141" s="415" t="s">
        <v>50</v>
      </c>
      <c r="B141" s="415" t="s">
        <v>15</v>
      </c>
      <c r="C141" s="539" t="s">
        <v>25</v>
      </c>
      <c r="D141" s="402" t="s">
        <v>158</v>
      </c>
      <c r="E141" s="310"/>
      <c r="F141" s="540"/>
      <c r="G141" s="541" t="s">
        <v>529</v>
      </c>
      <c r="H141" s="301" t="s">
        <v>524</v>
      </c>
      <c r="I141" s="542"/>
      <c r="J141" s="541" t="s">
        <v>77</v>
      </c>
      <c r="K141" s="541"/>
      <c r="L141" s="543"/>
      <c r="M141" s="1998" t="s">
        <v>216</v>
      </c>
      <c r="N141" s="301" t="s">
        <v>206</v>
      </c>
      <c r="O141" s="301" t="s">
        <v>16</v>
      </c>
      <c r="P141" s="1998" t="s">
        <v>216</v>
      </c>
      <c r="Q141" s="301" t="s">
        <v>206</v>
      </c>
      <c r="R141" s="301" t="s">
        <v>16</v>
      </c>
      <c r="S141" s="1998" t="s">
        <v>216</v>
      </c>
      <c r="T141" s="301" t="s">
        <v>206</v>
      </c>
      <c r="U141" s="301" t="s">
        <v>16</v>
      </c>
      <c r="V141" s="1998" t="s">
        <v>216</v>
      </c>
      <c r="W141" s="301" t="s">
        <v>206</v>
      </c>
      <c r="X141" s="301" t="s">
        <v>16</v>
      </c>
      <c r="Y141" s="1998" t="s">
        <v>216</v>
      </c>
      <c r="Z141" s="301" t="s">
        <v>206</v>
      </c>
      <c r="AA141" s="304" t="s">
        <v>16</v>
      </c>
      <c r="AB141" s="544" t="s">
        <v>23</v>
      </c>
      <c r="AC141" s="1993" t="s">
        <v>178</v>
      </c>
      <c r="AD141" s="1994"/>
      <c r="AE141" s="538"/>
      <c r="AF141" s="538"/>
      <c r="AG141" s="538"/>
      <c r="AH141" s="538"/>
      <c r="AI141" s="538"/>
      <c r="AJ141" s="538"/>
      <c r="AK141" s="538"/>
      <c r="AL141" s="538"/>
      <c r="AM141" s="538"/>
      <c r="AN141" s="538"/>
      <c r="AO141" s="538"/>
      <c r="AP141" s="538"/>
      <c r="AQ141" s="538"/>
      <c r="AR141" s="538"/>
      <c r="AS141" s="545"/>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69"/>
      <c r="BO141" s="233"/>
      <c r="BP141" s="233"/>
      <c r="BQ141" s="222"/>
      <c r="BR141" s="233"/>
      <c r="BS141" s="222"/>
      <c r="BT141" s="211"/>
      <c r="BU141" s="222"/>
      <c r="BV141" s="222"/>
      <c r="BW141" s="225"/>
      <c r="BX141" s="225"/>
      <c r="BY141" s="225"/>
      <c r="BZ141" s="225"/>
      <c r="CA141" s="225"/>
      <c r="CB141" s="300"/>
      <c r="CC141" s="300"/>
      <c r="CD141" s="300"/>
      <c r="CE141" s="522"/>
      <c r="CF141" s="522"/>
      <c r="CG141" s="522"/>
    </row>
    <row r="142" spans="1:90" s="212" customFormat="1" ht="19.5" customHeight="1" thickBot="1" x14ac:dyDescent="0.3">
      <c r="A142" s="308"/>
      <c r="B142" s="308"/>
      <c r="C142" s="546"/>
      <c r="D142" s="313" t="s">
        <v>383</v>
      </c>
      <c r="E142" s="313" t="s">
        <v>384</v>
      </c>
      <c r="F142" s="313" t="s">
        <v>385</v>
      </c>
      <c r="G142" s="541" t="s">
        <v>28</v>
      </c>
      <c r="H142" s="312" t="s">
        <v>528</v>
      </c>
      <c r="I142" s="542" t="s">
        <v>2</v>
      </c>
      <c r="J142" s="547" t="s">
        <v>61</v>
      </c>
      <c r="K142" s="541" t="s">
        <v>3</v>
      </c>
      <c r="L142" s="547" t="s">
        <v>22</v>
      </c>
      <c r="M142" s="1999"/>
      <c r="N142" s="314" t="s">
        <v>207</v>
      </c>
      <c r="O142" s="315" t="s">
        <v>174</v>
      </c>
      <c r="P142" s="1999"/>
      <c r="Q142" s="314" t="s">
        <v>207</v>
      </c>
      <c r="R142" s="315" t="s">
        <v>174</v>
      </c>
      <c r="S142" s="1999"/>
      <c r="T142" s="314" t="s">
        <v>207</v>
      </c>
      <c r="U142" s="315" t="s">
        <v>174</v>
      </c>
      <c r="V142" s="1999"/>
      <c r="W142" s="314" t="s">
        <v>207</v>
      </c>
      <c r="X142" s="315" t="s">
        <v>174</v>
      </c>
      <c r="Y142" s="1999"/>
      <c r="Z142" s="314" t="s">
        <v>207</v>
      </c>
      <c r="AA142" s="178" t="s">
        <v>174</v>
      </c>
      <c r="AB142" s="548" t="s">
        <v>173</v>
      </c>
      <c r="AC142" s="679" t="s">
        <v>173</v>
      </c>
      <c r="AD142" s="550" t="s">
        <v>166</v>
      </c>
      <c r="AE142" s="538"/>
      <c r="AF142" s="538"/>
      <c r="AG142" s="538"/>
      <c r="AH142" s="538"/>
      <c r="AI142" s="551"/>
      <c r="AJ142" s="538"/>
      <c r="AK142" s="538"/>
      <c r="AL142" s="538"/>
      <c r="AM142" s="538"/>
      <c r="AN142" s="538"/>
      <c r="AO142" s="538"/>
      <c r="AP142" s="538"/>
      <c r="AQ142" s="538"/>
      <c r="AR142" s="538"/>
      <c r="AS142" s="538"/>
      <c r="AT142" s="538"/>
      <c r="AU142" s="538"/>
      <c r="AV142" s="538"/>
      <c r="AW142" s="538"/>
      <c r="AX142" s="545"/>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69"/>
      <c r="BT142" s="233"/>
      <c r="BU142" s="233"/>
      <c r="BV142" s="222"/>
      <c r="BW142" s="233"/>
      <c r="BX142" s="222"/>
      <c r="BY142" s="211"/>
      <c r="BZ142" s="222"/>
      <c r="CA142" s="222"/>
      <c r="CB142" s="225"/>
      <c r="CC142" s="225"/>
      <c r="CD142" s="225"/>
      <c r="CE142" s="225"/>
      <c r="CF142" s="225"/>
      <c r="CG142" s="300"/>
      <c r="CH142" s="300"/>
      <c r="CI142" s="300"/>
      <c r="CJ142" s="522"/>
      <c r="CK142" s="522"/>
      <c r="CL142" s="522"/>
    </row>
    <row r="143" spans="1:90" s="212" customFormat="1" ht="19.5" hidden="1" customHeight="1" thickBot="1" x14ac:dyDescent="0.3">
      <c r="A143" s="694"/>
      <c r="B143" s="694"/>
      <c r="C143" s="584"/>
      <c r="D143" s="695"/>
      <c r="E143" s="695"/>
      <c r="F143" s="695"/>
      <c r="G143" s="722"/>
      <c r="H143" s="694"/>
      <c r="I143" s="723"/>
      <c r="J143" s="724"/>
      <c r="K143" s="722"/>
      <c r="L143" s="724"/>
      <c r="M143" s="695"/>
      <c r="N143" s="97"/>
      <c r="O143" s="58"/>
      <c r="P143" s="695"/>
      <c r="Q143" s="97"/>
      <c r="R143" s="58"/>
      <c r="S143" s="695"/>
      <c r="T143" s="97"/>
      <c r="U143" s="58"/>
      <c r="V143" s="695"/>
      <c r="W143" s="97"/>
      <c r="X143" s="58"/>
      <c r="Y143" s="695"/>
      <c r="Z143" s="97"/>
      <c r="AA143" s="90"/>
      <c r="AB143" s="548"/>
      <c r="AC143" s="725"/>
      <c r="AD143" s="550"/>
      <c r="AE143" s="538"/>
      <c r="AF143" s="538"/>
      <c r="AG143" s="538"/>
      <c r="AH143" s="538"/>
      <c r="AI143" s="551"/>
      <c r="AJ143" s="538"/>
      <c r="AK143" s="538"/>
      <c r="AL143" s="538"/>
      <c r="AM143" s="538"/>
      <c r="AN143" s="538"/>
      <c r="AO143" s="538"/>
      <c r="AP143" s="538"/>
      <c r="AQ143" s="538"/>
      <c r="AR143" s="538"/>
      <c r="AS143" s="538"/>
      <c r="AT143" s="538"/>
      <c r="AU143" s="538"/>
      <c r="AV143" s="538"/>
      <c r="AW143" s="538"/>
      <c r="AX143" s="545"/>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69"/>
      <c r="BT143" s="233"/>
      <c r="BU143" s="233"/>
      <c r="BV143" s="222"/>
      <c r="BW143" s="233"/>
      <c r="BX143" s="222"/>
      <c r="BY143" s="211"/>
      <c r="BZ143" s="222"/>
      <c r="CA143" s="222"/>
      <c r="CB143" s="225"/>
      <c r="CC143" s="225"/>
      <c r="CD143" s="225"/>
      <c r="CE143" s="225"/>
      <c r="CF143" s="225"/>
      <c r="CG143" s="300"/>
      <c r="CH143" s="300"/>
      <c r="CI143" s="300"/>
      <c r="CJ143" s="522"/>
      <c r="CK143" s="522"/>
      <c r="CL143" s="522"/>
    </row>
    <row r="144" spans="1:90" s="212" customFormat="1" ht="30" customHeight="1" x14ac:dyDescent="0.25">
      <c r="A144" s="552"/>
      <c r="B144" s="322"/>
      <c r="C144" s="323" t="s">
        <v>569</v>
      </c>
      <c r="D144" s="1836">
        <v>1</v>
      </c>
      <c r="E144" s="89"/>
      <c r="F144" s="89"/>
      <c r="G144" s="89"/>
      <c r="H144" s="1836">
        <v>0.25</v>
      </c>
      <c r="I144" s="1836">
        <v>250</v>
      </c>
      <c r="J144" s="1836">
        <v>0</v>
      </c>
      <c r="K144" s="1836">
        <v>0</v>
      </c>
      <c r="L144" s="1836">
        <v>0</v>
      </c>
      <c r="M144" s="91">
        <f>IF($I144=0,0,1+($I144-$C$21)/$C$22)+$J144/$C$23+$K144/$C$24+$L144/$C$25</f>
        <v>7.4545454545454541</v>
      </c>
      <c r="N144" s="92">
        <f t="shared" ref="N144:N162" si="17">10^(-M144)</f>
        <v>3.5111917342151263E-8</v>
      </c>
      <c r="O144" s="93">
        <f>$C$7*$C$14*$C$8*$H144/$D144^2*N144*10^6</f>
        <v>7.022383468430253E-2</v>
      </c>
      <c r="P144" s="91">
        <f>IF($I144=0,0,1+($I144-$D$21)/$D$22)+$J144/$D$23+$K144/$D$24+$L144/$D$25</f>
        <v>6.6486486486486482</v>
      </c>
      <c r="Q144" s="92">
        <f t="shared" ref="Q144:Q162" si="18">10^(-P144)</f>
        <v>2.2456979955397711E-7</v>
      </c>
      <c r="R144" s="93">
        <f>$C$7*$D$14*$D$8*$H144/$D144^2*$Q144*10^6</f>
        <v>0.4491395991079542</v>
      </c>
      <c r="S144" s="93">
        <f>IF($I144=0,0,1+(I144-$E$21)/$E$22)+$J144/$E$23+K144/$E$24+$L144/$E$25</f>
        <v>5.7674418604651159</v>
      </c>
      <c r="T144" s="92">
        <f t="shared" ref="T144:T162" si="19">10^(-S144)</f>
        <v>1.7082763938087111E-6</v>
      </c>
      <c r="U144" s="93">
        <f>$C$7*$E$14*$E$8*$H144/$D144^2*$T144*10^6</f>
        <v>3.4165527876174222</v>
      </c>
      <c r="V144" s="93">
        <f>IF($I144=0,0,1+(I144-$F$21)/$F$22)+$J144/$F$23+K144/$F$24+$L144/$F$25</f>
        <v>9.1481481481481488</v>
      </c>
      <c r="W144" s="92">
        <f t="shared" ref="W144:W162" si="20">10^(-V144)</f>
        <v>7.1097094323124171E-10</v>
      </c>
      <c r="X144" s="93">
        <f>$C$7*$F$14*$F$8*$H144/$D144^2*$W144*10^6</f>
        <v>1.4219418864624834E-3</v>
      </c>
      <c r="Y144" s="93">
        <f>IF($I144=0,0,1+(I144-$G$21)/$G$22)+$J144/$G$23+K144/$G$24+$L144/$G$25</f>
        <v>6.9444444444444446</v>
      </c>
      <c r="Z144" s="92">
        <f t="shared" ref="Z144:Z162" si="21">10^(-Y144)</f>
        <v>1.136463666385722E-7</v>
      </c>
      <c r="AA144" s="94">
        <f>$C$7*$G$14*$G$8*$H144/$D144^2*$Z144*10^6</f>
        <v>0.22729273327714439</v>
      </c>
      <c r="AB144" s="553">
        <f>SUM(O144,R144,U144,X144,AA144)</f>
        <v>4.1646308965732857</v>
      </c>
      <c r="AC144" s="554"/>
      <c r="AD144" s="555"/>
      <c r="AE144" s="538"/>
      <c r="AF144" s="538"/>
      <c r="AG144" s="538"/>
      <c r="AH144" s="556"/>
      <c r="AI144" s="551"/>
      <c r="AJ144" s="551"/>
      <c r="AK144" s="551"/>
      <c r="AL144" s="538"/>
      <c r="AM144" s="538"/>
      <c r="AN144" s="538"/>
      <c r="AO144" s="538"/>
      <c r="AP144" s="538"/>
      <c r="AQ144" s="538"/>
      <c r="AR144" s="538"/>
      <c r="AS144" s="538"/>
      <c r="AT144" s="538"/>
      <c r="AU144" s="538"/>
      <c r="AV144" s="538"/>
      <c r="AW144" s="538"/>
      <c r="AX144" s="545"/>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69"/>
      <c r="BT144" s="233"/>
      <c r="BU144" s="233"/>
      <c r="BV144" s="222"/>
      <c r="BW144" s="222"/>
      <c r="BX144" s="222"/>
      <c r="BY144" s="211"/>
      <c r="BZ144" s="222"/>
      <c r="CA144" s="222"/>
      <c r="CB144" s="225"/>
      <c r="CC144" s="225"/>
      <c r="CD144" s="225"/>
      <c r="CE144" s="225"/>
      <c r="CF144" s="225"/>
      <c r="CG144" s="300"/>
      <c r="CH144" s="300"/>
      <c r="CI144" s="300"/>
      <c r="CJ144" s="522"/>
      <c r="CK144" s="522"/>
      <c r="CL144" s="522"/>
    </row>
    <row r="145" spans="1:90" s="212" customFormat="1" ht="30" customHeight="1" x14ac:dyDescent="0.25">
      <c r="A145" s="557" t="str">
        <f>Samenvatting!A332</f>
        <v>T1</v>
      </c>
      <c r="B145" s="558" t="str">
        <f>Samenvatting!B332</f>
        <v>terreingrens 1</v>
      </c>
      <c r="C145" s="331" t="s">
        <v>568</v>
      </c>
      <c r="D145" s="1836">
        <v>25</v>
      </c>
      <c r="E145" s="89"/>
      <c r="F145" s="89"/>
      <c r="G145" s="89"/>
      <c r="H145" s="559"/>
      <c r="I145" s="1836">
        <v>250</v>
      </c>
      <c r="J145" s="1836">
        <v>0</v>
      </c>
      <c r="K145" s="1836">
        <v>0</v>
      </c>
      <c r="L145" s="1836">
        <v>0</v>
      </c>
      <c r="M145" s="93">
        <f>$I145/$C$27+$J145/$C$28+K145/$C$29+$L145/$C$30</f>
        <v>7.3529411764705879</v>
      </c>
      <c r="N145" s="92">
        <f t="shared" si="17"/>
        <v>4.4366873309786093E-8</v>
      </c>
      <c r="O145" s="93">
        <f>$C$7*$C$15*$C$8*($C$9+$C$10*$C$11)/$D145^2*$N145*10^6</f>
        <v>4.2592198377394652E-5</v>
      </c>
      <c r="P145" s="93">
        <f>$I145/$D$27+$J145/$D$28+K145/$D$29+$L145/$D$30</f>
        <v>6.5789473684210522</v>
      </c>
      <c r="Q145" s="92">
        <f t="shared" si="18"/>
        <v>2.636650898730358E-7</v>
      </c>
      <c r="R145" s="93">
        <f>$C$7*$C$15*$D$8*($D$9+$D$10*$D$11)/$D145^2*$Q145*10^6</f>
        <v>2.5311848627811444E-4</v>
      </c>
      <c r="S145" s="93">
        <f>$I145/$E$27+$J145/$E$28+K145/$E$29+$L145/$E$30</f>
        <v>5.6818181818181817</v>
      </c>
      <c r="T145" s="92">
        <f t="shared" si="19"/>
        <v>2.0805675382171676E-6</v>
      </c>
      <c r="U145" s="93">
        <f>$C$7*$C$15*$E$8*($E$9+$E$10*$E$11)/$D145^2*$T145*10^6</f>
        <v>1.9973448366884814E-3</v>
      </c>
      <c r="V145" s="93">
        <f>$I145/$F$27+$J145/$F$28+K145/$F$29+$L145/$F$30</f>
        <v>8.1967213114754092</v>
      </c>
      <c r="W145" s="92">
        <f t="shared" si="20"/>
        <v>6.3573875711648393E-9</v>
      </c>
      <c r="X145" s="93">
        <f>$C$7*$C$15*$F$8*($F$9+$F$10*$F$11)/$D145^2*$W145*10^6</f>
        <v>6.1030920683182469E-6</v>
      </c>
      <c r="Y145" s="93">
        <f>$I145/$G$27+$J145/$G$28+K145/$G$29+$L145/$G$30</f>
        <v>7.0224719101123592</v>
      </c>
      <c r="Z145" s="92">
        <f t="shared" si="21"/>
        <v>9.4957241494880226E-8</v>
      </c>
      <c r="AA145" s="94">
        <f>$C$7*$C$15*$G$8*($G$9+$G$10*$G$11)/$D145^2*$Z145*10^6</f>
        <v>9.1158951835085031E-5</v>
      </c>
      <c r="AB145" s="560">
        <f>SUM(O145,R145,U145,X145,AA145)</f>
        <v>2.3903175652473939E-3</v>
      </c>
      <c r="AC145" s="561">
        <f>SUM(AB143:AB148)</f>
        <v>4.1670929152189826</v>
      </c>
      <c r="AD145" s="562">
        <f>AC145*52/10^3</f>
        <v>0.2166888315913871</v>
      </c>
      <c r="AE145" s="538"/>
      <c r="AF145" s="538"/>
      <c r="AG145" s="538"/>
      <c r="AH145" s="556"/>
      <c r="AI145" s="563"/>
      <c r="AJ145" s="551"/>
      <c r="AK145" s="551"/>
      <c r="AL145" s="538"/>
      <c r="AM145" s="538"/>
      <c r="AN145" s="538"/>
      <c r="AO145" s="538"/>
      <c r="AP145" s="538"/>
      <c r="AQ145" s="538"/>
      <c r="AR145" s="538"/>
      <c r="AS145" s="538"/>
      <c r="AT145" s="538"/>
      <c r="AU145" s="538"/>
      <c r="AV145" s="538"/>
      <c r="AW145" s="538"/>
      <c r="AX145" s="545"/>
      <c r="AY145" s="545"/>
      <c r="AZ145" s="545"/>
      <c r="BA145" s="545"/>
      <c r="BB145" s="328"/>
      <c r="BC145" s="328"/>
      <c r="BD145" s="328"/>
      <c r="BE145" s="328"/>
      <c r="BF145" s="328"/>
      <c r="BG145" s="328"/>
      <c r="BH145" s="328"/>
      <c r="BI145" s="328"/>
      <c r="BJ145" s="328"/>
      <c r="BK145" s="328"/>
      <c r="BL145" s="328"/>
      <c r="BM145" s="328"/>
      <c r="BN145" s="328"/>
      <c r="BO145" s="328"/>
      <c r="BP145" s="328"/>
      <c r="BQ145" s="328"/>
      <c r="BR145" s="328"/>
      <c r="BS145" s="369"/>
      <c r="BT145" s="233"/>
      <c r="BU145" s="233"/>
      <c r="BV145" s="222"/>
      <c r="BW145" s="222"/>
      <c r="BX145" s="222"/>
      <c r="BY145" s="211"/>
      <c r="BZ145" s="222"/>
      <c r="CA145" s="222"/>
      <c r="CB145" s="225"/>
      <c r="CC145" s="225"/>
      <c r="CD145" s="225"/>
      <c r="CE145" s="225"/>
      <c r="CF145" s="225"/>
      <c r="CG145" s="300"/>
      <c r="CH145" s="300"/>
      <c r="CI145" s="300"/>
      <c r="CJ145" s="522"/>
      <c r="CK145" s="522"/>
      <c r="CL145" s="522"/>
    </row>
    <row r="146" spans="1:90" s="212" customFormat="1" ht="30" customHeight="1" x14ac:dyDescent="0.25">
      <c r="A146" s="557"/>
      <c r="B146" s="558"/>
      <c r="C146" s="331" t="s">
        <v>26</v>
      </c>
      <c r="D146" s="564"/>
      <c r="E146" s="1836">
        <v>11</v>
      </c>
      <c r="F146" s="89">
        <f>D145</f>
        <v>25</v>
      </c>
      <c r="G146" s="1836">
        <v>15</v>
      </c>
      <c r="H146" s="1836">
        <v>0.25</v>
      </c>
      <c r="I146" s="1836">
        <v>210</v>
      </c>
      <c r="J146" s="1836">
        <v>0</v>
      </c>
      <c r="K146" s="1836">
        <v>0</v>
      </c>
      <c r="L146" s="1836">
        <v>0</v>
      </c>
      <c r="M146" s="93">
        <f>IF($I146=0,0,1+(I146-$C$21)/$C$22)+$J146/$C$23+K146/$C$24+$L146/$C$25</f>
        <v>6.2424242424242422</v>
      </c>
      <c r="N146" s="92">
        <f t="shared" si="17"/>
        <v>5.722367659350211E-7</v>
      </c>
      <c r="O146" s="95">
        <f>2.5*0.01*$C$7*$C$14*$C$8*$H146*(2*PI()*(1-COS($G146/180*PI())))^1.3/$E146^2/$F146^2*N146*10^6</f>
        <v>5.101138747051231E-8</v>
      </c>
      <c r="P146" s="91">
        <f>IF($I146=0,0,1+($I146-$D$21)/$D$22)+$J146/$D$23+$K146/$D$24+$L146/$D$25</f>
        <v>5.5675675675675675</v>
      </c>
      <c r="Q146" s="92">
        <f t="shared" si="18"/>
        <v>2.7066520700332395E-6</v>
      </c>
      <c r="R146" s="95">
        <f>2.5*0.01*$C$7*$D$14*$D$8*$H146*(2*PI()*(1-COS($G146/180*PI())))^1.3/$E146^2/$F146^2*Q146*10^6</f>
        <v>2.4128138160910826E-7</v>
      </c>
      <c r="S146" s="93">
        <f>IF($I146=0,0,1+(I146-$E$21)/$E$22)+$J146/$E$23+K146/$E$24+$L146/$E$25</f>
        <v>4.8372093023255811</v>
      </c>
      <c r="T146" s="92">
        <f t="shared" si="19"/>
        <v>1.4547578108480478E-5</v>
      </c>
      <c r="U146" s="95">
        <f>2.5*0.01*$C$7*$E$14*$E$8*$H146*(2*PI()*(1-COS($G146/180*PI())))^1.3/$E146^2/$F146^2*T146*10^6</f>
        <v>1.2968270964496306E-6</v>
      </c>
      <c r="V146" s="93">
        <f>IF($I146=0,0,1+(I146-$F$21)/$F$22)+$J146/$F$23+K146/$F$24+$L146/$F$25</f>
        <v>7.666666666666667</v>
      </c>
      <c r="W146" s="92">
        <f t="shared" si="20"/>
        <v>2.1544346900318783E-8</v>
      </c>
      <c r="X146" s="95">
        <f>2.5*0.01*$C$7*$F$14*$F$8*$H146*(2*PI()*(1-COS($G146/180*PI())))^1.3/$E146^2/$F146^2*W146*10^6</f>
        <v>1.920545992418962E-9</v>
      </c>
      <c r="Y146" s="93">
        <f>IF($I146=0,0,1+(I146-$G$21)/$G$22)+$J146/$G$23+K146/$G$24+$L146/$G$25</f>
        <v>5.833333333333333</v>
      </c>
      <c r="Z146" s="92">
        <f t="shared" si="21"/>
        <v>1.4677992676220696E-6</v>
      </c>
      <c r="AA146" s="96">
        <f>2.5*0.01*$C$7*$G$14*$G$8*$H146*(2*PI()*(1-COS($G146/180*PI())))^1.3/$E146^2/$F146^2*Z146*10^6</f>
        <v>1.3084527528960935E-7</v>
      </c>
      <c r="AB146" s="560">
        <f>SUM(O146,R146,U146,X146,AA146)</f>
        <v>1.7218856868112794E-6</v>
      </c>
      <c r="AC146" s="565"/>
      <c r="AD146" s="566"/>
      <c r="AE146" s="538"/>
      <c r="AF146" s="538"/>
      <c r="AG146" s="567"/>
      <c r="AH146" s="538"/>
      <c r="AI146" s="563"/>
      <c r="AJ146" s="545"/>
      <c r="AK146" s="545"/>
      <c r="AL146" s="538"/>
      <c r="AM146" s="538"/>
      <c r="AN146" s="538"/>
      <c r="AO146" s="538"/>
      <c r="AP146" s="538"/>
      <c r="AQ146" s="538"/>
      <c r="AR146" s="538"/>
      <c r="AS146" s="538"/>
      <c r="AT146" s="538"/>
      <c r="AU146" s="538"/>
      <c r="AV146" s="538"/>
      <c r="AW146" s="538"/>
      <c r="AX146" s="545"/>
      <c r="AY146" s="545"/>
      <c r="AZ146" s="545"/>
      <c r="BA146" s="545"/>
      <c r="BB146" s="328"/>
      <c r="BC146" s="328"/>
      <c r="BD146" s="328"/>
      <c r="BE146" s="328"/>
      <c r="BF146" s="328"/>
      <c r="BG146" s="328"/>
      <c r="BH146" s="328"/>
      <c r="BI146" s="328"/>
      <c r="BJ146" s="328"/>
      <c r="BK146" s="328"/>
      <c r="BL146" s="328"/>
      <c r="BM146" s="328"/>
      <c r="BN146" s="328"/>
      <c r="BO146" s="328"/>
      <c r="BP146" s="328"/>
      <c r="BQ146" s="328"/>
      <c r="BR146" s="328"/>
      <c r="BS146" s="369"/>
      <c r="BT146" s="233"/>
      <c r="BU146" s="233"/>
      <c r="BV146" s="222"/>
      <c r="BW146" s="222"/>
      <c r="BX146" s="222"/>
      <c r="BY146" s="211"/>
      <c r="BZ146" s="222"/>
      <c r="CA146" s="222"/>
      <c r="CB146" s="225"/>
      <c r="CC146" s="225"/>
      <c r="CD146" s="225"/>
      <c r="CE146" s="225"/>
      <c r="CF146" s="225"/>
      <c r="CG146" s="300"/>
      <c r="CH146" s="300"/>
      <c r="CI146" s="300"/>
      <c r="CJ146" s="522"/>
      <c r="CK146" s="522"/>
      <c r="CL146" s="522"/>
    </row>
    <row r="147" spans="1:90" s="538" customFormat="1" ht="30" customHeight="1" thickBot="1" x14ac:dyDescent="0.3">
      <c r="A147" s="557"/>
      <c r="B147" s="558"/>
      <c r="C147" s="331" t="s">
        <v>27</v>
      </c>
      <c r="D147" s="89"/>
      <c r="E147" s="1836">
        <v>10</v>
      </c>
      <c r="F147" s="89"/>
      <c r="G147" s="1836">
        <v>60</v>
      </c>
      <c r="H147" s="568"/>
      <c r="I147" s="1836">
        <v>190</v>
      </c>
      <c r="J147" s="1836">
        <v>0</v>
      </c>
      <c r="K147" s="1836">
        <v>0</v>
      </c>
      <c r="L147" s="1836">
        <v>0</v>
      </c>
      <c r="M147" s="93">
        <f>$I147/$C$27+$J147/$C$28+K147/$C$29+$L147/$C$30</f>
        <v>5.5882352941176467</v>
      </c>
      <c r="N147" s="92">
        <f t="shared" si="17"/>
        <v>2.580861540418073E-6</v>
      </c>
      <c r="O147" s="95">
        <f>2.5*0.01*$C$7*$C$15*$C$8*($C$9+$C$10*$C$11)*(2*PI()*(1-COS($G147/180*PI())))^1.3/E$147^2/$F146^2*N147*10^6</f>
        <v>2.7432840731901286E-6</v>
      </c>
      <c r="P147" s="93">
        <f>$I147/$D$27+$J147/$D$28+K147/$D$29+$L147/$D$30</f>
        <v>5</v>
      </c>
      <c r="Q147" s="92">
        <f t="shared" si="18"/>
        <v>1.0000000000000001E-5</v>
      </c>
      <c r="R147" s="95">
        <f>2.5*0.01*$C$7*$C$15*$D$8*($D$9+$D$10*$D$11)*(2*PI()*(1-COS($G147/180*PI())))^1.3/$E147^2/$F146^2*Q147*10^6</f>
        <v>1.0629334546733355E-5</v>
      </c>
      <c r="S147" s="93">
        <f>$I147/$E$27+$J147/$E$28+K147/$E$29+$L147/$E$30</f>
        <v>4.3181818181818183</v>
      </c>
      <c r="T147" s="92">
        <f t="shared" si="19"/>
        <v>4.8063808630643867E-5</v>
      </c>
      <c r="U147" s="95">
        <f>2.5*0.01*$C$7*$C$15*$E$8*($E$9+$E$10*$E$11)*(2*PI()*(1-COS($G147/180*PI())))^1.3/$E147^2/$F146^2*T147*10^6</f>
        <v>5.1088630152528366E-5</v>
      </c>
      <c r="V147" s="93">
        <f>$I147/$F$27+$J147/$F$28+K147/$F$29+$L147/$F$30</f>
        <v>6.2295081967213113</v>
      </c>
      <c r="W147" s="92">
        <f t="shared" si="20"/>
        <v>5.8951085074002664E-7</v>
      </c>
      <c r="X147" s="95">
        <f>2.5*0.01*$C$7*$C$15*$F$8*($F$9+$F$10*$F$11)*(2*PI()*(1-COS($G147/180*PI())))^1.3/$E147^2/$F146^2*W147*10^6</f>
        <v>6.2661080514451354E-7</v>
      </c>
      <c r="Y147" s="93">
        <f>$I147/$G$27+$J147/$G$28+K147/$G$29+$L147/$G$30</f>
        <v>5.3370786516853927</v>
      </c>
      <c r="Z147" s="92">
        <f t="shared" si="21"/>
        <v>4.6017322765137984E-6</v>
      </c>
      <c r="AA147" s="96">
        <f>2.5*0.01*$C$7*$C$15*$G$8*($G$9+$G$10*$G$11)*(2*PI()*(1-COS($G147/180*PI())))^1.3/$E147^2/$F146^2*Z147*10^6</f>
        <v>4.891335186156605E-6</v>
      </c>
      <c r="AB147" s="569">
        <f>SUM(O147,R147,U147,X147,AA147)</f>
        <v>6.9979194763752965E-5</v>
      </c>
      <c r="AC147" s="570"/>
      <c r="AD147" s="571"/>
      <c r="AH147" s="572"/>
      <c r="AI147" s="573"/>
      <c r="AJ147" s="563"/>
      <c r="AK147" s="551"/>
      <c r="AX147" s="545"/>
      <c r="AY147" s="545"/>
      <c r="AZ147" s="545"/>
      <c r="BA147" s="545"/>
      <c r="BB147" s="545"/>
      <c r="BC147" s="545"/>
      <c r="BD147" s="545"/>
      <c r="BE147" s="545"/>
      <c r="BF147" s="545"/>
      <c r="BG147" s="545"/>
      <c r="BH147" s="545"/>
      <c r="BI147" s="545"/>
      <c r="BJ147" s="545"/>
      <c r="BK147" s="545"/>
      <c r="BL147" s="545"/>
      <c r="BM147" s="545"/>
      <c r="BN147" s="545"/>
      <c r="BO147" s="545"/>
      <c r="BP147" s="545"/>
      <c r="BQ147" s="545"/>
      <c r="BR147" s="545"/>
      <c r="BS147" s="545"/>
      <c r="BT147" s="545"/>
      <c r="BU147" s="545"/>
      <c r="BV147" s="545"/>
      <c r="BW147" s="545"/>
      <c r="BX147" s="545"/>
      <c r="BY147" s="545"/>
      <c r="BZ147" s="545"/>
    </row>
    <row r="148" spans="1:90" s="212" customFormat="1" ht="30" hidden="1" customHeight="1" thickBot="1" x14ac:dyDescent="0.3">
      <c r="A148" s="574"/>
      <c r="B148" s="575"/>
      <c r="C148" s="576"/>
      <c r="D148" s="89"/>
      <c r="E148" s="89"/>
      <c r="F148" s="89"/>
      <c r="G148" s="89"/>
      <c r="H148" s="1837"/>
      <c r="I148" s="1837"/>
      <c r="J148" s="1837"/>
      <c r="K148" s="1837"/>
      <c r="L148" s="1837"/>
      <c r="M148" s="91"/>
      <c r="N148" s="97"/>
      <c r="O148" s="98"/>
      <c r="P148" s="91"/>
      <c r="Q148" s="97"/>
      <c r="R148" s="98"/>
      <c r="S148" s="91"/>
      <c r="T148" s="97"/>
      <c r="U148" s="98"/>
      <c r="V148" s="91"/>
      <c r="W148" s="97"/>
      <c r="X148" s="98"/>
      <c r="Y148" s="91"/>
      <c r="Z148" s="97"/>
      <c r="AA148" s="99"/>
      <c r="AB148" s="577"/>
      <c r="AC148" s="578"/>
      <c r="AD148" s="579"/>
      <c r="AH148" s="580"/>
      <c r="AI148" s="581"/>
      <c r="AJ148" s="282"/>
      <c r="AK148" s="300"/>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row>
    <row r="149" spans="1:90" s="212" customFormat="1" ht="30" customHeight="1" x14ac:dyDescent="0.25">
      <c r="A149" s="552"/>
      <c r="B149" s="322"/>
      <c r="C149" s="323" t="s">
        <v>569</v>
      </c>
      <c r="D149" s="1836">
        <v>1</v>
      </c>
      <c r="E149" s="89"/>
      <c r="F149" s="89"/>
      <c r="G149" s="89"/>
      <c r="H149" s="1836">
        <v>0.25</v>
      </c>
      <c r="I149" s="1836">
        <v>250</v>
      </c>
      <c r="J149" s="1836">
        <v>0</v>
      </c>
      <c r="K149" s="1836">
        <v>0</v>
      </c>
      <c r="L149" s="1836">
        <v>0</v>
      </c>
      <c r="M149" s="91">
        <f>IF($I149=0,0,1+($I149-$C$21)/$C$22)+$J149/$C$23+$K149/$C$24+$L149/$C$25</f>
        <v>7.4545454545454541</v>
      </c>
      <c r="N149" s="92">
        <f t="shared" si="17"/>
        <v>3.5111917342151263E-8</v>
      </c>
      <c r="O149" s="93">
        <f>$C$7*$C$14*$C$8*$H149/$D149^2*N149*10^6</f>
        <v>7.022383468430253E-2</v>
      </c>
      <c r="P149" s="91">
        <f>IF($I149=0,0,1+($I149-$D$21)/$D$22)+$J149/$D$23+$K149/$D$24+$L149/$D$25</f>
        <v>6.6486486486486482</v>
      </c>
      <c r="Q149" s="92">
        <f t="shared" si="18"/>
        <v>2.2456979955397711E-7</v>
      </c>
      <c r="R149" s="93">
        <f>$C$7*$D$14*$D$8*$H149/$D149^2*$Q149*10^6</f>
        <v>0.4491395991079542</v>
      </c>
      <c r="S149" s="93">
        <f>IF($I149=0,0,1+(I149-$E$21)/$E$22)+$J149/$E$23+K149/$E$24+$L149/$E$25</f>
        <v>5.7674418604651159</v>
      </c>
      <c r="T149" s="92">
        <f t="shared" si="19"/>
        <v>1.7082763938087111E-6</v>
      </c>
      <c r="U149" s="93">
        <f>$C$7*$E$14*$E$8*$H149/$D149^2*$T149*10^6</f>
        <v>3.4165527876174222</v>
      </c>
      <c r="V149" s="93">
        <f>IF($I149=0,0,1+(I149-$F$21)/$F$22)+$J149/$F$23+K149/$F$24+$L149/$F$25</f>
        <v>9.1481481481481488</v>
      </c>
      <c r="W149" s="92">
        <f t="shared" si="20"/>
        <v>7.1097094323124171E-10</v>
      </c>
      <c r="X149" s="93">
        <f>$C$7*$F$14*$F$8*$H149/$D149^2*$W149*10^6</f>
        <v>1.4219418864624834E-3</v>
      </c>
      <c r="Y149" s="93">
        <f>IF($I149=0,0,1+(I149-$G$21)/$G$22)+$J149/$G$23+K149/$G$24+$L149/$G$25</f>
        <v>6.9444444444444446</v>
      </c>
      <c r="Z149" s="92">
        <f t="shared" si="21"/>
        <v>1.136463666385722E-7</v>
      </c>
      <c r="AA149" s="94">
        <f>$C$7*$G$14*$G$8*$H149/$D149^2*$Z149*10^6</f>
        <v>0.22729273327714439</v>
      </c>
      <c r="AB149" s="553">
        <f>SUM(O149,R149,U149,X149,AA149)</f>
        <v>4.1646308965732857</v>
      </c>
      <c r="AC149" s="554"/>
      <c r="AD149" s="555"/>
      <c r="AE149" s="538"/>
      <c r="AF149" s="538"/>
      <c r="AG149" s="538"/>
      <c r="AH149" s="556"/>
      <c r="AI149" s="551"/>
      <c r="AJ149" s="551"/>
      <c r="AK149" s="551"/>
      <c r="AL149" s="538"/>
      <c r="AM149" s="538"/>
      <c r="AN149" s="538"/>
      <c r="AO149" s="538"/>
      <c r="AP149" s="538"/>
      <c r="AQ149" s="538"/>
      <c r="AR149" s="538"/>
      <c r="AS149" s="538"/>
      <c r="AT149" s="538"/>
      <c r="AU149" s="538"/>
      <c r="AV149" s="538"/>
      <c r="AW149" s="538"/>
      <c r="AX149" s="545"/>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69"/>
      <c r="BT149" s="233"/>
      <c r="BU149" s="233"/>
      <c r="BV149" s="222"/>
      <c r="BW149" s="222"/>
      <c r="BX149" s="222"/>
      <c r="BY149" s="211"/>
      <c r="BZ149" s="222"/>
      <c r="CA149" s="222"/>
      <c r="CB149" s="225"/>
      <c r="CC149" s="225"/>
      <c r="CD149" s="225"/>
      <c r="CE149" s="225"/>
      <c r="CF149" s="225"/>
      <c r="CG149" s="300"/>
      <c r="CH149" s="300"/>
      <c r="CI149" s="300"/>
      <c r="CJ149" s="522"/>
      <c r="CK149" s="522"/>
      <c r="CL149" s="522"/>
    </row>
    <row r="150" spans="1:90" s="212" customFormat="1" ht="30" customHeight="1" x14ac:dyDescent="0.25">
      <c r="A150" s="557" t="str">
        <f>Samenvatting!A343</f>
        <v>T2</v>
      </c>
      <c r="B150" s="558" t="str">
        <f>Samenvatting!B343</f>
        <v>terreingrens 2</v>
      </c>
      <c r="C150" s="331" t="s">
        <v>568</v>
      </c>
      <c r="D150" s="1836">
        <v>25</v>
      </c>
      <c r="E150" s="89"/>
      <c r="F150" s="89"/>
      <c r="G150" s="89"/>
      <c r="H150" s="559"/>
      <c r="I150" s="1836">
        <v>250</v>
      </c>
      <c r="J150" s="1836">
        <v>0</v>
      </c>
      <c r="K150" s="1836">
        <v>0</v>
      </c>
      <c r="L150" s="1836">
        <v>0</v>
      </c>
      <c r="M150" s="93">
        <f>$I150/$C$27+$J150/$C$28+K150/$C$29+$L150/$C$30</f>
        <v>7.3529411764705879</v>
      </c>
      <c r="N150" s="92">
        <f t="shared" si="17"/>
        <v>4.4366873309786093E-8</v>
      </c>
      <c r="O150" s="93">
        <f>$C$7*$C$15*$C$8*($C$9+$C$10*$C$11)/$D150^2*$N150*10^6</f>
        <v>4.2592198377394652E-5</v>
      </c>
      <c r="P150" s="93">
        <f>$I150/$D$27+$J150/$D$28+K150/$D$29+$L150/$D$30</f>
        <v>6.5789473684210522</v>
      </c>
      <c r="Q150" s="92">
        <f t="shared" si="18"/>
        <v>2.636650898730358E-7</v>
      </c>
      <c r="R150" s="93">
        <f>$C$7*$C$15*$D$8*($D$9+$D$10*$D$11)/$D150^2*$Q150*10^6</f>
        <v>2.5311848627811444E-4</v>
      </c>
      <c r="S150" s="93">
        <f>$I150/$E$27+$J150/$E$28+K150/$E$29+$L150/$E$30</f>
        <v>5.6818181818181817</v>
      </c>
      <c r="T150" s="92">
        <f t="shared" si="19"/>
        <v>2.0805675382171676E-6</v>
      </c>
      <c r="U150" s="93">
        <f>$C$7*$C$15*$E$8*($E$9+$E$10*$E$11)/$D150^2*$T150*10^6</f>
        <v>1.9973448366884814E-3</v>
      </c>
      <c r="V150" s="93">
        <f>$I150/$F$27+$J150/$F$28+K150/$F$29+$L150/$F$30</f>
        <v>8.1967213114754092</v>
      </c>
      <c r="W150" s="92">
        <f t="shared" si="20"/>
        <v>6.3573875711648393E-9</v>
      </c>
      <c r="X150" s="93">
        <f>$C$7*$C$15*$F$8*($F$9+$F$10*$F$11)/$D150^2*$W150*10^6</f>
        <v>6.1030920683182469E-6</v>
      </c>
      <c r="Y150" s="93">
        <f>$I150/$G$27+$J150/$G$28+K150/$G$29+$L150/$G$30</f>
        <v>7.0224719101123592</v>
      </c>
      <c r="Z150" s="92">
        <f t="shared" si="21"/>
        <v>9.4957241494880226E-8</v>
      </c>
      <c r="AA150" s="94">
        <f>$C$7*$C$15*$G$8*($G$9+$G$10*$G$11)/$D150^2*$Z150*10^6</f>
        <v>9.1158951835085031E-5</v>
      </c>
      <c r="AB150" s="560">
        <f>SUM(O150,R150,U150,X150,AA150)</f>
        <v>2.3903175652473939E-3</v>
      </c>
      <c r="AC150" s="561">
        <f>SUM(AB148:AB153)</f>
        <v>4.1670929152189826</v>
      </c>
      <c r="AD150" s="562">
        <f>AC150*52/10^3</f>
        <v>0.2166888315913871</v>
      </c>
      <c r="AE150" s="538"/>
      <c r="AF150" s="538"/>
      <c r="AG150" s="538"/>
      <c r="AH150" s="556"/>
      <c r="AI150" s="563"/>
      <c r="AJ150" s="551"/>
      <c r="AK150" s="551"/>
      <c r="AL150" s="538"/>
      <c r="AM150" s="538"/>
      <c r="AN150" s="538"/>
      <c r="AO150" s="538"/>
      <c r="AP150" s="538"/>
      <c r="AQ150" s="538"/>
      <c r="AR150" s="538"/>
      <c r="AS150" s="538"/>
      <c r="AT150" s="538"/>
      <c r="AU150" s="538"/>
      <c r="AV150" s="538"/>
      <c r="AW150" s="538"/>
      <c r="AX150" s="545"/>
      <c r="AY150" s="545"/>
      <c r="AZ150" s="545"/>
      <c r="BA150" s="545"/>
      <c r="BB150" s="328"/>
      <c r="BC150" s="328"/>
      <c r="BD150" s="328"/>
      <c r="BE150" s="328"/>
      <c r="BF150" s="328"/>
      <c r="BG150" s="328"/>
      <c r="BH150" s="328"/>
      <c r="BI150" s="328"/>
      <c r="BJ150" s="328"/>
      <c r="BK150" s="328"/>
      <c r="BL150" s="328"/>
      <c r="BM150" s="328"/>
      <c r="BN150" s="328"/>
      <c r="BO150" s="328"/>
      <c r="BP150" s="328"/>
      <c r="BQ150" s="328"/>
      <c r="BR150" s="328"/>
      <c r="BS150" s="369"/>
      <c r="BT150" s="233"/>
      <c r="BU150" s="233"/>
      <c r="BV150" s="222"/>
      <c r="BW150" s="222"/>
      <c r="BX150" s="222"/>
      <c r="BY150" s="211"/>
      <c r="BZ150" s="222"/>
      <c r="CA150" s="222"/>
      <c r="CB150" s="225"/>
      <c r="CC150" s="225"/>
      <c r="CD150" s="225"/>
      <c r="CE150" s="225"/>
      <c r="CF150" s="225"/>
      <c r="CG150" s="300"/>
      <c r="CH150" s="300"/>
      <c r="CI150" s="300"/>
      <c r="CJ150" s="522"/>
      <c r="CK150" s="522"/>
      <c r="CL150" s="522"/>
    </row>
    <row r="151" spans="1:90" s="212" customFormat="1" ht="30" customHeight="1" x14ac:dyDescent="0.25">
      <c r="A151" s="557"/>
      <c r="B151" s="558"/>
      <c r="C151" s="331" t="s">
        <v>26</v>
      </c>
      <c r="D151" s="564"/>
      <c r="E151" s="89">
        <f>E146</f>
        <v>11</v>
      </c>
      <c r="F151" s="89">
        <f>D150</f>
        <v>25</v>
      </c>
      <c r="G151" s="1836">
        <v>15</v>
      </c>
      <c r="H151" s="1836">
        <v>0.25</v>
      </c>
      <c r="I151" s="1836">
        <v>210</v>
      </c>
      <c r="J151" s="1836">
        <v>0</v>
      </c>
      <c r="K151" s="1836">
        <v>0</v>
      </c>
      <c r="L151" s="1836">
        <v>0</v>
      </c>
      <c r="M151" s="93">
        <f>IF($I151=0,0,1+(I151-$C$21)/$C$22)+$J151/$C$23+K151/$C$24+$L151/$C$25</f>
        <v>6.2424242424242422</v>
      </c>
      <c r="N151" s="92">
        <f t="shared" si="17"/>
        <v>5.722367659350211E-7</v>
      </c>
      <c r="O151" s="95">
        <f>2.5*0.01*$C$7*$C$14*$C$8*$H151*(2*PI()*(1-COS($G151/180*PI())))^1.3/$E151^2/$F151^2*N151*10^6</f>
        <v>5.101138747051231E-8</v>
      </c>
      <c r="P151" s="91">
        <f>IF($I151=0,0,1+($I151-$D$21)/$D$22)+$J151/$D$23+$K151/$D$24+$L151/$D$25</f>
        <v>5.5675675675675675</v>
      </c>
      <c r="Q151" s="92">
        <f t="shared" si="18"/>
        <v>2.7066520700332395E-6</v>
      </c>
      <c r="R151" s="95">
        <f>2.5*0.01*$C$7*$D$14*$D$8*$H151*(2*PI()*(1-COS($G151/180*PI())))^1.3/$E151^2/$F151^2*Q151*10^6</f>
        <v>2.4128138160910826E-7</v>
      </c>
      <c r="S151" s="93">
        <f>IF($I151=0,0,1+(I151-$E$21)/$E$22)+$J151/$E$23+K151/$E$24+$L151/$E$25</f>
        <v>4.8372093023255811</v>
      </c>
      <c r="T151" s="92">
        <f t="shared" si="19"/>
        <v>1.4547578108480478E-5</v>
      </c>
      <c r="U151" s="95">
        <f>2.5*0.01*$C$7*$E$14*$E$8*$H151*(2*PI()*(1-COS($G151/180*PI())))^1.3/$E151^2/$F151^2*T151*10^6</f>
        <v>1.2968270964496306E-6</v>
      </c>
      <c r="V151" s="93">
        <f>IF($I151=0,0,1+(I151-$F$21)/$F$22)+$J151/$F$23+K151/$F$24+$L151/$F$25</f>
        <v>7.666666666666667</v>
      </c>
      <c r="W151" s="92">
        <f t="shared" si="20"/>
        <v>2.1544346900318783E-8</v>
      </c>
      <c r="X151" s="95">
        <f>2.5*0.01*$C$7*$F$14*$F$8*$H151*(2*PI()*(1-COS($G151/180*PI())))^1.3/$E151^2/$F151^2*W151*10^6</f>
        <v>1.920545992418962E-9</v>
      </c>
      <c r="Y151" s="93">
        <f>IF($I151=0,0,1+(I151-$G$21)/$G$22)+$J151/$G$23+K151/$G$24+$L151/$G$25</f>
        <v>5.833333333333333</v>
      </c>
      <c r="Z151" s="92">
        <f t="shared" si="21"/>
        <v>1.4677992676220696E-6</v>
      </c>
      <c r="AA151" s="96">
        <f>2.5*0.01*$C$7*$G$14*$G$8*$H151*(2*PI()*(1-COS($G151/180*PI())))^1.3/$E151^2/$F151^2*Z151*10^6</f>
        <v>1.3084527528960935E-7</v>
      </c>
      <c r="AB151" s="560">
        <f>SUM(O151,R151,U151,X151,AA151)</f>
        <v>1.7218856868112794E-6</v>
      </c>
      <c r="AC151" s="565"/>
      <c r="AD151" s="566"/>
      <c r="AE151" s="538"/>
      <c r="AF151" s="538"/>
      <c r="AG151" s="567"/>
      <c r="AH151" s="538"/>
      <c r="AI151" s="563"/>
      <c r="AJ151" s="545"/>
      <c r="AK151" s="545"/>
      <c r="AL151" s="538"/>
      <c r="AM151" s="538"/>
      <c r="AN151" s="538"/>
      <c r="AO151" s="538"/>
      <c r="AP151" s="538"/>
      <c r="AQ151" s="538"/>
      <c r="AR151" s="538"/>
      <c r="AS151" s="538"/>
      <c r="AT151" s="538"/>
      <c r="AU151" s="538"/>
      <c r="AV151" s="538"/>
      <c r="AW151" s="538"/>
      <c r="AX151" s="545"/>
      <c r="AY151" s="545"/>
      <c r="AZ151" s="545"/>
      <c r="BA151" s="545"/>
      <c r="BB151" s="328"/>
      <c r="BC151" s="328"/>
      <c r="BD151" s="328"/>
      <c r="BE151" s="328"/>
      <c r="BF151" s="328"/>
      <c r="BG151" s="328"/>
      <c r="BH151" s="328"/>
      <c r="BI151" s="328"/>
      <c r="BJ151" s="328"/>
      <c r="BK151" s="328"/>
      <c r="BL151" s="328"/>
      <c r="BM151" s="328"/>
      <c r="BN151" s="328"/>
      <c r="BO151" s="328"/>
      <c r="BP151" s="328"/>
      <c r="BQ151" s="328"/>
      <c r="BR151" s="328"/>
      <c r="BS151" s="369"/>
      <c r="BT151" s="233"/>
      <c r="BU151" s="233"/>
      <c r="BV151" s="222"/>
      <c r="BW151" s="222"/>
      <c r="BX151" s="222"/>
      <c r="BY151" s="211"/>
      <c r="BZ151" s="222"/>
      <c r="CA151" s="222"/>
      <c r="CB151" s="225"/>
      <c r="CC151" s="225"/>
      <c r="CD151" s="225"/>
      <c r="CE151" s="225"/>
      <c r="CF151" s="225"/>
      <c r="CG151" s="300"/>
      <c r="CH151" s="300"/>
      <c r="CI151" s="300"/>
      <c r="CJ151" s="522"/>
      <c r="CK151" s="522"/>
      <c r="CL151" s="522"/>
    </row>
    <row r="152" spans="1:90" s="538" customFormat="1" ht="30" customHeight="1" thickBot="1" x14ac:dyDescent="0.3">
      <c r="A152" s="557"/>
      <c r="B152" s="558"/>
      <c r="C152" s="331" t="s">
        <v>27</v>
      </c>
      <c r="D152" s="89"/>
      <c r="E152" s="89">
        <f>E147</f>
        <v>10</v>
      </c>
      <c r="F152" s="89"/>
      <c r="G152" s="1836">
        <v>60</v>
      </c>
      <c r="H152" s="568"/>
      <c r="I152" s="1836">
        <v>190</v>
      </c>
      <c r="J152" s="1836">
        <v>0</v>
      </c>
      <c r="K152" s="1836">
        <v>0</v>
      </c>
      <c r="L152" s="1836">
        <v>0</v>
      </c>
      <c r="M152" s="93">
        <f>$I152/$C$27+$J152/$C$28+K152/$C$29+$L152/$C$30</f>
        <v>5.5882352941176467</v>
      </c>
      <c r="N152" s="92">
        <f t="shared" si="17"/>
        <v>2.580861540418073E-6</v>
      </c>
      <c r="O152" s="95">
        <f>2.5*0.01*$C$7*$C$15*$C$8*($C$9+$C$10*$C$11)*(2*PI()*(1-COS($G152/180*PI())))^1.3/E$147^2/$F151^2*N152*10^6</f>
        <v>2.7432840731901286E-6</v>
      </c>
      <c r="P152" s="93">
        <f>$I152/$D$27+$J152/$D$28+K152/$D$29+$L152/$D$30</f>
        <v>5</v>
      </c>
      <c r="Q152" s="92">
        <f t="shared" si="18"/>
        <v>1.0000000000000001E-5</v>
      </c>
      <c r="R152" s="95">
        <f>2.5*0.01*$C$7*$C$15*$D$8*($D$9+$D$10*$D$11)*(2*PI()*(1-COS($G152/180*PI())))^1.3/$E152^2/$F151^2*Q152*10^6</f>
        <v>1.0629334546733355E-5</v>
      </c>
      <c r="S152" s="93">
        <f>$I152/$E$27+$J152/$E$28+K152/$E$29+$L152/$E$30</f>
        <v>4.3181818181818183</v>
      </c>
      <c r="T152" s="92">
        <f t="shared" si="19"/>
        <v>4.8063808630643867E-5</v>
      </c>
      <c r="U152" s="95">
        <f>2.5*0.01*$C$7*$C$15*$E$8*($E$9+$E$10*$E$11)*(2*PI()*(1-COS($G152/180*PI())))^1.3/$E152^2/$F151^2*T152*10^6</f>
        <v>5.1088630152528366E-5</v>
      </c>
      <c r="V152" s="93">
        <f>$I152/$F$27+$J152/$F$28+K152/$F$29+$L152/$F$30</f>
        <v>6.2295081967213113</v>
      </c>
      <c r="W152" s="92">
        <f t="shared" si="20"/>
        <v>5.8951085074002664E-7</v>
      </c>
      <c r="X152" s="95">
        <f>2.5*0.01*$C$7*$C$15*$F$8*($F$9+$F$10*$F$11)*(2*PI()*(1-COS($G152/180*PI())))^1.3/$E152^2/$F151^2*W152*10^6</f>
        <v>6.2661080514451354E-7</v>
      </c>
      <c r="Y152" s="93">
        <f>$I152/$G$27+$J152/$G$28+K152/$G$29+$L152/$G$30</f>
        <v>5.3370786516853927</v>
      </c>
      <c r="Z152" s="92">
        <f t="shared" si="21"/>
        <v>4.6017322765137984E-6</v>
      </c>
      <c r="AA152" s="96">
        <f>2.5*0.01*$C$7*$C$15*$G$8*($G$9+$G$10*$G$11)*(2*PI()*(1-COS($G152/180*PI())))^1.3/$E152^2/$F151^2*Z152*10^6</f>
        <v>4.891335186156605E-6</v>
      </c>
      <c r="AB152" s="569">
        <f>SUM(O152,R152,U152,X152,AA152)</f>
        <v>6.9979194763752965E-5</v>
      </c>
      <c r="AC152" s="570"/>
      <c r="AD152" s="571"/>
      <c r="AH152" s="572"/>
      <c r="AI152" s="573"/>
      <c r="AJ152" s="563"/>
      <c r="AK152" s="551"/>
      <c r="AX152" s="545"/>
      <c r="AY152" s="545"/>
      <c r="AZ152" s="545"/>
      <c r="BA152" s="545"/>
      <c r="BB152" s="545"/>
      <c r="BC152" s="545"/>
      <c r="BD152" s="545"/>
      <c r="BE152" s="545"/>
      <c r="BF152" s="545"/>
      <c r="BG152" s="545"/>
      <c r="BH152" s="545"/>
      <c r="BI152" s="545"/>
      <c r="BJ152" s="545"/>
      <c r="BK152" s="545"/>
      <c r="BL152" s="545"/>
      <c r="BM152" s="545"/>
      <c r="BN152" s="545"/>
      <c r="BO152" s="545"/>
      <c r="BP152" s="545"/>
      <c r="BQ152" s="545"/>
      <c r="BR152" s="545"/>
      <c r="BS152" s="545"/>
      <c r="BT152" s="545"/>
      <c r="BU152" s="545"/>
      <c r="BV152" s="545"/>
      <c r="BW152" s="545"/>
      <c r="BX152" s="545"/>
      <c r="BY152" s="545"/>
      <c r="BZ152" s="545"/>
    </row>
    <row r="153" spans="1:90" s="212" customFormat="1" ht="30" hidden="1" customHeight="1" thickBot="1" x14ac:dyDescent="0.3">
      <c r="A153" s="574"/>
      <c r="B153" s="575"/>
      <c r="C153" s="576"/>
      <c r="D153" s="89"/>
      <c r="E153" s="89"/>
      <c r="F153" s="89"/>
      <c r="G153" s="89"/>
      <c r="H153" s="1837"/>
      <c r="I153" s="1837"/>
      <c r="J153" s="1837"/>
      <c r="K153" s="1837"/>
      <c r="L153" s="1837"/>
      <c r="M153" s="91"/>
      <c r="N153" s="97"/>
      <c r="O153" s="98"/>
      <c r="P153" s="91"/>
      <c r="Q153" s="97"/>
      <c r="R153" s="98"/>
      <c r="S153" s="91"/>
      <c r="T153" s="97"/>
      <c r="U153" s="98"/>
      <c r="V153" s="91"/>
      <c r="W153" s="97"/>
      <c r="X153" s="98"/>
      <c r="Y153" s="91"/>
      <c r="Z153" s="97"/>
      <c r="AA153" s="99"/>
      <c r="AB153" s="577"/>
      <c r="AC153" s="578"/>
      <c r="AD153" s="579"/>
      <c r="AH153" s="580"/>
      <c r="AI153" s="581"/>
      <c r="AJ153" s="282"/>
      <c r="AK153" s="300"/>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row>
    <row r="154" spans="1:90" s="212" customFormat="1" ht="30" customHeight="1" x14ac:dyDescent="0.25">
      <c r="A154" s="552"/>
      <c r="B154" s="322"/>
      <c r="C154" s="323" t="s">
        <v>569</v>
      </c>
      <c r="D154" s="1836">
        <v>1</v>
      </c>
      <c r="E154" s="89"/>
      <c r="F154" s="89"/>
      <c r="G154" s="89"/>
      <c r="H154" s="1836">
        <v>0.25</v>
      </c>
      <c r="I154" s="1836">
        <v>250</v>
      </c>
      <c r="J154" s="1836">
        <v>0</v>
      </c>
      <c r="K154" s="1836">
        <v>0</v>
      </c>
      <c r="L154" s="1836">
        <v>0</v>
      </c>
      <c r="M154" s="91">
        <f>IF($I154=0,0,1+($I154-$C$21)/$C$22)+$J154/$C$23+$K154/$C$24+$L154/$C$25</f>
        <v>7.4545454545454541</v>
      </c>
      <c r="N154" s="92">
        <f t="shared" si="17"/>
        <v>3.5111917342151263E-8</v>
      </c>
      <c r="O154" s="93">
        <f>$C$7*$C$14*$C$8*$H154/$D154^2*N154*10^6</f>
        <v>7.022383468430253E-2</v>
      </c>
      <c r="P154" s="91">
        <f>IF($I154=0,0,1+($I154-$D$21)/$D$22)+$J154/$D$23+$K154/$D$24+$L154/$D$25</f>
        <v>6.6486486486486482</v>
      </c>
      <c r="Q154" s="92">
        <f t="shared" si="18"/>
        <v>2.2456979955397711E-7</v>
      </c>
      <c r="R154" s="93">
        <f>$C$7*$D$14*$D$8*$H154/$D154^2*$Q154*10^6</f>
        <v>0.4491395991079542</v>
      </c>
      <c r="S154" s="93">
        <f>IF($I154=0,0,1+(I154-$E$21)/$E$22)+$J154/$E$23+K154/$E$24+$L154/$E$25</f>
        <v>5.7674418604651159</v>
      </c>
      <c r="T154" s="92">
        <f t="shared" si="19"/>
        <v>1.7082763938087111E-6</v>
      </c>
      <c r="U154" s="93">
        <f>$C$7*$E$14*$E$8*$H154/$D154^2*$T154*10^6</f>
        <v>3.4165527876174222</v>
      </c>
      <c r="V154" s="93">
        <f>IF($I154=0,0,1+(I154-$F$21)/$F$22)+$J154/$F$23+K154/$F$24+$L154/$F$25</f>
        <v>9.1481481481481488</v>
      </c>
      <c r="W154" s="92">
        <f t="shared" si="20"/>
        <v>7.1097094323124171E-10</v>
      </c>
      <c r="X154" s="93">
        <f>$C$7*$F$14*$F$8*$H154/$D154^2*$W154*10^6</f>
        <v>1.4219418864624834E-3</v>
      </c>
      <c r="Y154" s="93">
        <f>IF($I154=0,0,1+(I154-$G$21)/$G$22)+$J154/$G$23+K154/$G$24+$L154/$G$25</f>
        <v>6.9444444444444446</v>
      </c>
      <c r="Z154" s="92">
        <f t="shared" si="21"/>
        <v>1.136463666385722E-7</v>
      </c>
      <c r="AA154" s="94">
        <f>$C$7*$G$14*$G$8*$H154/$D154^2*$Z154*10^6</f>
        <v>0.22729273327714439</v>
      </c>
      <c r="AB154" s="553">
        <f>SUM(O154,R154,U154,X154,AA154)</f>
        <v>4.1646308965732857</v>
      </c>
      <c r="AC154" s="554"/>
      <c r="AD154" s="555"/>
      <c r="AE154" s="538"/>
      <c r="AF154" s="538"/>
      <c r="AG154" s="538"/>
      <c r="AH154" s="556"/>
      <c r="AI154" s="551"/>
      <c r="AJ154" s="551"/>
      <c r="AK154" s="551"/>
      <c r="AL154" s="538"/>
      <c r="AM154" s="538"/>
      <c r="AN154" s="538"/>
      <c r="AO154" s="538"/>
      <c r="AP154" s="538"/>
      <c r="AQ154" s="538"/>
      <c r="AR154" s="538"/>
      <c r="AS154" s="538"/>
      <c r="AT154" s="538"/>
      <c r="AU154" s="538"/>
      <c r="AV154" s="538"/>
      <c r="AW154" s="538"/>
      <c r="AX154" s="545"/>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69"/>
      <c r="BT154" s="233"/>
      <c r="BU154" s="233"/>
      <c r="BV154" s="222"/>
      <c r="BW154" s="222"/>
      <c r="BX154" s="222"/>
      <c r="BY154" s="211"/>
      <c r="BZ154" s="222"/>
      <c r="CA154" s="222"/>
      <c r="CB154" s="225"/>
      <c r="CC154" s="225"/>
      <c r="CD154" s="225"/>
      <c r="CE154" s="225"/>
      <c r="CF154" s="225"/>
      <c r="CG154" s="300"/>
      <c r="CH154" s="300"/>
      <c r="CI154" s="300"/>
      <c r="CJ154" s="522"/>
      <c r="CK154" s="522"/>
      <c r="CL154" s="522"/>
    </row>
    <row r="155" spans="1:90" s="212" customFormat="1" ht="30" customHeight="1" x14ac:dyDescent="0.25">
      <c r="A155" s="557" t="str">
        <f>Samenvatting!A354</f>
        <v>T3</v>
      </c>
      <c r="B155" s="558" t="str">
        <f>Samenvatting!B354</f>
        <v>terreingrens 3</v>
      </c>
      <c r="C155" s="331" t="s">
        <v>568</v>
      </c>
      <c r="D155" s="1836">
        <v>25</v>
      </c>
      <c r="E155" s="89"/>
      <c r="F155" s="89"/>
      <c r="G155" s="89"/>
      <c r="H155" s="559"/>
      <c r="I155" s="1836">
        <v>250</v>
      </c>
      <c r="J155" s="1836">
        <v>0</v>
      </c>
      <c r="K155" s="1836">
        <v>0</v>
      </c>
      <c r="L155" s="1836">
        <v>0</v>
      </c>
      <c r="M155" s="93">
        <f>$I155/$C$27+$J155/$C$28+K155/$C$29+$L155/$C$30</f>
        <v>7.3529411764705879</v>
      </c>
      <c r="N155" s="92">
        <f t="shared" si="17"/>
        <v>4.4366873309786093E-8</v>
      </c>
      <c r="O155" s="93">
        <f>$C$7*$C$15*$C$8*($C$9+$C$10*$C$11)/$D155^2*$N155*10^6</f>
        <v>4.2592198377394652E-5</v>
      </c>
      <c r="P155" s="93">
        <f>$I155/$D$27+$J155/$D$28+K155/$D$29+$L155/$D$30</f>
        <v>6.5789473684210522</v>
      </c>
      <c r="Q155" s="92">
        <f t="shared" si="18"/>
        <v>2.636650898730358E-7</v>
      </c>
      <c r="R155" s="93">
        <f>$C$7*$C$15*$D$8*($D$9+$D$10*$D$11)/$D155^2*$Q155*10^6</f>
        <v>2.5311848627811444E-4</v>
      </c>
      <c r="S155" s="93">
        <f>$I155/$E$27+$J155/$E$28+K155/$E$29+$L155/$E$30</f>
        <v>5.6818181818181817</v>
      </c>
      <c r="T155" s="92">
        <f t="shared" si="19"/>
        <v>2.0805675382171676E-6</v>
      </c>
      <c r="U155" s="93">
        <f>$C$7*$C$15*$E$8*($E$9+$E$10*$E$11)/$D155^2*$T155*10^6</f>
        <v>1.9973448366884814E-3</v>
      </c>
      <c r="V155" s="93">
        <f>$I155/$F$27+$J155/$F$28+K155/$F$29+$L155/$F$30</f>
        <v>8.1967213114754092</v>
      </c>
      <c r="W155" s="92">
        <f t="shared" si="20"/>
        <v>6.3573875711648393E-9</v>
      </c>
      <c r="X155" s="93">
        <f>$C$7*$C$15*$F$8*($F$9+$F$10*$F$11)/$D155^2*$W155*10^6</f>
        <v>6.1030920683182469E-6</v>
      </c>
      <c r="Y155" s="93">
        <f>$I155/$G$27+$J155/$G$28+K155/$G$29+$L155/$G$30</f>
        <v>7.0224719101123592</v>
      </c>
      <c r="Z155" s="92">
        <f t="shared" si="21"/>
        <v>9.4957241494880226E-8</v>
      </c>
      <c r="AA155" s="94">
        <f>$C$7*$C$15*$G$8*($G$9+$G$10*$G$11)/$D155^2*$Z155*10^6</f>
        <v>9.1158951835085031E-5</v>
      </c>
      <c r="AB155" s="560">
        <f>SUM(O155,R155,U155,X155,AA155)</f>
        <v>2.3903175652473939E-3</v>
      </c>
      <c r="AC155" s="561">
        <f>SUM(AB153:AB158)</f>
        <v>4.1670929152189826</v>
      </c>
      <c r="AD155" s="562">
        <f>AC155*52/10^3</f>
        <v>0.2166888315913871</v>
      </c>
      <c r="AE155" s="538"/>
      <c r="AF155" s="538"/>
      <c r="AG155" s="538"/>
      <c r="AH155" s="556"/>
      <c r="AI155" s="563"/>
      <c r="AJ155" s="551"/>
      <c r="AK155" s="551"/>
      <c r="AL155" s="538"/>
      <c r="AM155" s="538"/>
      <c r="AN155" s="538"/>
      <c r="AO155" s="538"/>
      <c r="AP155" s="538"/>
      <c r="AQ155" s="538"/>
      <c r="AR155" s="538"/>
      <c r="AS155" s="538"/>
      <c r="AT155" s="538"/>
      <c r="AU155" s="538"/>
      <c r="AV155" s="538"/>
      <c r="AW155" s="538"/>
      <c r="AX155" s="545"/>
      <c r="AY155" s="545"/>
      <c r="AZ155" s="545"/>
      <c r="BA155" s="545"/>
      <c r="BB155" s="328"/>
      <c r="BC155" s="328"/>
      <c r="BD155" s="328"/>
      <c r="BE155" s="328"/>
      <c r="BF155" s="328"/>
      <c r="BG155" s="328"/>
      <c r="BH155" s="328"/>
      <c r="BI155" s="328"/>
      <c r="BJ155" s="328"/>
      <c r="BK155" s="328"/>
      <c r="BL155" s="328"/>
      <c r="BM155" s="328"/>
      <c r="BN155" s="328"/>
      <c r="BO155" s="328"/>
      <c r="BP155" s="328"/>
      <c r="BQ155" s="328"/>
      <c r="BR155" s="328"/>
      <c r="BS155" s="369"/>
      <c r="BT155" s="233"/>
      <c r="BU155" s="233"/>
      <c r="BV155" s="222"/>
      <c r="BW155" s="222"/>
      <c r="BX155" s="222"/>
      <c r="BY155" s="211"/>
      <c r="BZ155" s="222"/>
      <c r="CA155" s="222"/>
      <c r="CB155" s="225"/>
      <c r="CC155" s="225"/>
      <c r="CD155" s="225"/>
      <c r="CE155" s="225"/>
      <c r="CF155" s="225"/>
      <c r="CG155" s="300"/>
      <c r="CH155" s="300"/>
      <c r="CI155" s="300"/>
      <c r="CJ155" s="522"/>
      <c r="CK155" s="522"/>
      <c r="CL155" s="522"/>
    </row>
    <row r="156" spans="1:90" s="212" customFormat="1" ht="30" customHeight="1" x14ac:dyDescent="0.25">
      <c r="A156" s="557"/>
      <c r="B156" s="558"/>
      <c r="C156" s="331" t="s">
        <v>26</v>
      </c>
      <c r="D156" s="564"/>
      <c r="E156" s="89">
        <f>E146</f>
        <v>11</v>
      </c>
      <c r="F156" s="89">
        <f>D155</f>
        <v>25</v>
      </c>
      <c r="G156" s="1836">
        <v>15</v>
      </c>
      <c r="H156" s="1836">
        <v>0.25</v>
      </c>
      <c r="I156" s="1836">
        <v>210</v>
      </c>
      <c r="J156" s="1836">
        <v>0</v>
      </c>
      <c r="K156" s="1836">
        <v>0</v>
      </c>
      <c r="L156" s="1836">
        <v>0</v>
      </c>
      <c r="M156" s="93">
        <f>IF($I156=0,0,1+(I156-$C$21)/$C$22)+$J156/$C$23+K156/$C$24+$L156/$C$25</f>
        <v>6.2424242424242422</v>
      </c>
      <c r="N156" s="92">
        <f t="shared" si="17"/>
        <v>5.722367659350211E-7</v>
      </c>
      <c r="O156" s="95">
        <f>2.5*0.01*$C$7*$C$14*$C$8*$H156*(2*PI()*(1-COS($G156/180*PI())))^1.3/$E156^2/$F156^2*N156*10^6</f>
        <v>5.101138747051231E-8</v>
      </c>
      <c r="P156" s="91">
        <f>IF($I156=0,0,1+($I156-$D$21)/$D$22)+$J156/$D$23+$K156/$D$24+$L156/$D$25</f>
        <v>5.5675675675675675</v>
      </c>
      <c r="Q156" s="92">
        <f t="shared" si="18"/>
        <v>2.7066520700332395E-6</v>
      </c>
      <c r="R156" s="95">
        <f>2.5*0.01*$C$7*$D$14*$D$8*$H156*(2*PI()*(1-COS($G156/180*PI())))^1.3/$E156^2/$F156^2*Q156*10^6</f>
        <v>2.4128138160910826E-7</v>
      </c>
      <c r="S156" s="93">
        <f>IF($I156=0,0,1+(I156-$E$21)/$E$22)+$J156/$E$23+K156/$E$24+$L156/$E$25</f>
        <v>4.8372093023255811</v>
      </c>
      <c r="T156" s="92">
        <f t="shared" si="19"/>
        <v>1.4547578108480478E-5</v>
      </c>
      <c r="U156" s="95">
        <f>2.5*0.01*$C$7*$E$14*$E$8*$H156*(2*PI()*(1-COS($G156/180*PI())))^1.3/$E156^2/$F156^2*T156*10^6</f>
        <v>1.2968270964496306E-6</v>
      </c>
      <c r="V156" s="93">
        <f>IF($I156=0,0,1+(I156-$F$21)/$F$22)+$J156/$F$23+K156/$F$24+$L156/$F$25</f>
        <v>7.666666666666667</v>
      </c>
      <c r="W156" s="92">
        <f t="shared" si="20"/>
        <v>2.1544346900318783E-8</v>
      </c>
      <c r="X156" s="95">
        <f>2.5*0.01*$C$7*$F$14*$F$8*$H156*(2*PI()*(1-COS($G156/180*PI())))^1.3/$E156^2/$F156^2*W156*10^6</f>
        <v>1.920545992418962E-9</v>
      </c>
      <c r="Y156" s="93">
        <f>IF($I156=0,0,1+(I156-$G$21)/$G$22)+$J156/$G$23+K156/$G$24+$L156/$G$25</f>
        <v>5.833333333333333</v>
      </c>
      <c r="Z156" s="92">
        <f t="shared" si="21"/>
        <v>1.4677992676220696E-6</v>
      </c>
      <c r="AA156" s="96">
        <f>2.5*0.01*$C$7*$G$14*$G$8*$H156*(2*PI()*(1-COS($G156/180*PI())))^1.3/$E156^2/$F156^2*Z156*10^6</f>
        <v>1.3084527528960935E-7</v>
      </c>
      <c r="AB156" s="560">
        <f>SUM(O156,R156,U156,X156,AA156)</f>
        <v>1.7218856868112794E-6</v>
      </c>
      <c r="AC156" s="565"/>
      <c r="AD156" s="566"/>
      <c r="AE156" s="538"/>
      <c r="AF156" s="538"/>
      <c r="AG156" s="567"/>
      <c r="AH156" s="538"/>
      <c r="AI156" s="563"/>
      <c r="AJ156" s="545"/>
      <c r="AK156" s="545"/>
      <c r="AL156" s="538"/>
      <c r="AM156" s="538"/>
      <c r="AN156" s="538"/>
      <c r="AO156" s="538"/>
      <c r="AP156" s="538"/>
      <c r="AQ156" s="538"/>
      <c r="AR156" s="538"/>
      <c r="AS156" s="538"/>
      <c r="AT156" s="538"/>
      <c r="AU156" s="538"/>
      <c r="AV156" s="538"/>
      <c r="AW156" s="538"/>
      <c r="AX156" s="545"/>
      <c r="AY156" s="545"/>
      <c r="AZ156" s="545"/>
      <c r="BA156" s="545"/>
      <c r="BB156" s="328"/>
      <c r="BC156" s="328"/>
      <c r="BD156" s="328"/>
      <c r="BE156" s="328"/>
      <c r="BF156" s="328"/>
      <c r="BG156" s="328"/>
      <c r="BH156" s="328"/>
      <c r="BI156" s="328"/>
      <c r="BJ156" s="328"/>
      <c r="BK156" s="328"/>
      <c r="BL156" s="328"/>
      <c r="BM156" s="328"/>
      <c r="BN156" s="328"/>
      <c r="BO156" s="328"/>
      <c r="BP156" s="328"/>
      <c r="BQ156" s="328"/>
      <c r="BR156" s="328"/>
      <c r="BS156" s="369"/>
      <c r="BT156" s="233"/>
      <c r="BU156" s="233"/>
      <c r="BV156" s="222"/>
      <c r="BW156" s="222"/>
      <c r="BX156" s="222"/>
      <c r="BY156" s="211"/>
      <c r="BZ156" s="222"/>
      <c r="CA156" s="222"/>
      <c r="CB156" s="225"/>
      <c r="CC156" s="225"/>
      <c r="CD156" s="225"/>
      <c r="CE156" s="225"/>
      <c r="CF156" s="225"/>
      <c r="CG156" s="300"/>
      <c r="CH156" s="300"/>
      <c r="CI156" s="300"/>
      <c r="CJ156" s="522"/>
      <c r="CK156" s="522"/>
      <c r="CL156" s="522"/>
    </row>
    <row r="157" spans="1:90" s="538" customFormat="1" ht="30" customHeight="1" thickBot="1" x14ac:dyDescent="0.3">
      <c r="A157" s="557"/>
      <c r="B157" s="558"/>
      <c r="C157" s="331" t="s">
        <v>27</v>
      </c>
      <c r="D157" s="89"/>
      <c r="E157" s="89">
        <f>E147</f>
        <v>10</v>
      </c>
      <c r="F157" s="89"/>
      <c r="G157" s="1836">
        <v>60</v>
      </c>
      <c r="H157" s="568"/>
      <c r="I157" s="1836">
        <v>190</v>
      </c>
      <c r="J157" s="1836">
        <v>0</v>
      </c>
      <c r="K157" s="1836">
        <v>0</v>
      </c>
      <c r="L157" s="1836">
        <v>0</v>
      </c>
      <c r="M157" s="93">
        <f>$I157/$C$27+$J157/$C$28+K157/$C$29+$L157/$C$30</f>
        <v>5.5882352941176467</v>
      </c>
      <c r="N157" s="92">
        <f t="shared" si="17"/>
        <v>2.580861540418073E-6</v>
      </c>
      <c r="O157" s="95">
        <f>2.5*0.01*$C$7*$C$15*$C$8*($C$9+$C$10*$C$11)*(2*PI()*(1-COS($G157/180*PI())))^1.3/E$147^2/$F156^2*N157*10^6</f>
        <v>2.7432840731901286E-6</v>
      </c>
      <c r="P157" s="93">
        <f>$I157/$D$27+$J157/$D$28+K157/$D$29+$L157/$D$30</f>
        <v>5</v>
      </c>
      <c r="Q157" s="92">
        <f t="shared" si="18"/>
        <v>1.0000000000000001E-5</v>
      </c>
      <c r="R157" s="95">
        <f>2.5*0.01*$C$7*$C$15*$D$8*($D$9+$D$10*$D$11)*(2*PI()*(1-COS($G157/180*PI())))^1.3/$E157^2/$F156^2*Q157*10^6</f>
        <v>1.0629334546733355E-5</v>
      </c>
      <c r="S157" s="93">
        <f>$I157/$E$27+$J157/$E$28+K157/$E$29+$L157/$E$30</f>
        <v>4.3181818181818183</v>
      </c>
      <c r="T157" s="92">
        <f t="shared" si="19"/>
        <v>4.8063808630643867E-5</v>
      </c>
      <c r="U157" s="95">
        <f>2.5*0.01*$C$7*$C$15*$E$8*($E$9+$E$10*$E$11)*(2*PI()*(1-COS($G157/180*PI())))^1.3/$E157^2/$F156^2*T157*10^6</f>
        <v>5.1088630152528366E-5</v>
      </c>
      <c r="V157" s="93">
        <f>$I157/$F$27+$J157/$F$28+K157/$F$29+$L157/$F$30</f>
        <v>6.2295081967213113</v>
      </c>
      <c r="W157" s="92">
        <f t="shared" si="20"/>
        <v>5.8951085074002664E-7</v>
      </c>
      <c r="X157" s="95">
        <f>2.5*0.01*$C$7*$C$15*$F$8*($F$9+$F$10*$F$11)*(2*PI()*(1-COS($G157/180*PI())))^1.3/$E157^2/$F156^2*W157*10^6</f>
        <v>6.2661080514451354E-7</v>
      </c>
      <c r="Y157" s="93">
        <f>$I157/$G$27+$J157/$G$28+K157/$G$29+$L157/$G$30</f>
        <v>5.3370786516853927</v>
      </c>
      <c r="Z157" s="92">
        <f t="shared" si="21"/>
        <v>4.6017322765137984E-6</v>
      </c>
      <c r="AA157" s="96">
        <f>2.5*0.01*$C$7*$C$15*$G$8*($G$9+$G$10*$G$11)*(2*PI()*(1-COS($G157/180*PI())))^1.3/$E157^2/$F156^2*Z157*10^6</f>
        <v>4.891335186156605E-6</v>
      </c>
      <c r="AB157" s="569">
        <f>SUM(O157,R157,U157,X157,AA157)</f>
        <v>6.9979194763752965E-5</v>
      </c>
      <c r="AC157" s="570"/>
      <c r="AD157" s="571"/>
      <c r="AH157" s="572"/>
      <c r="AI157" s="573"/>
      <c r="AJ157" s="563"/>
      <c r="AK157" s="551"/>
      <c r="AX157" s="545"/>
      <c r="AY157" s="545"/>
      <c r="AZ157" s="545"/>
      <c r="BA157" s="545"/>
      <c r="BB157" s="545"/>
      <c r="BC157" s="545"/>
      <c r="BD157" s="545"/>
      <c r="BE157" s="545"/>
      <c r="BF157" s="545"/>
      <c r="BG157" s="545"/>
      <c r="BH157" s="545"/>
      <c r="BI157" s="545"/>
      <c r="BJ157" s="545"/>
      <c r="BK157" s="545"/>
      <c r="BL157" s="545"/>
      <c r="BM157" s="545"/>
      <c r="BN157" s="545"/>
      <c r="BO157" s="545"/>
      <c r="BP157" s="545"/>
      <c r="BQ157" s="545"/>
      <c r="BR157" s="545"/>
      <c r="BS157" s="545"/>
      <c r="BT157" s="545"/>
      <c r="BU157" s="545"/>
      <c r="BV157" s="545"/>
      <c r="BW157" s="545"/>
      <c r="BX157" s="545"/>
      <c r="BY157" s="545"/>
      <c r="BZ157" s="545"/>
    </row>
    <row r="158" spans="1:90" s="212" customFormat="1" ht="30" hidden="1" customHeight="1" thickBot="1" x14ac:dyDescent="0.3">
      <c r="A158" s="574"/>
      <c r="B158" s="575"/>
      <c r="C158" s="576"/>
      <c r="D158" s="89"/>
      <c r="E158" s="89"/>
      <c r="F158" s="89"/>
      <c r="G158" s="89"/>
      <c r="H158" s="1837"/>
      <c r="I158" s="1837"/>
      <c r="J158" s="1837"/>
      <c r="K158" s="1837"/>
      <c r="L158" s="1837"/>
      <c r="M158" s="91"/>
      <c r="N158" s="97"/>
      <c r="O158" s="98"/>
      <c r="P158" s="91"/>
      <c r="Q158" s="97"/>
      <c r="R158" s="98"/>
      <c r="S158" s="91"/>
      <c r="T158" s="97"/>
      <c r="U158" s="98"/>
      <c r="V158" s="91"/>
      <c r="W158" s="97"/>
      <c r="X158" s="98"/>
      <c r="Y158" s="91"/>
      <c r="Z158" s="97"/>
      <c r="AA158" s="99"/>
      <c r="AB158" s="577"/>
      <c r="AC158" s="578"/>
      <c r="AD158" s="579"/>
      <c r="AH158" s="580"/>
      <c r="AI158" s="581"/>
      <c r="AJ158" s="282"/>
      <c r="AK158" s="300"/>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row>
    <row r="159" spans="1:90" s="212" customFormat="1" ht="30" customHeight="1" x14ac:dyDescent="0.25">
      <c r="A159" s="552"/>
      <c r="B159" s="322"/>
      <c r="C159" s="323" t="s">
        <v>569</v>
      </c>
      <c r="D159" s="1836">
        <v>1</v>
      </c>
      <c r="E159" s="89"/>
      <c r="F159" s="89"/>
      <c r="G159" s="89"/>
      <c r="H159" s="1836">
        <v>0.25</v>
      </c>
      <c r="I159" s="1836">
        <v>250</v>
      </c>
      <c r="J159" s="1836">
        <v>0</v>
      </c>
      <c r="K159" s="1836">
        <v>0</v>
      </c>
      <c r="L159" s="1836">
        <v>0</v>
      </c>
      <c r="M159" s="91">
        <f>IF($I159=0,0,1+($I159-$C$21)/$C$22)+$J159/$C$23+$K159/$C$24+$L159/$C$25</f>
        <v>7.4545454545454541</v>
      </c>
      <c r="N159" s="92">
        <f t="shared" si="17"/>
        <v>3.5111917342151263E-8</v>
      </c>
      <c r="O159" s="93">
        <f>$C$7*$C$14*$C$8*$H159/$D159^2*N159*10^6</f>
        <v>7.022383468430253E-2</v>
      </c>
      <c r="P159" s="91">
        <f>IF($I159=0,0,1+($I159-$D$21)/$D$22)+$J159/$D$23+$K159/$D$24+$L159/$D$25</f>
        <v>6.6486486486486482</v>
      </c>
      <c r="Q159" s="92">
        <f t="shared" si="18"/>
        <v>2.2456979955397711E-7</v>
      </c>
      <c r="R159" s="93">
        <f>$C$7*$D$14*$D$8*$H159/$D159^2*$Q159*10^6</f>
        <v>0.4491395991079542</v>
      </c>
      <c r="S159" s="93">
        <f>IF($I159=0,0,1+(I159-$E$21)/$E$22)+$J159/$E$23+K159/$E$24+$L159/$E$25</f>
        <v>5.7674418604651159</v>
      </c>
      <c r="T159" s="92">
        <f t="shared" si="19"/>
        <v>1.7082763938087111E-6</v>
      </c>
      <c r="U159" s="93">
        <f>$C$7*$E$14*$E$8*$H159/$D159^2*$T159*10^6</f>
        <v>3.4165527876174222</v>
      </c>
      <c r="V159" s="93">
        <f>IF($I159=0,0,1+(I159-$F$21)/$F$22)+$J159/$F$23+K159/$F$24+$L159/$F$25</f>
        <v>9.1481481481481488</v>
      </c>
      <c r="W159" s="92">
        <f t="shared" si="20"/>
        <v>7.1097094323124171E-10</v>
      </c>
      <c r="X159" s="93">
        <f>$C$7*$F$14*$F$8*$H159/$D159^2*$W159*10^6</f>
        <v>1.4219418864624834E-3</v>
      </c>
      <c r="Y159" s="93">
        <f>IF($I159=0,0,1+(I159-$G$21)/$G$22)+$J159/$G$23+K159/$G$24+$L159/$G$25</f>
        <v>6.9444444444444446</v>
      </c>
      <c r="Z159" s="92">
        <f t="shared" si="21"/>
        <v>1.136463666385722E-7</v>
      </c>
      <c r="AA159" s="94">
        <f>$C$7*$G$14*$G$8*$H159/$D159^2*$Z159*10^6</f>
        <v>0.22729273327714439</v>
      </c>
      <c r="AB159" s="553">
        <f>SUM(O159,R159,U159,X159,AA159)</f>
        <v>4.1646308965732857</v>
      </c>
      <c r="AC159" s="554"/>
      <c r="AD159" s="555"/>
      <c r="AE159" s="538"/>
      <c r="AF159" s="538"/>
      <c r="AG159" s="538"/>
      <c r="AH159" s="556"/>
      <c r="AI159" s="551"/>
      <c r="AJ159" s="551"/>
      <c r="AK159" s="551"/>
      <c r="AL159" s="538"/>
      <c r="AM159" s="538"/>
      <c r="AN159" s="538"/>
      <c r="AO159" s="538"/>
      <c r="AP159" s="538"/>
      <c r="AQ159" s="538"/>
      <c r="AR159" s="538"/>
      <c r="AS159" s="538"/>
      <c r="AT159" s="538"/>
      <c r="AU159" s="538"/>
      <c r="AV159" s="538"/>
      <c r="AW159" s="538"/>
      <c r="AX159" s="545"/>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69"/>
      <c r="BT159" s="233"/>
      <c r="BU159" s="233"/>
      <c r="BV159" s="222"/>
      <c r="BW159" s="222"/>
      <c r="BX159" s="222"/>
      <c r="BY159" s="211"/>
      <c r="BZ159" s="222"/>
      <c r="CA159" s="222"/>
      <c r="CB159" s="225"/>
      <c r="CC159" s="225"/>
      <c r="CD159" s="225"/>
      <c r="CE159" s="225"/>
      <c r="CF159" s="225"/>
      <c r="CG159" s="300"/>
      <c r="CH159" s="300"/>
      <c r="CI159" s="300"/>
      <c r="CJ159" s="522"/>
      <c r="CK159" s="522"/>
      <c r="CL159" s="522"/>
    </row>
    <row r="160" spans="1:90" s="212" customFormat="1" ht="30" customHeight="1" x14ac:dyDescent="0.25">
      <c r="A160" s="557" t="str">
        <f>Samenvatting!A365</f>
        <v>T4</v>
      </c>
      <c r="B160" s="558" t="str">
        <f>Samenvatting!B365</f>
        <v>terreingrens 4</v>
      </c>
      <c r="C160" s="331" t="s">
        <v>568</v>
      </c>
      <c r="D160" s="1836">
        <v>25</v>
      </c>
      <c r="E160" s="89"/>
      <c r="F160" s="89"/>
      <c r="G160" s="89"/>
      <c r="H160" s="559"/>
      <c r="I160" s="1836">
        <v>250</v>
      </c>
      <c r="J160" s="1836">
        <v>0</v>
      </c>
      <c r="K160" s="1836">
        <v>0</v>
      </c>
      <c r="L160" s="1836">
        <v>0</v>
      </c>
      <c r="M160" s="93">
        <f>$I160/$C$27+$J160/$C$28+K160/$C$29+$L160/$C$30</f>
        <v>7.3529411764705879</v>
      </c>
      <c r="N160" s="92">
        <f t="shared" si="17"/>
        <v>4.4366873309786093E-8</v>
      </c>
      <c r="O160" s="93">
        <f>$C$7*$C$15*$C$8*($C$9+$C$10*$C$11)/$D160^2*$N160*10^6</f>
        <v>4.2592198377394652E-5</v>
      </c>
      <c r="P160" s="93">
        <f>$I160/$D$27+$J160/$D$28+$K160/$D$29+$L160/$D$30</f>
        <v>6.5789473684210522</v>
      </c>
      <c r="Q160" s="92">
        <f t="shared" si="18"/>
        <v>2.636650898730358E-7</v>
      </c>
      <c r="R160" s="93">
        <f>$C$7*$C$15*$D$8*($D$9+$D$10*$D$11)/$D160^2*$Q160*10^6</f>
        <v>2.5311848627811444E-4</v>
      </c>
      <c r="S160" s="93">
        <f>$I160/$E$27+$J160/$E$28+K160/$E$29+$L160/$E$30</f>
        <v>5.6818181818181817</v>
      </c>
      <c r="T160" s="92">
        <f t="shared" si="19"/>
        <v>2.0805675382171676E-6</v>
      </c>
      <c r="U160" s="93">
        <f>$C$7*$C$15*$E$8*($E$9+$E$10*$E$11)/$D160^2*$T160*10^6</f>
        <v>1.9973448366884814E-3</v>
      </c>
      <c r="V160" s="93">
        <f>$I160/$F$27+$J160/$F$28+K160/$F$29+$L160/$F$30</f>
        <v>8.1967213114754092</v>
      </c>
      <c r="W160" s="92">
        <f t="shared" si="20"/>
        <v>6.3573875711648393E-9</v>
      </c>
      <c r="X160" s="93">
        <f>$C$7*$C$15*$F$8*($F$9+$F$10*$F$11)/$D160^2*$W160*10^6</f>
        <v>6.1030920683182469E-6</v>
      </c>
      <c r="Y160" s="93">
        <f>$I160/$G$27+$J160/$G$28+K160/$G$29+$L160/$G$30</f>
        <v>7.0224719101123592</v>
      </c>
      <c r="Z160" s="92">
        <f t="shared" si="21"/>
        <v>9.4957241494880226E-8</v>
      </c>
      <c r="AA160" s="94">
        <f>$C$7*$C$15*$G$8*($G$9+$G$10*$G$11)/$D160^2*$Z160*10^6</f>
        <v>9.1158951835085031E-5</v>
      </c>
      <c r="AB160" s="560">
        <f>SUM(O160,R160,U160,X160,AA160)</f>
        <v>2.3903175652473939E-3</v>
      </c>
      <c r="AC160" s="561">
        <f>SUM(AB158:AB163)</f>
        <v>4.1670929152189826</v>
      </c>
      <c r="AD160" s="562">
        <f>AC160*52/10^3</f>
        <v>0.2166888315913871</v>
      </c>
      <c r="AE160" s="538"/>
      <c r="AF160" s="538"/>
      <c r="AG160" s="538"/>
      <c r="AH160" s="556"/>
      <c r="AI160" s="563"/>
      <c r="AJ160" s="551"/>
      <c r="AK160" s="551"/>
      <c r="AL160" s="538"/>
      <c r="AM160" s="538"/>
      <c r="AN160" s="538"/>
      <c r="AO160" s="538"/>
      <c r="AP160" s="538"/>
      <c r="AQ160" s="538"/>
      <c r="AR160" s="538"/>
      <c r="AS160" s="538"/>
      <c r="AT160" s="538"/>
      <c r="AU160" s="538"/>
      <c r="AV160" s="538"/>
      <c r="AW160" s="538"/>
      <c r="AX160" s="545"/>
      <c r="AY160" s="545"/>
      <c r="AZ160" s="545"/>
      <c r="BA160" s="545"/>
      <c r="BB160" s="328"/>
      <c r="BC160" s="328"/>
      <c r="BD160" s="328"/>
      <c r="BE160" s="328"/>
      <c r="BF160" s="328"/>
      <c r="BG160" s="328"/>
      <c r="BH160" s="328"/>
      <c r="BI160" s="328"/>
      <c r="BJ160" s="328"/>
      <c r="BK160" s="328"/>
      <c r="BL160" s="328"/>
      <c r="BM160" s="328"/>
      <c r="BN160" s="328"/>
      <c r="BO160" s="328"/>
      <c r="BP160" s="328"/>
      <c r="BQ160" s="328"/>
      <c r="BR160" s="328"/>
      <c r="BS160" s="369"/>
      <c r="BT160" s="233"/>
      <c r="BU160" s="233"/>
      <c r="BV160" s="222"/>
      <c r="BW160" s="222"/>
      <c r="BX160" s="222"/>
      <c r="BY160" s="211"/>
      <c r="BZ160" s="222"/>
      <c r="CA160" s="222"/>
      <c r="CB160" s="225"/>
      <c r="CC160" s="225"/>
      <c r="CD160" s="225"/>
      <c r="CE160" s="225"/>
      <c r="CF160" s="225"/>
      <c r="CG160" s="300"/>
      <c r="CH160" s="300"/>
      <c r="CI160" s="300"/>
      <c r="CJ160" s="522"/>
      <c r="CK160" s="522"/>
      <c r="CL160" s="522"/>
    </row>
    <row r="161" spans="1:90" s="212" customFormat="1" ht="30" customHeight="1" x14ac:dyDescent="0.25">
      <c r="A161" s="557"/>
      <c r="B161" s="558"/>
      <c r="C161" s="331" t="s">
        <v>26</v>
      </c>
      <c r="D161" s="564"/>
      <c r="E161" s="89">
        <f>E146</f>
        <v>11</v>
      </c>
      <c r="F161" s="89">
        <f>D160</f>
        <v>25</v>
      </c>
      <c r="G161" s="1836">
        <v>15</v>
      </c>
      <c r="H161" s="1836">
        <v>0.25</v>
      </c>
      <c r="I161" s="1836">
        <v>210</v>
      </c>
      <c r="J161" s="1836">
        <v>0</v>
      </c>
      <c r="K161" s="1836">
        <v>0</v>
      </c>
      <c r="L161" s="1836">
        <v>0</v>
      </c>
      <c r="M161" s="93">
        <f>IF($I161=0,0,1+(I161-$C$21)/$C$22)+$J161/$C$23+K161/$C$24+$L161/$C$25</f>
        <v>6.2424242424242422</v>
      </c>
      <c r="N161" s="92">
        <f t="shared" si="17"/>
        <v>5.722367659350211E-7</v>
      </c>
      <c r="O161" s="95">
        <f>2.5*0.01*$C$7*$C$14*$C$8*$H161*(2*PI()*(1-COS($G161/180*PI())))^1.3/$E161^2/$F161^2*N161*10^6</f>
        <v>5.101138747051231E-8</v>
      </c>
      <c r="P161" s="91">
        <f>IF($I161=0,0,1+($I161-$D$21)/$D$22)+$J161/$D$23+$K161/$D$24+$L161/$D$25</f>
        <v>5.5675675675675675</v>
      </c>
      <c r="Q161" s="92">
        <f t="shared" si="18"/>
        <v>2.7066520700332395E-6</v>
      </c>
      <c r="R161" s="95">
        <f>2.5*0.01*$C$7*$D$14*$D$8*$H161*(2*PI()*(1-COS($G161/180*PI())))^1.3/$E161^2/$F161^2*Q161*10^6</f>
        <v>2.4128138160910826E-7</v>
      </c>
      <c r="S161" s="93">
        <f>IF($I161=0,0,1+(I161-$E$21)/$E$22)+$J161/$E$23+K161/$E$24+$L161/$E$25</f>
        <v>4.8372093023255811</v>
      </c>
      <c r="T161" s="92">
        <f t="shared" si="19"/>
        <v>1.4547578108480478E-5</v>
      </c>
      <c r="U161" s="95">
        <f>2.5*0.01*$C$7*$E$14*$E$8*$H161*(2*PI()*(1-COS($G161/180*PI())))^1.3/$E161^2/$F161^2*T161*10^6</f>
        <v>1.2968270964496306E-6</v>
      </c>
      <c r="V161" s="93">
        <f>IF($I161=0,0,1+(I161-$F$21)/$F$22)+$J161/$F$23+K161/$F$24+$L161/$F$25</f>
        <v>7.666666666666667</v>
      </c>
      <c r="W161" s="92">
        <f t="shared" si="20"/>
        <v>2.1544346900318783E-8</v>
      </c>
      <c r="X161" s="95">
        <f>2.5*0.01*$C$7*$F$14*$F$8*$H161*(2*PI()*(1-COS($G161/180*PI())))^1.3/$E161^2/$F161^2*W161*10^6</f>
        <v>1.920545992418962E-9</v>
      </c>
      <c r="Y161" s="93">
        <f>IF($I161=0,0,1+(I161-$G$21)/$G$22)+$J161/$G$23+K161/$G$24+$L161/$G$25</f>
        <v>5.833333333333333</v>
      </c>
      <c r="Z161" s="92">
        <f t="shared" si="21"/>
        <v>1.4677992676220696E-6</v>
      </c>
      <c r="AA161" s="96">
        <f>2.5*0.01*$C$7*$G$14*$G$8*$H161*(2*PI()*(1-COS($G161/180*PI())))^1.3/$E161^2/$F161^2*Z161*10^6</f>
        <v>1.3084527528960935E-7</v>
      </c>
      <c r="AB161" s="560">
        <f>SUM(O161,R161,U161,X161,AA161)</f>
        <v>1.7218856868112794E-6</v>
      </c>
      <c r="AC161" s="565"/>
      <c r="AD161" s="566"/>
      <c r="AE161" s="538"/>
      <c r="AF161" s="538"/>
      <c r="AG161" s="567"/>
      <c r="AH161" s="538"/>
      <c r="AI161" s="563"/>
      <c r="AJ161" s="545"/>
      <c r="AK161" s="545"/>
      <c r="AL161" s="538"/>
      <c r="AM161" s="538"/>
      <c r="AN161" s="538"/>
      <c r="AO161" s="538"/>
      <c r="AP161" s="538"/>
      <c r="AQ161" s="538"/>
      <c r="AR161" s="538"/>
      <c r="AS161" s="538"/>
      <c r="AT161" s="538"/>
      <c r="AU161" s="538"/>
      <c r="AV161" s="538"/>
      <c r="AW161" s="538"/>
      <c r="AX161" s="545"/>
      <c r="AY161" s="545"/>
      <c r="AZ161" s="545"/>
      <c r="BA161" s="545"/>
      <c r="BB161" s="328"/>
      <c r="BC161" s="328"/>
      <c r="BD161" s="328"/>
      <c r="BE161" s="328"/>
      <c r="BF161" s="328"/>
      <c r="BG161" s="328"/>
      <c r="BH161" s="328"/>
      <c r="BI161" s="328"/>
      <c r="BJ161" s="328"/>
      <c r="BK161" s="328"/>
      <c r="BL161" s="328"/>
      <c r="BM161" s="328"/>
      <c r="BN161" s="328"/>
      <c r="BO161" s="328"/>
      <c r="BP161" s="328"/>
      <c r="BQ161" s="328"/>
      <c r="BR161" s="328"/>
      <c r="BS161" s="369"/>
      <c r="BT161" s="233"/>
      <c r="BU161" s="233"/>
      <c r="BV161" s="222"/>
      <c r="BW161" s="222"/>
      <c r="BX161" s="222"/>
      <c r="BY161" s="211"/>
      <c r="BZ161" s="222"/>
      <c r="CA161" s="222"/>
      <c r="CB161" s="225"/>
      <c r="CC161" s="225"/>
      <c r="CD161" s="225"/>
      <c r="CE161" s="225"/>
      <c r="CF161" s="225"/>
      <c r="CG161" s="300"/>
      <c r="CH161" s="300"/>
      <c r="CI161" s="300"/>
      <c r="CJ161" s="522"/>
      <c r="CK161" s="522"/>
      <c r="CL161" s="522"/>
    </row>
    <row r="162" spans="1:90" s="538" customFormat="1" ht="30" customHeight="1" thickBot="1" x14ac:dyDescent="0.3">
      <c r="A162" s="582"/>
      <c r="B162" s="583"/>
      <c r="C162" s="584" t="s">
        <v>27</v>
      </c>
      <c r="D162" s="58"/>
      <c r="E162" s="58">
        <f>E147</f>
        <v>10</v>
      </c>
      <c r="F162" s="58"/>
      <c r="G162" s="1859">
        <v>60</v>
      </c>
      <c r="H162" s="56"/>
      <c r="I162" s="1859">
        <v>190</v>
      </c>
      <c r="J162" s="1859">
        <v>0</v>
      </c>
      <c r="K162" s="1859">
        <v>0</v>
      </c>
      <c r="L162" s="1859">
        <v>0</v>
      </c>
      <c r="M162" s="100">
        <f>$I162/$C$27+$J162/$C$28+K162/$C$29+$L162/$C$30</f>
        <v>5.5882352941176467</v>
      </c>
      <c r="N162" s="101">
        <f t="shared" si="17"/>
        <v>2.580861540418073E-6</v>
      </c>
      <c r="O162" s="102">
        <f>2.5*0.01*$C$7*$C$15*$C$8*($C$9+$C$10*$C$11)*(2*PI()*(1-COS($G162/180*PI())))^1.3/E$147^2/$F161^2*N162*10^6</f>
        <v>2.7432840731901286E-6</v>
      </c>
      <c r="P162" s="100">
        <f>$I162/$D$27+$J162/$D$28+$K162/$D$29+$L162/$D$30</f>
        <v>5</v>
      </c>
      <c r="Q162" s="101">
        <f t="shared" si="18"/>
        <v>1.0000000000000001E-5</v>
      </c>
      <c r="R162" s="102">
        <f>2.5*0.01*$C$7*$C$15*$D$8*($D$9+$D$10*$D$11)*(2*PI()*(1-COS($G162/180*PI())))^1.3/$E162^2/$F161^2*Q162*10^6</f>
        <v>1.0629334546733355E-5</v>
      </c>
      <c r="S162" s="100">
        <f>$I162/$E$27+$J162/$E$28+K162/$E$29+$L162/$E$30</f>
        <v>4.3181818181818183</v>
      </c>
      <c r="T162" s="101">
        <f t="shared" si="19"/>
        <v>4.8063808630643867E-5</v>
      </c>
      <c r="U162" s="102">
        <f>2.5*0.01*$C$7*$C$15*$E$8*($E$9+$E$10*$E$11)*(2*PI()*(1-COS($G162/180*PI())))^1.3/$E162^2/$F161^2*T162*10^6</f>
        <v>5.1088630152528366E-5</v>
      </c>
      <c r="V162" s="100">
        <f>$I162/$F$27+$J162/$F$28+K162/$F$29+$L162/$F$30</f>
        <v>6.2295081967213113</v>
      </c>
      <c r="W162" s="101">
        <f t="shared" si="20"/>
        <v>5.8951085074002664E-7</v>
      </c>
      <c r="X162" s="102">
        <f>2.5*0.01*$C$7*$C$15*$F$8*($F$9+$F$10*$F$11)*(2*PI()*(1-COS($G162/180*PI())))^1.3/$E162^2/$F161^2*W162*10^6</f>
        <v>6.2661080514451354E-7</v>
      </c>
      <c r="Y162" s="100">
        <f>$I162/$G$27+$J162/$G$28+K162/$G$29+$L162/$G$30</f>
        <v>5.3370786516853927</v>
      </c>
      <c r="Z162" s="101">
        <f t="shared" si="21"/>
        <v>4.6017322765137984E-6</v>
      </c>
      <c r="AA162" s="103">
        <f>2.5*0.01*$C$7*$C$15*$G$8*($G$9+$G$10*$G$11)*(2*PI()*(1-COS($G162/180*PI())))^1.3/$E162^2/$F161^2*Z162*10^6</f>
        <v>4.891335186156605E-6</v>
      </c>
      <c r="AB162" s="569">
        <f>SUM(O162,R162,U162,X162,AA162)</f>
        <v>6.9979194763752965E-5</v>
      </c>
      <c r="AC162" s="570"/>
      <c r="AD162" s="571"/>
      <c r="AH162" s="572"/>
      <c r="AI162" s="573"/>
      <c r="AJ162" s="563"/>
      <c r="AK162" s="551"/>
      <c r="AX162" s="545"/>
      <c r="AY162" s="545"/>
      <c r="AZ162" s="545"/>
      <c r="BA162" s="545"/>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row>
    <row r="163" spans="1:90" s="212" customFormat="1" ht="30" hidden="1" customHeight="1" x14ac:dyDescent="0.25">
      <c r="A163" s="57"/>
      <c r="B163" s="220"/>
      <c r="C163" s="310"/>
      <c r="D163" s="57"/>
      <c r="E163" s="57"/>
      <c r="F163" s="57"/>
      <c r="G163" s="57"/>
      <c r="H163" s="57"/>
      <c r="I163" s="57"/>
      <c r="J163" s="57"/>
      <c r="K163" s="57"/>
      <c r="L163" s="57"/>
      <c r="M163" s="369"/>
      <c r="N163" s="328"/>
      <c r="O163" s="586"/>
      <c r="P163" s="369"/>
      <c r="Q163" s="328"/>
      <c r="R163" s="586"/>
      <c r="S163" s="369"/>
      <c r="T163" s="328"/>
      <c r="U163" s="586"/>
      <c r="V163" s="369"/>
      <c r="W163" s="328"/>
      <c r="X163" s="586"/>
      <c r="Y163" s="369"/>
      <c r="Z163" s="328"/>
      <c r="AA163" s="586"/>
      <c r="AB163" s="328"/>
      <c r="AC163" s="587"/>
      <c r="AD163" s="225"/>
      <c r="AH163" s="580"/>
      <c r="AI163" s="581"/>
      <c r="AJ163" s="282"/>
      <c r="AK163" s="300"/>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row>
    <row r="164" spans="1:90" s="538" customFormat="1" ht="19.5" customHeight="1" x14ac:dyDescent="0.25">
      <c r="A164" s="517"/>
      <c r="B164" s="222"/>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189"/>
      <c r="Y164" s="189"/>
      <c r="Z164" s="189"/>
      <c r="AA164" s="189"/>
      <c r="AB164" s="189"/>
      <c r="AC164" s="189"/>
      <c r="AD164" s="202"/>
      <c r="AE164" s="202"/>
      <c r="AF164" s="202"/>
      <c r="AG164" s="202"/>
    </row>
    <row r="165" spans="1:90" s="212" customFormat="1" ht="19.5" customHeight="1" x14ac:dyDescent="0.25">
      <c r="A165" s="222"/>
      <c r="B165" s="222"/>
      <c r="C165" s="222"/>
      <c r="D165" s="222"/>
      <c r="E165" s="222"/>
      <c r="F165" s="222"/>
      <c r="G165" s="222"/>
      <c r="H165" s="222"/>
      <c r="I165" s="272"/>
      <c r="J165" s="588"/>
      <c r="K165" s="589"/>
      <c r="L165" s="288"/>
      <c r="M165" s="590"/>
      <c r="N165" s="591"/>
      <c r="O165" s="590"/>
      <c r="P165" s="592"/>
      <c r="Q165" s="201"/>
      <c r="R165" s="201"/>
      <c r="S165" s="201"/>
      <c r="T165" s="201"/>
      <c r="U165" s="201"/>
      <c r="V165" s="189"/>
      <c r="W165" s="593"/>
      <c r="X165" s="593"/>
      <c r="Y165" s="594"/>
      <c r="Z165" s="189"/>
      <c r="AA165" s="189"/>
      <c r="AB165" s="551"/>
      <c r="AC165" s="551"/>
      <c r="AD165" s="538"/>
      <c r="AE165" s="538"/>
      <c r="AF165" s="189"/>
      <c r="AG165" s="222"/>
      <c r="AH165" s="211"/>
      <c r="AI165" s="222"/>
      <c r="AJ165" s="222"/>
      <c r="AK165" s="225"/>
      <c r="AL165" s="225"/>
      <c r="AM165" s="225"/>
      <c r="AN165" s="225"/>
      <c r="AO165" s="225"/>
      <c r="AP165" s="300"/>
      <c r="AQ165" s="300"/>
      <c r="AR165" s="300"/>
      <c r="AS165" s="300"/>
      <c r="AT165" s="300"/>
      <c r="AU165" s="300"/>
      <c r="AV165" s="225"/>
      <c r="AW165" s="225"/>
      <c r="AX165" s="225"/>
      <c r="AY165" s="225"/>
      <c r="AZ165" s="225"/>
      <c r="BA165" s="225"/>
      <c r="BB165" s="225"/>
      <c r="BC165" s="225"/>
      <c r="BD165" s="225"/>
      <c r="BE165" s="225"/>
      <c r="BF165" s="225"/>
      <c r="BG165" s="225"/>
      <c r="BH165" s="225"/>
      <c r="BI165" s="225"/>
      <c r="BJ165" s="225"/>
    </row>
    <row r="166" spans="1:90" s="212" customFormat="1" ht="19.5" customHeight="1" x14ac:dyDescent="0.25">
      <c r="A166" s="595" t="s">
        <v>418</v>
      </c>
      <c r="B166" s="595"/>
      <c r="C166" s="596"/>
      <c r="D166" s="288"/>
      <c r="E166" s="288"/>
      <c r="F166" s="288"/>
      <c r="G166" s="288"/>
      <c r="H166" s="288"/>
      <c r="I166" s="288"/>
      <c r="J166" s="288"/>
      <c r="K166" s="288"/>
      <c r="L166" s="288"/>
      <c r="M166" s="288"/>
      <c r="N166" s="288"/>
      <c r="O166" s="288"/>
      <c r="P166" s="288"/>
      <c r="Q166" s="288"/>
      <c r="R166" s="288"/>
      <c r="S166" s="288"/>
      <c r="T166" s="288"/>
      <c r="U166" s="288"/>
      <c r="V166" s="222"/>
      <c r="W166" s="222"/>
      <c r="X166" s="222"/>
      <c r="Y166" s="222"/>
      <c r="Z166" s="222"/>
      <c r="AA166" s="222"/>
      <c r="AB166" s="187"/>
      <c r="AC166" s="187"/>
      <c r="AD166" s="187"/>
      <c r="AE166" s="187"/>
      <c r="AF166" s="222"/>
      <c r="AG166" s="587"/>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row>
    <row r="167" spans="1:90" s="604" customFormat="1" ht="19.5" customHeight="1" x14ac:dyDescent="0.25">
      <c r="A167" s="597"/>
      <c r="B167" s="598"/>
      <c r="C167" s="599"/>
      <c r="D167" s="599"/>
      <c r="E167" s="599"/>
      <c r="F167" s="600"/>
      <c r="G167" s="600"/>
      <c r="H167" s="600"/>
      <c r="I167" s="601"/>
      <c r="J167" s="600"/>
      <c r="K167" s="602"/>
      <c r="L167" s="603"/>
      <c r="M167" s="603"/>
    </row>
    <row r="168" spans="1:90" s="212" customFormat="1" ht="19.5" customHeight="1" x14ac:dyDescent="0.25">
      <c r="A168" s="605" t="s">
        <v>322</v>
      </c>
      <c r="C168" s="288"/>
      <c r="D168" s="288"/>
      <c r="E168" s="288"/>
      <c r="F168" s="288"/>
      <c r="G168" s="288"/>
      <c r="H168" s="288"/>
      <c r="I168" s="288"/>
      <c r="J168" s="288"/>
      <c r="K168" s="288"/>
      <c r="L168" s="288"/>
      <c r="M168" s="288"/>
      <c r="N168" s="288"/>
      <c r="O168" s="288"/>
      <c r="P168" s="288"/>
      <c r="Q168" s="288"/>
      <c r="R168" s="288"/>
      <c r="S168" s="288"/>
      <c r="T168" s="288"/>
      <c r="U168" s="288"/>
      <c r="V168" s="222"/>
      <c r="W168" s="222"/>
      <c r="X168" s="222"/>
      <c r="Y168" s="222"/>
      <c r="Z168" s="222"/>
      <c r="AA168" s="222"/>
      <c r="AB168" s="222"/>
      <c r="AC168" s="222"/>
      <c r="AD168" s="222"/>
      <c r="AE168" s="222"/>
      <c r="AF168" s="538"/>
      <c r="AG168" s="538"/>
      <c r="AH168" s="538"/>
      <c r="AI168" s="538"/>
      <c r="AJ168" s="538"/>
      <c r="AK168" s="538"/>
      <c r="AL168" s="538"/>
      <c r="AM168" s="538"/>
      <c r="AN168" s="538"/>
      <c r="AO168" s="538"/>
      <c r="AP168" s="545"/>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69"/>
      <c r="BL168" s="233"/>
      <c r="BM168" s="233"/>
      <c r="BN168" s="222"/>
      <c r="BO168" s="233"/>
      <c r="BP168" s="222"/>
      <c r="BQ168" s="211"/>
      <c r="BR168" s="222"/>
      <c r="BS168" s="222"/>
      <c r="BT168" s="225"/>
      <c r="BU168" s="225"/>
      <c r="BV168" s="225"/>
      <c r="BW168" s="225"/>
      <c r="BX168" s="225"/>
      <c r="BY168" s="300"/>
      <c r="BZ168" s="300"/>
      <c r="CA168" s="300"/>
      <c r="CB168" s="522"/>
      <c r="CC168" s="522"/>
      <c r="CD168" s="522"/>
    </row>
    <row r="169" spans="1:90" s="222" customFormat="1" ht="19.5" customHeight="1" x14ac:dyDescent="0.25">
      <c r="A169" s="301"/>
      <c r="B169" s="305"/>
      <c r="C169" s="302"/>
      <c r="D169" s="606" t="s">
        <v>261</v>
      </c>
      <c r="E169" s="607" t="s">
        <v>323</v>
      </c>
      <c r="F169" s="608"/>
      <c r="G169" s="609" t="s">
        <v>224</v>
      </c>
      <c r="H169" s="608" t="s">
        <v>329</v>
      </c>
      <c r="I169" s="2014" t="s">
        <v>260</v>
      </c>
      <c r="J169" s="2015"/>
      <c r="K169" s="607" t="s">
        <v>260</v>
      </c>
      <c r="L169" s="288"/>
      <c r="M169" s="288"/>
      <c r="N169" s="288"/>
      <c r="O169" s="288"/>
      <c r="P169" s="610"/>
      <c r="Q169" s="288"/>
      <c r="R169" s="288"/>
      <c r="S169" s="610"/>
      <c r="T169" s="288"/>
      <c r="U169" s="288"/>
      <c r="V169" s="610"/>
      <c r="W169" s="288"/>
      <c r="X169" s="288"/>
      <c r="Y169" s="288"/>
      <c r="Z169" s="288"/>
      <c r="AB169" s="288"/>
      <c r="AC169" s="288"/>
    </row>
    <row r="170" spans="1:90" s="222" customFormat="1" ht="19.5" customHeight="1" x14ac:dyDescent="0.25">
      <c r="A170" s="308" t="s">
        <v>50</v>
      </c>
      <c r="B170" s="611" t="s">
        <v>15</v>
      </c>
      <c r="C170" s="498" t="s">
        <v>25</v>
      </c>
      <c r="D170" s="612" t="s">
        <v>356</v>
      </c>
      <c r="E170" s="613" t="s">
        <v>324</v>
      </c>
      <c r="F170" s="613" t="s">
        <v>4</v>
      </c>
      <c r="G170" s="299" t="s">
        <v>259</v>
      </c>
      <c r="H170" s="613" t="s">
        <v>87</v>
      </c>
      <c r="I170" s="614"/>
      <c r="J170" s="614" t="s">
        <v>11</v>
      </c>
      <c r="K170" s="614" t="s">
        <v>11</v>
      </c>
      <c r="L170" s="288"/>
      <c r="M170" s="288"/>
      <c r="N170" s="288"/>
      <c r="O170" s="288"/>
      <c r="P170" s="610"/>
      <c r="Q170" s="288"/>
      <c r="R170" s="288"/>
      <c r="S170" s="610"/>
      <c r="T170" s="288"/>
      <c r="U170" s="288"/>
      <c r="V170" s="610"/>
      <c r="W170" s="288"/>
      <c r="X170" s="288"/>
      <c r="Y170" s="288"/>
      <c r="Z170" s="288"/>
      <c r="AB170" s="288"/>
      <c r="AC170" s="288"/>
    </row>
    <row r="171" spans="1:90" s="222" customFormat="1" ht="19.5" customHeight="1" x14ac:dyDescent="0.25">
      <c r="A171" s="615"/>
      <c r="B171" s="616"/>
      <c r="C171" s="499"/>
      <c r="D171" s="612" t="s">
        <v>357</v>
      </c>
      <c r="E171" s="617" t="s">
        <v>325</v>
      </c>
      <c r="F171" s="617" t="s">
        <v>78</v>
      </c>
      <c r="G171" s="299" t="s">
        <v>258</v>
      </c>
      <c r="H171" s="617"/>
      <c r="I171" s="614" t="s">
        <v>337</v>
      </c>
      <c r="J171" s="614" t="s">
        <v>337</v>
      </c>
      <c r="K171" s="614" t="s">
        <v>166</v>
      </c>
      <c r="L171" s="288"/>
      <c r="M171" s="288"/>
      <c r="N171" s="288"/>
      <c r="O171" s="288"/>
      <c r="P171" s="610"/>
      <c r="Q171" s="288"/>
      <c r="R171" s="288"/>
      <c r="S171" s="610"/>
      <c r="T171" s="288"/>
      <c r="U171" s="288"/>
      <c r="V171" s="610"/>
      <c r="W171" s="288"/>
      <c r="X171" s="288"/>
      <c r="Y171" s="288"/>
      <c r="Z171" s="288"/>
      <c r="AB171" s="288"/>
      <c r="AC171" s="288"/>
    </row>
    <row r="172" spans="1:90" s="222" customFormat="1" ht="30" customHeight="1" thickBot="1" x14ac:dyDescent="0.3">
      <c r="A172" s="684"/>
      <c r="B172" s="2031" t="str">
        <f>Samenvatting!A265</f>
        <v>achterblijven in bestralingsruimte tijdens bestraling</v>
      </c>
      <c r="C172" s="619" t="s">
        <v>0</v>
      </c>
      <c r="D172" s="1860">
        <v>550</v>
      </c>
      <c r="E172" s="620"/>
      <c r="F172" s="1861">
        <v>2</v>
      </c>
      <c r="G172" s="1862">
        <v>30</v>
      </c>
      <c r="H172" s="1860">
        <v>1</v>
      </c>
      <c r="I172" s="621">
        <f>D172*$C$15/F172^2*G172/60*10</f>
        <v>0.6875</v>
      </c>
      <c r="J172" s="622">
        <f>SUM(I172:I173)</f>
        <v>2.0625</v>
      </c>
      <c r="K172" s="622">
        <f>J172*H172</f>
        <v>2.0625</v>
      </c>
      <c r="N172" s="288"/>
      <c r="O172" s="288"/>
      <c r="P172" s="288"/>
      <c r="Q172" s="288"/>
      <c r="R172" s="288"/>
      <c r="S172" s="288"/>
      <c r="T172" s="288"/>
      <c r="U172" s="288"/>
      <c r="V172" s="288"/>
      <c r="W172" s="288"/>
      <c r="X172" s="288"/>
      <c r="Y172" s="288"/>
      <c r="Z172" s="288"/>
      <c r="AA172" s="288"/>
      <c r="AB172" s="288"/>
    </row>
    <row r="173" spans="1:90" s="222" customFormat="1" ht="30" customHeight="1" thickBot="1" x14ac:dyDescent="0.3">
      <c r="A173" s="623"/>
      <c r="B173" s="2032"/>
      <c r="C173" s="619" t="s">
        <v>33</v>
      </c>
      <c r="D173" s="624"/>
      <c r="E173" s="1852">
        <f>0.01*20</f>
        <v>0.2</v>
      </c>
      <c r="F173" s="625">
        <f>F172</f>
        <v>2</v>
      </c>
      <c r="G173" s="626">
        <f>G172</f>
        <v>30</v>
      </c>
      <c r="H173" s="629"/>
      <c r="I173" s="621">
        <f>D172*E173/100/F173^2*G173/60*10</f>
        <v>1.375</v>
      </c>
      <c r="J173" s="627"/>
      <c r="K173" s="627"/>
      <c r="N173" s="288"/>
      <c r="O173" s="288"/>
      <c r="P173" s="288"/>
      <c r="Q173" s="288"/>
      <c r="R173" s="288"/>
      <c r="S173" s="288"/>
      <c r="T173" s="288"/>
      <c r="U173" s="288"/>
      <c r="V173" s="288"/>
      <c r="W173" s="288"/>
      <c r="X173" s="288"/>
      <c r="Y173" s="288"/>
      <c r="Z173" s="288"/>
      <c r="AA173" s="288"/>
      <c r="AB173" s="288"/>
    </row>
    <row r="174" spans="1:90" s="222" customFormat="1" ht="19.5" customHeight="1" x14ac:dyDescent="0.25">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189"/>
      <c r="W174" s="189"/>
      <c r="X174" s="189"/>
      <c r="Y174" s="189"/>
      <c r="Z174" s="189"/>
      <c r="AA174" s="189"/>
      <c r="AB174" s="202"/>
      <c r="AC174" s="202"/>
      <c r="AD174" s="202"/>
      <c r="AE174" s="202"/>
      <c r="AK174" s="299"/>
      <c r="AL174" s="299"/>
      <c r="AM174" s="299"/>
      <c r="AN174" s="299"/>
      <c r="AO174" s="299"/>
      <c r="AP174" s="299"/>
      <c r="AU174" s="211"/>
      <c r="AV174" s="266"/>
      <c r="BC174" s="211"/>
      <c r="BD174" s="211"/>
    </row>
    <row r="175" spans="1:90" x14ac:dyDescent="0.25">
      <c r="A175" s="605" t="s">
        <v>339</v>
      </c>
      <c r="B175" s="202"/>
      <c r="C175" s="288"/>
      <c r="D175" s="288"/>
      <c r="E175" s="288"/>
      <c r="F175" s="288"/>
      <c r="G175" s="288"/>
      <c r="H175" s="288"/>
      <c r="I175" s="288"/>
      <c r="J175" s="288"/>
      <c r="K175" s="288"/>
      <c r="L175" s="288"/>
      <c r="M175" s="288"/>
      <c r="N175" s="288"/>
      <c r="O175" s="288"/>
      <c r="P175" s="288"/>
      <c r="Q175" s="288"/>
      <c r="R175" s="288"/>
      <c r="S175" s="288"/>
      <c r="T175" s="288"/>
      <c r="U175" s="288"/>
      <c r="V175" s="222"/>
      <c r="W175" s="222"/>
      <c r="X175" s="222"/>
      <c r="Y175" s="222"/>
      <c r="Z175" s="222"/>
      <c r="AA175" s="222"/>
      <c r="AB175" s="222"/>
      <c r="AC175" s="222"/>
      <c r="AD175" s="222"/>
      <c r="AE175" s="222"/>
    </row>
    <row r="176" spans="1:90" s="187" customFormat="1" ht="19.5" customHeight="1" x14ac:dyDescent="0.25">
      <c r="A176" s="2020" t="s">
        <v>50</v>
      </c>
      <c r="B176" s="2023" t="s">
        <v>15</v>
      </c>
      <c r="C176" s="606" t="s">
        <v>261</v>
      </c>
      <c r="D176" s="607" t="s">
        <v>224</v>
      </c>
      <c r="E176" s="608" t="s">
        <v>329</v>
      </c>
      <c r="F176" s="607" t="s">
        <v>260</v>
      </c>
      <c r="G176" s="607" t="s">
        <v>260</v>
      </c>
      <c r="H176" s="628"/>
      <c r="I176" s="222"/>
      <c r="J176" s="288"/>
      <c r="K176" s="288"/>
      <c r="L176" s="288"/>
      <c r="M176" s="288"/>
      <c r="N176" s="288"/>
      <c r="O176" s="610"/>
      <c r="P176" s="288"/>
      <c r="Q176" s="288"/>
      <c r="R176" s="610"/>
      <c r="S176" s="288"/>
      <c r="T176" s="288"/>
      <c r="U176" s="610"/>
      <c r="V176" s="288"/>
      <c r="W176" s="288"/>
      <c r="X176" s="288"/>
      <c r="Y176" s="288"/>
      <c r="Z176" s="222"/>
      <c r="AA176" s="288"/>
      <c r="AB176" s="288"/>
      <c r="AC176" s="222"/>
      <c r="AD176" s="222"/>
      <c r="AE176" s="222"/>
    </row>
    <row r="177" spans="1:52" s="222" customFormat="1" ht="19.5" customHeight="1" x14ac:dyDescent="0.25">
      <c r="A177" s="2021"/>
      <c r="B177" s="2024"/>
      <c r="C177" s="2026" t="s">
        <v>340</v>
      </c>
      <c r="D177" s="613" t="s">
        <v>328</v>
      </c>
      <c r="E177" s="613" t="s">
        <v>87</v>
      </c>
      <c r="F177" s="613"/>
      <c r="G177" s="614" t="s">
        <v>11</v>
      </c>
      <c r="H177" s="628"/>
      <c r="J177" s="288"/>
      <c r="K177" s="288"/>
      <c r="L177" s="288"/>
      <c r="M177" s="288"/>
      <c r="N177" s="288"/>
      <c r="O177" s="610"/>
      <c r="P177" s="288"/>
      <c r="Q177" s="288"/>
      <c r="R177" s="610"/>
      <c r="S177" s="288"/>
      <c r="T177" s="288"/>
      <c r="U177" s="610"/>
      <c r="V177" s="288"/>
      <c r="W177" s="288"/>
      <c r="X177" s="288"/>
      <c r="Y177" s="288"/>
      <c r="AA177" s="288"/>
      <c r="AB177" s="288"/>
    </row>
    <row r="178" spans="1:52" s="222" customFormat="1" ht="19.5" customHeight="1" x14ac:dyDescent="0.25">
      <c r="A178" s="2022"/>
      <c r="B178" s="2025"/>
      <c r="C178" s="2027"/>
      <c r="D178" s="617" t="s">
        <v>229</v>
      </c>
      <c r="E178" s="617"/>
      <c r="F178" s="614" t="s">
        <v>337</v>
      </c>
      <c r="G178" s="614" t="s">
        <v>166</v>
      </c>
      <c r="H178" s="628"/>
      <c r="J178" s="288"/>
      <c r="K178" s="288"/>
      <c r="L178" s="288"/>
      <c r="M178" s="288"/>
      <c r="N178" s="288"/>
      <c r="O178" s="610"/>
      <c r="P178" s="288"/>
      <c r="Q178" s="288"/>
      <c r="R178" s="610"/>
      <c r="S178" s="288"/>
      <c r="T178" s="288"/>
      <c r="U178" s="610"/>
      <c r="V178" s="288"/>
      <c r="W178" s="288"/>
      <c r="X178" s="288"/>
      <c r="Y178" s="288"/>
      <c r="AA178" s="288"/>
      <c r="AB178" s="288"/>
    </row>
    <row r="179" spans="1:52" s="222" customFormat="1" ht="30" customHeight="1" x14ac:dyDescent="0.25">
      <c r="A179" s="630"/>
      <c r="B179" s="631" t="str">
        <f>Samenvatting!A276</f>
        <v>werken in nabijheid geactiveerde target</v>
      </c>
      <c r="C179" s="1861">
        <v>25</v>
      </c>
      <c r="D179" s="1861">
        <v>0.5</v>
      </c>
      <c r="E179" s="1861">
        <v>4</v>
      </c>
      <c r="F179" s="632">
        <f>C179*D179/10^3</f>
        <v>1.2500000000000001E-2</v>
      </c>
      <c r="G179" s="621">
        <f>F179*E179</f>
        <v>0.05</v>
      </c>
      <c r="H179" s="633"/>
      <c r="M179" s="288"/>
      <c r="N179" s="288"/>
      <c r="O179" s="288"/>
      <c r="P179" s="288"/>
      <c r="Q179" s="288"/>
      <c r="R179" s="288"/>
      <c r="S179" s="288"/>
      <c r="T179" s="288"/>
      <c r="U179" s="288"/>
      <c r="V179" s="288"/>
      <c r="W179" s="288"/>
      <c r="X179" s="288"/>
      <c r="Y179" s="288"/>
      <c r="Z179" s="288"/>
      <c r="AA179" s="288"/>
    </row>
    <row r="180" spans="1:52" s="222" customFormat="1" ht="19.5" customHeight="1" x14ac:dyDescent="0.25">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189"/>
      <c r="W180" s="189"/>
      <c r="X180" s="189"/>
      <c r="Y180" s="189"/>
      <c r="Z180" s="189"/>
      <c r="AA180" s="189"/>
      <c r="AB180" s="202"/>
      <c r="AC180" s="202"/>
      <c r="AD180" s="202"/>
      <c r="AE180" s="202"/>
    </row>
    <row r="181" spans="1:52" s="225" customFormat="1" ht="19.5" customHeight="1" x14ac:dyDescent="0.25">
      <c r="A181" s="634" t="s">
        <v>327</v>
      </c>
      <c r="C181" s="288"/>
      <c r="D181" s="288"/>
      <c r="E181" s="288"/>
      <c r="F181" s="288"/>
      <c r="G181" s="288"/>
      <c r="H181" s="288"/>
      <c r="I181" s="288"/>
      <c r="J181" s="288"/>
      <c r="K181" s="288"/>
      <c r="L181" s="288"/>
      <c r="M181" s="288"/>
      <c r="N181" s="288"/>
      <c r="O181" s="288"/>
      <c r="P181" s="288"/>
      <c r="Q181" s="288"/>
      <c r="R181" s="288"/>
      <c r="S181" s="288"/>
      <c r="T181" s="288"/>
      <c r="U181" s="288"/>
      <c r="V181" s="222"/>
      <c r="W181" s="222"/>
      <c r="X181" s="222"/>
      <c r="Y181" s="222"/>
      <c r="Z181" s="222"/>
      <c r="AA181" s="222"/>
      <c r="AB181" s="222"/>
      <c r="AC181" s="222"/>
      <c r="AD181" s="222"/>
      <c r="AE181" s="222"/>
      <c r="AG181" s="328"/>
      <c r="AI181" s="328"/>
      <c r="AJ181" s="328"/>
      <c r="AK181" s="328"/>
      <c r="AL181" s="328"/>
      <c r="AP181" s="222"/>
      <c r="AQ181" s="211"/>
      <c r="AR181" s="222"/>
      <c r="AS181" s="222"/>
      <c r="AY181" s="300"/>
      <c r="AZ181" s="300"/>
    </row>
    <row r="182" spans="1:52" s="187" customFormat="1" ht="19.5" customHeight="1" x14ac:dyDescent="0.25">
      <c r="A182" s="2020" t="s">
        <v>50</v>
      </c>
      <c r="B182" s="2023" t="s">
        <v>15</v>
      </c>
      <c r="C182" s="606" t="s">
        <v>261</v>
      </c>
      <c r="D182" s="607" t="s">
        <v>224</v>
      </c>
      <c r="E182" s="608" t="s">
        <v>329</v>
      </c>
      <c r="F182" s="607" t="s">
        <v>260</v>
      </c>
      <c r="G182" s="607" t="s">
        <v>260</v>
      </c>
      <c r="H182" s="628"/>
      <c r="I182" s="222"/>
      <c r="J182" s="288"/>
      <c r="K182" s="288"/>
      <c r="L182" s="288"/>
      <c r="M182" s="288"/>
      <c r="N182" s="288"/>
      <c r="O182" s="610"/>
      <c r="P182" s="288"/>
      <c r="Q182" s="288"/>
      <c r="R182" s="610"/>
      <c r="S182" s="288"/>
      <c r="T182" s="288"/>
      <c r="U182" s="610"/>
      <c r="V182" s="288"/>
      <c r="W182" s="288"/>
      <c r="X182" s="288"/>
      <c r="Y182" s="288"/>
      <c r="Z182" s="222"/>
      <c r="AA182" s="288"/>
      <c r="AB182" s="288"/>
      <c r="AC182" s="222"/>
      <c r="AD182" s="222"/>
      <c r="AE182" s="222"/>
    </row>
    <row r="183" spans="1:52" s="222" customFormat="1" ht="19.5" customHeight="1" x14ac:dyDescent="0.25">
      <c r="A183" s="2021"/>
      <c r="B183" s="2024"/>
      <c r="C183" s="2026" t="s">
        <v>340</v>
      </c>
      <c r="D183" s="613" t="s">
        <v>328</v>
      </c>
      <c r="E183" s="613" t="s">
        <v>87</v>
      </c>
      <c r="F183" s="613"/>
      <c r="G183" s="614" t="s">
        <v>11</v>
      </c>
      <c r="H183" s="628"/>
      <c r="J183" s="288"/>
      <c r="K183" s="288"/>
      <c r="L183" s="288"/>
      <c r="M183" s="288"/>
      <c r="N183" s="288"/>
      <c r="O183" s="610"/>
      <c r="P183" s="288"/>
      <c r="Q183" s="288"/>
      <c r="R183" s="610"/>
      <c r="S183" s="288"/>
      <c r="T183" s="288"/>
      <c r="U183" s="610"/>
      <c r="V183" s="288"/>
      <c r="W183" s="288"/>
      <c r="X183" s="288"/>
      <c r="Y183" s="288"/>
      <c r="AA183" s="288"/>
      <c r="AB183" s="288"/>
    </row>
    <row r="184" spans="1:52" s="222" customFormat="1" ht="19.5" customHeight="1" x14ac:dyDescent="0.25">
      <c r="A184" s="2022"/>
      <c r="B184" s="2025"/>
      <c r="C184" s="2027"/>
      <c r="D184" s="617" t="s">
        <v>229</v>
      </c>
      <c r="E184" s="617"/>
      <c r="F184" s="614" t="s">
        <v>337</v>
      </c>
      <c r="G184" s="614" t="s">
        <v>166</v>
      </c>
      <c r="H184" s="628"/>
      <c r="J184" s="288"/>
      <c r="K184" s="288"/>
      <c r="L184" s="288"/>
      <c r="M184" s="288"/>
      <c r="N184" s="288"/>
      <c r="O184" s="610"/>
      <c r="P184" s="288"/>
      <c r="Q184" s="288"/>
      <c r="R184" s="610"/>
      <c r="S184" s="288"/>
      <c r="T184" s="288"/>
      <c r="U184" s="610"/>
      <c r="V184" s="288"/>
      <c r="W184" s="288"/>
      <c r="X184" s="288"/>
      <c r="Y184" s="288"/>
      <c r="AA184" s="288"/>
      <c r="AB184" s="288"/>
    </row>
    <row r="185" spans="1:52" s="222" customFormat="1" ht="30" customHeight="1" x14ac:dyDescent="0.25">
      <c r="A185" s="623"/>
      <c r="B185" s="631" t="str">
        <f>Samenvatting!A287</f>
        <v>werken in nabijheid geactiveerde onderdelen</v>
      </c>
      <c r="C185" s="1861">
        <v>1.5</v>
      </c>
      <c r="D185" s="1861">
        <v>2</v>
      </c>
      <c r="E185" s="1861">
        <v>24</v>
      </c>
      <c r="F185" s="632">
        <f>C185*D185/10^3</f>
        <v>3.0000000000000001E-3</v>
      </c>
      <c r="G185" s="621">
        <f>F185*E185</f>
        <v>7.2000000000000008E-2</v>
      </c>
      <c r="H185" s="635"/>
      <c r="M185" s="288"/>
      <c r="N185" s="288"/>
      <c r="O185" s="288"/>
      <c r="P185" s="288"/>
      <c r="Q185" s="288"/>
      <c r="R185" s="288"/>
      <c r="S185" s="288"/>
      <c r="T185" s="288"/>
      <c r="U185" s="288"/>
      <c r="V185" s="288"/>
      <c r="W185" s="288"/>
      <c r="X185" s="288"/>
      <c r="Y185" s="288"/>
      <c r="Z185" s="288"/>
      <c r="AA185" s="288"/>
    </row>
    <row r="186" spans="1:52" s="222" customFormat="1" ht="19.5" customHeight="1" x14ac:dyDescent="0.25">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189"/>
      <c r="W186" s="189"/>
      <c r="X186" s="189"/>
      <c r="Y186" s="189"/>
      <c r="Z186" s="189"/>
      <c r="AA186" s="189"/>
      <c r="AB186" s="202"/>
      <c r="AC186" s="202"/>
      <c r="AD186" s="202"/>
      <c r="AE186" s="202"/>
    </row>
    <row r="187" spans="1:52" s="225" customFormat="1" ht="19.5" customHeight="1" thickBot="1" x14ac:dyDescent="0.3">
      <c r="A187" s="288" t="s">
        <v>326</v>
      </c>
      <c r="C187" s="636"/>
      <c r="D187" s="265"/>
      <c r="E187" s="265"/>
      <c r="F187" s="265"/>
      <c r="G187" s="265"/>
      <c r="H187" s="265"/>
      <c r="I187" s="233"/>
      <c r="J187" s="242"/>
      <c r="K187" s="233"/>
      <c r="L187" s="233"/>
      <c r="M187" s="242"/>
      <c r="N187" s="369"/>
      <c r="O187" s="222"/>
      <c r="P187" s="222"/>
      <c r="Q187" s="222"/>
      <c r="R187" s="222"/>
      <c r="T187" s="328"/>
      <c r="V187" s="328"/>
      <c r="W187" s="328"/>
      <c r="X187" s="328"/>
      <c r="Y187" s="328"/>
      <c r="AC187" s="222"/>
      <c r="AD187" s="211"/>
      <c r="AE187" s="222"/>
      <c r="AF187" s="222"/>
      <c r="AL187" s="300"/>
      <c r="AM187" s="300"/>
    </row>
    <row r="188" spans="1:52" s="225" customFormat="1" ht="19.5" customHeight="1" thickBot="1" x14ac:dyDescent="0.3">
      <c r="A188" s="2020" t="s">
        <v>50</v>
      </c>
      <c r="B188" s="2023" t="s">
        <v>15</v>
      </c>
      <c r="C188" s="1998" t="s">
        <v>25</v>
      </c>
      <c r="D188" s="1998" t="s">
        <v>158</v>
      </c>
      <c r="E188" s="2012" t="s">
        <v>527</v>
      </c>
      <c r="F188" s="304" t="s">
        <v>77</v>
      </c>
      <c r="G188" s="637"/>
      <c r="H188" s="305"/>
      <c r="I188" s="607" t="s">
        <v>224</v>
      </c>
      <c r="J188" s="608" t="s">
        <v>329</v>
      </c>
      <c r="K188" s="2016">
        <v>18</v>
      </c>
      <c r="L188" s="2017"/>
      <c r="M188" s="2018"/>
      <c r="N188" s="2003" t="s">
        <v>16</v>
      </c>
      <c r="O188" s="2004"/>
      <c r="P188" s="222"/>
      <c r="Q188" s="222"/>
      <c r="R188" s="222"/>
      <c r="T188" s="328"/>
      <c r="V188" s="328"/>
      <c r="W188" s="328"/>
      <c r="X188" s="328"/>
      <c r="Y188" s="328"/>
      <c r="AC188" s="222"/>
      <c r="AD188" s="211"/>
      <c r="AE188" s="222"/>
      <c r="AF188" s="222"/>
      <c r="AL188" s="300"/>
      <c r="AM188" s="300"/>
    </row>
    <row r="189" spans="1:52" s="222" customFormat="1" ht="19.5" customHeight="1" x14ac:dyDescent="0.25">
      <c r="A189" s="2021"/>
      <c r="B189" s="2024"/>
      <c r="C189" s="2010"/>
      <c r="D189" s="2010"/>
      <c r="E189" s="2010"/>
      <c r="F189" s="639"/>
      <c r="G189" s="211"/>
      <c r="H189" s="611"/>
      <c r="I189" s="614" t="s">
        <v>328</v>
      </c>
      <c r="J189" s="613" t="s">
        <v>87</v>
      </c>
      <c r="K189" s="312" t="s">
        <v>86</v>
      </c>
      <c r="L189" s="312" t="s">
        <v>206</v>
      </c>
      <c r="M189" s="312" t="s">
        <v>260</v>
      </c>
      <c r="N189" s="613"/>
      <c r="O189" s="614" t="s">
        <v>11</v>
      </c>
      <c r="T189" s="328"/>
      <c r="V189" s="328"/>
      <c r="W189" s="328"/>
      <c r="X189" s="328"/>
      <c r="Y189" s="328"/>
      <c r="AD189" s="211"/>
      <c r="AL189" s="211"/>
      <c r="AM189" s="211"/>
    </row>
    <row r="190" spans="1:52" s="222" customFormat="1" ht="19.5" customHeight="1" thickBot="1" x14ac:dyDescent="0.3">
      <c r="A190" s="2022"/>
      <c r="B190" s="2025"/>
      <c r="C190" s="2011"/>
      <c r="D190" s="2011"/>
      <c r="E190" s="2013"/>
      <c r="F190" s="615" t="s">
        <v>1</v>
      </c>
      <c r="G190" s="615" t="s">
        <v>61</v>
      </c>
      <c r="H190" s="615" t="s">
        <v>3</v>
      </c>
      <c r="I190" s="179" t="s">
        <v>229</v>
      </c>
      <c r="J190" s="179"/>
      <c r="K190" s="505" t="s">
        <v>208</v>
      </c>
      <c r="L190" s="505" t="s">
        <v>207</v>
      </c>
      <c r="M190" s="506" t="s">
        <v>341</v>
      </c>
      <c r="N190" s="614" t="s">
        <v>337</v>
      </c>
      <c r="O190" s="614" t="s">
        <v>166</v>
      </c>
      <c r="U190" s="328"/>
      <c r="W190" s="328"/>
      <c r="X190" s="328"/>
      <c r="Y190" s="328"/>
      <c r="Z190" s="328"/>
      <c r="AE190" s="211"/>
      <c r="AM190" s="211"/>
      <c r="AN190" s="211"/>
    </row>
    <row r="191" spans="1:52" s="222" customFormat="1" ht="30" customHeight="1" x14ac:dyDescent="0.25">
      <c r="A191" s="301"/>
      <c r="B191" s="2008" t="str">
        <f>Samenvatting!A298</f>
        <v>werkzaamheden uitvoeren in gecontroleerde ruimte (buiten de bestralingsruimte) terwijl er gestraald word: bv dak wegens reparaties</v>
      </c>
      <c r="C191" s="323" t="s">
        <v>569</v>
      </c>
      <c r="D191" s="1840">
        <v>6</v>
      </c>
      <c r="E191" s="1863">
        <v>0.25</v>
      </c>
      <c r="F191" s="1834">
        <v>250</v>
      </c>
      <c r="G191" s="1834">
        <v>0</v>
      </c>
      <c r="H191" s="1834">
        <v>0</v>
      </c>
      <c r="I191" s="640"/>
      <c r="J191" s="641"/>
      <c r="K191" s="686">
        <f>IF(K188=C4,IF($F191=0,0,1+($F191-$C$21)/$C$22)+$G191/$C$23+$H191/$C$24,IF(K188=D4,(IF($F191=0,0,1+($F191-$D$21)/$D$22)+$G191/$D$23+$H191/$D$24),IF(K188=E4,IF($F191=0,0,1+($F191-$E$21)/$E$22)+$G191/$E$23+$H191/$E$24,IF(K188=F4,IF($F191=0,0,1+($F191-$F$21)/$F$22)+$G191/$F$23+$H191/$F$24,IF(K188=G4,IF($F191=0,0,1+($F191-$G$21)/$G$22)+$G191/$G$23+$H191/$G$24,2)))))</f>
        <v>5.7674418604651159</v>
      </c>
      <c r="L191" s="72">
        <f>10^(-K191)</f>
        <v>1.7082763938087111E-6</v>
      </c>
      <c r="M191" s="71">
        <f>($C$7*$C$14*I192/40*$E191/$D191^2*L191*10^6)</f>
        <v>1.1863030512560492E-2</v>
      </c>
      <c r="N191" s="642">
        <f>M191+M192</f>
        <v>1.8104733127211996E-2</v>
      </c>
      <c r="O191" s="643">
        <f>N191*J192</f>
        <v>1.8104733127211996E-2</v>
      </c>
      <c r="U191" s="328"/>
      <c r="V191" s="328"/>
      <c r="W191" s="328"/>
      <c r="X191" s="328"/>
      <c r="Y191" s="328"/>
      <c r="Z191" s="328"/>
      <c r="AE191" s="211"/>
      <c r="AM191" s="211"/>
      <c r="AN191" s="211"/>
    </row>
    <row r="192" spans="1:52" s="222" customFormat="1" ht="30" customHeight="1" thickBot="1" x14ac:dyDescent="0.3">
      <c r="A192" s="623"/>
      <c r="B192" s="2019"/>
      <c r="C192" s="331" t="s">
        <v>568</v>
      </c>
      <c r="D192" s="1864">
        <v>5</v>
      </c>
      <c r="E192" s="644"/>
      <c r="F192" s="1865">
        <v>250</v>
      </c>
      <c r="G192" s="1865">
        <v>0</v>
      </c>
      <c r="H192" s="1865">
        <v>0</v>
      </c>
      <c r="I192" s="1866">
        <v>1</v>
      </c>
      <c r="J192" s="1867">
        <v>1</v>
      </c>
      <c r="K192" s="105">
        <f>IF(K188=$C$4,$F192/$C$27+$G192/$C$28+$H192/$C$29,IF(K188=$D$4,$F192/$D$27+$G192/$D$28+$H192/$D$29,IF(K188=$E$4,$F192/$E$27+$G192/$E$28+$H192/$E$29,IF(K188=$F$4,$F192/$F$27+$G192/$F$28+$H192/$F$29,IF(K188=$G$4,$F192/$G$27+$G192/$G$28+$H192/$G$29, )))))</f>
        <v>5.6818181818181817</v>
      </c>
      <c r="L192" s="106">
        <f>10^(-K192)</f>
        <v>2.0805675382171676E-6</v>
      </c>
      <c r="M192" s="105">
        <f>($C$7*I192/40*$C$15*($C$9+$C$10*$C$11)/$D192^2*L192*10^6)</f>
        <v>6.2417026146515033E-3</v>
      </c>
      <c r="N192" s="645"/>
      <c r="O192" s="646"/>
      <c r="U192" s="328"/>
      <c r="V192" s="328"/>
      <c r="W192" s="328"/>
      <c r="X192" s="328"/>
      <c r="Y192" s="328"/>
      <c r="Z192" s="328"/>
      <c r="AE192" s="211"/>
      <c r="AM192" s="211"/>
      <c r="AN192" s="211"/>
    </row>
    <row r="193" spans="1:31" s="222" customFormat="1" ht="30" customHeight="1" x14ac:dyDescent="0.25">
      <c r="A193" s="201"/>
      <c r="B193" s="201"/>
      <c r="C193" s="201"/>
      <c r="D193" s="201"/>
      <c r="E193" s="201"/>
      <c r="F193" s="201"/>
      <c r="G193" s="201"/>
      <c r="H193" s="201"/>
      <c r="I193" s="201"/>
      <c r="J193" s="201"/>
      <c r="K193" s="201"/>
      <c r="L193" s="201"/>
      <c r="M193" s="201"/>
      <c r="N193" s="189"/>
      <c r="O193" s="202"/>
      <c r="P193" s="202"/>
      <c r="Q193" s="202"/>
      <c r="R193" s="202"/>
    </row>
    <row r="194" spans="1:31" s="222" customFormat="1" ht="19.5" customHeight="1" x14ac:dyDescent="0.25">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189"/>
      <c r="W194" s="189"/>
      <c r="X194" s="189"/>
      <c r="Y194" s="189"/>
      <c r="Z194" s="189"/>
      <c r="AA194" s="189"/>
      <c r="AB194" s="202"/>
      <c r="AC194" s="202"/>
      <c r="AD194" s="202"/>
      <c r="AE194" s="202"/>
    </row>
    <row r="195" spans="1:31" ht="19.5" customHeight="1" x14ac:dyDescent="0.25">
      <c r="C195" s="279"/>
      <c r="D195" s="280"/>
      <c r="L195" s="647"/>
      <c r="M195" s="647"/>
      <c r="S195" s="648"/>
      <c r="U195" s="189"/>
      <c r="V195" s="190"/>
      <c r="AA195" s="202"/>
      <c r="AB195" s="538"/>
      <c r="AC195" s="538"/>
      <c r="AD195" s="538"/>
      <c r="AE195" s="538"/>
    </row>
    <row r="196" spans="1:31" ht="19.5" customHeight="1" x14ac:dyDescent="0.25"/>
    <row r="197" spans="1:31" ht="19.5" customHeight="1" x14ac:dyDescent="0.25"/>
  </sheetData>
  <sheetProtection algorithmName="SHA-512" hashValue="6gs4ZVHh0hL2adaYLISt8sl8ORfV+lxbp3pBxmthRl45qJqLsLbNX6tYsQ99rUfVwF8JErsXhRZ5oLgSUKqJ2A==" saltValue="9kJe2j+eR9bG1xslfkGaDw==" spinCount="100000" sheet="1" objects="1" scenarios="1"/>
  <mergeCells count="37">
    <mergeCell ref="B191:B192"/>
    <mergeCell ref="P140:R140"/>
    <mergeCell ref="S140:U140"/>
    <mergeCell ref="V140:X140"/>
    <mergeCell ref="Y140:AA140"/>
    <mergeCell ref="N188:O188"/>
    <mergeCell ref="K188:M188"/>
    <mergeCell ref="X128:Z128"/>
    <mergeCell ref="A182:A184"/>
    <mergeCell ref="B182:B184"/>
    <mergeCell ref="C183:C184"/>
    <mergeCell ref="M141:M142"/>
    <mergeCell ref="P141:P142"/>
    <mergeCell ref="B172:B173"/>
    <mergeCell ref="I169:J169"/>
    <mergeCell ref="A176:A178"/>
    <mergeCell ref="B176:B178"/>
    <mergeCell ref="C177:C178"/>
    <mergeCell ref="S141:S142"/>
    <mergeCell ref="V141:V142"/>
    <mergeCell ref="Y141:Y142"/>
    <mergeCell ref="Q132:Q133"/>
    <mergeCell ref="R132:R133"/>
    <mergeCell ref="AB130:AB135"/>
    <mergeCell ref="AC130:AC135"/>
    <mergeCell ref="A188:A190"/>
    <mergeCell ref="B188:B190"/>
    <mergeCell ref="C188:C190"/>
    <mergeCell ref="D188:D190"/>
    <mergeCell ref="E188:E190"/>
    <mergeCell ref="AB140:AD140"/>
    <mergeCell ref="AC141:AD141"/>
    <mergeCell ref="L134:L135"/>
    <mergeCell ref="M134:M135"/>
    <mergeCell ref="F132:F133"/>
    <mergeCell ref="J132:J133"/>
    <mergeCell ref="K130:K133"/>
  </mergeCells>
  <dataValidations disablePrompts="1" count="21">
    <dataValidation allowBlank="1" showInputMessage="1" showErrorMessage="1" promptTitle="let op" prompt="Als labyrint 1 bocht heeft dan dan is er geen dz5: 1 invullen_x000a_" sqref="S131:V131 P131:Q131 K130 L131:N131"/>
    <dataValidation allowBlank="1" showInputMessage="1" showErrorMessage="1" promptTitle="let op" prompt="als versneller parallel aan het labyrint draait is er geen dp2: 1 invullen" sqref="E131:G131"/>
    <dataValidation allowBlank="1" showInputMessage="1" showErrorMessage="1" promptTitle="let op" prompt="Fr richting opp A2._x000a_Als versneller parallel aan labyrint draait dan is er geen A2: fr is dan 0" sqref="W131"/>
    <dataValidation allowBlank="1" showInputMessage="1" showErrorMessage="1" prompt="Fr richting  opp A1_x000a_" sqref="W130"/>
    <dataValidation allowBlank="1" showInputMessage="1" showErrorMessage="1" promptTitle="let op" prompt="Alleen van belang als E &gt; 10 MV (neutronenproduktie)" sqref="G125:G126"/>
    <dataValidation allowBlank="1" showInputMessage="1" showErrorMessage="1" promptTitle="let op" prompt="als er geen afstand dp is: 1 invullen_x000a_Bij de voorbeeld plattegronden is er alleen een afstand dp in fig 6. " sqref="P17"/>
    <dataValidation type="list" allowBlank="1" showInputMessage="1" showErrorMessage="1" sqref="G107:G108">
      <formula1>"1,2"</formula1>
    </dataValidation>
    <dataValidation type="list" allowBlank="1" showInputMessage="1" showErrorMessage="1" sqref="G106">
      <formula1>"parallel,loodrecht"</formula1>
    </dataValidation>
    <dataValidation allowBlank="1" showInputMessage="1" showErrorMessage="1" promptTitle="let op" prompt="is 1 las versneller parallel aan het labyrint draait" sqref="R15:R16"/>
    <dataValidation allowBlank="1" showInputMessage="1" showErrorMessage="1" promptTitle="let op" prompt="als versneller parallel aan het labyrint draait is er geen dz2:_x000a_ 1 invullen" sqref="H131:J131"/>
    <dataValidation allowBlank="1" showInputMessage="1" showErrorMessage="1" prompt="als versneller parallel aan het labyrint draait is er geen A2_x000a_: 1 invullen" sqref="O131"/>
    <dataValidation allowBlank="1" showInputMessage="1" showErrorMessage="1" promptTitle="let op" prompt="Als labyrint 1 bocht heeft dan dan is er geen A5: 1 invullen" sqref="R130:R132"/>
    <dataValidation allowBlank="1" showInputMessage="1" showErrorMessage="1" prompt="Als labyrint 1 bocht heeft dan dan is er geen A5: 1 invullen_x000a_" sqref="E116:E117"/>
    <dataValidation allowBlank="1" showInputMessage="1" showErrorMessage="1" prompt="Fr voor gantry  90 graden als versneller parallel aan labyrint draait of Fr voor gantry 270 graden als versneller loodrecht op labyrint draait _x000a_" sqref="W133"/>
    <dataValidation allowBlank="1" showInputMessage="1" showErrorMessage="1" prompt="binnenmuur labyrint" sqref="X131:AA131"/>
    <dataValidation allowBlank="1" showInputMessage="1" showErrorMessage="1" prompt="Als kort labyrint (&lt; 5m) gebruik dan 6,1 cm" sqref="O115"/>
    <dataValidation type="list" allowBlank="1" showInputMessage="1" showErrorMessage="1" prompt="Zie handleiding voor verwijzing naar literatuur._x000a_" sqref="Q113">
      <formula1>"1,3,9,5,4,6,2"</formula1>
    </dataValidation>
    <dataValidation type="list" allowBlank="1" showInputMessage="1" showErrorMessage="1" prompt="Zie handleiding voor verwijzing naar literatuur._x000a_" sqref="Q111">
      <formula1>"1,5,7E-16,6,9E-16"</formula1>
    </dataValidation>
    <dataValidation type="list" allowBlank="1" showInputMessage="1" showErrorMessage="1" sqref="K188:M188">
      <formula1>$C$4:$H$4</formula1>
    </dataValidation>
    <dataValidation allowBlank="1" showInputMessage="1" showErrorMessage="1" prompt="Stralingsweegfactor, WR = 20" sqref="E173"/>
    <dataValidation type="list" allowBlank="1" showInputMessage="1" showErrorMessage="1" prompt="als head shielding van wolfraam dan 0,85, als van lood dan 1_x000a_als geen neutronen dan ook 1" sqref="C16">
      <formula1>"0,85,1"</formula1>
    </dataValidation>
  </dataValidations>
  <pageMargins left="0.70866141732283472" right="0.70866141732283472" top="0.74803149606299213" bottom="0.74803149606299213" header="0.31496062992125984" footer="0.31496062992125984"/>
  <pageSetup paperSize="8" scale="30" orientation="landscape" r:id="rId1"/>
  <headerFooter>
    <oddFooter>&amp;C&amp;F &amp;A</oddFooter>
  </headerFooter>
  <ignoredErrors>
    <ignoredError sqref="B179 B185"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CL197"/>
  <sheetViews>
    <sheetView showGridLines="0" topLeftCell="A164" zoomScale="70" zoomScaleNormal="70" workbookViewId="0">
      <selection activeCell="D191" sqref="D191:J192"/>
    </sheetView>
  </sheetViews>
  <sheetFormatPr defaultRowHeight="15" x14ac:dyDescent="0.25"/>
  <cols>
    <col min="1" max="1" width="6.7109375" style="201" customWidth="1"/>
    <col min="2" max="2" width="20.7109375" style="201" customWidth="1"/>
    <col min="3" max="21" width="12.7109375" style="201" customWidth="1"/>
    <col min="22" max="27" width="12.7109375" style="189" customWidth="1"/>
    <col min="28" max="36" width="12.7109375" style="202" customWidth="1"/>
    <col min="37" max="37" width="10" style="202" bestFit="1" customWidth="1"/>
    <col min="38" max="38" width="12.7109375" style="202" customWidth="1"/>
    <col min="39" max="39" width="10" style="202" bestFit="1" customWidth="1"/>
    <col min="40" max="45" width="12.7109375" style="202" customWidth="1"/>
    <col min="46" max="48" width="10.140625" style="202" bestFit="1" customWidth="1"/>
    <col min="49" max="55" width="12.140625" style="202" customWidth="1"/>
    <col min="56" max="60" width="10.140625" style="202" bestFit="1" customWidth="1"/>
    <col min="61" max="16384" width="9.140625" style="202"/>
  </cols>
  <sheetData>
    <row r="1" spans="1:31" s="187" customFormat="1" ht="26.25" customHeight="1" thickBot="1" x14ac:dyDescent="0.3">
      <c r="A1" s="181" t="s">
        <v>51</v>
      </c>
      <c r="B1" s="182"/>
      <c r="C1" s="183"/>
      <c r="D1" s="182"/>
      <c r="E1" s="182"/>
      <c r="F1" s="182"/>
      <c r="G1" s="182"/>
      <c r="H1" s="182"/>
      <c r="I1" s="182"/>
      <c r="J1" s="182"/>
      <c r="K1" s="182"/>
      <c r="L1" s="182"/>
      <c r="M1" s="182"/>
      <c r="N1" s="182"/>
      <c r="O1" s="182"/>
      <c r="P1" s="182"/>
      <c r="Q1" s="182"/>
      <c r="R1" s="182"/>
      <c r="S1" s="182"/>
      <c r="T1" s="182"/>
      <c r="U1" s="182"/>
      <c r="V1" s="184"/>
      <c r="W1" s="184"/>
      <c r="X1" s="184"/>
      <c r="Y1" s="184"/>
      <c r="Z1" s="184"/>
      <c r="AA1" s="184"/>
      <c r="AB1" s="185"/>
      <c r="AC1" s="185"/>
      <c r="AD1" s="185"/>
      <c r="AE1" s="186"/>
    </row>
    <row r="2" spans="1:31" s="189" customFormat="1" ht="18.75" customHeight="1" thickBot="1" x14ac:dyDescent="0.3">
      <c r="A2" s="188"/>
      <c r="F2" s="190"/>
      <c r="G2" s="190"/>
      <c r="H2" s="190"/>
    </row>
    <row r="3" spans="1:31" s="189" customFormat="1" ht="26.25" customHeight="1" thickBot="1" x14ac:dyDescent="0.3">
      <c r="A3" s="687" t="s">
        <v>314</v>
      </c>
      <c r="B3" s="688"/>
      <c r="C3" s="1868" t="s">
        <v>434</v>
      </c>
      <c r="D3" s="1868"/>
      <c r="E3" s="1868"/>
      <c r="F3" s="1869"/>
      <c r="G3" s="1870"/>
      <c r="H3" s="190"/>
      <c r="L3" s="193"/>
      <c r="M3" s="194" t="s">
        <v>420</v>
      </c>
      <c r="N3" s="195"/>
      <c r="O3" s="195"/>
      <c r="P3" s="195"/>
      <c r="Q3" s="195"/>
      <c r="R3" s="195"/>
      <c r="S3" s="195"/>
      <c r="T3" s="195"/>
    </row>
    <row r="4" spans="1:31" s="212" customFormat="1" ht="19.5" customHeight="1" thickBot="1" x14ac:dyDescent="0.3">
      <c r="A4" s="689" t="s">
        <v>55</v>
      </c>
      <c r="B4" s="690"/>
      <c r="C4" s="691">
        <v>6</v>
      </c>
      <c r="D4" s="691">
        <v>10</v>
      </c>
      <c r="E4" s="692">
        <v>18</v>
      </c>
      <c r="F4" s="691" t="s">
        <v>188</v>
      </c>
      <c r="G4" s="693" t="s">
        <v>189</v>
      </c>
      <c r="H4" s="207"/>
      <c r="I4" s="207"/>
      <c r="L4" s="195"/>
      <c r="M4" s="194"/>
      <c r="N4" s="195"/>
      <c r="O4" s="195"/>
      <c r="P4" s="195"/>
      <c r="Q4" s="195"/>
      <c r="R4" s="195"/>
      <c r="S4" s="195"/>
      <c r="T4" s="195"/>
      <c r="AD4" s="189"/>
    </row>
    <row r="5" spans="1:31" ht="22.5" customHeight="1" x14ac:dyDescent="0.25">
      <c r="A5" s="188"/>
      <c r="C5" s="205"/>
      <c r="D5" s="205"/>
      <c r="E5" s="205"/>
      <c r="F5" s="205"/>
      <c r="G5" s="205"/>
      <c r="L5" s="210"/>
      <c r="M5" s="194" t="s">
        <v>421</v>
      </c>
      <c r="N5" s="195"/>
      <c r="O5" s="195"/>
      <c r="P5" s="195"/>
      <c r="Q5" s="195"/>
      <c r="R5" s="195"/>
      <c r="S5" s="195"/>
      <c r="T5" s="195"/>
      <c r="U5" s="189"/>
      <c r="Z5" s="202"/>
      <c r="AA5" s="202"/>
    </row>
    <row r="6" spans="1:31" ht="19.5" customHeight="1" thickBot="1" x14ac:dyDescent="0.3">
      <c r="A6" s="188" t="s">
        <v>532</v>
      </c>
      <c r="B6" s="203"/>
      <c r="C6" s="650"/>
      <c r="D6" s="651"/>
      <c r="E6" s="651"/>
      <c r="F6" s="652"/>
      <c r="G6" s="652"/>
      <c r="H6" s="207"/>
      <c r="I6" s="207"/>
      <c r="J6" s="208"/>
      <c r="K6" s="209"/>
      <c r="L6" s="214"/>
      <c r="M6" s="194"/>
      <c r="N6" s="195"/>
      <c r="O6" s="195"/>
      <c r="P6" s="195"/>
      <c r="Q6" s="195"/>
      <c r="R6" s="195"/>
      <c r="S6" s="195"/>
      <c r="T6" s="195"/>
      <c r="AD6" s="211"/>
    </row>
    <row r="7" spans="1:31" s="212" customFormat="1" ht="19.5" customHeight="1" thickBot="1" x14ac:dyDescent="0.3">
      <c r="A7" s="215" t="s">
        <v>240</v>
      </c>
      <c r="B7" s="216"/>
      <c r="C7" s="1815">
        <f>10^3</f>
        <v>1000</v>
      </c>
      <c r="D7" s="217"/>
      <c r="E7" s="217"/>
      <c r="F7" s="217"/>
      <c r="G7" s="218"/>
      <c r="H7" s="189"/>
      <c r="I7" s="189"/>
      <c r="L7" s="219"/>
      <c r="M7" s="194" t="s">
        <v>651</v>
      </c>
      <c r="N7" s="195"/>
      <c r="O7" s="195"/>
      <c r="P7" s="195"/>
      <c r="Q7" s="195"/>
      <c r="R7" s="195"/>
      <c r="S7" s="195"/>
      <c r="T7" s="195"/>
    </row>
    <row r="8" spans="1:31" s="212" customFormat="1" ht="19.5" customHeight="1" x14ac:dyDescent="0.25">
      <c r="A8" s="215" t="s">
        <v>122</v>
      </c>
      <c r="B8" s="216"/>
      <c r="C8" s="1816">
        <v>0.2</v>
      </c>
      <c r="D8" s="1816">
        <v>0.2</v>
      </c>
      <c r="E8" s="1818">
        <v>0.2</v>
      </c>
      <c r="F8" s="1816">
        <v>0.2</v>
      </c>
      <c r="G8" s="1819">
        <v>0.2</v>
      </c>
      <c r="J8" s="220"/>
      <c r="K8" s="220"/>
      <c r="L8" s="195"/>
      <c r="M8" s="194"/>
      <c r="N8" s="195"/>
      <c r="O8" s="195"/>
      <c r="P8" s="195"/>
      <c r="Q8" s="195"/>
      <c r="R8" s="195"/>
      <c r="S8" s="195"/>
      <c r="T8" s="195"/>
    </row>
    <row r="9" spans="1:31" s="212" customFormat="1" ht="19.5" customHeight="1" x14ac:dyDescent="0.25">
      <c r="A9" s="221" t="s">
        <v>123</v>
      </c>
      <c r="B9" s="222"/>
      <c r="C9" s="1817">
        <v>0.5</v>
      </c>
      <c r="D9" s="1817">
        <v>0.5</v>
      </c>
      <c r="E9" s="1820">
        <v>0.5</v>
      </c>
      <c r="F9" s="1817">
        <v>0.5</v>
      </c>
      <c r="G9" s="1821">
        <v>0.5</v>
      </c>
      <c r="H9" s="189"/>
      <c r="I9" s="189"/>
      <c r="J9" s="220"/>
      <c r="K9" s="220"/>
      <c r="L9" s="223"/>
      <c r="M9" s="194" t="s">
        <v>422</v>
      </c>
      <c r="N9" s="195"/>
      <c r="O9" s="195"/>
      <c r="P9" s="195"/>
      <c r="Q9" s="195"/>
      <c r="R9" s="195"/>
      <c r="S9" s="195"/>
      <c r="T9" s="195"/>
    </row>
    <row r="10" spans="1:31" s="212" customFormat="1" ht="19.5" customHeight="1" x14ac:dyDescent="0.25">
      <c r="A10" s="221" t="s">
        <v>124</v>
      </c>
      <c r="B10" s="222"/>
      <c r="C10" s="178">
        <f>1-C9</f>
        <v>0.5</v>
      </c>
      <c r="D10" s="178">
        <f>1-D9</f>
        <v>0.5</v>
      </c>
      <c r="E10" s="179">
        <f>1-E9</f>
        <v>0.5</v>
      </c>
      <c r="F10" s="178">
        <f>1-F9</f>
        <v>0.5</v>
      </c>
      <c r="G10" s="180">
        <f>1-G9</f>
        <v>0.5</v>
      </c>
      <c r="H10" s="189"/>
      <c r="I10" s="189"/>
      <c r="J10" s="220"/>
      <c r="K10" s="220"/>
      <c r="L10" s="195"/>
      <c r="M10" s="195"/>
      <c r="N10" s="195"/>
      <c r="O10" s="195"/>
      <c r="P10" s="195"/>
      <c r="Q10" s="195"/>
      <c r="R10" s="195"/>
      <c r="S10" s="195"/>
      <c r="T10" s="195"/>
      <c r="U10" s="222"/>
      <c r="V10" s="225"/>
      <c r="W10" s="225"/>
      <c r="X10" s="225"/>
      <c r="Y10" s="225"/>
      <c r="Z10" s="225"/>
      <c r="AA10" s="225"/>
      <c r="AB10" s="225"/>
      <c r="AC10" s="225"/>
    </row>
    <row r="11" spans="1:31" s="212" customFormat="1" ht="19.5" customHeight="1" thickBot="1" x14ac:dyDescent="0.3">
      <c r="A11" s="226" t="s">
        <v>125</v>
      </c>
      <c r="B11" s="227"/>
      <c r="C11" s="1822">
        <v>5</v>
      </c>
      <c r="D11" s="1822">
        <v>5</v>
      </c>
      <c r="E11" s="1823">
        <v>5</v>
      </c>
      <c r="F11" s="1822">
        <v>5</v>
      </c>
      <c r="G11" s="1824">
        <v>5</v>
      </c>
      <c r="H11" s="189"/>
      <c r="I11" s="189"/>
      <c r="J11" s="220"/>
      <c r="K11" s="220"/>
      <c r="L11" s="228"/>
      <c r="M11" s="194" t="s">
        <v>650</v>
      </c>
      <c r="N11" s="195"/>
      <c r="O11" s="195"/>
      <c r="P11" s="195"/>
      <c r="Q11" s="195"/>
      <c r="R11" s="195"/>
      <c r="S11" s="195"/>
      <c r="T11" s="195"/>
      <c r="U11" s="222"/>
      <c r="V11" s="225"/>
      <c r="W11" s="225"/>
      <c r="X11" s="225"/>
      <c r="Y11" s="225"/>
      <c r="Z11" s="225"/>
      <c r="AA11" s="225"/>
      <c r="AB11" s="225"/>
      <c r="AC11" s="225"/>
    </row>
    <row r="12" spans="1:31" s="212" customFormat="1" ht="22.5" customHeight="1" x14ac:dyDescent="0.25">
      <c r="A12" s="222"/>
      <c r="B12" s="222"/>
      <c r="C12" s="229"/>
      <c r="D12" s="229"/>
      <c r="E12" s="229"/>
      <c r="F12" s="229"/>
      <c r="G12" s="229"/>
      <c r="H12" s="189"/>
      <c r="I12" s="189"/>
      <c r="J12" s="220"/>
      <c r="K12" s="220"/>
      <c r="L12" s="195"/>
      <c r="M12" s="194"/>
      <c r="N12" s="195"/>
      <c r="O12" s="195"/>
      <c r="P12" s="195"/>
      <c r="Q12" s="195"/>
      <c r="R12" s="195"/>
      <c r="S12" s="195"/>
      <c r="T12" s="195"/>
      <c r="U12" s="222"/>
      <c r="V12" s="225"/>
      <c r="W12" s="225"/>
      <c r="X12" s="225"/>
      <c r="Y12" s="225"/>
      <c r="Z12" s="225"/>
      <c r="AA12" s="225"/>
      <c r="AB12" s="225"/>
      <c r="AC12" s="225"/>
    </row>
    <row r="13" spans="1:31" s="212" customFormat="1" ht="19.5" customHeight="1" thickBot="1" x14ac:dyDescent="0.3">
      <c r="A13" s="230" t="s">
        <v>429</v>
      </c>
      <c r="B13" s="222"/>
      <c r="C13" s="231"/>
      <c r="D13" s="231"/>
      <c r="E13" s="231"/>
      <c r="F13" s="231"/>
      <c r="G13" s="231"/>
      <c r="H13" s="189"/>
      <c r="I13" s="189"/>
      <c r="J13" s="220"/>
      <c r="K13" s="220"/>
      <c r="L13" s="232"/>
      <c r="M13" s="194" t="s">
        <v>649</v>
      </c>
      <c r="N13" s="222"/>
      <c r="O13" s="222"/>
      <c r="P13" s="225"/>
      <c r="Q13" s="222"/>
      <c r="R13" s="222"/>
      <c r="S13" s="222"/>
      <c r="T13" s="233"/>
      <c r="U13" s="222"/>
      <c r="V13" s="225"/>
      <c r="W13" s="225"/>
      <c r="X13" s="225"/>
      <c r="Y13" s="225"/>
      <c r="Z13" s="225"/>
      <c r="AA13" s="225"/>
      <c r="AB13" s="225"/>
      <c r="AC13" s="225"/>
    </row>
    <row r="14" spans="1:31" s="212" customFormat="1" ht="19.5" customHeight="1" x14ac:dyDescent="0.2">
      <c r="A14" s="215" t="s">
        <v>417</v>
      </c>
      <c r="B14" s="234"/>
      <c r="C14" s="1825">
        <v>0.04</v>
      </c>
      <c r="D14" s="1825">
        <v>0.04</v>
      </c>
      <c r="E14" s="1825">
        <v>0.04</v>
      </c>
      <c r="F14" s="1825">
        <v>0.04</v>
      </c>
      <c r="G14" s="1826">
        <v>0.04</v>
      </c>
      <c r="H14" s="189"/>
      <c r="I14" s="189"/>
      <c r="L14" s="235"/>
      <c r="M14" s="194"/>
    </row>
    <row r="15" spans="1:31" s="212" customFormat="1" ht="19.5" customHeight="1" thickBot="1" x14ac:dyDescent="0.25">
      <c r="A15" s="236" t="s">
        <v>121</v>
      </c>
      <c r="B15" s="237"/>
      <c r="C15" s="1827">
        <v>1E-3</v>
      </c>
      <c r="D15" s="238"/>
      <c r="E15" s="238"/>
      <c r="F15" s="238"/>
      <c r="G15" s="239"/>
      <c r="H15" s="189"/>
      <c r="I15" s="189"/>
      <c r="J15" s="240"/>
      <c r="K15" s="225"/>
      <c r="L15" s="241"/>
      <c r="M15" s="194" t="s">
        <v>423</v>
      </c>
      <c r="N15" s="225"/>
      <c r="O15" s="225"/>
      <c r="P15" s="225"/>
      <c r="AD15" s="242"/>
    </row>
    <row r="16" spans="1:31" s="212" customFormat="1" ht="19.5" customHeight="1" thickBot="1" x14ac:dyDescent="0.25">
      <c r="A16" s="226" t="s">
        <v>652</v>
      </c>
      <c r="B16" s="227"/>
      <c r="C16" s="1828">
        <v>0.85</v>
      </c>
      <c r="D16" s="243"/>
      <c r="E16" s="243"/>
      <c r="F16" s="243"/>
      <c r="G16" s="244"/>
      <c r="H16" s="189"/>
      <c r="I16" s="189"/>
      <c r="J16" s="240"/>
      <c r="K16" s="225"/>
      <c r="L16" s="235"/>
      <c r="M16" s="194"/>
      <c r="N16" s="225"/>
      <c r="O16" s="225"/>
      <c r="P16" s="225"/>
      <c r="AD16" s="242"/>
    </row>
    <row r="17" spans="1:29" s="212" customFormat="1" ht="19.5" customHeight="1" thickBot="1" x14ac:dyDescent="0.3">
      <c r="A17" s="245" t="s">
        <v>210</v>
      </c>
      <c r="B17" s="246"/>
      <c r="C17" s="1829">
        <v>1</v>
      </c>
      <c r="D17" s="1830">
        <v>1</v>
      </c>
      <c r="E17" s="1831">
        <v>1</v>
      </c>
      <c r="F17" s="1832">
        <v>1</v>
      </c>
      <c r="G17" s="1833">
        <v>1</v>
      </c>
      <c r="J17" s="220"/>
      <c r="K17" s="220"/>
      <c r="L17" s="222"/>
      <c r="M17" s="222"/>
      <c r="N17" s="222"/>
      <c r="O17" s="222"/>
      <c r="P17" s="57"/>
      <c r="Q17" s="222"/>
    </row>
    <row r="18" spans="1:29" s="212" customFormat="1" ht="22.5" customHeight="1" x14ac:dyDescent="0.25">
      <c r="A18" s="222"/>
      <c r="B18" s="222"/>
      <c r="C18" s="229"/>
      <c r="D18" s="229"/>
      <c r="E18" s="229"/>
      <c r="F18" s="229"/>
      <c r="G18" s="229"/>
      <c r="H18" s="189"/>
      <c r="I18" s="189"/>
      <c r="J18" s="220"/>
      <c r="K18" s="220"/>
      <c r="L18" s="222"/>
      <c r="M18" s="222"/>
      <c r="N18" s="222"/>
      <c r="O18" s="222"/>
      <c r="P18" s="225"/>
      <c r="Q18" s="222"/>
      <c r="R18" s="222"/>
      <c r="S18" s="222"/>
      <c r="T18" s="233"/>
      <c r="U18" s="222"/>
      <c r="V18" s="225"/>
      <c r="W18" s="225"/>
      <c r="X18" s="225"/>
      <c r="Y18" s="225"/>
      <c r="Z18" s="225"/>
      <c r="AA18" s="225"/>
      <c r="AB18" s="225"/>
      <c r="AC18" s="225"/>
    </row>
    <row r="19" spans="1:29" s="212" customFormat="1" ht="19.5" customHeight="1" thickBot="1" x14ac:dyDescent="0.3">
      <c r="A19" s="247" t="s">
        <v>419</v>
      </c>
      <c r="B19" s="222"/>
      <c r="C19" s="231"/>
      <c r="D19" s="231"/>
      <c r="E19" s="231"/>
      <c r="F19" s="231"/>
      <c r="G19" s="231"/>
      <c r="H19" s="189"/>
      <c r="I19" s="189"/>
      <c r="J19" s="220"/>
      <c r="K19" s="220"/>
      <c r="L19" s="222"/>
      <c r="M19" s="222"/>
      <c r="N19" s="222"/>
      <c r="O19" s="222"/>
      <c r="P19" s="225"/>
      <c r="Q19" s="222"/>
      <c r="R19" s="222"/>
      <c r="S19" s="222"/>
      <c r="T19" s="233"/>
      <c r="U19" s="222"/>
      <c r="V19" s="225"/>
      <c r="W19" s="225"/>
      <c r="X19" s="225"/>
      <c r="Y19" s="225"/>
      <c r="Z19" s="225"/>
      <c r="AA19" s="225"/>
      <c r="AB19" s="225"/>
      <c r="AC19" s="225"/>
    </row>
    <row r="20" spans="1:29" s="212" customFormat="1" ht="19.5" customHeight="1" x14ac:dyDescent="0.25">
      <c r="A20" s="248"/>
      <c r="B20" s="249"/>
      <c r="C20" s="250" t="s">
        <v>20</v>
      </c>
      <c r="D20" s="251"/>
      <c r="E20" s="251"/>
      <c r="F20" s="251"/>
      <c r="G20" s="252"/>
      <c r="H20" s="221"/>
      <c r="I20" s="222"/>
      <c r="J20" s="220"/>
      <c r="K20" s="220"/>
      <c r="L20" s="222"/>
      <c r="M20" s="222"/>
      <c r="N20" s="222"/>
      <c r="O20" s="222"/>
      <c r="P20" s="225"/>
      <c r="Q20" s="222"/>
      <c r="R20" s="222"/>
      <c r="S20" s="222"/>
      <c r="T20" s="233"/>
      <c r="U20" s="222"/>
      <c r="V20" s="225"/>
      <c r="W20" s="225"/>
      <c r="X20" s="225"/>
      <c r="Y20" s="225"/>
      <c r="Z20" s="225"/>
      <c r="AA20" s="225"/>
      <c r="AB20" s="225"/>
      <c r="AC20" s="225"/>
    </row>
    <row r="21" spans="1:29" s="212" customFormat="1" ht="19.5" customHeight="1" x14ac:dyDescent="0.25">
      <c r="A21" s="221"/>
      <c r="B21" s="253" t="s">
        <v>266</v>
      </c>
      <c r="C21" s="254">
        <f>VLOOKUP($C$4,'TVT''s afscherming'!$A$10:$J$23,2)</f>
        <v>37</v>
      </c>
      <c r="D21" s="255">
        <f>VLOOKUP($D$4,'TVT''s afscherming'!$A$10:$J$23,2)</f>
        <v>41</v>
      </c>
      <c r="E21" s="255">
        <f>VLOOKUP($E$4,'TVT''s afscherming'!$A$10:$J$23,2)</f>
        <v>45</v>
      </c>
      <c r="F21" s="255">
        <f>VLOOKUP($F$4,'TVT''s afscherming'!$A$10:$J$23,2)</f>
        <v>30</v>
      </c>
      <c r="G21" s="256">
        <f>VLOOKUP($G$4,'TVT''s afscherming'!$A$10:$J$23,2)</f>
        <v>36</v>
      </c>
      <c r="H21" s="221"/>
      <c r="I21" s="225"/>
      <c r="J21" s="220"/>
      <c r="K21" s="220"/>
      <c r="L21" s="222"/>
      <c r="M21" s="222"/>
      <c r="N21" s="222"/>
      <c r="O21" s="222"/>
      <c r="P21" s="225"/>
      <c r="Q21" s="222"/>
      <c r="R21" s="222"/>
      <c r="S21" s="222"/>
      <c r="T21" s="233"/>
      <c r="U21" s="222"/>
      <c r="V21" s="225"/>
      <c r="W21" s="225"/>
      <c r="X21" s="225"/>
      <c r="Y21" s="225"/>
      <c r="Z21" s="225"/>
      <c r="AA21" s="225"/>
      <c r="AB21" s="225"/>
      <c r="AC21" s="225"/>
    </row>
    <row r="22" spans="1:29" s="262" customFormat="1" ht="19.5" customHeight="1" x14ac:dyDescent="0.25">
      <c r="A22" s="257"/>
      <c r="B22" s="222" t="s">
        <v>267</v>
      </c>
      <c r="C22" s="258">
        <f>VLOOKUP($C$4,'TVT''s afscherming'!$A$10:$J$23,3)</f>
        <v>33</v>
      </c>
      <c r="D22" s="258">
        <f>VLOOKUP($D$4,'TVT''s afscherming'!$A$10:$J$23,3)</f>
        <v>37</v>
      </c>
      <c r="E22" s="258">
        <f>VLOOKUP($E$4,'TVT''s afscherming'!$A$10:$J$23,3)</f>
        <v>43</v>
      </c>
      <c r="F22" s="258">
        <f>VLOOKUP($F$4,'TVT''s afscherming'!$A$10:$J$23,3)</f>
        <v>27</v>
      </c>
      <c r="G22" s="259">
        <f>VLOOKUP($G$4,'TVT''s afscherming'!$A$10:$J$23,3)</f>
        <v>36</v>
      </c>
      <c r="H22" s="260"/>
      <c r="I22" s="261"/>
      <c r="J22" s="220"/>
      <c r="K22" s="220"/>
      <c r="L22" s="222"/>
      <c r="M22" s="222"/>
      <c r="N22" s="222"/>
      <c r="O22" s="222"/>
      <c r="P22" s="261"/>
      <c r="Q22" s="222"/>
      <c r="R22" s="222"/>
      <c r="S22" s="222"/>
      <c r="U22" s="222"/>
      <c r="V22" s="222"/>
      <c r="W22" s="222"/>
      <c r="X22" s="261"/>
      <c r="Y22" s="261"/>
      <c r="Z22" s="225"/>
      <c r="AA22" s="225"/>
      <c r="AB22" s="225"/>
      <c r="AC22" s="225"/>
    </row>
    <row r="23" spans="1:29" s="262" customFormat="1" ht="19.5" customHeight="1" x14ac:dyDescent="0.25">
      <c r="A23" s="221"/>
      <c r="B23" s="211" t="s">
        <v>61</v>
      </c>
      <c r="C23" s="263">
        <f>VLOOKUP($C$4,'TVT''s afscherming'!$A$10:$J$23,4)</f>
        <v>24.2</v>
      </c>
      <c r="D23" s="258">
        <f>VLOOKUP($D$4,'TVT''s afscherming'!$A$10:$J$23,4)</f>
        <v>27</v>
      </c>
      <c r="E23" s="258">
        <f>VLOOKUP($E$4,'TVT''s afscherming'!$A$10:$J$23,4)</f>
        <v>27</v>
      </c>
      <c r="F23" s="258">
        <f>VLOOKUP($F$4,'TVT''s afscherming'!$A$10:$J$23,4)</f>
        <v>19.7</v>
      </c>
      <c r="G23" s="259">
        <f>VLOOKUP($G$4,'TVT''s afscherming'!$A$10:$J$23,4)</f>
        <v>23.6</v>
      </c>
      <c r="H23" s="264"/>
      <c r="I23" s="261"/>
      <c r="J23" s="220"/>
      <c r="K23" s="220"/>
      <c r="L23" s="222"/>
      <c r="M23" s="222"/>
      <c r="N23" s="222"/>
      <c r="O23" s="222"/>
      <c r="P23" s="261"/>
      <c r="Q23" s="222"/>
      <c r="R23" s="222"/>
      <c r="S23" s="222"/>
      <c r="U23" s="222"/>
      <c r="V23" s="222"/>
      <c r="W23" s="222"/>
      <c r="X23" s="261"/>
      <c r="Y23" s="261"/>
      <c r="Z23" s="261"/>
      <c r="AA23" s="225"/>
      <c r="AB23" s="225"/>
      <c r="AC23" s="225"/>
    </row>
    <row r="24" spans="1:29" s="212" customFormat="1" ht="19.5" customHeight="1" x14ac:dyDescent="0.25">
      <c r="A24" s="221"/>
      <c r="B24" s="211" t="s">
        <v>3</v>
      </c>
      <c r="C24" s="263">
        <f>VLOOKUP($C$4,'TVT''s afscherming'!$A$10:$J$23,5)</f>
        <v>9.9</v>
      </c>
      <c r="D24" s="258">
        <f>VLOOKUP($D$4,'TVT''s afscherming'!$A$10:$J$23,5)</f>
        <v>10</v>
      </c>
      <c r="E24" s="258">
        <f>VLOOKUP($E$4,'TVT''s afscherming'!$A$10:$J$23,5)</f>
        <v>11</v>
      </c>
      <c r="F24" s="258">
        <f>VLOOKUP($F$4,'TVT''s afscherming'!$A$10:$J$23,5)</f>
        <v>10.199999999999999</v>
      </c>
      <c r="G24" s="259">
        <f>VLOOKUP($G$4,'TVT''s afscherming'!$A$10:$J$23,5)</f>
        <v>10.199999999999999</v>
      </c>
      <c r="H24" s="257"/>
      <c r="I24" s="225"/>
      <c r="J24" s="220"/>
      <c r="K24" s="220"/>
      <c r="L24" s="222"/>
      <c r="M24" s="222"/>
      <c r="N24" s="222"/>
      <c r="O24" s="261"/>
      <c r="P24" s="225"/>
      <c r="Q24" s="262"/>
      <c r="R24" s="262"/>
      <c r="S24" s="262"/>
      <c r="T24" s="233"/>
      <c r="U24" s="222"/>
      <c r="V24" s="265"/>
      <c r="W24" s="266"/>
      <c r="X24" s="225"/>
      <c r="Y24" s="225"/>
      <c r="Z24" s="261"/>
      <c r="AA24" s="225"/>
      <c r="AB24" s="225"/>
      <c r="AC24" s="225"/>
    </row>
    <row r="25" spans="1:29" s="212" customFormat="1" ht="19.5" customHeight="1" x14ac:dyDescent="0.25">
      <c r="A25" s="221"/>
      <c r="B25" s="211" t="s">
        <v>22</v>
      </c>
      <c r="C25" s="263">
        <f>VLOOKUP($C$4,'TVT''s afscherming'!$A$10:$J$23,6)</f>
        <v>5.7</v>
      </c>
      <c r="D25" s="258">
        <f>VLOOKUP($D$4,'TVT''s afscherming'!$A$10:$J$23,6)</f>
        <v>5.7</v>
      </c>
      <c r="E25" s="258">
        <f>VLOOKUP($E$4,'TVT''s afscherming'!$A$10:$J$23,6)</f>
        <v>5.6</v>
      </c>
      <c r="F25" s="258">
        <f>VLOOKUP($F$4,'TVT''s afscherming'!$A$10:$J$23,6)</f>
        <v>5.7</v>
      </c>
      <c r="G25" s="259">
        <f>VLOOKUP($G$4,'TVT''s afscherming'!$A$10:$J$23,6)</f>
        <v>5.7</v>
      </c>
      <c r="H25" s="257"/>
      <c r="I25" s="225"/>
      <c r="J25" s="267"/>
      <c r="K25" s="267"/>
      <c r="L25" s="222"/>
      <c r="M25" s="222"/>
      <c r="N25" s="222"/>
      <c r="O25" s="261"/>
      <c r="P25" s="225"/>
      <c r="Q25" s="262"/>
      <c r="R25" s="262"/>
      <c r="S25" s="262"/>
      <c r="U25" s="222"/>
      <c r="V25" s="222"/>
      <c r="W25" s="222"/>
      <c r="X25" s="225"/>
      <c r="Y25" s="225"/>
      <c r="Z25" s="225"/>
      <c r="AA25" s="225"/>
      <c r="AB25" s="225"/>
      <c r="AC25" s="225"/>
    </row>
    <row r="26" spans="1:29" s="212" customFormat="1" ht="19.5" customHeight="1" x14ac:dyDescent="0.25">
      <c r="A26" s="257"/>
      <c r="B26" s="268"/>
      <c r="C26" s="269" t="s">
        <v>139</v>
      </c>
      <c r="D26" s="270"/>
      <c r="E26" s="270"/>
      <c r="F26" s="270"/>
      <c r="G26" s="271"/>
      <c r="H26" s="257"/>
      <c r="I26" s="225"/>
      <c r="J26" s="240"/>
      <c r="K26" s="225"/>
      <c r="L26" s="225"/>
      <c r="M26" s="225"/>
      <c r="N26" s="225"/>
      <c r="O26" s="225"/>
      <c r="P26" s="225"/>
      <c r="Q26" s="225"/>
      <c r="S26" s="222"/>
      <c r="U26" s="222"/>
      <c r="V26" s="222"/>
      <c r="W26" s="222"/>
      <c r="X26" s="225"/>
      <c r="Y26" s="225"/>
      <c r="Z26" s="225"/>
      <c r="AA26" s="225"/>
      <c r="AB26" s="225"/>
      <c r="AC26" s="225"/>
    </row>
    <row r="27" spans="1:29" s="212" customFormat="1" ht="19.5" customHeight="1" x14ac:dyDescent="0.25">
      <c r="A27" s="257"/>
      <c r="B27" s="253" t="s">
        <v>2</v>
      </c>
      <c r="C27" s="254">
        <f>VLOOKUP($C$4,'TVT''s afscherming'!$A$10:$J$23,7)</f>
        <v>34</v>
      </c>
      <c r="D27" s="254">
        <f>VLOOKUP($D$4,'TVT''s afscherming'!$A$10:$J$23,7)</f>
        <v>38</v>
      </c>
      <c r="E27" s="255">
        <f>VLOOKUP($E$4,'TVT''s afscherming'!$A$10:$J$23,7)</f>
        <v>44</v>
      </c>
      <c r="F27" s="254">
        <f>VLOOKUP($F$4,'TVT''s afscherming'!$A$10:$J$23,7)</f>
        <v>30.5</v>
      </c>
      <c r="G27" s="256">
        <f>VLOOKUP($G$4,'TVT''s afscherming'!$A$10:$J$23,7)</f>
        <v>35.6</v>
      </c>
      <c r="H27" s="257"/>
      <c r="I27" s="225"/>
      <c r="J27" s="272"/>
      <c r="K27" s="272"/>
      <c r="L27" s="222"/>
      <c r="M27" s="222"/>
      <c r="N27" s="222"/>
      <c r="O27" s="222"/>
      <c r="P27" s="225"/>
      <c r="Q27" s="222"/>
      <c r="U27" s="222"/>
      <c r="V27" s="225"/>
      <c r="W27" s="225"/>
      <c r="X27" s="225"/>
      <c r="Y27" s="225"/>
      <c r="Z27" s="225"/>
      <c r="AA27" s="261"/>
      <c r="AB27" s="261"/>
      <c r="AC27" s="261"/>
    </row>
    <row r="28" spans="1:29" s="212" customFormat="1" ht="19.5" customHeight="1" x14ac:dyDescent="0.25">
      <c r="A28" s="257"/>
      <c r="B28" s="211" t="s">
        <v>61</v>
      </c>
      <c r="C28" s="263">
        <f>VLOOKUP($C$4,'TVT''s afscherming'!$A$10:$J$23,8)</f>
        <v>20</v>
      </c>
      <c r="D28" s="263">
        <f>VLOOKUP($D$4,'TVT''s afscherming'!$A$10:$J$23,8)</f>
        <v>24</v>
      </c>
      <c r="E28" s="258">
        <f>VLOOKUP($E$4,'TVT''s afscherming'!$A$10:$J$23,8)</f>
        <v>26.8</v>
      </c>
      <c r="F28" s="263">
        <f>VLOOKUP($F$4,'TVT''s afscherming'!$A$10:$J$23,8)</f>
        <v>20.3</v>
      </c>
      <c r="G28" s="259">
        <f>VLOOKUP($G$4,'TVT''s afscherming'!$A$10:$J$23,8)</f>
        <v>23.7</v>
      </c>
      <c r="J28" s="272"/>
      <c r="K28" s="272"/>
      <c r="L28" s="222"/>
      <c r="M28" s="222"/>
      <c r="N28" s="222"/>
      <c r="O28" s="222"/>
      <c r="P28" s="225"/>
      <c r="Q28" s="222"/>
      <c r="U28" s="222"/>
      <c r="V28" s="222"/>
      <c r="W28" s="222"/>
      <c r="X28" s="222"/>
    </row>
    <row r="29" spans="1:29" s="212" customFormat="1" ht="19.5" customHeight="1" x14ac:dyDescent="0.25">
      <c r="A29" s="257"/>
      <c r="B29" s="211" t="s">
        <v>3</v>
      </c>
      <c r="C29" s="263">
        <f>VLOOKUP($C$4,'TVT''s afscherming'!$A$10:$J$23,9)</f>
        <v>9.9</v>
      </c>
      <c r="D29" s="263">
        <f>VLOOKUP($D$4,'TVT''s afscherming'!$A$10:$J$23,9)</f>
        <v>10</v>
      </c>
      <c r="E29" s="258">
        <f>VLOOKUP($E$4,'TVT''s afscherming'!$A$10:$J$23,9)</f>
        <v>11</v>
      </c>
      <c r="F29" s="263">
        <f>VLOOKUP($F$4,'TVT''s afscherming'!$A$10:$J$23,9)</f>
        <v>10.199999999999999</v>
      </c>
      <c r="G29" s="259">
        <f>VLOOKUP($G$4,'TVT''s afscherming'!$A$10:$J$23,9)</f>
        <v>10.7</v>
      </c>
      <c r="I29" s="211"/>
      <c r="J29" s="272"/>
      <c r="K29" s="272"/>
      <c r="L29" s="222"/>
      <c r="M29" s="222"/>
      <c r="N29" s="222"/>
      <c r="O29" s="222"/>
      <c r="P29" s="225"/>
      <c r="Q29" s="222"/>
      <c r="U29" s="222"/>
      <c r="V29" s="222"/>
      <c r="W29" s="222"/>
      <c r="X29" s="222"/>
    </row>
    <row r="30" spans="1:29" s="212" customFormat="1" ht="19.5" customHeight="1" thickBot="1" x14ac:dyDescent="0.3">
      <c r="A30" s="273"/>
      <c r="B30" s="274" t="s">
        <v>22</v>
      </c>
      <c r="C30" s="275">
        <f>VLOOKUP($C$4,'TVT''s afscherming'!$A$10:$J$23,10)</f>
        <v>5.7</v>
      </c>
      <c r="D30" s="275">
        <f>VLOOKUP($D$4,'TVT''s afscherming'!$A$10:$J$23,10)</f>
        <v>5.7</v>
      </c>
      <c r="E30" s="276">
        <f>VLOOKUP($E$4,'TVT''s afscherming'!$A$10:$J$23,10)</f>
        <v>5.6</v>
      </c>
      <c r="F30" s="275">
        <f>VLOOKUP($F$4,'TVT''s afscherming'!$A$10:$J$23,10)</f>
        <v>5</v>
      </c>
      <c r="G30" s="277">
        <f>VLOOKUP($G$4,'TVT''s afscherming'!$A$10:$J$23,10)</f>
        <v>5.7</v>
      </c>
      <c r="J30" s="272"/>
      <c r="K30" s="272"/>
      <c r="L30" s="222"/>
      <c r="M30" s="222"/>
      <c r="N30" s="222"/>
      <c r="O30" s="222"/>
      <c r="P30" s="225"/>
      <c r="Q30" s="222"/>
      <c r="T30" s="222"/>
      <c r="U30" s="242"/>
      <c r="V30" s="222"/>
      <c r="W30" s="222"/>
      <c r="X30" s="222"/>
      <c r="Y30" s="222"/>
    </row>
    <row r="31" spans="1:29" s="212" customFormat="1" ht="19.5" customHeight="1" x14ac:dyDescent="0.25">
      <c r="A31" s="222"/>
      <c r="J31" s="272"/>
      <c r="K31" s="272"/>
      <c r="L31" s="222"/>
      <c r="M31" s="222"/>
      <c r="N31" s="222"/>
      <c r="O31" s="222"/>
      <c r="P31" s="225"/>
      <c r="Q31" s="222"/>
      <c r="T31" s="222"/>
      <c r="U31" s="242"/>
      <c r="V31" s="222"/>
      <c r="W31" s="222"/>
      <c r="X31" s="222"/>
      <c r="Y31" s="222"/>
    </row>
    <row r="32" spans="1:29" s="212" customFormat="1" ht="22.5" customHeight="1" x14ac:dyDescent="0.25">
      <c r="T32" s="222"/>
      <c r="U32" s="233"/>
      <c r="V32" s="233"/>
      <c r="W32" s="222"/>
      <c r="X32" s="222"/>
      <c r="Y32" s="222"/>
    </row>
    <row r="33" spans="1:52" s="212" customFormat="1" ht="22.5" customHeight="1" x14ac:dyDescent="0.25">
      <c r="I33" s="189"/>
      <c r="T33" s="222"/>
      <c r="U33" s="233"/>
      <c r="V33" s="233"/>
      <c r="W33" s="222"/>
      <c r="X33" s="222"/>
      <c r="Y33" s="222"/>
    </row>
    <row r="34" spans="1:52" ht="19.5" customHeight="1" thickBot="1" x14ac:dyDescent="0.3">
      <c r="A34" s="283" t="s">
        <v>506</v>
      </c>
      <c r="B34" s="284"/>
      <c r="C34" s="284"/>
      <c r="D34" s="280"/>
      <c r="L34" s="289"/>
      <c r="M34" s="290"/>
      <c r="N34" s="290"/>
      <c r="O34" s="290"/>
      <c r="P34" s="290"/>
      <c r="Q34" s="290"/>
      <c r="R34" s="290"/>
      <c r="S34" s="290"/>
      <c r="T34" s="290"/>
      <c r="U34" s="290"/>
      <c r="V34" s="290"/>
      <c r="W34" s="290"/>
      <c r="X34" s="290"/>
      <c r="AB34" s="189"/>
      <c r="AF34" s="281"/>
      <c r="AG34" s="281"/>
      <c r="AH34" s="282"/>
      <c r="AI34" s="282"/>
    </row>
    <row r="35" spans="1:52" s="212" customFormat="1" ht="19.5" customHeight="1" x14ac:dyDescent="0.25">
      <c r="J35" s="653"/>
      <c r="K35" s="292">
        <f>$C$4</f>
        <v>6</v>
      </c>
      <c r="L35" s="293"/>
      <c r="M35" s="294"/>
      <c r="N35" s="292">
        <f>$D$4</f>
        <v>10</v>
      </c>
      <c r="O35" s="293"/>
      <c r="P35" s="294"/>
      <c r="Q35" s="292">
        <f>$E$4</f>
        <v>18</v>
      </c>
      <c r="R35" s="293"/>
      <c r="S35" s="294"/>
      <c r="T35" s="292" t="str">
        <f>$F$4</f>
        <v>6 FFF</v>
      </c>
      <c r="U35" s="293"/>
      <c r="V35" s="294"/>
      <c r="W35" s="292" t="str">
        <f>$G$4</f>
        <v>10 FFF</v>
      </c>
      <c r="X35" s="295"/>
      <c r="Y35" s="296"/>
      <c r="Z35" s="297" t="s">
        <v>16</v>
      </c>
      <c r="AA35" s="298"/>
      <c r="AB35" s="257"/>
      <c r="AC35" s="225"/>
      <c r="AG35" s="299"/>
      <c r="AH35" s="299"/>
      <c r="AI35" s="299"/>
      <c r="AJ35" s="299"/>
      <c r="AK35" s="299"/>
      <c r="AL35" s="299"/>
      <c r="AP35" s="222"/>
      <c r="AQ35" s="211"/>
      <c r="AR35" s="266"/>
      <c r="AS35" s="222"/>
      <c r="AT35" s="187"/>
      <c r="AU35" s="187"/>
      <c r="AV35" s="187"/>
      <c r="AW35" s="187"/>
      <c r="AX35" s="187"/>
      <c r="AY35" s="300"/>
      <c r="AZ35" s="300"/>
    </row>
    <row r="36" spans="1:52" s="212" customFormat="1" ht="19.5" customHeight="1" x14ac:dyDescent="0.25">
      <c r="A36" s="301" t="s">
        <v>50</v>
      </c>
      <c r="B36" s="301" t="s">
        <v>15</v>
      </c>
      <c r="C36" s="302" t="s">
        <v>25</v>
      </c>
      <c r="D36" s="302" t="s">
        <v>158</v>
      </c>
      <c r="E36" s="301" t="s">
        <v>524</v>
      </c>
      <c r="F36" s="303"/>
      <c r="G36" s="304" t="s">
        <v>77</v>
      </c>
      <c r="H36" s="305"/>
      <c r="I36" s="306"/>
      <c r="J36" s="301" t="s">
        <v>86</v>
      </c>
      <c r="K36" s="301" t="s">
        <v>206</v>
      </c>
      <c r="L36" s="301" t="s">
        <v>16</v>
      </c>
      <c r="M36" s="301" t="s">
        <v>86</v>
      </c>
      <c r="N36" s="301" t="s">
        <v>206</v>
      </c>
      <c r="O36" s="301" t="s">
        <v>16</v>
      </c>
      <c r="P36" s="301" t="s">
        <v>86</v>
      </c>
      <c r="Q36" s="301" t="s">
        <v>206</v>
      </c>
      <c r="R36" s="301" t="s">
        <v>16</v>
      </c>
      <c r="S36" s="301" t="s">
        <v>86</v>
      </c>
      <c r="T36" s="301" t="s">
        <v>206</v>
      </c>
      <c r="U36" s="301" t="s">
        <v>16</v>
      </c>
      <c r="V36" s="301" t="s">
        <v>86</v>
      </c>
      <c r="W36" s="301" t="s">
        <v>206</v>
      </c>
      <c r="X36" s="301" t="s">
        <v>16</v>
      </c>
      <c r="Y36" s="307" t="s">
        <v>23</v>
      </c>
      <c r="Z36" s="308" t="s">
        <v>11</v>
      </c>
      <c r="AA36" s="309" t="s">
        <v>11</v>
      </c>
      <c r="AG36" s="310"/>
      <c r="AH36" s="310"/>
      <c r="AI36" s="310"/>
      <c r="AJ36" s="310"/>
      <c r="AK36" s="310"/>
      <c r="AL36" s="310"/>
      <c r="AP36" s="222"/>
      <c r="AQ36" s="211"/>
      <c r="AR36" s="242"/>
      <c r="AS36" s="222"/>
      <c r="AT36" s="225"/>
      <c r="AU36" s="225"/>
      <c r="AV36" s="311"/>
      <c r="AW36" s="225"/>
      <c r="AX36" s="225"/>
      <c r="AY36" s="300"/>
      <c r="AZ36" s="300"/>
    </row>
    <row r="37" spans="1:52" s="212" customFormat="1" ht="19.5" customHeight="1" thickBot="1" x14ac:dyDescent="0.3">
      <c r="A37" s="308"/>
      <c r="B37" s="308"/>
      <c r="C37" s="313"/>
      <c r="D37" s="313" t="s">
        <v>383</v>
      </c>
      <c r="E37" s="312" t="s">
        <v>528</v>
      </c>
      <c r="F37" s="312" t="s">
        <v>1</v>
      </c>
      <c r="G37" s="312" t="s">
        <v>61</v>
      </c>
      <c r="H37" s="312" t="s">
        <v>3</v>
      </c>
      <c r="I37" s="312" t="s">
        <v>22</v>
      </c>
      <c r="J37" s="314" t="s">
        <v>208</v>
      </c>
      <c r="K37" s="314" t="s">
        <v>207</v>
      </c>
      <c r="L37" s="315" t="s">
        <v>174</v>
      </c>
      <c r="M37" s="314" t="s">
        <v>208</v>
      </c>
      <c r="N37" s="314" t="s">
        <v>207</v>
      </c>
      <c r="O37" s="315" t="s">
        <v>174</v>
      </c>
      <c r="P37" s="314" t="s">
        <v>208</v>
      </c>
      <c r="Q37" s="314" t="s">
        <v>207</v>
      </c>
      <c r="R37" s="315" t="s">
        <v>174</v>
      </c>
      <c r="S37" s="314" t="s">
        <v>208</v>
      </c>
      <c r="T37" s="314" t="s">
        <v>207</v>
      </c>
      <c r="U37" s="315" t="s">
        <v>174</v>
      </c>
      <c r="V37" s="314" t="s">
        <v>208</v>
      </c>
      <c r="W37" s="314" t="s">
        <v>207</v>
      </c>
      <c r="X37" s="315" t="s">
        <v>174</v>
      </c>
      <c r="Y37" s="316" t="s">
        <v>173</v>
      </c>
      <c r="Z37" s="179" t="s">
        <v>173</v>
      </c>
      <c r="AA37" s="309" t="s">
        <v>166</v>
      </c>
      <c r="AG37" s="310"/>
      <c r="AH37" s="310"/>
      <c r="AI37" s="310"/>
      <c r="AJ37" s="310"/>
      <c r="AK37" s="310"/>
      <c r="AL37" s="310"/>
      <c r="AP37" s="222"/>
      <c r="AQ37" s="211"/>
      <c r="AR37" s="222"/>
      <c r="AS37" s="222"/>
      <c r="AT37" s="225"/>
      <c r="AU37" s="225"/>
      <c r="AV37" s="225"/>
      <c r="AW37" s="225"/>
      <c r="AX37" s="225"/>
      <c r="AY37" s="300"/>
      <c r="AZ37" s="300"/>
    </row>
    <row r="38" spans="1:52" s="212" customFormat="1" ht="19.5" hidden="1" customHeight="1" thickBot="1" x14ac:dyDescent="0.3">
      <c r="A38" s="694"/>
      <c r="B38" s="694"/>
      <c r="C38" s="695"/>
      <c r="D38" s="695"/>
      <c r="E38" s="694"/>
      <c r="F38" s="694"/>
      <c r="G38" s="694"/>
      <c r="H38" s="694"/>
      <c r="I38" s="694"/>
      <c r="J38" s="97"/>
      <c r="K38" s="97"/>
      <c r="L38" s="58"/>
      <c r="M38" s="97"/>
      <c r="N38" s="97"/>
      <c r="O38" s="58"/>
      <c r="P38" s="97"/>
      <c r="Q38" s="97"/>
      <c r="R38" s="58"/>
      <c r="S38" s="97"/>
      <c r="T38" s="97"/>
      <c r="U38" s="58"/>
      <c r="V38" s="97"/>
      <c r="W38" s="97"/>
      <c r="X38" s="90"/>
      <c r="Y38" s="319"/>
      <c r="Z38" s="320"/>
      <c r="AA38" s="321"/>
      <c r="AG38" s="310"/>
      <c r="AH38" s="310"/>
      <c r="AI38" s="310"/>
      <c r="AJ38" s="310"/>
      <c r="AK38" s="310"/>
      <c r="AL38" s="310"/>
      <c r="AP38" s="222"/>
      <c r="AQ38" s="211"/>
      <c r="AR38" s="222"/>
      <c r="AS38" s="222"/>
      <c r="AT38" s="225"/>
      <c r="AU38" s="225"/>
      <c r="AV38" s="225"/>
      <c r="AW38" s="225"/>
      <c r="AX38" s="225"/>
      <c r="AY38" s="300"/>
      <c r="AZ38" s="300"/>
    </row>
    <row r="39" spans="1:52" s="212" customFormat="1" ht="30" customHeight="1" x14ac:dyDescent="0.25">
      <c r="A39" s="322"/>
      <c r="B39" s="322"/>
      <c r="C39" s="323" t="s">
        <v>569</v>
      </c>
      <c r="D39" s="1834">
        <v>6</v>
      </c>
      <c r="E39" s="1834">
        <v>1</v>
      </c>
      <c r="F39" s="1834">
        <v>250</v>
      </c>
      <c r="G39" s="1834">
        <v>0</v>
      </c>
      <c r="H39" s="1834">
        <v>0</v>
      </c>
      <c r="I39" s="1835">
        <v>0</v>
      </c>
      <c r="J39" s="91">
        <f>IF($F39=0,0,1+($F39-$C$21)/$C$22)+$G39/$C$23+$H39/$C$24+$I39/$C$25</f>
        <v>7.4545454545454541</v>
      </c>
      <c r="K39" s="97">
        <f t="shared" ref="K39:K79" si="0">10^(-J39)</f>
        <v>3.5111917342151263E-8</v>
      </c>
      <c r="L39" s="91">
        <f>($C$7*$C$14*$C$8*$E39/$D39^2*K39*10^6)</f>
        <v>7.8026482982558355E-3</v>
      </c>
      <c r="M39" s="91">
        <f>IF($F39=0,0,1+($F39-$D$21)/$D$22)+$G39/$D$23+$H39/$D$24+$I39/$D$25</f>
        <v>6.6486486486486482</v>
      </c>
      <c r="N39" s="97">
        <f t="shared" ref="N39:N79" si="1">10^(-M39)</f>
        <v>2.2456979955397711E-7</v>
      </c>
      <c r="O39" s="91">
        <f>($C$7*$D$14*$D$8*$E39/$D39^2*N39*10^6)</f>
        <v>4.99043999008838E-2</v>
      </c>
      <c r="P39" s="91">
        <f>IF($F39=0,0,1+($F39-$E$21)/$E$22)+$G39/$E$23+$H39/$E$24+$I39/$E$25</f>
        <v>5.7674418604651159</v>
      </c>
      <c r="Q39" s="97">
        <f t="shared" ref="Q39:Q79" si="2">10^(-P39)</f>
        <v>1.7082763938087111E-6</v>
      </c>
      <c r="R39" s="91">
        <f>($C$7*$E$14*$E$8*$E39/$D39^2*Q39*10^6)</f>
        <v>0.37961697640193576</v>
      </c>
      <c r="S39" s="91">
        <f>IF($F39=0,0,1+($F39-$F$21)/$F$22)+$G39/$F$23+$H39/$F$24+$I39/$F$25</f>
        <v>9.1481481481481488</v>
      </c>
      <c r="T39" s="97">
        <f t="shared" ref="T39:T79" si="3">10^(-S39)</f>
        <v>7.1097094323124171E-10</v>
      </c>
      <c r="U39" s="91">
        <f>($C$7*$F$14*$F$8*$E39/$D39^2*T39*10^6)</f>
        <v>1.5799354294027593E-4</v>
      </c>
      <c r="V39" s="91">
        <f>IF($F39=0,0,1+($F39-$G$21)/$G$22)+$G39/$G$23+$H39/$G$24+$I39/$G$25</f>
        <v>6.9444444444444446</v>
      </c>
      <c r="W39" s="97">
        <f t="shared" ref="W39:W79" si="4">10^(-V39)</f>
        <v>1.136463666385722E-7</v>
      </c>
      <c r="X39" s="76">
        <f>($C$7*$G$14*$G$8*$E39/$D39^2*W39*10^6)</f>
        <v>2.5254748141904933E-2</v>
      </c>
      <c r="Y39" s="654">
        <f t="shared" ref="Y39:Y49" si="5">SUM(L39,O39,R39,U39,X39)</f>
        <v>0.46273676628592059</v>
      </c>
      <c r="Z39" s="325"/>
      <c r="AA39" s="326"/>
      <c r="AG39" s="328"/>
      <c r="AI39" s="328"/>
      <c r="AJ39" s="328"/>
      <c r="AK39" s="328"/>
      <c r="AL39" s="328"/>
      <c r="AP39" s="222"/>
      <c r="AQ39" s="211"/>
      <c r="AR39" s="222"/>
      <c r="AS39" s="222"/>
      <c r="AT39" s="225"/>
      <c r="AU39" s="225"/>
      <c r="AV39" s="225"/>
      <c r="AW39" s="225"/>
      <c r="AX39" s="225"/>
      <c r="AY39" s="300"/>
      <c r="AZ39" s="300"/>
    </row>
    <row r="40" spans="1:52" s="212" customFormat="1" ht="30" customHeight="1" thickBot="1" x14ac:dyDescent="0.3">
      <c r="A40" s="329" t="str">
        <f>Samenvatting!A13</f>
        <v>B1</v>
      </c>
      <c r="B40" s="330" t="str">
        <f>Samenvatting!B13</f>
        <v>bedieningsruimte Linac 1</v>
      </c>
      <c r="C40" s="331" t="s">
        <v>568</v>
      </c>
      <c r="D40" s="1836">
        <v>5</v>
      </c>
      <c r="E40" s="89"/>
      <c r="F40" s="1834">
        <v>250</v>
      </c>
      <c r="G40" s="1834">
        <v>0</v>
      </c>
      <c r="H40" s="1834">
        <v>0</v>
      </c>
      <c r="I40" s="1835">
        <v>0</v>
      </c>
      <c r="J40" s="91">
        <f>$F40/$C$27+$G40/$C$28+$H40/$C$29+$I40/$C$30</f>
        <v>7.3529411764705879</v>
      </c>
      <c r="K40" s="97">
        <f t="shared" si="0"/>
        <v>4.4366873309786093E-8</v>
      </c>
      <c r="L40" s="91">
        <f>($C$7*$C$15*$C$8*($C$9+$C$10*$C$11)/$D40^2*K40*10^6)</f>
        <v>1.0648049594348663E-3</v>
      </c>
      <c r="M40" s="91">
        <f>$F40/$D$27+$G40/$D$28+$H40/$D$29+$I40/$D$30</f>
        <v>6.5789473684210522</v>
      </c>
      <c r="N40" s="97">
        <f t="shared" si="1"/>
        <v>2.636650898730358E-7</v>
      </c>
      <c r="O40" s="91">
        <f>($C$7*$C$15*$D$8*($D$9+$D$10*$D$11)/$D40^2*N40*10^6)</f>
        <v>6.3279621569528599E-3</v>
      </c>
      <c r="P40" s="91">
        <f>$F40/$E$27+$G40/$E$28+$H40/$E$29+$I40/$E$30</f>
        <v>5.6818181818181817</v>
      </c>
      <c r="Q40" s="97">
        <f t="shared" si="2"/>
        <v>2.0805675382171676E-6</v>
      </c>
      <c r="R40" s="91">
        <f>($C$7*$C$15*$E$8*($E$9+$E$10*$E$11)/$D40^2*Q40*10^6)</f>
        <v>4.9933620917212027E-2</v>
      </c>
      <c r="S40" s="91">
        <f>$F40/$F$27+$G40/$F$28+$H40/$F$29+$I40/$F$30</f>
        <v>8.1967213114754092</v>
      </c>
      <c r="T40" s="97">
        <f t="shared" si="3"/>
        <v>6.3573875711648393E-9</v>
      </c>
      <c r="U40" s="91">
        <f>($C$7*$C$15*$F$8*($F$9+$F$10*$F$11)/$D40^2*T40*10^6)</f>
        <v>1.5257730170795616E-4</v>
      </c>
      <c r="V40" s="91">
        <f>$F40/$G$27+$G40/$G$28+$H40/$G$29+$I40/$G$30</f>
        <v>7.0224719101123592</v>
      </c>
      <c r="W40" s="97">
        <f t="shared" si="4"/>
        <v>9.4957241494880226E-8</v>
      </c>
      <c r="X40" s="76">
        <f>($C$7*$C$15*$G$8*($G$9+$G$10*$G$11)/$D40^2*W40*10^6)</f>
        <v>2.278973795877126E-3</v>
      </c>
      <c r="Y40" s="655">
        <f t="shared" si="5"/>
        <v>5.9757939131184837E-2</v>
      </c>
      <c r="Z40" s="333">
        <f>SUM(Y38:Y41)</f>
        <v>0.52249470541710541</v>
      </c>
      <c r="AA40" s="334">
        <f>Z40*52/10^3</f>
        <v>2.7169724681689482E-2</v>
      </c>
      <c r="AG40" s="328"/>
      <c r="AH40" s="328"/>
      <c r="AI40" s="328"/>
      <c r="AJ40" s="328"/>
      <c r="AK40" s="328"/>
      <c r="AL40" s="328"/>
      <c r="AP40" s="222"/>
      <c r="AQ40" s="211"/>
      <c r="AR40" s="222"/>
      <c r="AS40" s="222"/>
      <c r="AT40" s="225"/>
      <c r="AU40" s="225"/>
      <c r="AV40" s="225"/>
      <c r="AW40" s="225"/>
      <c r="AX40" s="225"/>
      <c r="AY40" s="300"/>
      <c r="AZ40" s="300"/>
    </row>
    <row r="41" spans="1:52" s="212" customFormat="1" ht="30" hidden="1" customHeight="1" thickBot="1" x14ac:dyDescent="0.3">
      <c r="A41" s="317"/>
      <c r="B41" s="317"/>
      <c r="C41" s="318"/>
      <c r="D41" s="1838"/>
      <c r="E41" s="1839"/>
      <c r="F41" s="1839"/>
      <c r="G41" s="1839"/>
      <c r="H41" s="1839"/>
      <c r="I41" s="1839"/>
      <c r="J41" s="91"/>
      <c r="K41" s="97"/>
      <c r="L41" s="91"/>
      <c r="M41" s="91"/>
      <c r="N41" s="97"/>
      <c r="O41" s="91"/>
      <c r="P41" s="91"/>
      <c r="Q41" s="97"/>
      <c r="R41" s="91"/>
      <c r="S41" s="91"/>
      <c r="T41" s="97"/>
      <c r="U41" s="91"/>
      <c r="V41" s="91"/>
      <c r="W41" s="97"/>
      <c r="X41" s="76"/>
      <c r="Y41" s="335"/>
      <c r="Z41" s="336"/>
      <c r="AA41" s="309"/>
      <c r="AG41" s="328"/>
      <c r="AH41" s="328"/>
      <c r="AI41" s="328"/>
      <c r="AJ41" s="328"/>
      <c r="AK41" s="328"/>
      <c r="AL41" s="328"/>
      <c r="AP41" s="222"/>
      <c r="AQ41" s="211"/>
      <c r="AR41" s="222"/>
      <c r="AS41" s="222"/>
      <c r="AT41" s="225"/>
      <c r="AU41" s="225"/>
      <c r="AV41" s="225"/>
      <c r="AW41" s="225"/>
      <c r="AX41" s="225"/>
      <c r="AY41" s="300"/>
      <c r="AZ41" s="300"/>
    </row>
    <row r="42" spans="1:52" s="212" customFormat="1" ht="30" customHeight="1" x14ac:dyDescent="0.25">
      <c r="A42" s="322"/>
      <c r="B42" s="322"/>
      <c r="C42" s="323" t="s">
        <v>569</v>
      </c>
      <c r="D42" s="1840">
        <v>6</v>
      </c>
      <c r="E42" s="1840">
        <v>1</v>
      </c>
      <c r="F42" s="1834">
        <v>250</v>
      </c>
      <c r="G42" s="1834">
        <v>0</v>
      </c>
      <c r="H42" s="1834">
        <v>0</v>
      </c>
      <c r="I42" s="1835">
        <v>0</v>
      </c>
      <c r="J42" s="91">
        <f>IF($F42=0,0,1+($F42-$C$21)/$C$22)+$G42/$C$23+$H42/$C$24+$I42/$C$25</f>
        <v>7.4545454545454541</v>
      </c>
      <c r="K42" s="97">
        <f t="shared" si="0"/>
        <v>3.5111917342151263E-8</v>
      </c>
      <c r="L42" s="91">
        <f>($C$7*$C$14*$C$8*$E42/$D42^2*K42*10^6)</f>
        <v>7.8026482982558355E-3</v>
      </c>
      <c r="M42" s="91">
        <f>IF($F42=0,0,1+($F42-$D$21)/$D$22)+$G42/$D$23+$H42/$D$24+$I42/$D$25</f>
        <v>6.6486486486486482</v>
      </c>
      <c r="N42" s="97">
        <f t="shared" si="1"/>
        <v>2.2456979955397711E-7</v>
      </c>
      <c r="O42" s="91">
        <f>($C$7*$D$14*$D$8*$E42/$D42^2*N42*10^6)</f>
        <v>4.99043999008838E-2</v>
      </c>
      <c r="P42" s="91">
        <f>IF($F42=0,0,1+($F42-$E$21)/$E$22)+$G42/$E$23+$H42/$E$24+$I42/$E$25</f>
        <v>5.7674418604651159</v>
      </c>
      <c r="Q42" s="97">
        <f t="shared" si="2"/>
        <v>1.7082763938087111E-6</v>
      </c>
      <c r="R42" s="91">
        <f>($C$7*$E$14*$E$8*$E42/$D42^2*Q42*10^6)</f>
        <v>0.37961697640193576</v>
      </c>
      <c r="S42" s="91">
        <f>IF($F42=0,0,1+($F42-$F$21)/$F$22)+$G42/$F$23+$H42/$F$24+$I42/$F$25</f>
        <v>9.1481481481481488</v>
      </c>
      <c r="T42" s="97">
        <f t="shared" si="3"/>
        <v>7.1097094323124171E-10</v>
      </c>
      <c r="U42" s="91">
        <f>($C$7*$F$14*$F$8*$E42/$D42^2*T42*10^6)</f>
        <v>1.5799354294027593E-4</v>
      </c>
      <c r="V42" s="91">
        <f>IF($F42=0,0,1+($F42-$G$21)/$G$22)+$G42/$G$23+$H42/$G$24+$I42/$G$25</f>
        <v>6.9444444444444446</v>
      </c>
      <c r="W42" s="97">
        <f t="shared" si="4"/>
        <v>1.136463666385722E-7</v>
      </c>
      <c r="X42" s="76">
        <f>($C$7*$G$14*$G$8*$E42/$D42^2*W42*10^6)</f>
        <v>2.5254748141904933E-2</v>
      </c>
      <c r="Y42" s="324">
        <f t="shared" si="5"/>
        <v>0.46273676628592059</v>
      </c>
      <c r="Z42" s="325"/>
      <c r="AA42" s="326"/>
      <c r="AG42" s="328"/>
      <c r="AI42" s="328"/>
      <c r="AJ42" s="328"/>
      <c r="AK42" s="328"/>
      <c r="AL42" s="328"/>
      <c r="AP42" s="222"/>
      <c r="AQ42" s="211"/>
      <c r="AR42" s="222"/>
      <c r="AS42" s="222"/>
      <c r="AT42" s="225"/>
      <c r="AU42" s="225"/>
      <c r="AV42" s="225"/>
      <c r="AW42" s="225"/>
      <c r="AX42" s="225"/>
      <c r="AY42" s="300"/>
      <c r="AZ42" s="300"/>
    </row>
    <row r="43" spans="1:52" s="212" customFormat="1" ht="30" customHeight="1" thickBot="1" x14ac:dyDescent="0.3">
      <c r="A43" s="337" t="str">
        <f>Samenvatting!A25</f>
        <v>B2</v>
      </c>
      <c r="B43" s="338" t="str">
        <f>Samenvatting!B25</f>
        <v>bedieningsruimte Linac 2</v>
      </c>
      <c r="C43" s="331" t="s">
        <v>568</v>
      </c>
      <c r="D43" s="1836">
        <v>5</v>
      </c>
      <c r="E43" s="89"/>
      <c r="F43" s="1834">
        <v>250</v>
      </c>
      <c r="G43" s="1834">
        <v>0</v>
      </c>
      <c r="H43" s="1834">
        <v>0</v>
      </c>
      <c r="I43" s="1835">
        <v>0</v>
      </c>
      <c r="J43" s="91">
        <f>$F43/$C$27+$G43/$C$28+$H43/$C$29+$I43/$C$30</f>
        <v>7.3529411764705879</v>
      </c>
      <c r="K43" s="97">
        <f t="shared" si="0"/>
        <v>4.4366873309786093E-8</v>
      </c>
      <c r="L43" s="91">
        <f>($C$7*$C$15*$C$8*($C$9+$C$10*$C$11)/$D43^2*K43*10^6)</f>
        <v>1.0648049594348663E-3</v>
      </c>
      <c r="M43" s="91">
        <f>$F43/$D$27+$G43/$D$28+$H43/$D$29+$I43/$D$30</f>
        <v>6.5789473684210522</v>
      </c>
      <c r="N43" s="97">
        <f t="shared" si="1"/>
        <v>2.636650898730358E-7</v>
      </c>
      <c r="O43" s="91">
        <f>($C$7*$C$15*$D$8*($D$9+$D$10*$D$11)/$D43^2*N43*10^6)</f>
        <v>6.3279621569528599E-3</v>
      </c>
      <c r="P43" s="91">
        <f>$F43/$E$27+$G43/$E$28+$H43/$E$29+$I43/$E$30</f>
        <v>5.6818181818181817</v>
      </c>
      <c r="Q43" s="97">
        <f t="shared" si="2"/>
        <v>2.0805675382171676E-6</v>
      </c>
      <c r="R43" s="91">
        <f>($C$7*$C$15*$E$8*($E$9+$E$10*$E$11)/$D43^2*Q43*10^6)</f>
        <v>4.9933620917212027E-2</v>
      </c>
      <c r="S43" s="91">
        <f>$F43/$F$27+$G43/$F$28+$H43/$F$29+$I43/$F$30</f>
        <v>8.1967213114754092</v>
      </c>
      <c r="T43" s="97">
        <f t="shared" si="3"/>
        <v>6.3573875711648393E-9</v>
      </c>
      <c r="U43" s="91">
        <f>($C$7*$C$15*$F$8*($F$9+$F$10*$F$11)/$D43^2*T43*10^6)</f>
        <v>1.5257730170795616E-4</v>
      </c>
      <c r="V43" s="91">
        <f>$F43/$G$27+$G43/$G$28+$H43/$G$29+$I43/$G$30</f>
        <v>7.0224719101123592</v>
      </c>
      <c r="W43" s="97">
        <f t="shared" si="4"/>
        <v>9.4957241494880226E-8</v>
      </c>
      <c r="X43" s="76">
        <f>($C$7*$C$15*$G$8*($G$9+$G$10*$G$11)/$D43^2*W43*10^6)</f>
        <v>2.278973795877126E-3</v>
      </c>
      <c r="Y43" s="339">
        <f t="shared" si="5"/>
        <v>5.9757939131184837E-2</v>
      </c>
      <c r="Z43" s="333">
        <f>SUM(Y41:Y44)</f>
        <v>0.52249470541710541</v>
      </c>
      <c r="AA43" s="334">
        <f>Z43*52/10^3</f>
        <v>2.7169724681689482E-2</v>
      </c>
      <c r="AG43" s="328"/>
      <c r="AH43" s="328"/>
      <c r="AI43" s="328"/>
      <c r="AJ43" s="328"/>
      <c r="AK43" s="328"/>
      <c r="AL43" s="328"/>
      <c r="AP43" s="222"/>
      <c r="AQ43" s="211"/>
      <c r="AR43" s="222"/>
      <c r="AS43" s="222"/>
      <c r="AT43" s="225"/>
      <c r="AU43" s="225"/>
      <c r="AV43" s="225"/>
      <c r="AW43" s="225"/>
      <c r="AX43" s="225"/>
      <c r="AY43" s="300"/>
      <c r="AZ43" s="300"/>
    </row>
    <row r="44" spans="1:52" s="212" customFormat="1" ht="30" hidden="1" customHeight="1" thickBot="1" x14ac:dyDescent="0.3">
      <c r="A44" s="317"/>
      <c r="B44" s="317"/>
      <c r="C44" s="341"/>
      <c r="D44" s="1841"/>
      <c r="E44" s="1842"/>
      <c r="F44" s="1842"/>
      <c r="G44" s="1842"/>
      <c r="H44" s="1842"/>
      <c r="I44" s="1842"/>
      <c r="J44" s="91"/>
      <c r="K44" s="97"/>
      <c r="L44" s="91"/>
      <c r="M44" s="91"/>
      <c r="N44" s="97"/>
      <c r="O44" s="91"/>
      <c r="P44" s="91"/>
      <c r="Q44" s="97"/>
      <c r="R44" s="91"/>
      <c r="S44" s="91"/>
      <c r="T44" s="97"/>
      <c r="U44" s="91"/>
      <c r="V44" s="91"/>
      <c r="W44" s="97"/>
      <c r="X44" s="76"/>
      <c r="Y44" s="316"/>
      <c r="Z44" s="344"/>
      <c r="AA44" s="345"/>
      <c r="AG44" s="328"/>
      <c r="AH44" s="328"/>
      <c r="AI44" s="328"/>
      <c r="AJ44" s="328"/>
      <c r="AK44" s="328"/>
      <c r="AL44" s="328"/>
      <c r="AP44" s="222"/>
      <c r="AQ44" s="211"/>
      <c r="AR44" s="222"/>
      <c r="AS44" s="222"/>
      <c r="AT44" s="225"/>
      <c r="AU44" s="225"/>
      <c r="AV44" s="225"/>
      <c r="AW44" s="225"/>
      <c r="AX44" s="225"/>
      <c r="AY44" s="300"/>
      <c r="AZ44" s="300"/>
    </row>
    <row r="45" spans="1:52" s="212" customFormat="1" ht="30" customHeight="1" x14ac:dyDescent="0.25">
      <c r="A45" s="322"/>
      <c r="B45" s="322"/>
      <c r="C45" s="323" t="s">
        <v>569</v>
      </c>
      <c r="D45" s="1840">
        <v>6</v>
      </c>
      <c r="E45" s="1840">
        <v>1</v>
      </c>
      <c r="F45" s="1834">
        <v>250</v>
      </c>
      <c r="G45" s="1834">
        <v>0</v>
      </c>
      <c r="H45" s="1834">
        <v>0</v>
      </c>
      <c r="I45" s="1835">
        <v>0</v>
      </c>
      <c r="J45" s="91">
        <f>IF($F45=0,0,1+($F45-$C$21)/$C$22)+$G45/$C$23+$H45/$C$24+$I45/$C$25</f>
        <v>7.4545454545454541</v>
      </c>
      <c r="K45" s="97">
        <f t="shared" si="0"/>
        <v>3.5111917342151263E-8</v>
      </c>
      <c r="L45" s="91">
        <f>($C$7*$C$14*$C$8*$E45/$D45^2*K45*10^6)</f>
        <v>7.8026482982558355E-3</v>
      </c>
      <c r="M45" s="91">
        <f>IF($F45=0,0,1+($F45-$D$21)/$D$22)+$G45/$D$23+$H45/$D$24+$I45/$D$25</f>
        <v>6.6486486486486482</v>
      </c>
      <c r="N45" s="97">
        <f t="shared" si="1"/>
        <v>2.2456979955397711E-7</v>
      </c>
      <c r="O45" s="91">
        <f>($C$7*$E$14*$D$8*$E45/$D45^2*N45*10^6)</f>
        <v>4.99043999008838E-2</v>
      </c>
      <c r="P45" s="91">
        <f>IF($F45=0,0,1+($F45-$E$21)/$E$22)+$G45/$E$23+$H45/$E$24+$I45/$E$25</f>
        <v>5.7674418604651159</v>
      </c>
      <c r="Q45" s="97">
        <f t="shared" si="2"/>
        <v>1.7082763938087111E-6</v>
      </c>
      <c r="R45" s="91">
        <f>($C$7*$E$14*$E$8*$E45/$D45^2*Q45*10^6)</f>
        <v>0.37961697640193576</v>
      </c>
      <c r="S45" s="91">
        <f>IF($F45=0,0,1+($F45-$F$21)/$F$22)+$G45/$F$23+$H45/$F$24+$I45/$F$25</f>
        <v>9.1481481481481488</v>
      </c>
      <c r="T45" s="97">
        <f t="shared" si="3"/>
        <v>7.1097094323124171E-10</v>
      </c>
      <c r="U45" s="91">
        <f>($C$7*$F$14*$F$8*$E45/$D45^2*T45*10^6)</f>
        <v>1.5799354294027593E-4</v>
      </c>
      <c r="V45" s="91">
        <f>IF($F45=0,0,1+($F45-$G$21)/$G$22)+$G45/$G$23+$H45/$G$24+$I45/$G$25</f>
        <v>6.9444444444444446</v>
      </c>
      <c r="W45" s="97">
        <f t="shared" si="4"/>
        <v>1.136463666385722E-7</v>
      </c>
      <c r="X45" s="76">
        <f>($C$7*$G$14*$G$8*$E45/$D45^2*W45*10^6)</f>
        <v>2.5254748141904933E-2</v>
      </c>
      <c r="Y45" s="324">
        <f t="shared" si="5"/>
        <v>0.46273676628592059</v>
      </c>
      <c r="Z45" s="325"/>
      <c r="AA45" s="326"/>
      <c r="AG45" s="328"/>
      <c r="AI45" s="328"/>
      <c r="AJ45" s="328"/>
      <c r="AK45" s="328"/>
      <c r="AL45" s="328"/>
      <c r="AP45" s="222"/>
      <c r="AQ45" s="211"/>
      <c r="AR45" s="222"/>
      <c r="AS45" s="222"/>
      <c r="AT45" s="225"/>
      <c r="AU45" s="225"/>
      <c r="AV45" s="225"/>
      <c r="AW45" s="225"/>
      <c r="AX45" s="225"/>
      <c r="AY45" s="300"/>
      <c r="AZ45" s="300"/>
    </row>
    <row r="46" spans="1:52" s="212" customFormat="1" ht="30" customHeight="1" thickBot="1" x14ac:dyDescent="0.3">
      <c r="A46" s="343" t="str">
        <f>Samenvatting!A37</f>
        <v>B3</v>
      </c>
      <c r="B46" s="338" t="str">
        <f>Samenvatting!B37</f>
        <v>bedieningsruimte Linac 3</v>
      </c>
      <c r="C46" s="331" t="s">
        <v>568</v>
      </c>
      <c r="D46" s="1836">
        <v>5</v>
      </c>
      <c r="E46" s="89"/>
      <c r="F46" s="1834">
        <v>250</v>
      </c>
      <c r="G46" s="1834">
        <v>0</v>
      </c>
      <c r="H46" s="1834">
        <v>0</v>
      </c>
      <c r="I46" s="1835">
        <v>0</v>
      </c>
      <c r="J46" s="91">
        <f>$F46/$C$27+$G46/$C$28+$H46/$C$29+$I46/$C$30</f>
        <v>7.3529411764705879</v>
      </c>
      <c r="K46" s="97">
        <f t="shared" si="0"/>
        <v>4.4366873309786093E-8</v>
      </c>
      <c r="L46" s="91">
        <f>($C$7*$C$15*$C$8*($C$9+$C$10*$C$11)/$D46^2*K46*10^6)</f>
        <v>1.0648049594348663E-3</v>
      </c>
      <c r="M46" s="91">
        <f>$F46/$D$27+$G46/$D$28+$H46/$D$29+$I46/$D$30</f>
        <v>6.5789473684210522</v>
      </c>
      <c r="N46" s="97">
        <f t="shared" si="1"/>
        <v>2.636650898730358E-7</v>
      </c>
      <c r="O46" s="91">
        <f>($C$7*$C$15*$D$8*($D$9+$D$10*$D$11)/$D46^2*N46*10^6)</f>
        <v>6.3279621569528599E-3</v>
      </c>
      <c r="P46" s="91">
        <f>$F46/$E$27+$G46/$E$28+$H46/$E$29+$I46/$E$30</f>
        <v>5.6818181818181817</v>
      </c>
      <c r="Q46" s="97">
        <f t="shared" si="2"/>
        <v>2.0805675382171676E-6</v>
      </c>
      <c r="R46" s="91">
        <f>($C$7*$C$15*$E$8*($E$9+$E$10*$E$11)/$D46^2*Q46*10^6)</f>
        <v>4.9933620917212027E-2</v>
      </c>
      <c r="S46" s="91">
        <f>$F46/$F$27+$G46/$F$28+$H46/$F$29+$I46/$F$30</f>
        <v>8.1967213114754092</v>
      </c>
      <c r="T46" s="97">
        <f t="shared" si="3"/>
        <v>6.3573875711648393E-9</v>
      </c>
      <c r="U46" s="91">
        <f>($C$7*$C$15*$F$8*($F$9+$F$10*$F$11)/$D46^2*T46*10^6)</f>
        <v>1.5257730170795616E-4</v>
      </c>
      <c r="V46" s="91">
        <f>$F46/$G$27+$G46/$G$28+$H46/$G$29+$I46/$G$30</f>
        <v>7.0224719101123592</v>
      </c>
      <c r="W46" s="97">
        <f t="shared" si="4"/>
        <v>9.4957241494880226E-8</v>
      </c>
      <c r="X46" s="76">
        <f>($C$7*$C$15*$G$8*($G$9+$G$10*$G$11)/$D46^2*W46*10^6)</f>
        <v>2.278973795877126E-3</v>
      </c>
      <c r="Y46" s="339">
        <f t="shared" si="5"/>
        <v>5.9757939131184837E-2</v>
      </c>
      <c r="Z46" s="333">
        <f>SUM(Y44:Y47)</f>
        <v>0.52249470541710541</v>
      </c>
      <c r="AA46" s="334">
        <f>Z46*52/10^3</f>
        <v>2.7169724681689482E-2</v>
      </c>
      <c r="AG46" s="328"/>
      <c r="AH46" s="328"/>
      <c r="AI46" s="328"/>
      <c r="AJ46" s="328"/>
      <c r="AK46" s="328"/>
      <c r="AL46" s="328"/>
      <c r="AP46" s="222"/>
      <c r="AQ46" s="211"/>
      <c r="AR46" s="222"/>
      <c r="AS46" s="222"/>
      <c r="AT46" s="225"/>
      <c r="AU46" s="225"/>
      <c r="AV46" s="225"/>
      <c r="AW46" s="225"/>
      <c r="AX46" s="225"/>
      <c r="AY46" s="300"/>
      <c r="AZ46" s="300"/>
    </row>
    <row r="47" spans="1:52" s="212" customFormat="1" ht="30" hidden="1" customHeight="1" thickBot="1" x14ac:dyDescent="0.3">
      <c r="A47" s="317"/>
      <c r="B47" s="317"/>
      <c r="C47" s="318"/>
      <c r="D47" s="1838"/>
      <c r="E47" s="1839"/>
      <c r="F47" s="1839"/>
      <c r="G47" s="1839"/>
      <c r="H47" s="1839"/>
      <c r="I47" s="1839"/>
      <c r="J47" s="91"/>
      <c r="K47" s="97"/>
      <c r="L47" s="91"/>
      <c r="M47" s="91"/>
      <c r="N47" s="97"/>
      <c r="O47" s="91"/>
      <c r="P47" s="91"/>
      <c r="Q47" s="97"/>
      <c r="R47" s="91"/>
      <c r="S47" s="91"/>
      <c r="T47" s="97"/>
      <c r="U47" s="91"/>
      <c r="V47" s="91"/>
      <c r="W47" s="97"/>
      <c r="X47" s="76"/>
      <c r="Y47" s="335"/>
      <c r="Z47" s="344"/>
      <c r="AA47" s="345"/>
      <c r="AG47" s="328"/>
      <c r="AH47" s="328"/>
      <c r="AI47" s="328"/>
      <c r="AJ47" s="328"/>
      <c r="AK47" s="328"/>
      <c r="AL47" s="328"/>
      <c r="AP47" s="222"/>
      <c r="AQ47" s="211"/>
      <c r="AR47" s="222"/>
      <c r="AS47" s="222"/>
      <c r="AT47" s="225"/>
      <c r="AU47" s="225"/>
      <c r="AV47" s="225"/>
      <c r="AW47" s="225"/>
      <c r="AX47" s="225"/>
      <c r="AY47" s="300"/>
      <c r="AZ47" s="300"/>
    </row>
    <row r="48" spans="1:52" s="212" customFormat="1" ht="30" customHeight="1" x14ac:dyDescent="0.25">
      <c r="A48" s="322"/>
      <c r="B48" s="322"/>
      <c r="C48" s="323" t="s">
        <v>569</v>
      </c>
      <c r="D48" s="1840">
        <v>6</v>
      </c>
      <c r="E48" s="1840">
        <v>1</v>
      </c>
      <c r="F48" s="1834">
        <v>250</v>
      </c>
      <c r="G48" s="1834">
        <v>0</v>
      </c>
      <c r="H48" s="1834">
        <v>0</v>
      </c>
      <c r="I48" s="1835">
        <v>0</v>
      </c>
      <c r="J48" s="91">
        <f>IF($F48=0,0,1+($F48-$C$21)/$C$22)+$G48/$C$23+$H48/$C$24+$I48/$C$25</f>
        <v>7.4545454545454541</v>
      </c>
      <c r="K48" s="97">
        <f t="shared" si="0"/>
        <v>3.5111917342151263E-8</v>
      </c>
      <c r="L48" s="91">
        <f>($C$7*$C$14*$C$8*$E48/$D48^2*K48*10^6)</f>
        <v>7.8026482982558355E-3</v>
      </c>
      <c r="M48" s="91">
        <f>IF($F48=0,0,1+($F48-$D$21)/$D$22)+$G48/$D$23+$H48/$D$24+$I48/$D$25</f>
        <v>6.6486486486486482</v>
      </c>
      <c r="N48" s="97">
        <f t="shared" si="1"/>
        <v>2.2456979955397711E-7</v>
      </c>
      <c r="O48" s="91">
        <f>($C$7*$D$14*$D$8*$E48/$D48^2*N48*10^6)</f>
        <v>4.99043999008838E-2</v>
      </c>
      <c r="P48" s="91">
        <f>IF($F48=0,0,1+($F48-$E$21)/$E$22)+$G48/$E$23+$H48/$E$24+$I48/$E$25</f>
        <v>5.7674418604651159</v>
      </c>
      <c r="Q48" s="97">
        <f t="shared" si="2"/>
        <v>1.7082763938087111E-6</v>
      </c>
      <c r="R48" s="91">
        <f>($C$7*$E$14*$E$8*$E48/$D48^2*Q48*10^6)</f>
        <v>0.37961697640193576</v>
      </c>
      <c r="S48" s="91">
        <f>IF($F48=0,0,1+($F48-$F$21)/$F$22)+$G48/$F$23+$H48/$F$24+$I48/$F$25</f>
        <v>9.1481481481481488</v>
      </c>
      <c r="T48" s="97">
        <f t="shared" si="3"/>
        <v>7.1097094323124171E-10</v>
      </c>
      <c r="U48" s="91">
        <f>($C$7*$F$14*$F$8*$E48/$D48^2*T48*10^6)</f>
        <v>1.5799354294027593E-4</v>
      </c>
      <c r="V48" s="91">
        <f>IF($F48=0,0,1+($F48-$G$21)/$G$22)+$G48/$G$23+$H48/$G$24+$I48/$G$25</f>
        <v>6.9444444444444446</v>
      </c>
      <c r="W48" s="97">
        <f t="shared" si="4"/>
        <v>1.136463666385722E-7</v>
      </c>
      <c r="X48" s="76">
        <f>($C$7*$G$14*$G$8*$E48/$D48^2*W48*10^6)</f>
        <v>2.5254748141904933E-2</v>
      </c>
      <c r="Y48" s="324">
        <f t="shared" si="5"/>
        <v>0.46273676628592059</v>
      </c>
      <c r="Z48" s="325"/>
      <c r="AA48" s="326"/>
      <c r="AG48" s="328"/>
      <c r="AI48" s="328"/>
      <c r="AJ48" s="328"/>
      <c r="AK48" s="328"/>
      <c r="AL48" s="328"/>
      <c r="AP48" s="222"/>
      <c r="AQ48" s="211"/>
      <c r="AR48" s="222"/>
      <c r="AS48" s="222"/>
      <c r="AT48" s="225"/>
      <c r="AU48" s="225"/>
      <c r="AV48" s="225"/>
      <c r="AW48" s="225"/>
      <c r="AX48" s="225"/>
      <c r="AY48" s="300"/>
      <c r="AZ48" s="300"/>
    </row>
    <row r="49" spans="1:52" s="212" customFormat="1" ht="30" customHeight="1" thickBot="1" x14ac:dyDescent="0.3">
      <c r="A49" s="343" t="str">
        <f>Samenvatting!A49</f>
        <v>B4</v>
      </c>
      <c r="B49" s="338" t="str">
        <f>Samenvatting!B49</f>
        <v>bedieningsruimte Linac 4</v>
      </c>
      <c r="C49" s="331" t="s">
        <v>568</v>
      </c>
      <c r="D49" s="1836">
        <v>5</v>
      </c>
      <c r="E49" s="89"/>
      <c r="F49" s="1834">
        <v>250</v>
      </c>
      <c r="G49" s="1834">
        <v>0</v>
      </c>
      <c r="H49" s="1834">
        <v>0</v>
      </c>
      <c r="I49" s="1835">
        <v>0</v>
      </c>
      <c r="J49" s="91">
        <f>$F49/$C$27+$G49/$C$28+$H49/$C$29+$I49/$C$30</f>
        <v>7.3529411764705879</v>
      </c>
      <c r="K49" s="97">
        <f t="shared" si="0"/>
        <v>4.4366873309786093E-8</v>
      </c>
      <c r="L49" s="91">
        <f>($C$7*$C$15*$C$8*($C$9+$C$10*$C$11)/$D49^2*K49*10^6)</f>
        <v>1.0648049594348663E-3</v>
      </c>
      <c r="M49" s="91">
        <f>$F49/$D$27+$G49/$D$28+$H49/$D$29+$I49/$D$30</f>
        <v>6.5789473684210522</v>
      </c>
      <c r="N49" s="97">
        <f t="shared" si="1"/>
        <v>2.636650898730358E-7</v>
      </c>
      <c r="O49" s="91">
        <f>($C$7*$C$15*$D$8*($D$9+$D$10*$D$11)/$D49^2*N49*10^6)</f>
        <v>6.3279621569528599E-3</v>
      </c>
      <c r="P49" s="91">
        <f>$F49/$E$27+$G49/$E$28+$H49/$E$29+$I49/$E$30</f>
        <v>5.6818181818181817</v>
      </c>
      <c r="Q49" s="97">
        <f t="shared" si="2"/>
        <v>2.0805675382171676E-6</v>
      </c>
      <c r="R49" s="91">
        <f>($C$7*$C$15*$E$8*($E$9+$E$10*$E$11)/$D49^2*Q49*10^6)</f>
        <v>4.9933620917212027E-2</v>
      </c>
      <c r="S49" s="91">
        <f>$F49/$F$27+$G49/$F$28+$H49/$F$29+$I49/$F$30</f>
        <v>8.1967213114754092</v>
      </c>
      <c r="T49" s="97">
        <f t="shared" si="3"/>
        <v>6.3573875711648393E-9</v>
      </c>
      <c r="U49" s="91">
        <f>($C$7*$C$15*$F$8*($F$9+$F$10*$F$11)/$D49^2*T49*10^6)</f>
        <v>1.5257730170795616E-4</v>
      </c>
      <c r="V49" s="91">
        <f>$F49/$G$27+$G49/$G$28+$H49/$G$29+$I49/$G$30</f>
        <v>7.0224719101123592</v>
      </c>
      <c r="W49" s="97">
        <f t="shared" si="4"/>
        <v>9.4957241494880226E-8</v>
      </c>
      <c r="X49" s="76">
        <f>($C$7*$C$15*$G$8*($G$9+$G$10*$G$11)/$D49^2*W49*10^6)</f>
        <v>2.278973795877126E-3</v>
      </c>
      <c r="Y49" s="339">
        <f t="shared" si="5"/>
        <v>5.9757939131184837E-2</v>
      </c>
      <c r="Z49" s="333">
        <f>SUM(Y47:Y50)</f>
        <v>0.52249470541710541</v>
      </c>
      <c r="AA49" s="334">
        <f>Z49*52/10^3</f>
        <v>2.7169724681689482E-2</v>
      </c>
      <c r="AG49" s="328"/>
      <c r="AH49" s="328"/>
      <c r="AI49" s="328"/>
      <c r="AJ49" s="328"/>
      <c r="AK49" s="328"/>
      <c r="AL49" s="328"/>
      <c r="AP49" s="222"/>
      <c r="AQ49" s="211"/>
      <c r="AR49" s="222"/>
      <c r="AS49" s="222"/>
      <c r="AT49" s="225"/>
      <c r="AU49" s="225"/>
      <c r="AV49" s="225"/>
      <c r="AW49" s="225"/>
      <c r="AX49" s="225"/>
      <c r="AY49" s="300"/>
      <c r="AZ49" s="300"/>
    </row>
    <row r="50" spans="1:52" s="212" customFormat="1" ht="30" hidden="1" customHeight="1" thickBot="1" x14ac:dyDescent="0.3">
      <c r="A50" s="317"/>
      <c r="B50" s="317"/>
      <c r="C50" s="318"/>
      <c r="D50" s="1838"/>
      <c r="E50" s="1839"/>
      <c r="F50" s="1839"/>
      <c r="G50" s="1839"/>
      <c r="H50" s="1839"/>
      <c r="I50" s="1839"/>
      <c r="J50" s="91"/>
      <c r="K50" s="97"/>
      <c r="L50" s="91"/>
      <c r="M50" s="91"/>
      <c r="N50" s="97"/>
      <c r="O50" s="91"/>
      <c r="P50" s="91"/>
      <c r="Q50" s="97"/>
      <c r="R50" s="91"/>
      <c r="S50" s="91"/>
      <c r="T50" s="97"/>
      <c r="U50" s="91"/>
      <c r="V50" s="91"/>
      <c r="W50" s="97"/>
      <c r="X50" s="76"/>
      <c r="Y50" s="316"/>
      <c r="Z50" s="344"/>
      <c r="AA50" s="345"/>
      <c r="AG50" s="328"/>
      <c r="AH50" s="328"/>
      <c r="AI50" s="328"/>
      <c r="AJ50" s="328"/>
      <c r="AK50" s="328"/>
      <c r="AL50" s="328"/>
      <c r="AP50" s="222"/>
      <c r="AQ50" s="211"/>
      <c r="AR50" s="222"/>
      <c r="AS50" s="222"/>
      <c r="AT50" s="225"/>
      <c r="AU50" s="225"/>
      <c r="AV50" s="225"/>
      <c r="AW50" s="225"/>
      <c r="AX50" s="225"/>
      <c r="AY50" s="300"/>
      <c r="AZ50" s="300"/>
    </row>
    <row r="51" spans="1:52" s="212" customFormat="1" ht="30" customHeight="1" x14ac:dyDescent="0.25">
      <c r="A51" s="322"/>
      <c r="B51" s="322"/>
      <c r="C51" s="323" t="s">
        <v>569</v>
      </c>
      <c r="D51" s="1840">
        <v>6</v>
      </c>
      <c r="E51" s="1840">
        <v>1</v>
      </c>
      <c r="F51" s="1834">
        <v>250</v>
      </c>
      <c r="G51" s="1834">
        <v>0</v>
      </c>
      <c r="H51" s="1834">
        <v>0</v>
      </c>
      <c r="I51" s="1835">
        <v>0</v>
      </c>
      <c r="J51" s="91">
        <f>IF($F51=0,0,1+($F51-$C$21)/$C$22)+$G51/$C$23+$H51/$C$24+$I51/$C$25</f>
        <v>7.4545454545454541</v>
      </c>
      <c r="K51" s="97">
        <f t="shared" si="0"/>
        <v>3.5111917342151263E-8</v>
      </c>
      <c r="L51" s="91">
        <f>($C$7*$C$14*$C$8*$E51/$D51^2*K51*10^6)</f>
        <v>7.8026482982558355E-3</v>
      </c>
      <c r="M51" s="91">
        <f>IF($F51=0,0,1+($F51-$D$21)/$D$22)+$G51/$D$23+$H51/$D$24+$I51/$D$25</f>
        <v>6.6486486486486482</v>
      </c>
      <c r="N51" s="97">
        <f t="shared" si="1"/>
        <v>2.2456979955397711E-7</v>
      </c>
      <c r="O51" s="91">
        <f>($C$7*$D$14*$D$8*$E51/$D51^2*N51*10^6)</f>
        <v>4.99043999008838E-2</v>
      </c>
      <c r="P51" s="91">
        <f>IF($F51=0,0,1+($F51-$E$21)/$E$22)+$G51/$E$23+$H51/$E$24+$I51/$E$25</f>
        <v>5.7674418604651159</v>
      </c>
      <c r="Q51" s="97">
        <f t="shared" si="2"/>
        <v>1.7082763938087111E-6</v>
      </c>
      <c r="R51" s="91">
        <f>($C$7*$E$14*$E$8*$E51/$D51^2*Q51*10^6)</f>
        <v>0.37961697640193576</v>
      </c>
      <c r="S51" s="91">
        <f>IF($F51=0,0,1+($F51-$F$21)/$F$22)+$G51/$F$23+$H51/$F$24+$I51/$F$25</f>
        <v>9.1481481481481488</v>
      </c>
      <c r="T51" s="97">
        <f t="shared" si="3"/>
        <v>7.1097094323124171E-10</v>
      </c>
      <c r="U51" s="91">
        <f>($C$7*$F$14*$F$8*$E51/$D51^2*T51*10^6)</f>
        <v>1.5799354294027593E-4</v>
      </c>
      <c r="V51" s="91">
        <f>IF($F51=0,0,1+($F51-$G$21)/$G$22)+$G51/$G$23+$H51/$G$24+$I51/$G$25</f>
        <v>6.9444444444444446</v>
      </c>
      <c r="W51" s="97">
        <f t="shared" si="4"/>
        <v>1.136463666385722E-7</v>
      </c>
      <c r="X51" s="76">
        <f>($C$7*$G$14*$G$8*$E51/$D51^2*W51*10^6)</f>
        <v>2.5254748141904933E-2</v>
      </c>
      <c r="Y51" s="324">
        <f>SUM(L51,O51,R51,U51,X51)</f>
        <v>0.46273676628592059</v>
      </c>
      <c r="Z51" s="325"/>
      <c r="AA51" s="326"/>
      <c r="AG51" s="328"/>
      <c r="AI51" s="328"/>
      <c r="AJ51" s="328"/>
      <c r="AK51" s="328"/>
      <c r="AL51" s="328"/>
      <c r="AP51" s="222"/>
      <c r="AQ51" s="211"/>
      <c r="AR51" s="222"/>
      <c r="AS51" s="222"/>
      <c r="AT51" s="225"/>
      <c r="AU51" s="225"/>
      <c r="AV51" s="225"/>
      <c r="AW51" s="225"/>
      <c r="AX51" s="225"/>
      <c r="AY51" s="300"/>
      <c r="AZ51" s="300"/>
    </row>
    <row r="52" spans="1:52" s="212" customFormat="1" ht="30" customHeight="1" thickBot="1" x14ac:dyDescent="0.3">
      <c r="A52" s="343" t="str">
        <f>Samenvatting!A61</f>
        <v>B5</v>
      </c>
      <c r="B52" s="346" t="str">
        <f>Samenvatting!B61</f>
        <v>bedieningsruimte Linac 5</v>
      </c>
      <c r="C52" s="331" t="s">
        <v>568</v>
      </c>
      <c r="D52" s="1843">
        <v>5</v>
      </c>
      <c r="E52" s="347"/>
      <c r="F52" s="1834">
        <v>250</v>
      </c>
      <c r="G52" s="1834">
        <v>0</v>
      </c>
      <c r="H52" s="1834">
        <v>0</v>
      </c>
      <c r="I52" s="1835">
        <v>0</v>
      </c>
      <c r="J52" s="91">
        <f>$F52/$C$27+$G52/$C$28+$H52/$C$29+$I52/$C$30</f>
        <v>7.3529411764705879</v>
      </c>
      <c r="K52" s="97">
        <f t="shared" si="0"/>
        <v>4.4366873309786093E-8</v>
      </c>
      <c r="L52" s="91">
        <f>($C$7*$C$15*$C$8*($C$9+$C$10*$C$11)/$D52^2*K52*10^6)</f>
        <v>1.0648049594348663E-3</v>
      </c>
      <c r="M52" s="91">
        <f>$F52/$D$27+$G52/$D$28+$H52/$D$29+$I52/$D$30</f>
        <v>6.5789473684210522</v>
      </c>
      <c r="N52" s="97">
        <f t="shared" si="1"/>
        <v>2.636650898730358E-7</v>
      </c>
      <c r="O52" s="91">
        <f>($C$7*$C$15*$D$8*($D$9+$D$10*$D$11)/$D52^2*N52*10^6)</f>
        <v>6.3279621569528599E-3</v>
      </c>
      <c r="P52" s="91">
        <f>$F52/$E$27+$G52/$E$28+$H52/$E$29+$I52/$E$30</f>
        <v>5.6818181818181817</v>
      </c>
      <c r="Q52" s="97">
        <f t="shared" si="2"/>
        <v>2.0805675382171676E-6</v>
      </c>
      <c r="R52" s="91">
        <f>($C$7*$C$15*$E$8*($E$9+$E$10*$E$11)/$D52^2*Q52*10^6)</f>
        <v>4.9933620917212027E-2</v>
      </c>
      <c r="S52" s="91">
        <f>$F52/$F$27+$G52/$F$28+$H52/$F$29+$I52/$F$30</f>
        <v>8.1967213114754092</v>
      </c>
      <c r="T52" s="97">
        <f t="shared" si="3"/>
        <v>6.3573875711648393E-9</v>
      </c>
      <c r="U52" s="91">
        <f>($C$7*$C$15*$F$8*($F$9+$F$10*$F$11)/$D52^2*T52*10^6)</f>
        <v>1.5257730170795616E-4</v>
      </c>
      <c r="V52" s="91">
        <f>$F52/$G$27+$G52/$G$28+$H52/$G$29+$I52/$G$30</f>
        <v>7.0224719101123592</v>
      </c>
      <c r="W52" s="97">
        <f t="shared" si="4"/>
        <v>9.4957241494880226E-8</v>
      </c>
      <c r="X52" s="76">
        <f>($C$7*$C$15*$G$8*($G$9+$G$10*$G$11)/$D52^2*W52*10^6)</f>
        <v>2.278973795877126E-3</v>
      </c>
      <c r="Y52" s="339">
        <f>SUM(L52,O52,R52,U52,X52)</f>
        <v>5.9757939131184837E-2</v>
      </c>
      <c r="Z52" s="333">
        <f>SUM(Y50:Y53)</f>
        <v>0.52249470541710541</v>
      </c>
      <c r="AA52" s="334">
        <f>Z52*52/10^3</f>
        <v>2.7169724681689482E-2</v>
      </c>
      <c r="AG52" s="328"/>
      <c r="AH52" s="328"/>
      <c r="AI52" s="328"/>
      <c r="AJ52" s="328"/>
      <c r="AK52" s="328"/>
      <c r="AL52" s="328"/>
      <c r="AP52" s="222"/>
      <c r="AQ52" s="211"/>
      <c r="AR52" s="222"/>
      <c r="AS52" s="222"/>
      <c r="AT52" s="225"/>
      <c r="AU52" s="225"/>
      <c r="AV52" s="225"/>
      <c r="AW52" s="225"/>
      <c r="AX52" s="225"/>
      <c r="AY52" s="300"/>
      <c r="AZ52" s="300"/>
    </row>
    <row r="53" spans="1:52" s="212" customFormat="1" ht="30" hidden="1" customHeight="1" thickBot="1" x14ac:dyDescent="0.3">
      <c r="A53" s="317"/>
      <c r="B53" s="317"/>
      <c r="C53" s="318"/>
      <c r="D53" s="1838"/>
      <c r="E53" s="1839"/>
      <c r="F53" s="1839"/>
      <c r="G53" s="1839"/>
      <c r="H53" s="1839"/>
      <c r="I53" s="1839"/>
      <c r="J53" s="91"/>
      <c r="K53" s="97"/>
      <c r="L53" s="91"/>
      <c r="M53" s="91"/>
      <c r="N53" s="97"/>
      <c r="O53" s="91"/>
      <c r="P53" s="91"/>
      <c r="Q53" s="97"/>
      <c r="R53" s="91"/>
      <c r="S53" s="91"/>
      <c r="T53" s="97"/>
      <c r="U53" s="91"/>
      <c r="V53" s="91"/>
      <c r="W53" s="97"/>
      <c r="X53" s="76"/>
      <c r="Y53" s="316"/>
      <c r="Z53" s="344"/>
      <c r="AA53" s="345"/>
      <c r="AG53" s="328"/>
      <c r="AH53" s="328"/>
      <c r="AI53" s="328"/>
      <c r="AJ53" s="328"/>
      <c r="AK53" s="328"/>
      <c r="AL53" s="328"/>
      <c r="AP53" s="222"/>
      <c r="AQ53" s="211"/>
      <c r="AR53" s="222"/>
      <c r="AS53" s="222"/>
      <c r="AT53" s="225"/>
      <c r="AU53" s="225"/>
      <c r="AV53" s="225"/>
      <c r="AW53" s="225"/>
      <c r="AX53" s="225"/>
      <c r="AY53" s="300"/>
      <c r="AZ53" s="300"/>
    </row>
    <row r="54" spans="1:52" s="212" customFormat="1" ht="30" customHeight="1" x14ac:dyDescent="0.25">
      <c r="A54" s="322"/>
      <c r="B54" s="322"/>
      <c r="C54" s="323" t="s">
        <v>569</v>
      </c>
      <c r="D54" s="1840">
        <v>6</v>
      </c>
      <c r="E54" s="1840">
        <v>1</v>
      </c>
      <c r="F54" s="1834">
        <v>250</v>
      </c>
      <c r="G54" s="1834">
        <v>0</v>
      </c>
      <c r="H54" s="1834">
        <v>0</v>
      </c>
      <c r="I54" s="1835">
        <v>0</v>
      </c>
      <c r="J54" s="91">
        <f>IF($F54=0,0,1+($F54-$C$21)/$C$22)+$G54/$C$23+$H54/$C$24+$I54/$C$25</f>
        <v>7.4545454545454541</v>
      </c>
      <c r="K54" s="97">
        <f t="shared" si="0"/>
        <v>3.5111917342151263E-8</v>
      </c>
      <c r="L54" s="91">
        <f>($C$7*$C$14*$C$8*$E54/$D54^2*K54*10^6)</f>
        <v>7.8026482982558355E-3</v>
      </c>
      <c r="M54" s="91">
        <f>IF($F54=0,0,1+($F54-$D$21)/$D$22)+$G54/$D$23+$H54/$D$24+$I54/$D$25</f>
        <v>6.6486486486486482</v>
      </c>
      <c r="N54" s="97">
        <f t="shared" si="1"/>
        <v>2.2456979955397711E-7</v>
      </c>
      <c r="O54" s="91">
        <f>($C$7*$D$14*$D$8*$E54/$D54^2*N54*10^6)</f>
        <v>4.99043999008838E-2</v>
      </c>
      <c r="P54" s="91">
        <f>IF($F54=0,0,1+($F54-$E$21)/$E$22)+$G54/$E$23+$H54/$E$24+$I54/$E$25</f>
        <v>5.7674418604651159</v>
      </c>
      <c r="Q54" s="97">
        <f t="shared" si="2"/>
        <v>1.7082763938087111E-6</v>
      </c>
      <c r="R54" s="91">
        <f>($C$7*$E$14*$E$8*$E54/$D54^2*Q54*10^6)</f>
        <v>0.37961697640193576</v>
      </c>
      <c r="S54" s="91">
        <f>IF($F54=0,0,1+($F54-$F$21)/$F$22)+$G54/$F$23+$H54/$F$24+$I54/$F$25</f>
        <v>9.1481481481481488</v>
      </c>
      <c r="T54" s="97">
        <f t="shared" si="3"/>
        <v>7.1097094323124171E-10</v>
      </c>
      <c r="U54" s="91">
        <f>($C$7*$F$14*$F$8*$E54/$D54^2*T54*10^6)</f>
        <v>1.5799354294027593E-4</v>
      </c>
      <c r="V54" s="91">
        <f>IF($F54=0,0,1+($F54-$G$21)/$G$22)+$G54/$G$23+$H54/$G$24+$I54/$G$25</f>
        <v>6.9444444444444446</v>
      </c>
      <c r="W54" s="97">
        <f t="shared" si="4"/>
        <v>1.136463666385722E-7</v>
      </c>
      <c r="X54" s="76">
        <f>($C$7*$G$14*$G$8*$E54/$D54^2*W54*10^6)</f>
        <v>2.5254748141904933E-2</v>
      </c>
      <c r="Y54" s="324">
        <f>SUM(L54,O54,R54,U54,X54)</f>
        <v>0.46273676628592059</v>
      </c>
      <c r="Z54" s="325"/>
      <c r="AA54" s="326"/>
      <c r="AG54" s="328"/>
      <c r="AI54" s="328"/>
      <c r="AJ54" s="328"/>
      <c r="AK54" s="328"/>
      <c r="AL54" s="328"/>
      <c r="AP54" s="222"/>
      <c r="AQ54" s="211"/>
      <c r="AR54" s="222"/>
      <c r="AS54" s="222"/>
      <c r="AT54" s="225"/>
      <c r="AU54" s="225"/>
      <c r="AV54" s="225"/>
      <c r="AW54" s="225"/>
      <c r="AX54" s="225"/>
      <c r="AY54" s="300"/>
      <c r="AZ54" s="300"/>
    </row>
    <row r="55" spans="1:52" s="212" customFormat="1" ht="30" customHeight="1" thickBot="1" x14ac:dyDescent="0.3">
      <c r="A55" s="343" t="str">
        <f>Samenvatting!A73</f>
        <v>B6</v>
      </c>
      <c r="B55" s="338" t="str">
        <f>Samenvatting!B73</f>
        <v>bedieningsruimte Linac 6</v>
      </c>
      <c r="C55" s="331" t="s">
        <v>568</v>
      </c>
      <c r="D55" s="1836">
        <v>5</v>
      </c>
      <c r="E55" s="89"/>
      <c r="F55" s="1834">
        <v>250</v>
      </c>
      <c r="G55" s="1834">
        <v>0</v>
      </c>
      <c r="H55" s="1834">
        <v>0</v>
      </c>
      <c r="I55" s="1835">
        <v>0</v>
      </c>
      <c r="J55" s="91">
        <f>$F55/$C$27+$G55/$C$28+$H55/$C$29+$I55/$C$30</f>
        <v>7.3529411764705879</v>
      </c>
      <c r="K55" s="97">
        <f t="shared" si="0"/>
        <v>4.4366873309786093E-8</v>
      </c>
      <c r="L55" s="91">
        <f>($C$7*$C$15*$C$8*($C$9+$C$10*$C$11)/$D55^2*K55*10^6)</f>
        <v>1.0648049594348663E-3</v>
      </c>
      <c r="M55" s="91">
        <f>$F55/$D$27+$G55/$D$28+$H55/$D$29+$I55/$D$30</f>
        <v>6.5789473684210522</v>
      </c>
      <c r="N55" s="97">
        <f t="shared" si="1"/>
        <v>2.636650898730358E-7</v>
      </c>
      <c r="O55" s="91">
        <f>($C$7*$C$15*$D$8*($D$9+$D$10*$D$11)/$D55^2*N55*10^6)</f>
        <v>6.3279621569528599E-3</v>
      </c>
      <c r="P55" s="91">
        <f>$F55/$E$27+$G55/$E$28+$H55/$E$29+$I55/$E$30</f>
        <v>5.6818181818181817</v>
      </c>
      <c r="Q55" s="97">
        <f t="shared" si="2"/>
        <v>2.0805675382171676E-6</v>
      </c>
      <c r="R55" s="91">
        <f>($C$7*$C$15*$E$8*($E$9+$E$10*$E$11)/$D55^2*Q55*10^6)</f>
        <v>4.9933620917212027E-2</v>
      </c>
      <c r="S55" s="91">
        <f>$F55/$F$27+$G55/$F$28+$H55/$F$29+$I55/$F$30</f>
        <v>8.1967213114754092</v>
      </c>
      <c r="T55" s="97">
        <f t="shared" si="3"/>
        <v>6.3573875711648393E-9</v>
      </c>
      <c r="U55" s="91">
        <f>($C$7*$C$15*$F$8*($F$9+$F$10*$F$11)/$D55^2*T55*10^6)</f>
        <v>1.5257730170795616E-4</v>
      </c>
      <c r="V55" s="91">
        <f>$F55/$G$27+$G55/$G$28+$H55/$G$29+$I55/$G$30</f>
        <v>7.0224719101123592</v>
      </c>
      <c r="W55" s="97">
        <f t="shared" si="4"/>
        <v>9.4957241494880226E-8</v>
      </c>
      <c r="X55" s="76">
        <f>($C$7*$C$15*$G$8*($G$9+$G$10*$G$11)/$D55^2*W55*10^6)</f>
        <v>2.278973795877126E-3</v>
      </c>
      <c r="Y55" s="339">
        <f>SUM(L55,O55,R55,U55,X55)</f>
        <v>5.9757939131184837E-2</v>
      </c>
      <c r="Z55" s="333">
        <f>SUM(Y53:Y56)</f>
        <v>0.52249470541710541</v>
      </c>
      <c r="AA55" s="334">
        <f>Z55*52/10^3</f>
        <v>2.7169724681689482E-2</v>
      </c>
      <c r="AG55" s="328"/>
      <c r="AH55" s="328"/>
      <c r="AI55" s="328"/>
      <c r="AJ55" s="328"/>
      <c r="AK55" s="328"/>
      <c r="AL55" s="328"/>
      <c r="AP55" s="222"/>
      <c r="AQ55" s="211"/>
      <c r="AR55" s="222"/>
      <c r="AS55" s="222"/>
      <c r="AT55" s="225"/>
      <c r="AU55" s="225"/>
      <c r="AV55" s="225"/>
      <c r="AW55" s="225"/>
      <c r="AX55" s="225"/>
      <c r="AY55" s="300"/>
      <c r="AZ55" s="300"/>
    </row>
    <row r="56" spans="1:52" s="212" customFormat="1" ht="30" hidden="1" customHeight="1" thickBot="1" x14ac:dyDescent="0.3">
      <c r="A56" s="317"/>
      <c r="B56" s="317"/>
      <c r="C56" s="318"/>
      <c r="D56" s="1838"/>
      <c r="E56" s="1839"/>
      <c r="F56" s="1839"/>
      <c r="G56" s="1839"/>
      <c r="H56" s="1839"/>
      <c r="I56" s="1839"/>
      <c r="J56" s="91"/>
      <c r="K56" s="97"/>
      <c r="L56" s="91"/>
      <c r="M56" s="91"/>
      <c r="N56" s="97"/>
      <c r="O56" s="91"/>
      <c r="P56" s="91"/>
      <c r="Q56" s="97"/>
      <c r="R56" s="91"/>
      <c r="S56" s="91"/>
      <c r="T56" s="97"/>
      <c r="U56" s="91"/>
      <c r="V56" s="91"/>
      <c r="W56" s="97"/>
      <c r="X56" s="76"/>
      <c r="Y56" s="316"/>
      <c r="Z56" s="344"/>
      <c r="AA56" s="345"/>
      <c r="AG56" s="328"/>
      <c r="AH56" s="328"/>
      <c r="AI56" s="328"/>
      <c r="AJ56" s="328"/>
      <c r="AK56" s="328"/>
      <c r="AL56" s="328"/>
      <c r="AP56" s="222"/>
      <c r="AQ56" s="211"/>
      <c r="AR56" s="222"/>
      <c r="AS56" s="222"/>
      <c r="AT56" s="225"/>
      <c r="AU56" s="225"/>
      <c r="AV56" s="225"/>
      <c r="AW56" s="225"/>
      <c r="AX56" s="225"/>
      <c r="AY56" s="300"/>
      <c r="AZ56" s="300"/>
    </row>
    <row r="57" spans="1:52" s="212" customFormat="1" ht="30" customHeight="1" x14ac:dyDescent="0.25">
      <c r="A57" s="322"/>
      <c r="B57" s="322"/>
      <c r="C57" s="323" t="s">
        <v>569</v>
      </c>
      <c r="D57" s="1840">
        <v>6</v>
      </c>
      <c r="E57" s="1840">
        <v>1</v>
      </c>
      <c r="F57" s="1834">
        <v>250</v>
      </c>
      <c r="G57" s="1834">
        <v>0</v>
      </c>
      <c r="H57" s="1834">
        <v>0</v>
      </c>
      <c r="I57" s="1835">
        <v>0</v>
      </c>
      <c r="J57" s="91">
        <f>IF($F57=0,0,1+($F57-$C$21)/$C$22)+$G57/$C$23+$H57/$C$24+$I57/$C$25</f>
        <v>7.4545454545454541</v>
      </c>
      <c r="K57" s="97">
        <f t="shared" si="0"/>
        <v>3.5111917342151263E-8</v>
      </c>
      <c r="L57" s="91">
        <f>($C$7*$C$14*$C$8*$E57/$D57^2*K57*10^6)</f>
        <v>7.8026482982558355E-3</v>
      </c>
      <c r="M57" s="91">
        <f>IF($F57=0,0,1+($F57-$D$21)/$D$22)+$G57/$D$23+$H57/$D$24+$I57/$D$25</f>
        <v>6.6486486486486482</v>
      </c>
      <c r="N57" s="97">
        <f t="shared" si="1"/>
        <v>2.2456979955397711E-7</v>
      </c>
      <c r="O57" s="91">
        <f>($C$7*$D$14*$D$8*$E57/$D57^2*N57*10^6)</f>
        <v>4.99043999008838E-2</v>
      </c>
      <c r="P57" s="91">
        <f>IF($F57=0,0,1+($F57-$E$21)/$E$22)+$G57/$E$23+$H57/$E$24+$I57/$E$25</f>
        <v>5.7674418604651159</v>
      </c>
      <c r="Q57" s="97">
        <f t="shared" si="2"/>
        <v>1.7082763938087111E-6</v>
      </c>
      <c r="R57" s="91">
        <f>($C$7*$E$14*$E$8*$E57/$D57^2*Q57*10^6)</f>
        <v>0.37961697640193576</v>
      </c>
      <c r="S57" s="91">
        <f>IF($F57=0,0,1+($F57-$F$21)/$F$22)+$G57/$F$23+$H57/$F$24+$I57/$F$25</f>
        <v>9.1481481481481488</v>
      </c>
      <c r="T57" s="97">
        <f t="shared" si="3"/>
        <v>7.1097094323124171E-10</v>
      </c>
      <c r="U57" s="91">
        <f>($C$7*$F$14*$F$8*$E57/$D57^2*T57*10^6)</f>
        <v>1.5799354294027593E-4</v>
      </c>
      <c r="V57" s="91">
        <f>IF($F57=0,0,1+($F57-$G$21)/$G$22)+$G57/$G$23+$H57/$G$24+$I57/$G$25</f>
        <v>6.9444444444444446</v>
      </c>
      <c r="W57" s="97">
        <f t="shared" si="4"/>
        <v>1.136463666385722E-7</v>
      </c>
      <c r="X57" s="76">
        <f>($C$7*$G$14*$G$8*$E57/$D57^2*W57*10^6)</f>
        <v>2.5254748141904933E-2</v>
      </c>
      <c r="Y57" s="324">
        <f>SUM(L57,O57,R57,U57,X57)</f>
        <v>0.46273676628592059</v>
      </c>
      <c r="Z57" s="325"/>
      <c r="AA57" s="326"/>
      <c r="AG57" s="328"/>
      <c r="AI57" s="328"/>
      <c r="AJ57" s="328"/>
      <c r="AK57" s="328"/>
      <c r="AL57" s="328"/>
      <c r="AP57" s="222"/>
      <c r="AQ57" s="211"/>
      <c r="AR57" s="222"/>
      <c r="AS57" s="222"/>
      <c r="AT57" s="225"/>
      <c r="AU57" s="225"/>
      <c r="AV57" s="225"/>
      <c r="AW57" s="225"/>
      <c r="AX57" s="225"/>
      <c r="AY57" s="300"/>
      <c r="AZ57" s="300"/>
    </row>
    <row r="58" spans="1:52" s="212" customFormat="1" ht="30" customHeight="1" thickBot="1" x14ac:dyDescent="0.3">
      <c r="A58" s="343" t="str">
        <f>Samenvatting!A85</f>
        <v>B7</v>
      </c>
      <c r="B58" s="338" t="str">
        <f>Samenvatting!B85</f>
        <v>bedieningsruimte Linac 7</v>
      </c>
      <c r="C58" s="331" t="s">
        <v>568</v>
      </c>
      <c r="D58" s="1836">
        <v>5</v>
      </c>
      <c r="E58" s="89"/>
      <c r="F58" s="1834">
        <v>250</v>
      </c>
      <c r="G58" s="1834">
        <v>0</v>
      </c>
      <c r="H58" s="1834">
        <v>0</v>
      </c>
      <c r="I58" s="1835">
        <v>0</v>
      </c>
      <c r="J58" s="91">
        <f>$F58/$C$27+$G58/$C$28+$H58/$C$29+$I58/$C$30</f>
        <v>7.3529411764705879</v>
      </c>
      <c r="K58" s="97">
        <f t="shared" si="0"/>
        <v>4.4366873309786093E-8</v>
      </c>
      <c r="L58" s="91">
        <f>($C$7*$C$15*$C$8*($C$9+$C$10*$C$11)/$D58^2*K58*10^6)</f>
        <v>1.0648049594348663E-3</v>
      </c>
      <c r="M58" s="91">
        <f>$F58/$D$27+$G58/$D$28+$H58/$D$29+$I58/$D$30</f>
        <v>6.5789473684210522</v>
      </c>
      <c r="N58" s="97">
        <f t="shared" si="1"/>
        <v>2.636650898730358E-7</v>
      </c>
      <c r="O58" s="91">
        <f>($C$7*$C$15*$D$8*($D$9+$D$10*$D$11)/$D58^2*N58*10^6)</f>
        <v>6.3279621569528599E-3</v>
      </c>
      <c r="P58" s="91">
        <f>$F58/$E$27+$G58/$E$28+$H58/$E$29+$I58/$E$30</f>
        <v>5.6818181818181817</v>
      </c>
      <c r="Q58" s="97">
        <f t="shared" si="2"/>
        <v>2.0805675382171676E-6</v>
      </c>
      <c r="R58" s="91">
        <f>($C$7*$C$15*$E$8*($E$9+$E$10*$E$11)/$D58^2*Q58*10^6)</f>
        <v>4.9933620917212027E-2</v>
      </c>
      <c r="S58" s="91">
        <f>$F58/$F$27+$G58/$F$28+$H58/$F$29+$I58/$F$30</f>
        <v>8.1967213114754092</v>
      </c>
      <c r="T58" s="97">
        <f t="shared" si="3"/>
        <v>6.3573875711648393E-9</v>
      </c>
      <c r="U58" s="91">
        <f>($C$7*$C$15*$F$8*($F$9+$F$10*$F$11)/$D58^2*T58*10^6)</f>
        <v>1.5257730170795616E-4</v>
      </c>
      <c r="V58" s="91">
        <f>$F58/$G$27+$G58/$G$28+$H58/$G$29+$I58/$G$30</f>
        <v>7.0224719101123592</v>
      </c>
      <c r="W58" s="97">
        <f t="shared" si="4"/>
        <v>9.4957241494880226E-8</v>
      </c>
      <c r="X58" s="76">
        <f>($C$7*$C$15*$G$8*($G$9+$G$10*$G$11)/$D58^2*W58*10^6)</f>
        <v>2.278973795877126E-3</v>
      </c>
      <c r="Y58" s="339">
        <f>SUM(L58,O58,R58,U58,X58)</f>
        <v>5.9757939131184837E-2</v>
      </c>
      <c r="Z58" s="333">
        <f>SUM(Y56:Y59)</f>
        <v>0.52249470541710541</v>
      </c>
      <c r="AA58" s="334">
        <f>Z58*52/10^3</f>
        <v>2.7169724681689482E-2</v>
      </c>
      <c r="AG58" s="328"/>
      <c r="AH58" s="328"/>
      <c r="AI58" s="328"/>
      <c r="AJ58" s="328"/>
      <c r="AK58" s="328"/>
      <c r="AL58" s="328"/>
      <c r="AP58" s="222"/>
      <c r="AQ58" s="211"/>
      <c r="AR58" s="222"/>
      <c r="AS58" s="222"/>
      <c r="AT58" s="225"/>
      <c r="AU58" s="225"/>
      <c r="AV58" s="225"/>
      <c r="AW58" s="225"/>
      <c r="AX58" s="225"/>
      <c r="AY58" s="300"/>
      <c r="AZ58" s="300"/>
    </row>
    <row r="59" spans="1:52" s="212" customFormat="1" ht="30" hidden="1" customHeight="1" thickBot="1" x14ac:dyDescent="0.3">
      <c r="A59" s="317"/>
      <c r="B59" s="317"/>
      <c r="C59" s="318"/>
      <c r="D59" s="1838"/>
      <c r="E59" s="1839"/>
      <c r="F59" s="1839"/>
      <c r="G59" s="1839"/>
      <c r="H59" s="1839"/>
      <c r="I59" s="1839"/>
      <c r="J59" s="91"/>
      <c r="K59" s="97"/>
      <c r="L59" s="91"/>
      <c r="M59" s="91"/>
      <c r="N59" s="97"/>
      <c r="O59" s="91"/>
      <c r="P59" s="91"/>
      <c r="Q59" s="97"/>
      <c r="R59" s="91"/>
      <c r="S59" s="91"/>
      <c r="T59" s="97"/>
      <c r="U59" s="91"/>
      <c r="V59" s="91"/>
      <c r="W59" s="97"/>
      <c r="X59" s="76"/>
      <c r="Y59" s="316"/>
      <c r="Z59" s="344"/>
      <c r="AA59" s="345"/>
      <c r="AG59" s="328"/>
      <c r="AH59" s="328"/>
      <c r="AI59" s="328"/>
      <c r="AJ59" s="328"/>
      <c r="AK59" s="328"/>
      <c r="AL59" s="328"/>
      <c r="AP59" s="222"/>
      <c r="AQ59" s="211"/>
      <c r="AR59" s="222"/>
      <c r="AS59" s="222"/>
      <c r="AT59" s="225"/>
      <c r="AU59" s="225"/>
      <c r="AV59" s="225"/>
      <c r="AW59" s="225"/>
      <c r="AX59" s="225"/>
      <c r="AY59" s="300"/>
      <c r="AZ59" s="300"/>
    </row>
    <row r="60" spans="1:52" s="212" customFormat="1" ht="30" customHeight="1" x14ac:dyDescent="0.25">
      <c r="A60" s="322"/>
      <c r="B60" s="322"/>
      <c r="C60" s="323" t="s">
        <v>569</v>
      </c>
      <c r="D60" s="1840">
        <v>6</v>
      </c>
      <c r="E60" s="1840">
        <v>1</v>
      </c>
      <c r="F60" s="1834">
        <v>250</v>
      </c>
      <c r="G60" s="1834">
        <v>0</v>
      </c>
      <c r="H60" s="1834">
        <v>0</v>
      </c>
      <c r="I60" s="1835">
        <v>0</v>
      </c>
      <c r="J60" s="91">
        <f>IF($F60=0,0,1+($F60-$C$21)/$C$22)+$G60/$C$23+$H60/$C$24+$I60/$C$25</f>
        <v>7.4545454545454541</v>
      </c>
      <c r="K60" s="97">
        <f t="shared" si="0"/>
        <v>3.5111917342151263E-8</v>
      </c>
      <c r="L60" s="91">
        <f>($C$7*$C$14*$C$8*$E60/$D60^2*K60*10^6)</f>
        <v>7.8026482982558355E-3</v>
      </c>
      <c r="M60" s="91">
        <f>IF($F60=0,0,1+($F60-$D$21)/$D$22)+$G60/$D$23+$H60/$D$24+$I60/$D$25</f>
        <v>6.6486486486486482</v>
      </c>
      <c r="N60" s="97">
        <f t="shared" si="1"/>
        <v>2.2456979955397711E-7</v>
      </c>
      <c r="O60" s="91">
        <f>($C$7*$D$14*$D$8*$E60/$D60^2*N60*10^6)</f>
        <v>4.99043999008838E-2</v>
      </c>
      <c r="P60" s="91">
        <f>IF($F60=0,0,1+($F60-$E$21)/$E$22)+$G60/$E$23+$H60/$E$24+$I60/$E$25</f>
        <v>5.7674418604651159</v>
      </c>
      <c r="Q60" s="97">
        <f t="shared" si="2"/>
        <v>1.7082763938087111E-6</v>
      </c>
      <c r="R60" s="91">
        <f>($C$7*$E$14*$E$8*$E60/$D60^2*Q60*10^6)</f>
        <v>0.37961697640193576</v>
      </c>
      <c r="S60" s="91">
        <f>IF($F60=0,0,1+($F60-$F$21)/$F$22)+$G60/$F$23+$H60/$F$24+$I60/$F$25</f>
        <v>9.1481481481481488</v>
      </c>
      <c r="T60" s="97">
        <f t="shared" si="3"/>
        <v>7.1097094323124171E-10</v>
      </c>
      <c r="U60" s="91">
        <f>($C$7*$F$14*$F$8*$E60/$D60^2*T60*10^6)</f>
        <v>1.5799354294027593E-4</v>
      </c>
      <c r="V60" s="91">
        <f>IF($F60=0,0,1+($F60-$G$21)/$G$22)+$G60/$G$23+$H60/$G$24+$I60/$G$25</f>
        <v>6.9444444444444446</v>
      </c>
      <c r="W60" s="97">
        <f t="shared" si="4"/>
        <v>1.136463666385722E-7</v>
      </c>
      <c r="X60" s="76">
        <f>($C$7*$G$14*$G$8*$E60/$D60^2*W60*10^6)</f>
        <v>2.5254748141904933E-2</v>
      </c>
      <c r="Y60" s="324">
        <f>SUM(L60,O60,R60,U60,X60)</f>
        <v>0.46273676628592059</v>
      </c>
      <c r="Z60" s="325"/>
      <c r="AA60" s="326"/>
      <c r="AG60" s="328"/>
      <c r="AI60" s="328"/>
      <c r="AJ60" s="328"/>
      <c r="AK60" s="328"/>
      <c r="AL60" s="328"/>
      <c r="AP60" s="222"/>
      <c r="AQ60" s="211"/>
      <c r="AR60" s="222"/>
      <c r="AS60" s="222"/>
      <c r="AT60" s="225"/>
      <c r="AU60" s="225"/>
      <c r="AV60" s="225"/>
      <c r="AW60" s="225"/>
      <c r="AX60" s="225"/>
      <c r="AY60" s="300"/>
      <c r="AZ60" s="300"/>
    </row>
    <row r="61" spans="1:52" s="212" customFormat="1" ht="30" customHeight="1" thickBot="1" x14ac:dyDescent="0.3">
      <c r="A61" s="343" t="str">
        <f>Samenvatting!A97</f>
        <v>B8</v>
      </c>
      <c r="B61" s="338" t="str">
        <f>Samenvatting!B97</f>
        <v>bedieningsruimte Linac 8</v>
      </c>
      <c r="C61" s="331" t="s">
        <v>568</v>
      </c>
      <c r="D61" s="1836">
        <v>5</v>
      </c>
      <c r="E61" s="89"/>
      <c r="F61" s="1834">
        <v>250</v>
      </c>
      <c r="G61" s="1834">
        <v>0</v>
      </c>
      <c r="H61" s="1834">
        <v>0</v>
      </c>
      <c r="I61" s="1835">
        <v>0</v>
      </c>
      <c r="J61" s="91">
        <f>$F61/$C$27+$G61/$C$28+$H61/$C$29+$I61/$C$30</f>
        <v>7.3529411764705879</v>
      </c>
      <c r="K61" s="97">
        <f t="shared" si="0"/>
        <v>4.4366873309786093E-8</v>
      </c>
      <c r="L61" s="91">
        <f>($C$7*$C$15*$C$8*($C$9+$C$10*$C$11)/$D61^2*K61*10^6)</f>
        <v>1.0648049594348663E-3</v>
      </c>
      <c r="M61" s="91">
        <f>$F61/$D$27+$G61/$D$28+$H61/$D$29+$I61/$D$30</f>
        <v>6.5789473684210522</v>
      </c>
      <c r="N61" s="97">
        <f t="shared" si="1"/>
        <v>2.636650898730358E-7</v>
      </c>
      <c r="O61" s="91">
        <f>($C$7*$C$15*$D$8*($D$9+$D$10*$D$11)/$D61^2*N61*10^6)</f>
        <v>6.3279621569528599E-3</v>
      </c>
      <c r="P61" s="91">
        <f>$F61/$E$27+$G61/$E$28+$H61/$E$29+$I61/$E$30</f>
        <v>5.6818181818181817</v>
      </c>
      <c r="Q61" s="97">
        <f t="shared" si="2"/>
        <v>2.0805675382171676E-6</v>
      </c>
      <c r="R61" s="91">
        <f>($C$7*$C$15*$E$8*($E$9+$E$10*$E$11)/$D61^2*Q61*10^6)</f>
        <v>4.9933620917212027E-2</v>
      </c>
      <c r="S61" s="91">
        <f>$F61/$F$27+$G61/$F$28+$H61/$F$29+$I61/$F$30</f>
        <v>8.1967213114754092</v>
      </c>
      <c r="T61" s="97">
        <f t="shared" si="3"/>
        <v>6.3573875711648393E-9</v>
      </c>
      <c r="U61" s="91">
        <f>($C$7*$C$15*$F$8*($F$9+$F$10*$F$11)/$D61^2*T61*10^6)</f>
        <v>1.5257730170795616E-4</v>
      </c>
      <c r="V61" s="91">
        <f>$F61/$G$27+$G61/$G$28+$H61/$G$29+$I61/$G$30</f>
        <v>7.0224719101123592</v>
      </c>
      <c r="W61" s="97">
        <f t="shared" si="4"/>
        <v>9.4957241494880226E-8</v>
      </c>
      <c r="X61" s="76">
        <f>($C$7*$C$15*$G$8*($G$9+$G$10*$G$11)/$D61^2*W61*10^6)</f>
        <v>2.278973795877126E-3</v>
      </c>
      <c r="Y61" s="339">
        <f>SUM(L61,O61,R61,U61,X61)</f>
        <v>5.9757939131184837E-2</v>
      </c>
      <c r="Z61" s="333">
        <f>SUM(Y59:Y62)</f>
        <v>0.52249470541710541</v>
      </c>
      <c r="AA61" s="334">
        <f>Z61*52/10^3</f>
        <v>2.7169724681689482E-2</v>
      </c>
      <c r="AG61" s="328"/>
      <c r="AH61" s="328"/>
      <c r="AI61" s="328"/>
      <c r="AJ61" s="328"/>
      <c r="AK61" s="328"/>
      <c r="AL61" s="328"/>
      <c r="AP61" s="222"/>
      <c r="AQ61" s="211"/>
      <c r="AR61" s="222"/>
      <c r="AS61" s="222"/>
      <c r="AT61" s="225"/>
      <c r="AU61" s="225"/>
      <c r="AV61" s="225"/>
      <c r="AW61" s="225"/>
      <c r="AX61" s="225"/>
      <c r="AY61" s="300"/>
      <c r="AZ61" s="300"/>
    </row>
    <row r="62" spans="1:52" s="212" customFormat="1" ht="30" hidden="1" customHeight="1" thickBot="1" x14ac:dyDescent="0.3">
      <c r="A62" s="317"/>
      <c r="B62" s="317"/>
      <c r="C62" s="318"/>
      <c r="D62" s="1838"/>
      <c r="E62" s="1839"/>
      <c r="F62" s="1839"/>
      <c r="G62" s="1839"/>
      <c r="H62" s="1839"/>
      <c r="I62" s="1839"/>
      <c r="J62" s="91"/>
      <c r="K62" s="97"/>
      <c r="L62" s="91"/>
      <c r="M62" s="91"/>
      <c r="N62" s="97"/>
      <c r="O62" s="91"/>
      <c r="P62" s="91"/>
      <c r="Q62" s="97"/>
      <c r="R62" s="91"/>
      <c r="S62" s="91"/>
      <c r="T62" s="97"/>
      <c r="U62" s="91"/>
      <c r="V62" s="91"/>
      <c r="W62" s="97"/>
      <c r="X62" s="76"/>
      <c r="Y62" s="316"/>
      <c r="Z62" s="344"/>
      <c r="AA62" s="345"/>
      <c r="AG62" s="328"/>
      <c r="AH62" s="328"/>
      <c r="AI62" s="328"/>
      <c r="AJ62" s="328"/>
      <c r="AK62" s="328"/>
      <c r="AL62" s="328"/>
      <c r="AP62" s="222"/>
      <c r="AQ62" s="211"/>
      <c r="AR62" s="222"/>
      <c r="AS62" s="222"/>
      <c r="AT62" s="225"/>
      <c r="AU62" s="225"/>
      <c r="AV62" s="225"/>
      <c r="AW62" s="225"/>
      <c r="AX62" s="225"/>
      <c r="AY62" s="300"/>
      <c r="AZ62" s="300"/>
    </row>
    <row r="63" spans="1:52" s="212" customFormat="1" ht="30" customHeight="1" x14ac:dyDescent="0.25">
      <c r="A63" s="322"/>
      <c r="B63" s="322"/>
      <c r="C63" s="323" t="s">
        <v>569</v>
      </c>
      <c r="D63" s="1840">
        <v>6</v>
      </c>
      <c r="E63" s="1840">
        <v>1</v>
      </c>
      <c r="F63" s="1834">
        <v>250</v>
      </c>
      <c r="G63" s="1834">
        <v>0</v>
      </c>
      <c r="H63" s="1834">
        <v>0</v>
      </c>
      <c r="I63" s="1835">
        <v>0</v>
      </c>
      <c r="J63" s="91">
        <f>IF($F63=0,0,1+($F63-$C$21)/$C$22)+$G63/$C$23+$H63/$C$24+$I63/$C$25</f>
        <v>7.4545454545454541</v>
      </c>
      <c r="K63" s="97">
        <f t="shared" si="0"/>
        <v>3.5111917342151263E-8</v>
      </c>
      <c r="L63" s="91">
        <f>($C$7*$C$14*$C$8*$E63/$D63^2*K63*10^6)</f>
        <v>7.8026482982558355E-3</v>
      </c>
      <c r="M63" s="91">
        <f>IF($F63=0,0,1+($F63-$D$21)/$D$22)+$G63/$D$23+$H63/$D$24+$I63/$D$25</f>
        <v>6.6486486486486482</v>
      </c>
      <c r="N63" s="97">
        <f t="shared" si="1"/>
        <v>2.2456979955397711E-7</v>
      </c>
      <c r="O63" s="91">
        <f>($C$7*$D$14*$D$8*$E63/$D63^2*N63*10^6)</f>
        <v>4.99043999008838E-2</v>
      </c>
      <c r="P63" s="91">
        <f>IF($F63=0,0,1+($F63-$E$21)/$E$22)+$G63/$E$23+$H63/$E$24+$I63/$E$25</f>
        <v>5.7674418604651159</v>
      </c>
      <c r="Q63" s="97">
        <f t="shared" si="2"/>
        <v>1.7082763938087111E-6</v>
      </c>
      <c r="R63" s="91">
        <f>($C$7*$E$14*$E$8*$E63/$D63^2*Q63*10^6)</f>
        <v>0.37961697640193576</v>
      </c>
      <c r="S63" s="91">
        <f>IF($F63=0,0,1+($F63-$F$21)/$F$22)+$G63/$F$23+$H63/$F$24+$I63/$F$25</f>
        <v>9.1481481481481488</v>
      </c>
      <c r="T63" s="97">
        <f t="shared" si="3"/>
        <v>7.1097094323124171E-10</v>
      </c>
      <c r="U63" s="91">
        <f>($C$7*$F$14*$F$8*$E63/$D63^2*T63*10^6)</f>
        <v>1.5799354294027593E-4</v>
      </c>
      <c r="V63" s="91">
        <f>IF($F63=0,0,1+($F63-$G$21)/$G$22)+$G63/$G$23+$H63/$G$24+$I63/$G$25</f>
        <v>6.9444444444444446</v>
      </c>
      <c r="W63" s="97">
        <f t="shared" si="4"/>
        <v>1.136463666385722E-7</v>
      </c>
      <c r="X63" s="76">
        <f>($C$7*$G$14*$G$8*$E63/$D63^2*W63*10^6)</f>
        <v>2.5254748141904933E-2</v>
      </c>
      <c r="Y63" s="324">
        <f>SUM(L63,O63,R63,U63,X63)</f>
        <v>0.46273676628592059</v>
      </c>
      <c r="Z63" s="325"/>
      <c r="AA63" s="326"/>
      <c r="AG63" s="328"/>
      <c r="AI63" s="328"/>
      <c r="AJ63" s="328"/>
      <c r="AK63" s="328"/>
      <c r="AL63" s="328"/>
      <c r="AP63" s="222"/>
      <c r="AQ63" s="211"/>
      <c r="AR63" s="222"/>
      <c r="AS63" s="222"/>
      <c r="AT63" s="225"/>
      <c r="AU63" s="225"/>
      <c r="AV63" s="225"/>
      <c r="AW63" s="225"/>
      <c r="AX63" s="225"/>
      <c r="AY63" s="300"/>
      <c r="AZ63" s="300"/>
    </row>
    <row r="64" spans="1:52" s="212" customFormat="1" ht="30" customHeight="1" thickBot="1" x14ac:dyDescent="0.3">
      <c r="A64" s="343" t="str">
        <f>Samenvatting!A109</f>
        <v>B9</v>
      </c>
      <c r="B64" s="338" t="str">
        <f>Samenvatting!B109</f>
        <v>bedieningsruimte Linac 9</v>
      </c>
      <c r="C64" s="331" t="s">
        <v>568</v>
      </c>
      <c r="D64" s="1843">
        <v>5</v>
      </c>
      <c r="E64" s="347"/>
      <c r="F64" s="1834">
        <v>250</v>
      </c>
      <c r="G64" s="1834">
        <v>0</v>
      </c>
      <c r="H64" s="1834">
        <v>0</v>
      </c>
      <c r="I64" s="1835">
        <v>0</v>
      </c>
      <c r="J64" s="91">
        <f>$F64/$C$27+$G64/$C$28+$H64/$C$29+$I64/$C$30</f>
        <v>7.3529411764705879</v>
      </c>
      <c r="K64" s="97">
        <f t="shared" si="0"/>
        <v>4.4366873309786093E-8</v>
      </c>
      <c r="L64" s="91">
        <f>($C$7*$C$15*$C$8*($C$9+$C$10*$C$11)/$D64^2*K64*10^6)</f>
        <v>1.0648049594348663E-3</v>
      </c>
      <c r="M64" s="91">
        <f>$F64/$D$27+$G64/$D$28+$H64/$D$29+$I64/$D$30</f>
        <v>6.5789473684210522</v>
      </c>
      <c r="N64" s="97">
        <f t="shared" si="1"/>
        <v>2.636650898730358E-7</v>
      </c>
      <c r="O64" s="91">
        <f>($C$7*$C$15*$D$8*($D$9+$D$10*$D$11)/$D64^2*N64*10^6)</f>
        <v>6.3279621569528599E-3</v>
      </c>
      <c r="P64" s="91">
        <f>$F64/$E$27+$G64/$E$28+$H64/$E$29+$I64/$E$30</f>
        <v>5.6818181818181817</v>
      </c>
      <c r="Q64" s="97">
        <f t="shared" si="2"/>
        <v>2.0805675382171676E-6</v>
      </c>
      <c r="R64" s="91">
        <f>($C$7*$C$15*$E$8*($E$9+$E$10*$E$11)/$D64^2*Q64*10^6)</f>
        <v>4.9933620917212027E-2</v>
      </c>
      <c r="S64" s="91">
        <f>$F64/$F$27+$G64/$F$28+$H64/$F$29+$I64/$F$30</f>
        <v>8.1967213114754092</v>
      </c>
      <c r="T64" s="97">
        <f t="shared" si="3"/>
        <v>6.3573875711648393E-9</v>
      </c>
      <c r="U64" s="91">
        <f>($C$7*$C$15*$F$8*($F$9+$F$10*$F$11)/$D64^2*T64*10^6)</f>
        <v>1.5257730170795616E-4</v>
      </c>
      <c r="V64" s="91">
        <f>$F64/$G$27+$G64/$G$28+$H64/$G$29+$I64/$G$30</f>
        <v>7.0224719101123592</v>
      </c>
      <c r="W64" s="97">
        <f t="shared" si="4"/>
        <v>9.4957241494880226E-8</v>
      </c>
      <c r="X64" s="76">
        <f>($C$7*$C$15*$G$8*($G$9+$G$10*$G$11)/$D64^2*W64*10^6)</f>
        <v>2.278973795877126E-3</v>
      </c>
      <c r="Y64" s="339">
        <f>SUM(L64,O64,R64,U64,X64)</f>
        <v>5.9757939131184837E-2</v>
      </c>
      <c r="Z64" s="333">
        <f>SUM(Y62:Y65)</f>
        <v>0.52249470541710541</v>
      </c>
      <c r="AA64" s="334">
        <f>Z64*52/10^3</f>
        <v>2.7169724681689482E-2</v>
      </c>
      <c r="AG64" s="328"/>
      <c r="AH64" s="328"/>
      <c r="AI64" s="328"/>
      <c r="AJ64" s="328"/>
      <c r="AK64" s="328"/>
      <c r="AL64" s="328"/>
      <c r="AP64" s="222"/>
      <c r="AQ64" s="211"/>
      <c r="AR64" s="222"/>
      <c r="AS64" s="222"/>
      <c r="AT64" s="225"/>
      <c r="AU64" s="225"/>
      <c r="AV64" s="225"/>
      <c r="AW64" s="225"/>
      <c r="AX64" s="225"/>
      <c r="AY64" s="300"/>
      <c r="AZ64" s="300"/>
    </row>
    <row r="65" spans="1:52" s="212" customFormat="1" ht="30" hidden="1" customHeight="1" thickBot="1" x14ac:dyDescent="0.3">
      <c r="A65" s="317"/>
      <c r="B65" s="317"/>
      <c r="C65" s="318"/>
      <c r="D65" s="1838"/>
      <c r="E65" s="1839"/>
      <c r="F65" s="1839"/>
      <c r="G65" s="1839"/>
      <c r="H65" s="1839"/>
      <c r="I65" s="1839"/>
      <c r="J65" s="91"/>
      <c r="K65" s="97"/>
      <c r="L65" s="91"/>
      <c r="M65" s="91"/>
      <c r="N65" s="97"/>
      <c r="O65" s="91"/>
      <c r="P65" s="91"/>
      <c r="Q65" s="97"/>
      <c r="R65" s="91"/>
      <c r="S65" s="91"/>
      <c r="T65" s="97"/>
      <c r="U65" s="91"/>
      <c r="V65" s="91"/>
      <c r="W65" s="97"/>
      <c r="X65" s="76"/>
      <c r="Y65" s="316"/>
      <c r="Z65" s="344"/>
      <c r="AA65" s="345"/>
      <c r="AG65" s="328"/>
      <c r="AH65" s="328"/>
      <c r="AI65" s="328"/>
      <c r="AJ65" s="328"/>
      <c r="AK65" s="328"/>
      <c r="AL65" s="328"/>
      <c r="AP65" s="222"/>
      <c r="AQ65" s="211"/>
      <c r="AR65" s="222"/>
      <c r="AS65" s="222"/>
      <c r="AT65" s="225"/>
      <c r="AU65" s="225"/>
      <c r="AV65" s="225"/>
      <c r="AW65" s="225"/>
      <c r="AX65" s="225"/>
      <c r="AY65" s="300"/>
      <c r="AZ65" s="300"/>
    </row>
    <row r="66" spans="1:52" s="212" customFormat="1" ht="30" customHeight="1" x14ac:dyDescent="0.25">
      <c r="A66" s="322"/>
      <c r="B66" s="322"/>
      <c r="C66" s="323" t="s">
        <v>569</v>
      </c>
      <c r="D66" s="1840">
        <v>6</v>
      </c>
      <c r="E66" s="1840">
        <v>1</v>
      </c>
      <c r="F66" s="1834">
        <v>250</v>
      </c>
      <c r="G66" s="1834">
        <v>0</v>
      </c>
      <c r="H66" s="1834">
        <v>0</v>
      </c>
      <c r="I66" s="1835">
        <v>0</v>
      </c>
      <c r="J66" s="91">
        <f>IF($F66=0,0,1+($F66-$C$21)/$C$22)+$G66/$C$23+$H66/$C$24+$I66/$C$25</f>
        <v>7.4545454545454541</v>
      </c>
      <c r="K66" s="97">
        <f t="shared" si="0"/>
        <v>3.5111917342151263E-8</v>
      </c>
      <c r="L66" s="91">
        <f>($C$7*$C$14*$C$8*$E66/$D66^2*K66*10^6)</f>
        <v>7.8026482982558355E-3</v>
      </c>
      <c r="M66" s="91">
        <f>IF($F66=0,0,1+($F66-$D$21)/$D$22)+$G66/$D$23+$H66/$D$24+$I66/$D$25</f>
        <v>6.6486486486486482</v>
      </c>
      <c r="N66" s="97">
        <f t="shared" si="1"/>
        <v>2.2456979955397711E-7</v>
      </c>
      <c r="O66" s="91">
        <f>($C$7*$D$14*$D$8*$E66/$D66^2*N66*10^6)</f>
        <v>4.99043999008838E-2</v>
      </c>
      <c r="P66" s="91">
        <f>IF($F66=0,0,1+($F66-$E$21)/$E$22)+$G66/$E$23+$H66/$E$24+$I66/$E$25</f>
        <v>5.7674418604651159</v>
      </c>
      <c r="Q66" s="97">
        <f t="shared" si="2"/>
        <v>1.7082763938087111E-6</v>
      </c>
      <c r="R66" s="91">
        <f>($C$7*$E$14*$E$8*$E66/$D66^2*Q66*10^6)</f>
        <v>0.37961697640193576</v>
      </c>
      <c r="S66" s="91">
        <f>IF($F66=0,0,1+($F66-$F$21)/$F$22)+$G66/$F$23+$H66/$F$24+$I66/$F$25</f>
        <v>9.1481481481481488</v>
      </c>
      <c r="T66" s="97">
        <f t="shared" si="3"/>
        <v>7.1097094323124171E-10</v>
      </c>
      <c r="U66" s="91">
        <f>($C$7*$F$14*$F$8*$E66/$D66^2*T66*10^6)</f>
        <v>1.5799354294027593E-4</v>
      </c>
      <c r="V66" s="91">
        <f>IF($F66=0,0,1+($F66-$G$21)/$G$22)+$G66/$G$23+$H66/$G$24+$I66/$G$25</f>
        <v>6.9444444444444446</v>
      </c>
      <c r="W66" s="97">
        <f t="shared" si="4"/>
        <v>1.136463666385722E-7</v>
      </c>
      <c r="X66" s="76">
        <f>($C$7*$G$14*$G$8*$E66/$D66^2*W66*10^6)</f>
        <v>2.5254748141904933E-2</v>
      </c>
      <c r="Y66" s="324">
        <f>SUM(L66,O66,R66,U66,X66)</f>
        <v>0.46273676628592059</v>
      </c>
      <c r="Z66" s="325"/>
      <c r="AA66" s="326"/>
      <c r="AG66" s="328"/>
      <c r="AI66" s="328"/>
      <c r="AJ66" s="328"/>
      <c r="AK66" s="328"/>
      <c r="AL66" s="328"/>
      <c r="AP66" s="222"/>
      <c r="AQ66" s="211"/>
      <c r="AR66" s="222"/>
      <c r="AS66" s="222"/>
      <c r="AT66" s="225"/>
      <c r="AU66" s="225"/>
      <c r="AV66" s="225"/>
      <c r="AW66" s="225"/>
      <c r="AX66" s="225"/>
      <c r="AY66" s="300"/>
      <c r="AZ66" s="300"/>
    </row>
    <row r="67" spans="1:52" s="212" customFormat="1" ht="30" customHeight="1" thickBot="1" x14ac:dyDescent="0.3">
      <c r="A67" s="343" t="str">
        <f>Samenvatting!A121</f>
        <v>B10</v>
      </c>
      <c r="B67" s="656" t="str">
        <f>Samenvatting!B121</f>
        <v>bedieningsruimte Linac 10</v>
      </c>
      <c r="C67" s="331" t="s">
        <v>568</v>
      </c>
      <c r="D67" s="1836">
        <v>5</v>
      </c>
      <c r="E67" s="89"/>
      <c r="F67" s="1834">
        <v>250</v>
      </c>
      <c r="G67" s="1834">
        <v>0</v>
      </c>
      <c r="H67" s="1834">
        <v>0</v>
      </c>
      <c r="I67" s="1835">
        <v>0</v>
      </c>
      <c r="J67" s="91">
        <f>$F67/$C$27+$G67/$C$28+$H67/$C$29+$I67/$C$30</f>
        <v>7.3529411764705879</v>
      </c>
      <c r="K67" s="97">
        <f t="shared" si="0"/>
        <v>4.4366873309786093E-8</v>
      </c>
      <c r="L67" s="91">
        <f>($C$7*$C$15*$C$8*($C$9+$C$10*$C$11)/$D67^2*K67*10^6)</f>
        <v>1.0648049594348663E-3</v>
      </c>
      <c r="M67" s="91">
        <f>$F67/$D$27+$G67/$D$28+$H67/$D$29+$I67/$D$30</f>
        <v>6.5789473684210522</v>
      </c>
      <c r="N67" s="97">
        <f t="shared" si="1"/>
        <v>2.636650898730358E-7</v>
      </c>
      <c r="O67" s="91">
        <f>($C$7*$C$15*$D$8*($D$9+$D$10*$D$11)/$D67^2*N67*10^6)</f>
        <v>6.3279621569528599E-3</v>
      </c>
      <c r="P67" s="91">
        <f>$F67/$E$27+$G67/$E$28+$H67/$E$29+$I67/$E$30</f>
        <v>5.6818181818181817</v>
      </c>
      <c r="Q67" s="97">
        <f t="shared" si="2"/>
        <v>2.0805675382171676E-6</v>
      </c>
      <c r="R67" s="91">
        <f>($C$7*$C$15*$E$8*($E$9+$E$10*$E$11)/$D67^2*Q67*10^6)</f>
        <v>4.9933620917212027E-2</v>
      </c>
      <c r="S67" s="91">
        <f>$F67/$F$27+$G67/$F$28+$H67/$F$29+$I67/$F$30</f>
        <v>8.1967213114754092</v>
      </c>
      <c r="T67" s="97">
        <f t="shared" si="3"/>
        <v>6.3573875711648393E-9</v>
      </c>
      <c r="U67" s="91">
        <f>($C$7*$C$15*$F$8*($F$9+$F$10*$F$11)/$D67^2*T67*10^6)</f>
        <v>1.5257730170795616E-4</v>
      </c>
      <c r="V67" s="91">
        <f>$F67/$G$27+$G67/$G$28+$H67/$G$29+$I67/$G$30</f>
        <v>7.0224719101123592</v>
      </c>
      <c r="W67" s="97">
        <f t="shared" si="4"/>
        <v>9.4957241494880226E-8</v>
      </c>
      <c r="X67" s="76">
        <f>($C$7*$C$15*$G$8*($G$9+$G$10*$G$11)/$D67^2*W67*10^6)</f>
        <v>2.278973795877126E-3</v>
      </c>
      <c r="Y67" s="339">
        <f>SUM(L67,O67,R67,U67,X67)</f>
        <v>5.9757939131184837E-2</v>
      </c>
      <c r="Z67" s="333">
        <f>SUM(Y65:Y68)</f>
        <v>0.52249470541710541</v>
      </c>
      <c r="AA67" s="334">
        <f>Z67*52/10^3</f>
        <v>2.7169724681689482E-2</v>
      </c>
      <c r="AG67" s="328"/>
      <c r="AH67" s="328"/>
      <c r="AI67" s="328"/>
      <c r="AJ67" s="328"/>
      <c r="AK67" s="328"/>
      <c r="AL67" s="328"/>
      <c r="AP67" s="222"/>
      <c r="AQ67" s="211"/>
      <c r="AR67" s="222"/>
      <c r="AS67" s="222"/>
      <c r="AT67" s="225"/>
      <c r="AU67" s="225"/>
      <c r="AV67" s="225"/>
      <c r="AW67" s="225"/>
      <c r="AX67" s="225"/>
      <c r="AY67" s="300"/>
      <c r="AZ67" s="300"/>
    </row>
    <row r="68" spans="1:52" s="212" customFormat="1" ht="30" hidden="1" customHeight="1" thickBot="1" x14ac:dyDescent="0.3">
      <c r="A68" s="312"/>
      <c r="B68" s="450"/>
      <c r="C68" s="318"/>
      <c r="D68" s="58"/>
      <c r="E68" s="58"/>
      <c r="F68" s="58"/>
      <c r="G68" s="58"/>
      <c r="H68" s="58"/>
      <c r="I68" s="58"/>
      <c r="J68" s="91"/>
      <c r="K68" s="97"/>
      <c r="L68" s="91"/>
      <c r="M68" s="91"/>
      <c r="N68" s="97"/>
      <c r="O68" s="91"/>
      <c r="P68" s="91"/>
      <c r="Q68" s="97"/>
      <c r="R68" s="91"/>
      <c r="S68" s="91"/>
      <c r="T68" s="97"/>
      <c r="U68" s="91"/>
      <c r="V68" s="91"/>
      <c r="W68" s="97"/>
      <c r="X68" s="76"/>
      <c r="Y68" s="335"/>
      <c r="Z68" s="344"/>
      <c r="AA68" s="345"/>
      <c r="AG68" s="328"/>
      <c r="AH68" s="328"/>
      <c r="AI68" s="328"/>
      <c r="AJ68" s="328"/>
      <c r="AK68" s="328"/>
      <c r="AL68" s="328"/>
      <c r="AP68" s="222"/>
      <c r="AQ68" s="211"/>
      <c r="AR68" s="222"/>
      <c r="AS68" s="222"/>
      <c r="AT68" s="225"/>
      <c r="AU68" s="225"/>
      <c r="AV68" s="225"/>
      <c r="AW68" s="225"/>
      <c r="AX68" s="225"/>
      <c r="AY68" s="300"/>
      <c r="AZ68" s="300"/>
    </row>
    <row r="69" spans="1:52" s="212" customFormat="1" ht="30" customHeight="1" x14ac:dyDescent="0.25">
      <c r="A69" s="322"/>
      <c r="B69" s="322"/>
      <c r="C69" s="323" t="s">
        <v>569</v>
      </c>
      <c r="D69" s="1859">
        <v>6</v>
      </c>
      <c r="E69" s="1859">
        <v>1</v>
      </c>
      <c r="F69" s="1859">
        <v>250</v>
      </c>
      <c r="G69" s="1859">
        <v>0</v>
      </c>
      <c r="H69" s="1859">
        <v>0</v>
      </c>
      <c r="I69" s="1859">
        <v>0</v>
      </c>
      <c r="J69" s="91">
        <f>IF($F69=0,0,1+($F69-$C$21)/$C$22)+$G69/$C$23+$H69/$C$24+$I69/$C$25</f>
        <v>7.4545454545454541</v>
      </c>
      <c r="K69" s="97">
        <f t="shared" si="0"/>
        <v>3.5111917342151263E-8</v>
      </c>
      <c r="L69" s="91">
        <f>($C$7*$C$14*$C$8*$E69/$D69^2*K69*10^6)</f>
        <v>7.8026482982558355E-3</v>
      </c>
      <c r="M69" s="91">
        <f>IF($F69=0,0,1+($F69-$D$21)/$D$22)+$G69/$D$23+$H69/$D$24+$I69/$D$25</f>
        <v>6.6486486486486482</v>
      </c>
      <c r="N69" s="97">
        <f t="shared" si="1"/>
        <v>2.2456979955397711E-7</v>
      </c>
      <c r="O69" s="91">
        <f>($C$7*$D$14*$D$8*$E69/$D69^2*N69*10^6)</f>
        <v>4.99043999008838E-2</v>
      </c>
      <c r="P69" s="91">
        <f>IF($F69=0,0,1+($F69-$E$21)/$E$22)+$G69/$E$23+$H69/$E$24+$I69/$E$25</f>
        <v>5.7674418604651159</v>
      </c>
      <c r="Q69" s="97">
        <f t="shared" si="2"/>
        <v>1.7082763938087111E-6</v>
      </c>
      <c r="R69" s="91">
        <f>($C$7*$D$14*$E$8*$E69/$D69^2*Q69*10^6)</f>
        <v>0.37961697640193576</v>
      </c>
      <c r="S69" s="91">
        <f>IF($F69=0,0,1+($F69-$F$21)/$F$22)+$G69/$F$23+$H69/$F$24+$I69/$F$25</f>
        <v>9.1481481481481488</v>
      </c>
      <c r="T69" s="97">
        <f t="shared" si="3"/>
        <v>7.1097094323124171E-10</v>
      </c>
      <c r="U69" s="91">
        <f>($C$7*$F$14*$F$8*$E69/$D69^2*T69*10^6)</f>
        <v>1.5799354294027593E-4</v>
      </c>
      <c r="V69" s="91">
        <f>IF($F69=0,0,1+($F69-$G$21)/$G$22)+$G69/$G$23+$H69/$G$24+$I69/$G$25</f>
        <v>6.9444444444444446</v>
      </c>
      <c r="W69" s="97">
        <f t="shared" si="4"/>
        <v>1.136463666385722E-7</v>
      </c>
      <c r="X69" s="76">
        <f>($C$7*$G$14*$G$8*$E69/$D69^2*W69*10^6)</f>
        <v>2.5254748141904933E-2</v>
      </c>
      <c r="Y69" s="324">
        <f>SUM(L69,O69,R69,U69,X69)</f>
        <v>0.46273676628592059</v>
      </c>
      <c r="Z69" s="325"/>
      <c r="AA69" s="350"/>
      <c r="AG69" s="328"/>
      <c r="AI69" s="328"/>
      <c r="AJ69" s="328"/>
      <c r="AK69" s="328"/>
      <c r="AL69" s="328"/>
      <c r="AP69" s="222"/>
      <c r="AQ69" s="211"/>
      <c r="AR69" s="222"/>
      <c r="AS69" s="222"/>
      <c r="AT69" s="225"/>
      <c r="AU69" s="225"/>
      <c r="AV69" s="225"/>
      <c r="AW69" s="225"/>
      <c r="AX69" s="225"/>
      <c r="AY69" s="300"/>
      <c r="AZ69" s="300"/>
    </row>
    <row r="70" spans="1:52" s="212" customFormat="1" ht="30" customHeight="1" thickBot="1" x14ac:dyDescent="0.3">
      <c r="A70" s="329" t="str">
        <f>Samenvatting!A123</f>
        <v>L1</v>
      </c>
      <c r="B70" s="656" t="str">
        <f>Samenvatting!B123</f>
        <v>ingang labyrint linac 1</v>
      </c>
      <c r="C70" s="331" t="s">
        <v>568</v>
      </c>
      <c r="D70" s="1859">
        <v>5</v>
      </c>
      <c r="E70" s="58"/>
      <c r="F70" s="1859">
        <v>250</v>
      </c>
      <c r="G70" s="1859">
        <v>0</v>
      </c>
      <c r="H70" s="1859">
        <v>0</v>
      </c>
      <c r="I70" s="1859">
        <v>0</v>
      </c>
      <c r="J70" s="91">
        <f>$F70/$C$27+$G70/$C$28+$H70/$C$29+$I70/$C$30</f>
        <v>7.3529411764705879</v>
      </c>
      <c r="K70" s="97">
        <f t="shared" si="0"/>
        <v>4.4366873309786093E-8</v>
      </c>
      <c r="L70" s="91">
        <f>($C$7*$C$15*$C$8*($C$9+$C$10*$C$11)/$D70^2*K70*10^6)</f>
        <v>1.0648049594348663E-3</v>
      </c>
      <c r="M70" s="91">
        <f>$F70/$D$27+$G70/$D$28+$H70/$D$29+$I70/$D$30</f>
        <v>6.5789473684210522</v>
      </c>
      <c r="N70" s="97">
        <f t="shared" si="1"/>
        <v>2.636650898730358E-7</v>
      </c>
      <c r="O70" s="91">
        <f>($C$7*$C$15*$D$8*($D$9+$D$10*$D$11)/$D70^2*N70*10^6)</f>
        <v>6.3279621569528599E-3</v>
      </c>
      <c r="P70" s="91">
        <f>$F70/$E$27+$G70/$E$28+$H70/$E$29+$I70/$E$30</f>
        <v>5.6818181818181817</v>
      </c>
      <c r="Q70" s="97">
        <f t="shared" si="2"/>
        <v>2.0805675382171676E-6</v>
      </c>
      <c r="R70" s="91">
        <f>($C$7*$C$15*$E$8*($E$9+$E$10*$E$11)/$D70^2*Q70*10^6)</f>
        <v>4.9933620917212027E-2</v>
      </c>
      <c r="S70" s="91">
        <f>$F70/$F$27+$G70/$F$28+$H70/$F$29+$I70/$F$30</f>
        <v>8.1967213114754092</v>
      </c>
      <c r="T70" s="97">
        <f t="shared" si="3"/>
        <v>6.3573875711648393E-9</v>
      </c>
      <c r="U70" s="91">
        <f>($C$7*$C$15*$F$8*($F$9+$F$10*$F$11)/$D70^2*T70*10^6)</f>
        <v>1.5257730170795616E-4</v>
      </c>
      <c r="V70" s="91">
        <f>$F70/$G$27+$G70/$G$28+$H70/$G$29+$I70/$G$30</f>
        <v>7.0224719101123592</v>
      </c>
      <c r="W70" s="97">
        <f t="shared" si="4"/>
        <v>9.4957241494880226E-8</v>
      </c>
      <c r="X70" s="76">
        <f>($C$7*$C$15*$G$8*($G$9+$G$10*$G$11)/$D70^2*W70*10^6)</f>
        <v>2.278973795877126E-3</v>
      </c>
      <c r="Y70" s="339">
        <f>SUM(L70,O70,R70,U70,X70)</f>
        <v>5.9757939131184837E-2</v>
      </c>
      <c r="Z70" s="363">
        <f>SUM(Y68:Y71)</f>
        <v>0.52249470541710541</v>
      </c>
      <c r="AA70" s="334">
        <f>Z70*52/10^3</f>
        <v>2.7169724681689482E-2</v>
      </c>
      <c r="AG70" s="328"/>
      <c r="AH70" s="328"/>
      <c r="AI70" s="328"/>
      <c r="AJ70" s="328"/>
      <c r="AK70" s="328"/>
      <c r="AL70" s="328"/>
      <c r="AP70" s="222"/>
      <c r="AQ70" s="211"/>
      <c r="AR70" s="222"/>
      <c r="AS70" s="222"/>
      <c r="AT70" s="225"/>
      <c r="AU70" s="225"/>
      <c r="AV70" s="225"/>
      <c r="AW70" s="225"/>
      <c r="AX70" s="225"/>
      <c r="AY70" s="300"/>
      <c r="AZ70" s="300"/>
    </row>
    <row r="71" spans="1:52" s="212" customFormat="1" ht="30" hidden="1" customHeight="1" thickBot="1" x14ac:dyDescent="0.3">
      <c r="A71" s="317"/>
      <c r="B71" s="317"/>
      <c r="C71" s="360"/>
      <c r="D71" s="1871"/>
      <c r="E71" s="1871"/>
      <c r="F71" s="1871"/>
      <c r="G71" s="1871"/>
      <c r="H71" s="1871"/>
      <c r="I71" s="1871"/>
      <c r="J71" s="91"/>
      <c r="K71" s="97"/>
      <c r="L71" s="91"/>
      <c r="M71" s="91"/>
      <c r="N71" s="97"/>
      <c r="O71" s="91"/>
      <c r="P71" s="91"/>
      <c r="Q71" s="97"/>
      <c r="R71" s="91"/>
      <c r="S71" s="91"/>
      <c r="T71" s="97"/>
      <c r="U71" s="91"/>
      <c r="V71" s="91"/>
      <c r="W71" s="97"/>
      <c r="X71" s="76"/>
      <c r="Y71" s="577"/>
      <c r="Z71" s="659"/>
      <c r="AA71" s="660"/>
      <c r="AG71" s="328"/>
      <c r="AH71" s="328"/>
      <c r="AI71" s="328"/>
      <c r="AJ71" s="328"/>
      <c r="AK71" s="328"/>
      <c r="AL71" s="328"/>
      <c r="AP71" s="222"/>
      <c r="AQ71" s="211"/>
      <c r="AR71" s="222"/>
      <c r="AS71" s="222"/>
      <c r="AT71" s="225"/>
      <c r="AU71" s="225"/>
      <c r="AV71" s="225"/>
      <c r="AW71" s="225"/>
      <c r="AX71" s="225"/>
      <c r="AY71" s="300"/>
      <c r="AZ71" s="300"/>
    </row>
    <row r="72" spans="1:52" s="212" customFormat="1" ht="30" customHeight="1" x14ac:dyDescent="0.25">
      <c r="A72" s="322"/>
      <c r="B72" s="322"/>
      <c r="C72" s="323" t="s">
        <v>569</v>
      </c>
      <c r="D72" s="1859">
        <v>6</v>
      </c>
      <c r="E72" s="1859">
        <v>1</v>
      </c>
      <c r="F72" s="1859">
        <v>250</v>
      </c>
      <c r="G72" s="1859">
        <v>0</v>
      </c>
      <c r="H72" s="1859">
        <v>0</v>
      </c>
      <c r="I72" s="1859">
        <v>0</v>
      </c>
      <c r="J72" s="91">
        <f>IF($F72=0,0,1+($F72-$C$21)/$C$22)+$G72/$C$23+$H72/$C$24+$I72/$C$25</f>
        <v>7.4545454545454541</v>
      </c>
      <c r="K72" s="97">
        <f t="shared" si="0"/>
        <v>3.5111917342151263E-8</v>
      </c>
      <c r="L72" s="91">
        <f>($C$7*$C$14*$C$8*$E72/$D72^2*K72*10^6)</f>
        <v>7.8026482982558355E-3</v>
      </c>
      <c r="M72" s="91">
        <f>IF($F72=0,0,1+($F72-$D$21)/$D$22)+$G72/$D$23+$H72/$D$24+$I72/$D$25</f>
        <v>6.6486486486486482</v>
      </c>
      <c r="N72" s="97">
        <f t="shared" si="1"/>
        <v>2.2456979955397711E-7</v>
      </c>
      <c r="O72" s="91">
        <f>($C$7*$D$14*$D$8*$E72/$D72^2*N72*10^6)</f>
        <v>4.99043999008838E-2</v>
      </c>
      <c r="P72" s="91">
        <f>IF($F$72=0,0,1+($F72-$E$21)/$E$22)+$G72/$E$23+$H72/$E$24+$I72/$E$25</f>
        <v>5.7674418604651159</v>
      </c>
      <c r="Q72" s="97">
        <f t="shared" si="2"/>
        <v>1.7082763938087111E-6</v>
      </c>
      <c r="R72" s="91">
        <f>($C$7*$D$14*$E$8*$E72/$D72^2*Q72*10^6)</f>
        <v>0.37961697640193576</v>
      </c>
      <c r="S72" s="91">
        <f>IF($F72=0,0,1+($F72-$F$21)/$F$22)+$G72/$F$23+$H72/$F$24+$I72/$F$25</f>
        <v>9.1481481481481488</v>
      </c>
      <c r="T72" s="97">
        <f t="shared" si="3"/>
        <v>7.1097094323124171E-10</v>
      </c>
      <c r="U72" s="91">
        <f>($C$7*$F$14*$F$8*$E72/$D72^2*T72*10^6)</f>
        <v>1.5799354294027593E-4</v>
      </c>
      <c r="V72" s="91">
        <f>IF($F72=0,0,1+($F72-$G$21)/$G$22)+$G72/$G$23+$H72/$G$24+$I72/$G$25</f>
        <v>6.9444444444444446</v>
      </c>
      <c r="W72" s="97">
        <f t="shared" si="4"/>
        <v>1.136463666385722E-7</v>
      </c>
      <c r="X72" s="76">
        <f>($C$7*$G$14*$G$8*$E72/$D72^2*W72*10^6)</f>
        <v>2.5254748141904933E-2</v>
      </c>
      <c r="Y72" s="324">
        <f>SUM(L72,O72,R72,U72,X72)</f>
        <v>0.46273676628592059</v>
      </c>
      <c r="Z72" s="325"/>
      <c r="AA72" s="350"/>
      <c r="AG72" s="328"/>
      <c r="AI72" s="328"/>
      <c r="AJ72" s="328"/>
      <c r="AK72" s="328"/>
      <c r="AL72" s="328"/>
      <c r="AP72" s="222"/>
      <c r="AQ72" s="211"/>
      <c r="AR72" s="222"/>
      <c r="AS72" s="222"/>
      <c r="AT72" s="225"/>
      <c r="AU72" s="225"/>
      <c r="AV72" s="225"/>
      <c r="AW72" s="225"/>
      <c r="AX72" s="225"/>
      <c r="AY72" s="300"/>
      <c r="AZ72" s="300"/>
    </row>
    <row r="73" spans="1:52" s="212" customFormat="1" ht="30" customHeight="1" thickBot="1" x14ac:dyDescent="0.3">
      <c r="A73" s="343" t="str">
        <f>Samenvatting!A135</f>
        <v>L2</v>
      </c>
      <c r="B73" s="338" t="str">
        <f>Samenvatting!B135</f>
        <v>ingang labyrint linac 2</v>
      </c>
      <c r="C73" s="331" t="s">
        <v>568</v>
      </c>
      <c r="D73" s="1859">
        <v>5</v>
      </c>
      <c r="E73" s="58"/>
      <c r="F73" s="1859">
        <v>250</v>
      </c>
      <c r="G73" s="1859">
        <v>0</v>
      </c>
      <c r="H73" s="1859">
        <v>0</v>
      </c>
      <c r="I73" s="1859">
        <v>0</v>
      </c>
      <c r="J73" s="91">
        <f>$F73/$C$27+$G73/$C$28+$H73/$C$29+$I73/$C$30</f>
        <v>7.3529411764705879</v>
      </c>
      <c r="K73" s="97">
        <f t="shared" si="0"/>
        <v>4.4366873309786093E-8</v>
      </c>
      <c r="L73" s="91">
        <f>($C$7*$C$15*$C$8*($C$9+$C$10*$C$11)/$D73^2*K73*10^6)</f>
        <v>1.0648049594348663E-3</v>
      </c>
      <c r="M73" s="91">
        <f>$F73/$D$27+$G73/$D$28+$H73/$D$29+$I73/$D$30</f>
        <v>6.5789473684210522</v>
      </c>
      <c r="N73" s="97">
        <f t="shared" si="1"/>
        <v>2.636650898730358E-7</v>
      </c>
      <c r="O73" s="91">
        <f>($C$7*$C$15*$D$8*($D$9+$D$10*$D$11)/$D73^2*N73*10^6)</f>
        <v>6.3279621569528599E-3</v>
      </c>
      <c r="P73" s="91">
        <f>$F73/$E$27+$G73/$E$28+$H73/$E$29+$I73/$E$30</f>
        <v>5.6818181818181817</v>
      </c>
      <c r="Q73" s="97">
        <f t="shared" si="2"/>
        <v>2.0805675382171676E-6</v>
      </c>
      <c r="R73" s="91">
        <f>($C$7*$C$15*$E$8*($E$9+$E$10*$E$11)/$D73^2*Q73*10^6)</f>
        <v>4.9933620917212027E-2</v>
      </c>
      <c r="S73" s="91">
        <f>$F73/$F$27+$G73/$F$28+$H73/$F$29+$I73/$F$30</f>
        <v>8.1967213114754092</v>
      </c>
      <c r="T73" s="97">
        <f t="shared" si="3"/>
        <v>6.3573875711648393E-9</v>
      </c>
      <c r="U73" s="91">
        <f>($C$7*$C$15*$F$8*($F$9+$F$10*$F$11)/$D73^2*T73*10^6)</f>
        <v>1.5257730170795616E-4</v>
      </c>
      <c r="V73" s="91">
        <f>$F73/$G$27+$G73/$G$28+$H73/$G$29+$I73/$G$30</f>
        <v>7.0224719101123592</v>
      </c>
      <c r="W73" s="97">
        <f t="shared" si="4"/>
        <v>9.4957241494880226E-8</v>
      </c>
      <c r="X73" s="76">
        <f>($C$7*$C$15*$G$8*($G$9+$G$10*$G$11)/$D73^2*W73*10^6)</f>
        <v>2.278973795877126E-3</v>
      </c>
      <c r="Y73" s="339">
        <f>SUM(L73,O73,R73,U73,X73)</f>
        <v>5.9757939131184837E-2</v>
      </c>
      <c r="Z73" s="363">
        <f>SUM(Y71:Y74)</f>
        <v>0.52249470541710541</v>
      </c>
      <c r="AA73" s="334">
        <f>Z73*52/10^3</f>
        <v>2.7169724681689482E-2</v>
      </c>
      <c r="AG73" s="328"/>
      <c r="AH73" s="328"/>
      <c r="AI73" s="328"/>
      <c r="AJ73" s="328"/>
      <c r="AK73" s="328"/>
      <c r="AL73" s="328"/>
      <c r="AP73" s="222"/>
      <c r="AQ73" s="211"/>
      <c r="AR73" s="222"/>
      <c r="AS73" s="222"/>
      <c r="AT73" s="225"/>
      <c r="AU73" s="225"/>
      <c r="AV73" s="225"/>
      <c r="AW73" s="225"/>
      <c r="AX73" s="225"/>
      <c r="AY73" s="300"/>
      <c r="AZ73" s="300"/>
    </row>
    <row r="74" spans="1:52" s="212" customFormat="1" ht="30" hidden="1" customHeight="1" thickBot="1" x14ac:dyDescent="0.3">
      <c r="A74" s="317"/>
      <c r="B74" s="317"/>
      <c r="C74" s="331"/>
      <c r="D74" s="1871"/>
      <c r="E74" s="1871"/>
      <c r="F74" s="1871"/>
      <c r="G74" s="1871"/>
      <c r="H74" s="1871"/>
      <c r="I74" s="1871"/>
      <c r="J74" s="91"/>
      <c r="K74" s="97"/>
      <c r="L74" s="91"/>
      <c r="M74" s="91"/>
      <c r="N74" s="97"/>
      <c r="O74" s="91"/>
      <c r="P74" s="91"/>
      <c r="Q74" s="97"/>
      <c r="R74" s="91"/>
      <c r="S74" s="91"/>
      <c r="T74" s="97"/>
      <c r="U74" s="91"/>
      <c r="V74" s="91"/>
      <c r="W74" s="97"/>
      <c r="X74" s="76"/>
      <c r="Y74" s="577"/>
      <c r="Z74" s="659"/>
      <c r="AA74" s="660"/>
      <c r="AG74" s="328"/>
      <c r="AH74" s="328"/>
      <c r="AI74" s="328"/>
      <c r="AJ74" s="328"/>
      <c r="AK74" s="328"/>
      <c r="AL74" s="328"/>
      <c r="AP74" s="222"/>
      <c r="AQ74" s="211"/>
      <c r="AR74" s="222"/>
      <c r="AS74" s="222"/>
      <c r="AT74" s="225"/>
      <c r="AU74" s="225"/>
      <c r="AV74" s="225"/>
      <c r="AW74" s="225"/>
      <c r="AX74" s="225"/>
      <c r="AY74" s="300"/>
      <c r="AZ74" s="300"/>
    </row>
    <row r="75" spans="1:52" s="212" customFormat="1" ht="30" customHeight="1" x14ac:dyDescent="0.25">
      <c r="A75" s="322"/>
      <c r="B75" s="322"/>
      <c r="C75" s="323" t="s">
        <v>569</v>
      </c>
      <c r="D75" s="1859">
        <v>6</v>
      </c>
      <c r="E75" s="1859">
        <v>1</v>
      </c>
      <c r="F75" s="1859">
        <v>250</v>
      </c>
      <c r="G75" s="1859">
        <v>0</v>
      </c>
      <c r="H75" s="1859">
        <v>0</v>
      </c>
      <c r="I75" s="1859">
        <v>0</v>
      </c>
      <c r="J75" s="91">
        <f>IF($F75=0,0,1+($F75-$C$21)/$C$22)+$G75/$C$23+$H75/$C$24+$I75/$C$25</f>
        <v>7.4545454545454541</v>
      </c>
      <c r="K75" s="97">
        <f t="shared" si="0"/>
        <v>3.5111917342151263E-8</v>
      </c>
      <c r="L75" s="91">
        <f>($C$7*$C$14*$C$8*$E75/$D75^2*K75*10^6)</f>
        <v>7.8026482982558355E-3</v>
      </c>
      <c r="M75" s="91">
        <f>IF($F75=0,0,1+($F75-$D$21)/$D$22)+$G75/$D$23+$H75/$D$24+$I75/$D$25</f>
        <v>6.6486486486486482</v>
      </c>
      <c r="N75" s="97">
        <f t="shared" si="1"/>
        <v>2.2456979955397711E-7</v>
      </c>
      <c r="O75" s="91">
        <f>($C$7*$D$14*$D$8*$E75/$D75^2*N75*10^6)</f>
        <v>4.99043999008838E-2</v>
      </c>
      <c r="P75" s="91">
        <f>IF($F75=0,0,1+($F75-$E$21)/$E$22)+$G75/$E$23+$H75/$E$24+$I75/$E$25</f>
        <v>5.7674418604651159</v>
      </c>
      <c r="Q75" s="97">
        <f t="shared" si="2"/>
        <v>1.7082763938087111E-6</v>
      </c>
      <c r="R75" s="91">
        <f>($C$7*$D$14*$E$8*$E75/$D75^2*Q75*10^6)</f>
        <v>0.37961697640193576</v>
      </c>
      <c r="S75" s="91">
        <f>IF($F75=0,0,1+($F75-$F$21)/$F$22)+$G75/$F$23+$H75/$F$24+$I75/$F$25</f>
        <v>9.1481481481481488</v>
      </c>
      <c r="T75" s="97">
        <f t="shared" si="3"/>
        <v>7.1097094323124171E-10</v>
      </c>
      <c r="U75" s="91">
        <f>($C$7*$F$14*$F$8*$E75/$D75^2*T75*10^6)</f>
        <v>1.5799354294027593E-4</v>
      </c>
      <c r="V75" s="91">
        <f>IF($F75=0,0,1+($F75-$G$21)/$G$22)+$G75/$G$23+$H75/$G$24+$I75/$G$25</f>
        <v>6.9444444444444446</v>
      </c>
      <c r="W75" s="97">
        <f t="shared" si="4"/>
        <v>1.136463666385722E-7</v>
      </c>
      <c r="X75" s="76">
        <f>($C$7*$G$14*$G$8*$E75/$D75^2*W75*10^6)</f>
        <v>2.5254748141904933E-2</v>
      </c>
      <c r="Y75" s="324">
        <f>SUM(L75,O75,R75,U75,X75)</f>
        <v>0.46273676628592059</v>
      </c>
      <c r="Z75" s="325"/>
      <c r="AA75" s="350"/>
      <c r="AG75" s="328"/>
      <c r="AI75" s="328"/>
      <c r="AJ75" s="328"/>
      <c r="AK75" s="328"/>
      <c r="AL75" s="328"/>
      <c r="AP75" s="222"/>
      <c r="AQ75" s="211"/>
      <c r="AR75" s="222"/>
      <c r="AS75" s="222"/>
      <c r="AT75" s="225"/>
      <c r="AU75" s="225"/>
      <c r="AV75" s="225"/>
      <c r="AW75" s="225"/>
      <c r="AX75" s="225"/>
      <c r="AY75" s="300"/>
      <c r="AZ75" s="300"/>
    </row>
    <row r="76" spans="1:52" s="212" customFormat="1" ht="30" customHeight="1" thickBot="1" x14ac:dyDescent="0.3">
      <c r="A76" s="657" t="str">
        <f>Samenvatting!A147</f>
        <v>L3</v>
      </c>
      <c r="B76" s="656" t="str">
        <f>Samenvatting!B147</f>
        <v>ingang labyrint linac 3</v>
      </c>
      <c r="C76" s="331" t="s">
        <v>568</v>
      </c>
      <c r="D76" s="1859">
        <v>5</v>
      </c>
      <c r="E76" s="58"/>
      <c r="F76" s="1859">
        <v>250</v>
      </c>
      <c r="G76" s="1859">
        <v>0</v>
      </c>
      <c r="H76" s="1859">
        <v>0</v>
      </c>
      <c r="I76" s="1859">
        <v>0</v>
      </c>
      <c r="J76" s="91">
        <f>$F76/$C$27+$G76/$C$28+$H76/$C$29+$I76/$C$30</f>
        <v>7.3529411764705879</v>
      </c>
      <c r="K76" s="97">
        <f t="shared" si="0"/>
        <v>4.4366873309786093E-8</v>
      </c>
      <c r="L76" s="91">
        <f>($C$7*$C$15*$C$8*($C$9+$C$10*$C$11)/$D76^2*K76*10^6)</f>
        <v>1.0648049594348663E-3</v>
      </c>
      <c r="M76" s="91">
        <f>$F76/$D$27+$G76/$D$28+$H76/$D$29+$I76/$D$30</f>
        <v>6.5789473684210522</v>
      </c>
      <c r="N76" s="97">
        <f t="shared" si="1"/>
        <v>2.636650898730358E-7</v>
      </c>
      <c r="O76" s="91">
        <f>($C$7*$C$15*$D$8*($D$9+$D$10*$D$11)/$D76^2*N76*10^6)</f>
        <v>6.3279621569528599E-3</v>
      </c>
      <c r="P76" s="91">
        <f>$F76/$E$27+$G76/$E$28+$H76/$E$29+$I76/$E$30</f>
        <v>5.6818181818181817</v>
      </c>
      <c r="Q76" s="97">
        <f t="shared" si="2"/>
        <v>2.0805675382171676E-6</v>
      </c>
      <c r="R76" s="91">
        <f>($C$7*$C$15*$E$8*($E$9+$E$10*$E$11)/$D76^2*Q76*10^6)</f>
        <v>4.9933620917212027E-2</v>
      </c>
      <c r="S76" s="91">
        <f>$F76/$F$27+$G76/$F$28+$H76/$F$29+$I76/$F$30</f>
        <v>8.1967213114754092</v>
      </c>
      <c r="T76" s="97">
        <f t="shared" si="3"/>
        <v>6.3573875711648393E-9</v>
      </c>
      <c r="U76" s="91">
        <f>($C$7*$C$15*$F$8*($F$9+$F$10*$F$11)/$D76^2*T76*10^6)</f>
        <v>1.5257730170795616E-4</v>
      </c>
      <c r="V76" s="91">
        <f>$F76/$G$27+$G76/$G$28+$H76/$G$29+$I76/$G$30</f>
        <v>7.0224719101123592</v>
      </c>
      <c r="W76" s="97">
        <f t="shared" si="4"/>
        <v>9.4957241494880226E-8</v>
      </c>
      <c r="X76" s="76">
        <f>($C$7*$C$15*$G$8*($G$9+$G$10*$G$11)/$D76^2*W76*10^6)</f>
        <v>2.278973795877126E-3</v>
      </c>
      <c r="Y76" s="339">
        <f>SUM(L76,O76,R76,U76,X76)</f>
        <v>5.9757939131184837E-2</v>
      </c>
      <c r="Z76" s="363">
        <f>SUM(Y74:Y77)</f>
        <v>0.52249470541710541</v>
      </c>
      <c r="AA76" s="334">
        <f>Z76*52/10^3</f>
        <v>2.7169724681689482E-2</v>
      </c>
      <c r="AG76" s="328"/>
      <c r="AH76" s="328"/>
      <c r="AI76" s="328"/>
      <c r="AJ76" s="328"/>
      <c r="AK76" s="328"/>
      <c r="AL76" s="328"/>
      <c r="AP76" s="222"/>
      <c r="AQ76" s="211"/>
      <c r="AR76" s="222"/>
      <c r="AS76" s="222"/>
      <c r="AT76" s="225"/>
      <c r="AU76" s="225"/>
      <c r="AV76" s="225"/>
      <c r="AW76" s="225"/>
      <c r="AX76" s="225"/>
      <c r="AY76" s="300"/>
      <c r="AZ76" s="300"/>
    </row>
    <row r="77" spans="1:52" s="212" customFormat="1" ht="30" hidden="1" customHeight="1" thickBot="1" x14ac:dyDescent="0.3">
      <c r="A77" s="715"/>
      <c r="B77" s="716"/>
      <c r="C77" s="331"/>
      <c r="D77" s="1871"/>
      <c r="E77" s="1871"/>
      <c r="F77" s="1871"/>
      <c r="G77" s="1871"/>
      <c r="H77" s="1871"/>
      <c r="I77" s="1871"/>
      <c r="J77" s="91"/>
      <c r="K77" s="97"/>
      <c r="L77" s="91"/>
      <c r="M77" s="91"/>
      <c r="N77" s="97"/>
      <c r="O77" s="91"/>
      <c r="P77" s="91"/>
      <c r="Q77" s="97"/>
      <c r="R77" s="91"/>
      <c r="S77" s="91"/>
      <c r="T77" s="97"/>
      <c r="U77" s="91"/>
      <c r="V77" s="91"/>
      <c r="W77" s="97"/>
      <c r="X77" s="76"/>
      <c r="Y77" s="577"/>
      <c r="Z77" s="659"/>
      <c r="AA77" s="660"/>
      <c r="AG77" s="328"/>
      <c r="AH77" s="328"/>
      <c r="AI77" s="328"/>
      <c r="AJ77" s="328"/>
      <c r="AK77" s="328"/>
      <c r="AL77" s="328"/>
      <c r="AP77" s="222"/>
      <c r="AQ77" s="211"/>
      <c r="AR77" s="222"/>
      <c r="AS77" s="222"/>
      <c r="AT77" s="225"/>
      <c r="AU77" s="225"/>
      <c r="AV77" s="225"/>
      <c r="AW77" s="225"/>
      <c r="AX77" s="225"/>
      <c r="AY77" s="300"/>
      <c r="AZ77" s="300"/>
    </row>
    <row r="78" spans="1:52" s="212" customFormat="1" ht="30" customHeight="1" x14ac:dyDescent="0.25">
      <c r="A78" s="552"/>
      <c r="B78" s="322"/>
      <c r="C78" s="323" t="s">
        <v>569</v>
      </c>
      <c r="D78" s="1859">
        <v>6</v>
      </c>
      <c r="E78" s="1859">
        <v>1</v>
      </c>
      <c r="F78" s="1859">
        <v>250</v>
      </c>
      <c r="G78" s="1859">
        <v>0</v>
      </c>
      <c r="H78" s="1859">
        <v>0</v>
      </c>
      <c r="I78" s="1859">
        <v>0</v>
      </c>
      <c r="J78" s="91">
        <f>IF($F78=0,0,1+($F78-$C$21)/$C$22)+$G78/$C$23+$H78/$C$24+$I78/$C$25</f>
        <v>7.4545454545454541</v>
      </c>
      <c r="K78" s="97">
        <f t="shared" si="0"/>
        <v>3.5111917342151263E-8</v>
      </c>
      <c r="L78" s="91">
        <f>($C$7*$C$14*$C$8*$E78/$D78^2*K78*10^6)</f>
        <v>7.8026482982558355E-3</v>
      </c>
      <c r="M78" s="91">
        <f>IF($F78=0,0,1+($F78-$D$21)/$D$22)+$G78/$D$23+$H78/$D$24+$I78/$D$25</f>
        <v>6.6486486486486482</v>
      </c>
      <c r="N78" s="97">
        <f t="shared" si="1"/>
        <v>2.2456979955397711E-7</v>
      </c>
      <c r="O78" s="91">
        <f>($C$7*$D$14*$D$8*$E78/$D78^2*N78*10^6)</f>
        <v>4.99043999008838E-2</v>
      </c>
      <c r="P78" s="91">
        <f>IF($F78=0,0,1+($F78-$E$21)/$E$22)+$G78/$E$23+$H78/$E$24+$I78/$E$25</f>
        <v>5.7674418604651159</v>
      </c>
      <c r="Q78" s="97">
        <f t="shared" si="2"/>
        <v>1.7082763938087111E-6</v>
      </c>
      <c r="R78" s="91">
        <f>($C$7*$D$14*$E$8*$E78/$D78^2*Q78*10^6)</f>
        <v>0.37961697640193576</v>
      </c>
      <c r="S78" s="91">
        <f>IF($F78=0,0,1+($F78-$F$21)/$F$22)+$G78/$F$23+$H78/$F$24+$I78/$F$25</f>
        <v>9.1481481481481488</v>
      </c>
      <c r="T78" s="97">
        <f t="shared" si="3"/>
        <v>7.1097094323124171E-10</v>
      </c>
      <c r="U78" s="91">
        <f>($C$7*$F$14*$F$8*$E78/$D78^2*T78*10^6)</f>
        <v>1.5799354294027593E-4</v>
      </c>
      <c r="V78" s="91">
        <f>IF($F78=0,0,1+($F78-$G$21)/$G$22)+$G78/$G$23+$H78/$G$24+$I78/$G$25</f>
        <v>6.9444444444444446</v>
      </c>
      <c r="W78" s="97">
        <f t="shared" si="4"/>
        <v>1.136463666385722E-7</v>
      </c>
      <c r="X78" s="76">
        <f>($C$7*$G$14*$G$8*$E78/$D78^2*W78*10^6)</f>
        <v>2.5254748141904933E-2</v>
      </c>
      <c r="Y78" s="324">
        <f>SUM(L78,O78,R78,U78,X78)</f>
        <v>0.46273676628592059</v>
      </c>
      <c r="Z78" s="325"/>
      <c r="AA78" s="350"/>
      <c r="AG78" s="328"/>
      <c r="AI78" s="328"/>
      <c r="AJ78" s="328"/>
      <c r="AK78" s="328"/>
      <c r="AL78" s="328"/>
      <c r="AP78" s="222"/>
      <c r="AQ78" s="211"/>
      <c r="AR78" s="222"/>
      <c r="AS78" s="222"/>
      <c r="AT78" s="225"/>
      <c r="AU78" s="225"/>
      <c r="AV78" s="225"/>
      <c r="AW78" s="225"/>
      <c r="AX78" s="225"/>
      <c r="AY78" s="300"/>
      <c r="AZ78" s="300"/>
    </row>
    <row r="79" spans="1:52" s="212" customFormat="1" ht="30" customHeight="1" thickBot="1" x14ac:dyDescent="0.3">
      <c r="A79" s="657" t="str">
        <f>Samenvatting!A159</f>
        <v>L4</v>
      </c>
      <c r="B79" s="330" t="str">
        <f>Samenvatting!B159</f>
        <v>ingang labyrint linac 4</v>
      </c>
      <c r="C79" s="331" t="s">
        <v>568</v>
      </c>
      <c r="D79" s="1859">
        <v>5</v>
      </c>
      <c r="E79" s="58"/>
      <c r="F79" s="1859">
        <v>250</v>
      </c>
      <c r="G79" s="1859">
        <v>0</v>
      </c>
      <c r="H79" s="1859">
        <v>0</v>
      </c>
      <c r="I79" s="1859">
        <v>0</v>
      </c>
      <c r="J79" s="91">
        <f>$F79/$C$27+$G79/$C$28+$H79/$C$29+$I79/$C$30</f>
        <v>7.3529411764705879</v>
      </c>
      <c r="K79" s="97">
        <f t="shared" si="0"/>
        <v>4.4366873309786093E-8</v>
      </c>
      <c r="L79" s="91">
        <f>($C$7*$C$15*$C$8*($C$9+$C$10*$C$11)/$D79^2*K79*10^6)</f>
        <v>1.0648049594348663E-3</v>
      </c>
      <c r="M79" s="91">
        <f>$F79/$D$27+$G79/$D$28+$H79/$D$29+$I79/$D$30</f>
        <v>6.5789473684210522</v>
      </c>
      <c r="N79" s="97">
        <f t="shared" si="1"/>
        <v>2.636650898730358E-7</v>
      </c>
      <c r="O79" s="91">
        <f>($C$7*$C$15*$D$8*($D$9+$D$10*$D$11)/$D79^2*N79*10^6)</f>
        <v>6.3279621569528599E-3</v>
      </c>
      <c r="P79" s="91">
        <f>$F79/$E$27+$G79/$E$28+$H79/$E$29+$I79/$E$30</f>
        <v>5.6818181818181817</v>
      </c>
      <c r="Q79" s="97">
        <f t="shared" si="2"/>
        <v>2.0805675382171676E-6</v>
      </c>
      <c r="R79" s="91">
        <f>($C$7*$C$15*$E$8*($E$9+$E$10*$E$11)/$D79^2*Q79*10^6)</f>
        <v>4.9933620917212027E-2</v>
      </c>
      <c r="S79" s="91">
        <f>$F79/$F$27+$G79/$F$28+$H79/$F$29+$I79/$F$30</f>
        <v>8.1967213114754092</v>
      </c>
      <c r="T79" s="97">
        <f t="shared" si="3"/>
        <v>6.3573875711648393E-9</v>
      </c>
      <c r="U79" s="91">
        <f>($C$7*$C$15*$F$8*($F$9+$F$10*$F$11)/$D79^2*T79*10^6)</f>
        <v>1.5257730170795616E-4</v>
      </c>
      <c r="V79" s="91">
        <f>$F79/$G$27+$G79/$G$28+$H79/$G$29+$I79/$G$30</f>
        <v>7.0224719101123592</v>
      </c>
      <c r="W79" s="97">
        <f t="shared" si="4"/>
        <v>9.4957241494880226E-8</v>
      </c>
      <c r="X79" s="76">
        <f>($C$7*$C$15*$G$8*($G$9+$G$10*$G$11)/$D79^2*W79*10^6)</f>
        <v>2.278973795877126E-3</v>
      </c>
      <c r="Y79" s="339">
        <f>SUM(L79,O79,R79,U79,X79)</f>
        <v>5.9757939131184837E-2</v>
      </c>
      <c r="Z79" s="363">
        <f>SUM(Y77:Y80)</f>
        <v>0.52249470541710541</v>
      </c>
      <c r="AA79" s="334">
        <f>Z79*52/10^3</f>
        <v>2.7169724681689482E-2</v>
      </c>
      <c r="AG79" s="328"/>
      <c r="AH79" s="328"/>
      <c r="AI79" s="328"/>
      <c r="AJ79" s="328"/>
      <c r="AK79" s="328"/>
      <c r="AL79" s="328"/>
      <c r="AP79" s="222"/>
      <c r="AQ79" s="211"/>
      <c r="AR79" s="222"/>
      <c r="AS79" s="222"/>
      <c r="AT79" s="225"/>
      <c r="AU79" s="225"/>
      <c r="AV79" s="225"/>
      <c r="AW79" s="225"/>
      <c r="AX79" s="225"/>
      <c r="AY79" s="300"/>
      <c r="AZ79" s="300"/>
    </row>
    <row r="80" spans="1:52" s="212" customFormat="1" ht="30" hidden="1" customHeight="1" thickBot="1" x14ac:dyDescent="0.3">
      <c r="A80" s="312"/>
      <c r="B80" s="450"/>
      <c r="C80" s="331"/>
      <c r="D80" s="1871"/>
      <c r="E80" s="1871"/>
      <c r="F80" s="1871"/>
      <c r="G80" s="1871"/>
      <c r="H80" s="1871"/>
      <c r="I80" s="1871"/>
      <c r="J80" s="91"/>
      <c r="K80" s="97"/>
      <c r="L80" s="91"/>
      <c r="M80" s="91"/>
      <c r="N80" s="97"/>
      <c r="O80" s="91"/>
      <c r="P80" s="91"/>
      <c r="Q80" s="97"/>
      <c r="R80" s="91"/>
      <c r="S80" s="91"/>
      <c r="T80" s="97"/>
      <c r="U80" s="91"/>
      <c r="V80" s="91"/>
      <c r="W80" s="97"/>
      <c r="X80" s="76"/>
      <c r="Y80" s="577"/>
      <c r="Z80" s="659"/>
      <c r="AA80" s="660"/>
      <c r="AG80" s="328"/>
      <c r="AH80" s="328"/>
      <c r="AI80" s="328"/>
      <c r="AJ80" s="328"/>
      <c r="AK80" s="328"/>
      <c r="AL80" s="328"/>
      <c r="AP80" s="222"/>
      <c r="AQ80" s="211"/>
      <c r="AR80" s="222"/>
      <c r="AS80" s="222"/>
      <c r="AT80" s="225"/>
      <c r="AU80" s="225"/>
      <c r="AV80" s="225"/>
      <c r="AW80" s="225"/>
      <c r="AX80" s="225"/>
      <c r="AY80" s="300"/>
      <c r="AZ80" s="300"/>
    </row>
    <row r="81" spans="1:52" s="212" customFormat="1" ht="30" customHeight="1" x14ac:dyDescent="0.25">
      <c r="A81" s="322"/>
      <c r="B81" s="322"/>
      <c r="C81" s="348" t="s">
        <v>209</v>
      </c>
      <c r="D81" s="1859">
        <v>6</v>
      </c>
      <c r="E81" s="1859">
        <v>1</v>
      </c>
      <c r="F81" s="1859">
        <v>250</v>
      </c>
      <c r="G81" s="1859">
        <v>0</v>
      </c>
      <c r="H81" s="1859">
        <v>0</v>
      </c>
      <c r="I81" s="1859">
        <v>0</v>
      </c>
      <c r="J81" s="91">
        <f>IF($F81=0,0,1+($F81-$C$21)/$C$22)+$G81/$C$23+$H81/$C$24+$I81/$C$25</f>
        <v>7.4545454545454541</v>
      </c>
      <c r="K81" s="97">
        <f>10^(-J81)</f>
        <v>3.5111917342151263E-8</v>
      </c>
      <c r="L81" s="91">
        <f>($C$7*$C$14*$C$8*$E81/$D81^2*K81*10^6)</f>
        <v>7.8026482982558355E-3</v>
      </c>
      <c r="M81" s="91">
        <f>IF($F81=0,0,1+($F81-$D$21)/$D$22)+$G81/$D$23+$H81/$D$24+$I81/$D$25</f>
        <v>6.6486486486486482</v>
      </c>
      <c r="N81" s="97">
        <f>10^(-M81)</f>
        <v>2.2456979955397711E-7</v>
      </c>
      <c r="O81" s="91">
        <f>($C$7*$D$14*$D$8*$E81/$D81^2*N81*10^6)</f>
        <v>4.99043999008838E-2</v>
      </c>
      <c r="P81" s="91">
        <f>IF($F81=0,0,1+($F81-$E$21)/$E$22)+$G81/$E$23+$H81/$E$24+$I81/$E$25</f>
        <v>5.7674418604651159</v>
      </c>
      <c r="Q81" s="97">
        <f>10^(-P81)</f>
        <v>1.7082763938087111E-6</v>
      </c>
      <c r="R81" s="91">
        <f>($C$7*$D$14*$E$8*$E81/$D81^2*Q81*10^6)</f>
        <v>0.37961697640193576</v>
      </c>
      <c r="S81" s="91">
        <f>IF($F81=0,0,1+($F81-$F$21)/$F$22)+$G81/$F$23+$H81/$F$24+$I81/$F$25</f>
        <v>9.1481481481481488</v>
      </c>
      <c r="T81" s="97">
        <f>10^(-S81)</f>
        <v>7.1097094323124171E-10</v>
      </c>
      <c r="U81" s="91">
        <f>($C$7*$F$14*$F$8*$E81/$D81^2*T81*10^6)</f>
        <v>1.5799354294027593E-4</v>
      </c>
      <c r="V81" s="91">
        <f>IF($F81=0,0,1+($F81-$G$21)/$G$22)+$G81/$G$23+$H81/$G$24+$I81/$G$25</f>
        <v>6.9444444444444446</v>
      </c>
      <c r="W81" s="97">
        <f>10^(-V81)</f>
        <v>1.136463666385722E-7</v>
      </c>
      <c r="X81" s="76">
        <f>($C$7*$G$14*$G$8*$E81/$D81^2*W81*10^6)</f>
        <v>2.5254748141904933E-2</v>
      </c>
      <c r="Y81" s="324">
        <f>SUM(L81,O81,R81,U81,X81)</f>
        <v>0.46273676628592059</v>
      </c>
      <c r="Z81" s="717"/>
      <c r="AA81" s="718"/>
      <c r="AG81" s="328"/>
      <c r="AI81" s="328"/>
      <c r="AJ81" s="328"/>
      <c r="AK81" s="328"/>
      <c r="AL81" s="328"/>
      <c r="AP81" s="222"/>
      <c r="AQ81" s="211"/>
      <c r="AR81" s="222"/>
      <c r="AS81" s="222"/>
      <c r="AT81" s="225"/>
      <c r="AU81" s="225"/>
      <c r="AV81" s="225"/>
      <c r="AW81" s="225"/>
      <c r="AX81" s="225"/>
      <c r="AY81" s="300"/>
      <c r="AZ81" s="300"/>
    </row>
    <row r="82" spans="1:52" s="212" customFormat="1" ht="30" customHeight="1" x14ac:dyDescent="0.25">
      <c r="A82" s="351" t="str">
        <f>Samenvatting!A171</f>
        <v>L5</v>
      </c>
      <c r="B82" s="719" t="str">
        <f>Samenvatting!B171</f>
        <v>ingang labyrint linac 5</v>
      </c>
      <c r="C82" s="353" t="s">
        <v>361</v>
      </c>
      <c r="D82" s="1859">
        <v>5</v>
      </c>
      <c r="E82" s="58"/>
      <c r="F82" s="1859">
        <v>250</v>
      </c>
      <c r="G82" s="1859">
        <v>0</v>
      </c>
      <c r="H82" s="1859">
        <v>0</v>
      </c>
      <c r="I82" s="1859">
        <v>0</v>
      </c>
      <c r="J82" s="91">
        <f>$F82/$C$27+$G82/$C$28+$H82/$C$29+$I82/$C$30</f>
        <v>7.3529411764705879</v>
      </c>
      <c r="K82" s="97">
        <f>10^(-J82)</f>
        <v>4.4366873309786093E-8</v>
      </c>
      <c r="L82" s="91">
        <f>($C$7*$C$15*$C$8*($C$9+$C$10*$C$11)/$D82^2*K82*10^6)</f>
        <v>1.0648049594348663E-3</v>
      </c>
      <c r="M82" s="91">
        <f>$F82/$D$27+$G82/$D$28+$H82/$D$29+$I82/$D$30</f>
        <v>6.5789473684210522</v>
      </c>
      <c r="N82" s="97">
        <f>10^(-M82)</f>
        <v>2.636650898730358E-7</v>
      </c>
      <c r="O82" s="91">
        <f>($C$7*$C$15*$D$8*($D$9+$D$10*$D$11)/$D82^2*N82*10^6)</f>
        <v>6.3279621569528599E-3</v>
      </c>
      <c r="P82" s="91">
        <f>$F82/$E$27+$G82/$E$28+$H82/$E$29+$I82/$E$30</f>
        <v>5.6818181818181817</v>
      </c>
      <c r="Q82" s="97">
        <f>10^(-P82)</f>
        <v>2.0805675382171676E-6</v>
      </c>
      <c r="R82" s="91">
        <f>($C$7*$C$15*$E$8*($E$9+$E$10*$E$11)/$D82^2*Q82*10^6)</f>
        <v>4.9933620917212027E-2</v>
      </c>
      <c r="S82" s="91">
        <f>$F82/$F$27+$G82/$F$28+$H82/$F$29+$I82/$F$30</f>
        <v>8.1967213114754092</v>
      </c>
      <c r="T82" s="97">
        <f>10^(-S82)</f>
        <v>6.3573875711648393E-9</v>
      </c>
      <c r="U82" s="91">
        <f>($C$7*$C$15*$F$8*($F$9+$F$10*$F$11)/$D82^2*T82*10^6)</f>
        <v>1.5257730170795616E-4</v>
      </c>
      <c r="V82" s="91">
        <f>$F82/$G$27+$G82/$G$28+$H82/$G$29+$I82/$G$30</f>
        <v>7.0224719101123592</v>
      </c>
      <c r="W82" s="97">
        <f>10^(-V82)</f>
        <v>9.4957241494880226E-8</v>
      </c>
      <c r="X82" s="76">
        <f>($C$7*$C$15*$G$8*($G$9+$G$10*$G$11)/$D82^2*W82*10^6)</f>
        <v>2.278973795877126E-3</v>
      </c>
      <c r="Y82" s="355">
        <f>SUM(L82,O82,R82,U82,X82)</f>
        <v>5.9757939131184837E-2</v>
      </c>
      <c r="Z82" s="662">
        <f>SUM(Y80:Y84)</f>
        <v>298.71327202141981</v>
      </c>
      <c r="AA82" s="663">
        <f>Z82*52/10^3</f>
        <v>15.53309014511383</v>
      </c>
      <c r="AG82" s="328"/>
      <c r="AH82" s="328"/>
      <c r="AI82" s="328"/>
      <c r="AJ82" s="328"/>
      <c r="AK82" s="328"/>
      <c r="AL82" s="328"/>
      <c r="AP82" s="222"/>
      <c r="AQ82" s="211"/>
      <c r="AR82" s="222"/>
      <c r="AS82" s="222"/>
      <c r="AT82" s="225"/>
      <c r="AU82" s="225"/>
      <c r="AV82" s="225"/>
      <c r="AW82" s="225"/>
      <c r="AX82" s="225"/>
      <c r="AY82" s="300"/>
      <c r="AZ82" s="300"/>
    </row>
    <row r="83" spans="1:52" s="212" customFormat="1" ht="30" customHeight="1" thickBot="1" x14ac:dyDescent="0.3">
      <c r="A83" s="657"/>
      <c r="B83" s="700"/>
      <c r="C83" s="360" t="s">
        <v>360</v>
      </c>
      <c r="D83" s="701" t="s">
        <v>362</v>
      </c>
      <c r="E83" s="58"/>
      <c r="F83" s="58"/>
      <c r="G83" s="58"/>
      <c r="H83" s="58"/>
      <c r="I83" s="58"/>
      <c r="J83" s="91"/>
      <c r="K83" s="97"/>
      <c r="L83" s="91"/>
      <c r="M83" s="702"/>
      <c r="N83" s="703"/>
      <c r="O83" s="704"/>
      <c r="P83" s="704"/>
      <c r="Q83" s="703"/>
      <c r="R83" s="704"/>
      <c r="S83" s="704"/>
      <c r="T83" s="703"/>
      <c r="U83" s="704"/>
      <c r="V83" s="704"/>
      <c r="W83" s="703"/>
      <c r="X83" s="705"/>
      <c r="Y83" s="339">
        <f>SUM(AT130:AT135)</f>
        <v>298.19077731600271</v>
      </c>
      <c r="Z83" s="720"/>
      <c r="AA83" s="364"/>
      <c r="AG83" s="328"/>
      <c r="AH83" s="328"/>
      <c r="AI83" s="328"/>
      <c r="AJ83" s="328"/>
      <c r="AK83" s="328"/>
      <c r="AL83" s="328"/>
      <c r="AP83" s="222"/>
      <c r="AQ83" s="211"/>
      <c r="AR83" s="222"/>
      <c r="AS83" s="222"/>
      <c r="AT83" s="225"/>
      <c r="AU83" s="225"/>
      <c r="AV83" s="225"/>
      <c r="AW83" s="225"/>
      <c r="AX83" s="225"/>
      <c r="AY83" s="300"/>
      <c r="AZ83" s="300"/>
    </row>
    <row r="84" spans="1:52" s="212" customFormat="1" ht="30" hidden="1" customHeight="1" thickBot="1" x14ac:dyDescent="0.3">
      <c r="A84" s="211"/>
      <c r="B84" s="671"/>
      <c r="C84" s="318"/>
      <c r="D84" s="1872"/>
      <c r="E84" s="1871"/>
      <c r="F84" s="1871"/>
      <c r="G84" s="1871"/>
      <c r="H84" s="1871"/>
      <c r="I84" s="1871"/>
      <c r="J84" s="91"/>
      <c r="K84" s="97"/>
      <c r="L84" s="91"/>
      <c r="M84" s="702"/>
      <c r="N84" s="703"/>
      <c r="O84" s="704"/>
      <c r="P84" s="704"/>
      <c r="Q84" s="703"/>
      <c r="R84" s="704"/>
      <c r="S84" s="704"/>
      <c r="T84" s="703"/>
      <c r="U84" s="704"/>
      <c r="V84" s="704"/>
      <c r="W84" s="703"/>
      <c r="X84" s="705"/>
      <c r="Y84" s="577"/>
      <c r="Z84" s="707"/>
      <c r="AA84" s="708"/>
      <c r="AG84" s="328"/>
      <c r="AH84" s="328"/>
      <c r="AI84" s="328"/>
      <c r="AJ84" s="328"/>
      <c r="AK84" s="328"/>
      <c r="AL84" s="328"/>
      <c r="AP84" s="222"/>
      <c r="AQ84" s="211"/>
      <c r="AR84" s="222"/>
      <c r="AS84" s="222"/>
      <c r="AT84" s="225"/>
      <c r="AU84" s="225"/>
      <c r="AV84" s="225"/>
      <c r="AW84" s="225"/>
      <c r="AX84" s="225"/>
      <c r="AY84" s="300"/>
      <c r="AZ84" s="300"/>
    </row>
    <row r="85" spans="1:52" s="212" customFormat="1" ht="30" customHeight="1" x14ac:dyDescent="0.25">
      <c r="A85" s="322"/>
      <c r="B85" s="322"/>
      <c r="C85" s="323" t="s">
        <v>209</v>
      </c>
      <c r="D85" s="1859">
        <v>6</v>
      </c>
      <c r="E85" s="1859">
        <v>1</v>
      </c>
      <c r="F85" s="1859">
        <v>250</v>
      </c>
      <c r="G85" s="1859">
        <v>0</v>
      </c>
      <c r="H85" s="1859">
        <v>0</v>
      </c>
      <c r="I85" s="1859">
        <v>0</v>
      </c>
      <c r="J85" s="91">
        <f>IF($F85=0,0,1+($F85-$C$21)/$C$22)+$G85/$C$23+$H85/$C$24+$I85/$C$25</f>
        <v>7.4545454545454541</v>
      </c>
      <c r="K85" s="97">
        <f t="shared" ref="K85:K101" si="6">10^(-J85)</f>
        <v>3.5111917342151263E-8</v>
      </c>
      <c r="L85" s="91">
        <f>($C$7*$C$14*$C$8*$E85/$D85^2*K85*10^6)</f>
        <v>7.8026482982558355E-3</v>
      </c>
      <c r="M85" s="91">
        <f>IF($F85=0,0,1+($F85-$D$21)/$D$22)+$G85/$D$23+$H85/$D$24+$I85/$D$25</f>
        <v>6.6486486486486482</v>
      </c>
      <c r="N85" s="97">
        <f t="shared" ref="N85:N101" si="7">10^(-M85)</f>
        <v>2.2456979955397711E-7</v>
      </c>
      <c r="O85" s="91">
        <f>($C$7*$D$14*$D$8*$E85/$D85^2*N85*10^6)</f>
        <v>4.99043999008838E-2</v>
      </c>
      <c r="P85" s="91">
        <f>IF($F85=0,0,1+($F85-$E$21)/$E$22)+$G85/$E$23+$H85/$E$24+$I85/$E$25</f>
        <v>5.7674418604651159</v>
      </c>
      <c r="Q85" s="97">
        <f t="shared" ref="Q85:Q101" si="8">10^(-P85)</f>
        <v>1.7082763938087111E-6</v>
      </c>
      <c r="R85" s="91">
        <f>($C$7*$D$14*$E$8*$E85/$D85^2*Q85*10^6)</f>
        <v>0.37961697640193576</v>
      </c>
      <c r="S85" s="91">
        <f>IF($F85=0,0,1+($F85-$F$21)/$F$22)+$G85/$F$23+$H85/$F$24+$I85/$F$25</f>
        <v>9.1481481481481488</v>
      </c>
      <c r="T85" s="97">
        <f t="shared" ref="T85:T101" si="9">10^(-S85)</f>
        <v>7.1097094323124171E-10</v>
      </c>
      <c r="U85" s="91">
        <f>($C$7*$F$14*$F$8*$E85/$D85^2*T85*10^6)</f>
        <v>1.5799354294027593E-4</v>
      </c>
      <c r="V85" s="91">
        <f>IF($F85=0,0,1+($F85-$G$21)/$G$22)+$G85/$G$23+$H85/$G$24+$I85/$G$25</f>
        <v>6.9444444444444446</v>
      </c>
      <c r="W85" s="97">
        <f t="shared" ref="W85:W101" si="10">10^(-V85)</f>
        <v>1.136463666385722E-7</v>
      </c>
      <c r="X85" s="76">
        <f>($C$7*$G$14*$G$8*$E85/$D85^2*W85*10^6)</f>
        <v>2.5254748141904933E-2</v>
      </c>
      <c r="Y85" s="324">
        <f>SUM(L85,O85,R85,U85,X85)</f>
        <v>0.46273676628592059</v>
      </c>
      <c r="Z85" s="325"/>
      <c r="AA85" s="350"/>
      <c r="AG85" s="328"/>
      <c r="AI85" s="328"/>
      <c r="AJ85" s="328"/>
      <c r="AK85" s="328"/>
      <c r="AL85" s="328"/>
      <c r="AP85" s="222"/>
      <c r="AQ85" s="211"/>
      <c r="AR85" s="222"/>
      <c r="AS85" s="222"/>
      <c r="AT85" s="225"/>
      <c r="AU85" s="225"/>
      <c r="AV85" s="225"/>
      <c r="AW85" s="225"/>
      <c r="AX85" s="225"/>
      <c r="AY85" s="300"/>
      <c r="AZ85" s="300"/>
    </row>
    <row r="86" spans="1:52" s="212" customFormat="1" ht="30" customHeight="1" thickBot="1" x14ac:dyDescent="0.3">
      <c r="A86" s="343" t="str">
        <f>Samenvatting!A183</f>
        <v>L6</v>
      </c>
      <c r="B86" s="352" t="str">
        <f>Samenvatting!B183</f>
        <v>ingang labyrint linac 6</v>
      </c>
      <c r="C86" s="331" t="s">
        <v>361</v>
      </c>
      <c r="D86" s="1859">
        <v>5</v>
      </c>
      <c r="E86" s="58"/>
      <c r="F86" s="1859">
        <v>250</v>
      </c>
      <c r="G86" s="1859">
        <v>0</v>
      </c>
      <c r="H86" s="1859">
        <v>0</v>
      </c>
      <c r="I86" s="1859">
        <v>0</v>
      </c>
      <c r="J86" s="91">
        <f>$F86/$C$27+$G86/$C$28+$H86/$C$29+$I86/$C$30</f>
        <v>7.3529411764705879</v>
      </c>
      <c r="K86" s="97">
        <f t="shared" si="6"/>
        <v>4.4366873309786093E-8</v>
      </c>
      <c r="L86" s="91">
        <f>($C$7*$C$15*$C$8*($C$9+$C$10*$C$11)/$D86^2*K86*10^6)</f>
        <v>1.0648049594348663E-3</v>
      </c>
      <c r="M86" s="91">
        <f>$F86/$D$27+$G86/$D$28+$H86/$D$29+$I86/$D$30</f>
        <v>6.5789473684210522</v>
      </c>
      <c r="N86" s="97">
        <f t="shared" si="7"/>
        <v>2.636650898730358E-7</v>
      </c>
      <c r="O86" s="91">
        <f>($C$7*$C$15*$D$8*($D$9+$D$10*$D$11)/$D86^2*N86*10^6)</f>
        <v>6.3279621569528599E-3</v>
      </c>
      <c r="P86" s="91">
        <f>$F86/$E$27+$G86/$E$28+$H86/$E$29+$I86/$E$30</f>
        <v>5.6818181818181817</v>
      </c>
      <c r="Q86" s="97">
        <f t="shared" si="8"/>
        <v>2.0805675382171676E-6</v>
      </c>
      <c r="R86" s="91">
        <f>($C$7*$C$15*$E$8*($E$9+$E$10*$E$11)/$D86^2*Q86*10^6)</f>
        <v>4.9933620917212027E-2</v>
      </c>
      <c r="S86" s="91">
        <f>$F86/$F$27+$G86/$F$28+$H86/$F$29+$I86/$F$30</f>
        <v>8.1967213114754092</v>
      </c>
      <c r="T86" s="97">
        <f t="shared" si="9"/>
        <v>6.3573875711648393E-9</v>
      </c>
      <c r="U86" s="91">
        <f>($C$7*$C$15*$F$8*($F$9+$F$10*$F$11)/$D86^2*T86*10^6)</f>
        <v>1.5257730170795616E-4</v>
      </c>
      <c r="V86" s="91">
        <f>$F86/$G$27+$G86/$G$28+$H86/$G$29+$I86/$G$30</f>
        <v>7.0224719101123592</v>
      </c>
      <c r="W86" s="97">
        <f t="shared" si="10"/>
        <v>9.4957241494880226E-8</v>
      </c>
      <c r="X86" s="76">
        <f>($C$7*$C$15*$G$8*($G$9+$G$10*$G$11)/$D86^2*W86*10^6)</f>
        <v>2.278973795877126E-3</v>
      </c>
      <c r="Y86" s="339">
        <f>SUM(L86,O86,R86,U86,X86)</f>
        <v>5.9757939131184837E-2</v>
      </c>
      <c r="Z86" s="363">
        <f>SUM(Y84:Y87)</f>
        <v>0.52249470541710541</v>
      </c>
      <c r="AA86" s="334">
        <f>Z86*52/10^3</f>
        <v>2.7169724681689482E-2</v>
      </c>
      <c r="AG86" s="328"/>
      <c r="AH86" s="328"/>
      <c r="AI86" s="328"/>
      <c r="AJ86" s="328"/>
      <c r="AK86" s="328"/>
      <c r="AL86" s="328"/>
      <c r="AP86" s="222"/>
      <c r="AQ86" s="211"/>
      <c r="AR86" s="222"/>
      <c r="AS86" s="222"/>
      <c r="AT86" s="225"/>
      <c r="AU86" s="225"/>
      <c r="AV86" s="225"/>
      <c r="AW86" s="225"/>
      <c r="AX86" s="225"/>
      <c r="AY86" s="300"/>
      <c r="AZ86" s="300"/>
    </row>
    <row r="87" spans="1:52" s="212" customFormat="1" ht="30" hidden="1" customHeight="1" thickBot="1" x14ac:dyDescent="0.3">
      <c r="A87" s="317"/>
      <c r="B87" s="317"/>
      <c r="C87" s="318"/>
      <c r="D87" s="1871"/>
      <c r="E87" s="1871"/>
      <c r="F87" s="1871"/>
      <c r="G87" s="1871"/>
      <c r="H87" s="1871"/>
      <c r="I87" s="1871"/>
      <c r="J87" s="91"/>
      <c r="K87" s="97"/>
      <c r="L87" s="91"/>
      <c r="M87" s="91"/>
      <c r="N87" s="97"/>
      <c r="O87" s="91"/>
      <c r="P87" s="91"/>
      <c r="Q87" s="97"/>
      <c r="R87" s="91"/>
      <c r="S87" s="91"/>
      <c r="T87" s="97"/>
      <c r="U87" s="91"/>
      <c r="V87" s="91"/>
      <c r="W87" s="97"/>
      <c r="X87" s="76"/>
      <c r="Y87" s="577"/>
      <c r="Z87" s="659"/>
      <c r="AA87" s="660"/>
      <c r="AG87" s="328"/>
      <c r="AH87" s="328"/>
      <c r="AI87" s="328"/>
      <c r="AJ87" s="328"/>
      <c r="AK87" s="328"/>
      <c r="AL87" s="328"/>
      <c r="AP87" s="222"/>
      <c r="AQ87" s="211"/>
      <c r="AR87" s="222"/>
      <c r="AS87" s="222"/>
      <c r="AT87" s="225"/>
      <c r="AU87" s="225"/>
      <c r="AV87" s="225"/>
      <c r="AW87" s="225"/>
      <c r="AX87" s="225"/>
      <c r="AY87" s="300"/>
      <c r="AZ87" s="300"/>
    </row>
    <row r="88" spans="1:52" s="212" customFormat="1" ht="30" customHeight="1" x14ac:dyDescent="0.25">
      <c r="A88" s="322"/>
      <c r="B88" s="322"/>
      <c r="C88" s="323" t="s">
        <v>569</v>
      </c>
      <c r="D88" s="1859">
        <v>6</v>
      </c>
      <c r="E88" s="1859">
        <v>1</v>
      </c>
      <c r="F88" s="1859">
        <v>250</v>
      </c>
      <c r="G88" s="1859">
        <v>0</v>
      </c>
      <c r="H88" s="1859">
        <v>0</v>
      </c>
      <c r="I88" s="1859">
        <v>0</v>
      </c>
      <c r="J88" s="91">
        <f>IF($F88=0,0,1+($F88-$C$21)/$C$22)+$G88/$C$23+$H88/$C$24+$I88/$C$25</f>
        <v>7.4545454545454541</v>
      </c>
      <c r="K88" s="97">
        <f t="shared" si="6"/>
        <v>3.5111917342151263E-8</v>
      </c>
      <c r="L88" s="91">
        <f>($C$7*$C$14*$C$8*$E88/$D88^2*K88*10^6)</f>
        <v>7.8026482982558355E-3</v>
      </c>
      <c r="M88" s="91">
        <f>IF($F88=0,0,1+($F88-$D$21)/$D$22)+$G88/$D$23+$H88/$D$24+$I88/$D$25</f>
        <v>6.6486486486486482</v>
      </c>
      <c r="N88" s="97">
        <f t="shared" si="7"/>
        <v>2.2456979955397711E-7</v>
      </c>
      <c r="O88" s="91">
        <f>($C$7*$D$14*$D$8*$E88/$D88^2*N88*10^6)</f>
        <v>4.99043999008838E-2</v>
      </c>
      <c r="P88" s="91">
        <f>IF($F88=0,0,1+($F88-$E$21)/$E$22)+$G88/$E$23+$H88/$E$24+$I88/$E$25</f>
        <v>5.7674418604651159</v>
      </c>
      <c r="Q88" s="97">
        <f t="shared" si="8"/>
        <v>1.7082763938087111E-6</v>
      </c>
      <c r="R88" s="91">
        <f>($C$7*$D$14*$E$8*$E88/$D88^2*Q88*10^6)</f>
        <v>0.37961697640193576</v>
      </c>
      <c r="S88" s="91">
        <f>IF($F88=0,0,1+($F88-$F$21)/$F$22)+$G88/$F$23+$H88/$F$24+$I88/$F$25</f>
        <v>9.1481481481481488</v>
      </c>
      <c r="T88" s="97">
        <f t="shared" si="9"/>
        <v>7.1097094323124171E-10</v>
      </c>
      <c r="U88" s="91">
        <f>($C$7*$F$14*$F$8*$E88/$D88^2*T88*10^6)</f>
        <v>1.5799354294027593E-4</v>
      </c>
      <c r="V88" s="91">
        <f>IF($F88=0,0,1+($F88-$G$21)/$G$22)+$G88/$G$23+$H88/$G$24+$I88/$G$25</f>
        <v>6.9444444444444446</v>
      </c>
      <c r="W88" s="97">
        <f t="shared" si="10"/>
        <v>1.136463666385722E-7</v>
      </c>
      <c r="X88" s="76">
        <f>($C$7*$G$14*$G$8*$E88/$D88^2*W88*10^6)</f>
        <v>2.5254748141904933E-2</v>
      </c>
      <c r="Y88" s="324">
        <f>SUM(L88,O88,R88,U88,X88)</f>
        <v>0.46273676628592059</v>
      </c>
      <c r="Z88" s="325"/>
      <c r="AA88" s="350"/>
      <c r="AG88" s="328"/>
      <c r="AI88" s="328"/>
      <c r="AJ88" s="328"/>
      <c r="AK88" s="328"/>
      <c r="AL88" s="328"/>
      <c r="AP88" s="222"/>
      <c r="AQ88" s="211"/>
      <c r="AR88" s="222"/>
      <c r="AS88" s="222"/>
      <c r="AT88" s="225"/>
      <c r="AU88" s="225"/>
      <c r="AV88" s="225"/>
      <c r="AW88" s="225"/>
      <c r="AX88" s="225"/>
      <c r="AY88" s="300"/>
      <c r="AZ88" s="300"/>
    </row>
    <row r="89" spans="1:52" s="212" customFormat="1" ht="30" customHeight="1" thickBot="1" x14ac:dyDescent="0.3">
      <c r="A89" s="343" t="str">
        <f>Samenvatting!A195</f>
        <v>L7</v>
      </c>
      <c r="B89" s="352" t="str">
        <f>Samenvatting!B195</f>
        <v>ingang labyrint linac 7</v>
      </c>
      <c r="C89" s="331" t="s">
        <v>568</v>
      </c>
      <c r="D89" s="1859">
        <v>5</v>
      </c>
      <c r="E89" s="58"/>
      <c r="F89" s="1859">
        <v>250</v>
      </c>
      <c r="G89" s="1859">
        <v>0</v>
      </c>
      <c r="H89" s="1859">
        <v>0</v>
      </c>
      <c r="I89" s="1859">
        <v>0</v>
      </c>
      <c r="J89" s="91">
        <f>$F89/$C$27+$G89/$C$28+$H89/$C$29+$I89/$C$30</f>
        <v>7.3529411764705879</v>
      </c>
      <c r="K89" s="97">
        <f t="shared" si="6"/>
        <v>4.4366873309786093E-8</v>
      </c>
      <c r="L89" s="91">
        <f>($C$7*$C$15*$C$8*($C$9+$C$10*$C$11)/$D89^2*K89*10^6)</f>
        <v>1.0648049594348663E-3</v>
      </c>
      <c r="M89" s="91">
        <f>$F89/$D$27+$G89/$D$28+$H89/$D$29+$I89/$D$30</f>
        <v>6.5789473684210522</v>
      </c>
      <c r="N89" s="97">
        <f t="shared" si="7"/>
        <v>2.636650898730358E-7</v>
      </c>
      <c r="O89" s="91">
        <f>($C$7*$C$15*$D$8*($D$9+$D$10*$D$11)/$D89^2*N89*10^6)</f>
        <v>6.3279621569528599E-3</v>
      </c>
      <c r="P89" s="91">
        <f>$F89/$E$27+$G89/$E$28+$H89/$E$29+$I89/$E$30</f>
        <v>5.6818181818181817</v>
      </c>
      <c r="Q89" s="97">
        <f t="shared" si="8"/>
        <v>2.0805675382171676E-6</v>
      </c>
      <c r="R89" s="91">
        <f>($C$7*$C$15*$E$8*($E$9+$E$10*$E$11)/$D89^2*Q89*10^6)</f>
        <v>4.9933620917212027E-2</v>
      </c>
      <c r="S89" s="91">
        <f>$F89/$F$27+$G89/$F$28+$H89/$F$29+$I89/$F$30</f>
        <v>8.1967213114754092</v>
      </c>
      <c r="T89" s="97">
        <f t="shared" si="9"/>
        <v>6.3573875711648393E-9</v>
      </c>
      <c r="U89" s="91">
        <f>($C$7*$C$15*$F$8*($F$9+$F$10*$F$11)/$D89^2*T89*10^6)</f>
        <v>1.5257730170795616E-4</v>
      </c>
      <c r="V89" s="91">
        <f>$F89/$G$27+$G89/$G$28+$H89/$G$29+$I89/$G$30</f>
        <v>7.0224719101123592</v>
      </c>
      <c r="W89" s="97">
        <f t="shared" si="10"/>
        <v>9.4957241494880226E-8</v>
      </c>
      <c r="X89" s="76">
        <f>($C$7*$C$15*$G$8*($G$9+$G$10*$G$11)/$D89^2*W89*10^6)</f>
        <v>2.278973795877126E-3</v>
      </c>
      <c r="Y89" s="339">
        <f>SUM(L89,O89,R89,U89,X89)</f>
        <v>5.9757939131184837E-2</v>
      </c>
      <c r="Z89" s="363">
        <f>SUM(Y87:Y90)</f>
        <v>0.52249470541710541</v>
      </c>
      <c r="AA89" s="334">
        <f>Z89*52/10^3</f>
        <v>2.7169724681689482E-2</v>
      </c>
      <c r="AG89" s="328"/>
      <c r="AH89" s="328"/>
      <c r="AI89" s="328"/>
      <c r="AJ89" s="328"/>
      <c r="AK89" s="328"/>
      <c r="AL89" s="328"/>
      <c r="AP89" s="222"/>
      <c r="AQ89" s="211"/>
      <c r="AR89" s="222"/>
      <c r="AS89" s="222"/>
      <c r="AT89" s="225"/>
      <c r="AU89" s="225"/>
      <c r="AV89" s="225"/>
      <c r="AW89" s="225"/>
      <c r="AX89" s="225"/>
      <c r="AY89" s="300"/>
      <c r="AZ89" s="300"/>
    </row>
    <row r="90" spans="1:52" s="212" customFormat="1" ht="30" hidden="1" customHeight="1" thickBot="1" x14ac:dyDescent="0.3">
      <c r="A90" s="317"/>
      <c r="B90" s="317"/>
      <c r="C90" s="318"/>
      <c r="D90" s="1871"/>
      <c r="E90" s="1871"/>
      <c r="F90" s="1871"/>
      <c r="G90" s="1871"/>
      <c r="H90" s="1871"/>
      <c r="I90" s="1871"/>
      <c r="J90" s="91"/>
      <c r="K90" s="97"/>
      <c r="L90" s="91"/>
      <c r="M90" s="91"/>
      <c r="N90" s="97"/>
      <c r="O90" s="91"/>
      <c r="P90" s="91"/>
      <c r="Q90" s="97"/>
      <c r="R90" s="91"/>
      <c r="S90" s="91"/>
      <c r="T90" s="97"/>
      <c r="U90" s="91"/>
      <c r="V90" s="91"/>
      <c r="W90" s="97"/>
      <c r="X90" s="76"/>
      <c r="Y90" s="577"/>
      <c r="Z90" s="659"/>
      <c r="AA90" s="660"/>
      <c r="AG90" s="328"/>
      <c r="AH90" s="328"/>
      <c r="AI90" s="328"/>
      <c r="AJ90" s="328"/>
      <c r="AK90" s="328"/>
      <c r="AL90" s="328"/>
      <c r="AP90" s="222"/>
      <c r="AQ90" s="211"/>
      <c r="AR90" s="222"/>
      <c r="AS90" s="222"/>
      <c r="AT90" s="225"/>
      <c r="AU90" s="225"/>
      <c r="AV90" s="225"/>
      <c r="AW90" s="225"/>
      <c r="AX90" s="225"/>
      <c r="AY90" s="300"/>
      <c r="AZ90" s="300"/>
    </row>
    <row r="91" spans="1:52" s="212" customFormat="1" ht="30" customHeight="1" x14ac:dyDescent="0.25">
      <c r="A91" s="322"/>
      <c r="B91" s="322"/>
      <c r="C91" s="323" t="s">
        <v>569</v>
      </c>
      <c r="D91" s="1859">
        <v>6</v>
      </c>
      <c r="E91" s="1859">
        <v>1</v>
      </c>
      <c r="F91" s="1859">
        <v>250</v>
      </c>
      <c r="G91" s="1859">
        <v>0</v>
      </c>
      <c r="H91" s="1859">
        <v>0</v>
      </c>
      <c r="I91" s="1859">
        <v>0</v>
      </c>
      <c r="J91" s="91">
        <f>IF($F91=0,0,1+($F91-$C$21)/$C$22)+$G91/$C$23+$H91/$C$24+$I91/$C$25</f>
        <v>7.4545454545454541</v>
      </c>
      <c r="K91" s="97">
        <f t="shared" si="6"/>
        <v>3.5111917342151263E-8</v>
      </c>
      <c r="L91" s="91">
        <f>($C$7*$C$14*$C$8*$E91/$D91^2*K91*10^6)</f>
        <v>7.8026482982558355E-3</v>
      </c>
      <c r="M91" s="91">
        <f>IF($F91=0,0,1+($F91-$D$21)/$D$22)+$G91/$D$23+$H91/$D$24+$I91/$D$25</f>
        <v>6.6486486486486482</v>
      </c>
      <c r="N91" s="97">
        <f t="shared" si="7"/>
        <v>2.2456979955397711E-7</v>
      </c>
      <c r="O91" s="91">
        <f>($C$7*$D$14*$D$8*$E91/$D91^2*N91*10^6)</f>
        <v>4.99043999008838E-2</v>
      </c>
      <c r="P91" s="91">
        <f>IF($F91=0,0,1+($F91-$E$21)/$E$22)+$G91/$E$23+$H91/$E$24+$I91/$E$25</f>
        <v>5.7674418604651159</v>
      </c>
      <c r="Q91" s="97">
        <f t="shared" si="8"/>
        <v>1.7082763938087111E-6</v>
      </c>
      <c r="R91" s="91">
        <f>($C$7*$D$14*$E$8*$E91/$D91^2*Q91*10^6)</f>
        <v>0.37961697640193576</v>
      </c>
      <c r="S91" s="91">
        <f>IF($F91=0,0,1+($F91-$F$21)/$F$22)+$G91/$F$23+$H91/$F$24+$I91/$F$25</f>
        <v>9.1481481481481488</v>
      </c>
      <c r="T91" s="97">
        <f t="shared" si="9"/>
        <v>7.1097094323124171E-10</v>
      </c>
      <c r="U91" s="91">
        <f>($C$7*$F$14*$F$8*$E91/$D91^2*T91*10^6)</f>
        <v>1.5799354294027593E-4</v>
      </c>
      <c r="V91" s="91">
        <f>IF($F91=0,0,1+($F91-$G$21)/$G$22)+$G91/$G$23+$H91/$G$24+$I91/$G$25</f>
        <v>6.9444444444444446</v>
      </c>
      <c r="W91" s="97">
        <f t="shared" si="10"/>
        <v>1.136463666385722E-7</v>
      </c>
      <c r="X91" s="76">
        <f>($C$7*$G$14*$G$8*$E91/$D91^2*W91*10^6)</f>
        <v>2.5254748141904933E-2</v>
      </c>
      <c r="Y91" s="324">
        <f>SUM(L91,O91,R91,U91,X91)</f>
        <v>0.46273676628592059</v>
      </c>
      <c r="Z91" s="325"/>
      <c r="AA91" s="350"/>
      <c r="AG91" s="328"/>
      <c r="AI91" s="328"/>
      <c r="AJ91" s="328"/>
      <c r="AK91" s="328"/>
      <c r="AL91" s="328"/>
      <c r="AP91" s="222"/>
      <c r="AQ91" s="211"/>
      <c r="AR91" s="222"/>
      <c r="AS91" s="222"/>
      <c r="AT91" s="225"/>
      <c r="AU91" s="225"/>
      <c r="AV91" s="225"/>
      <c r="AW91" s="225"/>
      <c r="AX91" s="225"/>
      <c r="AY91" s="300"/>
      <c r="AZ91" s="300"/>
    </row>
    <row r="92" spans="1:52" s="212" customFormat="1" ht="30" customHeight="1" thickBot="1" x14ac:dyDescent="0.3">
      <c r="A92" s="351" t="str">
        <f>Samenvatting!A207</f>
        <v>L8</v>
      </c>
      <c r="B92" s="346" t="str">
        <f>Samenvatting!B207</f>
        <v>ingang labyrint linac 8</v>
      </c>
      <c r="C92" s="331" t="s">
        <v>568</v>
      </c>
      <c r="D92" s="1859">
        <v>5</v>
      </c>
      <c r="E92" s="58"/>
      <c r="F92" s="1859">
        <v>250</v>
      </c>
      <c r="G92" s="1859">
        <v>0</v>
      </c>
      <c r="H92" s="1859">
        <v>0</v>
      </c>
      <c r="I92" s="1859">
        <v>0</v>
      </c>
      <c r="J92" s="91">
        <f>$F92/$C$27+$G92/$C$28+$H92/$C$29+$I92/$C$30</f>
        <v>7.3529411764705879</v>
      </c>
      <c r="K92" s="97">
        <f t="shared" si="6"/>
        <v>4.4366873309786093E-8</v>
      </c>
      <c r="L92" s="91">
        <f>($C$7*$C$15*$C$8*($C$9+$C$10*$C$11)/$D92^2*K92*10^6)</f>
        <v>1.0648049594348663E-3</v>
      </c>
      <c r="M92" s="91">
        <f>$F92/$D$27+$G92/$D$28+$H92/$D$29+$I92/$D$30</f>
        <v>6.5789473684210522</v>
      </c>
      <c r="N92" s="97">
        <f t="shared" si="7"/>
        <v>2.636650898730358E-7</v>
      </c>
      <c r="O92" s="91">
        <f>($C$7*$C$15*$D$8*($D$9+$D$10*$D$11)/$D92^2*N92*10^6)</f>
        <v>6.3279621569528599E-3</v>
      </c>
      <c r="P92" s="91">
        <f>$F92/$E$27+$G92/$E$28+$H92/$E$29+$I92/$E$30</f>
        <v>5.6818181818181817</v>
      </c>
      <c r="Q92" s="97">
        <f t="shared" si="8"/>
        <v>2.0805675382171676E-6</v>
      </c>
      <c r="R92" s="91">
        <f>($C$7*$C$15*$E$8*($E$9+$E$10*$E$11)/$D92^2*Q92*10^6)</f>
        <v>4.9933620917212027E-2</v>
      </c>
      <c r="S92" s="91">
        <f>$F92/$F$27+$G92/$F$28+$H92/$F$29+$I92/$F$30</f>
        <v>8.1967213114754092</v>
      </c>
      <c r="T92" s="97">
        <f t="shared" si="9"/>
        <v>6.3573875711648393E-9</v>
      </c>
      <c r="U92" s="91">
        <f>($C$7*$C$15*$F$8*($F$9+$F$10*$F$11)/$D92^2*T92*10^6)</f>
        <v>1.5257730170795616E-4</v>
      </c>
      <c r="V92" s="91">
        <f>$F92/$G$27+$G92/$G$28+$H92/$G$29+$I92/$G$30</f>
        <v>7.0224719101123592</v>
      </c>
      <c r="W92" s="97">
        <f t="shared" si="10"/>
        <v>9.4957241494880226E-8</v>
      </c>
      <c r="X92" s="76">
        <f>($C$7*$C$15*$G$8*($G$9+$G$10*$G$11)/$D92^2*W92*10^6)</f>
        <v>2.278973795877126E-3</v>
      </c>
      <c r="Y92" s="339">
        <f>SUM(L92,O92,R92,U92,X92)</f>
        <v>5.9757939131184837E-2</v>
      </c>
      <c r="Z92" s="363">
        <f>SUM(Y90:Y93)</f>
        <v>0.52249470541710541</v>
      </c>
      <c r="AA92" s="334">
        <f>Z92*52/10^3</f>
        <v>2.7169724681689482E-2</v>
      </c>
      <c r="AG92" s="328"/>
      <c r="AH92" s="328"/>
      <c r="AI92" s="328"/>
      <c r="AJ92" s="328"/>
      <c r="AK92" s="328"/>
      <c r="AL92" s="328"/>
      <c r="AP92" s="222"/>
      <c r="AQ92" s="211"/>
      <c r="AR92" s="222"/>
      <c r="AS92" s="222"/>
      <c r="AT92" s="225"/>
      <c r="AU92" s="225"/>
      <c r="AV92" s="225"/>
      <c r="AW92" s="225"/>
      <c r="AX92" s="225"/>
      <c r="AY92" s="300"/>
      <c r="AZ92" s="300"/>
    </row>
    <row r="93" spans="1:52" s="212" customFormat="1" ht="30" hidden="1" customHeight="1" thickBot="1" x14ac:dyDescent="0.3">
      <c r="A93" s="317"/>
      <c r="B93" s="317"/>
      <c r="C93" s="318"/>
      <c r="D93" s="1871"/>
      <c r="E93" s="1871"/>
      <c r="F93" s="1871"/>
      <c r="G93" s="1871"/>
      <c r="H93" s="1871"/>
      <c r="I93" s="1871"/>
      <c r="J93" s="91"/>
      <c r="K93" s="97"/>
      <c r="L93" s="91"/>
      <c r="M93" s="91"/>
      <c r="N93" s="97"/>
      <c r="O93" s="91"/>
      <c r="P93" s="91"/>
      <c r="Q93" s="97"/>
      <c r="R93" s="91"/>
      <c r="S93" s="91"/>
      <c r="T93" s="97"/>
      <c r="U93" s="91"/>
      <c r="V93" s="91"/>
      <c r="W93" s="97"/>
      <c r="X93" s="76"/>
      <c r="Y93" s="577"/>
      <c r="Z93" s="659"/>
      <c r="AA93" s="660"/>
      <c r="AG93" s="328"/>
      <c r="AH93" s="328"/>
      <c r="AI93" s="328"/>
      <c r="AJ93" s="328"/>
      <c r="AK93" s="328"/>
      <c r="AL93" s="328"/>
      <c r="AP93" s="222"/>
      <c r="AQ93" s="211"/>
      <c r="AR93" s="222"/>
      <c r="AS93" s="222"/>
      <c r="AT93" s="225"/>
      <c r="AU93" s="225"/>
      <c r="AV93" s="225"/>
      <c r="AW93" s="225"/>
      <c r="AX93" s="225"/>
      <c r="AY93" s="300"/>
      <c r="AZ93" s="300"/>
    </row>
    <row r="94" spans="1:52" s="212" customFormat="1" ht="30" customHeight="1" x14ac:dyDescent="0.25">
      <c r="A94" s="322"/>
      <c r="B94" s="322"/>
      <c r="C94" s="323" t="s">
        <v>569</v>
      </c>
      <c r="D94" s="1859">
        <v>6</v>
      </c>
      <c r="E94" s="1859">
        <v>1</v>
      </c>
      <c r="F94" s="1859">
        <v>250</v>
      </c>
      <c r="G94" s="1859">
        <v>0</v>
      </c>
      <c r="H94" s="1859">
        <v>0</v>
      </c>
      <c r="I94" s="1859">
        <v>0</v>
      </c>
      <c r="J94" s="91">
        <f>IF($F94=0,0,1+($F94-$C$21)/$C$22)+$G94/$C$23+$H94/$C$24+$I94/$C$25</f>
        <v>7.4545454545454541</v>
      </c>
      <c r="K94" s="97">
        <f t="shared" si="6"/>
        <v>3.5111917342151263E-8</v>
      </c>
      <c r="L94" s="91">
        <f>($C$7*$C$14*$C$8*$E94/$D94^2*K94*10^6)</f>
        <v>7.8026482982558355E-3</v>
      </c>
      <c r="M94" s="91">
        <f>IF($F94=0,0,1+($F94-$D$21)/$D$22)+$G94/$D$23+$H94/$D$24+$I94/$D$25</f>
        <v>6.6486486486486482</v>
      </c>
      <c r="N94" s="97">
        <f t="shared" si="7"/>
        <v>2.2456979955397711E-7</v>
      </c>
      <c r="O94" s="91">
        <f>($C$7*$D$14*$D$8*$E94/$D94^2*N94*10^6)</f>
        <v>4.99043999008838E-2</v>
      </c>
      <c r="P94" s="91">
        <f>IF($F94=0,0,1+($F94-$E$21)/$E$22)+$G94/$E$23+$H94/$E$24+$I94/$E$25</f>
        <v>5.7674418604651159</v>
      </c>
      <c r="Q94" s="97">
        <f t="shared" si="8"/>
        <v>1.7082763938087111E-6</v>
      </c>
      <c r="R94" s="91">
        <f>($C$7*$D$14*$E$8*$E94/$D94^2*Q94*10^6)</f>
        <v>0.37961697640193576</v>
      </c>
      <c r="S94" s="91">
        <f>IF($F94=0,0,1+($F94-$F$21)/$F$22)+$G94/$F$23+$H94/$F$24+$I94/$F$25</f>
        <v>9.1481481481481488</v>
      </c>
      <c r="T94" s="97">
        <f t="shared" si="9"/>
        <v>7.1097094323124171E-10</v>
      </c>
      <c r="U94" s="91">
        <f>($C$7*$F$14*$F$8*$E94/$D94^2*T94*10^6)</f>
        <v>1.5799354294027593E-4</v>
      </c>
      <c r="V94" s="91">
        <f>IF($F94=0,0,1+($F94-$G$21)/$G$22)+$G94/$G$23+$H94/$G$24+$I94/$G$25</f>
        <v>6.9444444444444446</v>
      </c>
      <c r="W94" s="97">
        <f t="shared" si="10"/>
        <v>1.136463666385722E-7</v>
      </c>
      <c r="X94" s="76">
        <f>($C$7*$G$14*$G$8*$E94/$D94^2*W94*10^6)</f>
        <v>2.5254748141904933E-2</v>
      </c>
      <c r="Y94" s="324">
        <f>SUM(L94,O94,R94,U94,X94)</f>
        <v>0.46273676628592059</v>
      </c>
      <c r="Z94" s="325"/>
      <c r="AA94" s="350"/>
      <c r="AG94" s="328"/>
      <c r="AI94" s="328"/>
      <c r="AJ94" s="328"/>
      <c r="AK94" s="328"/>
      <c r="AL94" s="328"/>
      <c r="AP94" s="222"/>
      <c r="AQ94" s="211"/>
      <c r="AR94" s="222"/>
      <c r="AS94" s="222"/>
      <c r="AT94" s="225"/>
      <c r="AU94" s="225"/>
      <c r="AV94" s="225"/>
      <c r="AW94" s="225"/>
      <c r="AX94" s="225"/>
      <c r="AY94" s="300"/>
      <c r="AZ94" s="300"/>
    </row>
    <row r="95" spans="1:52" s="212" customFormat="1" ht="30" customHeight="1" thickBot="1" x14ac:dyDescent="0.3">
      <c r="A95" s="351" t="str">
        <f>Samenvatting!A219</f>
        <v>L9</v>
      </c>
      <c r="B95" s="352" t="str">
        <f>Samenvatting!B219</f>
        <v>ingang labyrint linac 9</v>
      </c>
      <c r="C95" s="331" t="s">
        <v>568</v>
      </c>
      <c r="D95" s="1859">
        <v>5</v>
      </c>
      <c r="E95" s="58"/>
      <c r="F95" s="1859">
        <v>250</v>
      </c>
      <c r="G95" s="1859">
        <v>0</v>
      </c>
      <c r="H95" s="1859">
        <v>0</v>
      </c>
      <c r="I95" s="1859">
        <v>0</v>
      </c>
      <c r="J95" s="91">
        <f>$F95/$C$27+$G95/$C$28+$H95/$C$29+$I95/$C$30</f>
        <v>7.3529411764705879</v>
      </c>
      <c r="K95" s="97">
        <f t="shared" si="6"/>
        <v>4.4366873309786093E-8</v>
      </c>
      <c r="L95" s="91">
        <f>($C$7*$C$15*$C$8*($C$9+$C$10*$C$11)/$D95^2*K95*10^6)</f>
        <v>1.0648049594348663E-3</v>
      </c>
      <c r="M95" s="91">
        <f>$F95/$D$27+$G95/$D$28+$H95/$D$29+$I95/$D$30</f>
        <v>6.5789473684210522</v>
      </c>
      <c r="N95" s="97">
        <f t="shared" si="7"/>
        <v>2.636650898730358E-7</v>
      </c>
      <c r="O95" s="91">
        <f>($C$7*$C$15*$D$8*($D$9+$D$10*$D$11)/$D95^2*N95*10^6)</f>
        <v>6.3279621569528599E-3</v>
      </c>
      <c r="P95" s="91">
        <f>$F95/$E$27+$G95/$E$28+$H95/$E$29+$I95/$E$30</f>
        <v>5.6818181818181817</v>
      </c>
      <c r="Q95" s="97">
        <f t="shared" si="8"/>
        <v>2.0805675382171676E-6</v>
      </c>
      <c r="R95" s="91">
        <f>($C$7*$C$15*$E$8*($E$9+$E$10*$E$11)/$D95^2*Q95*10^6)</f>
        <v>4.9933620917212027E-2</v>
      </c>
      <c r="S95" s="91">
        <f>$F95/$F$27+$G95/$F$28+$H95/$F$29+$I95/$F$30</f>
        <v>8.1967213114754092</v>
      </c>
      <c r="T95" s="97">
        <f t="shared" si="9"/>
        <v>6.3573875711648393E-9</v>
      </c>
      <c r="U95" s="91">
        <f>($C$7*$C$15*$F$8*($F$9+$F$10*$F$11)/$D95^2*T95*10^6)</f>
        <v>1.5257730170795616E-4</v>
      </c>
      <c r="V95" s="91">
        <f>$F95/$G$27+$G95/$G$28+$H95/$G$29+$I95/$G$30</f>
        <v>7.0224719101123592</v>
      </c>
      <c r="W95" s="97">
        <f t="shared" si="10"/>
        <v>9.4957241494880226E-8</v>
      </c>
      <c r="X95" s="76">
        <f>($C$7*$C$15*$G$8*($G$9+$G$10*$G$11)/$D95^2*W95*10^6)</f>
        <v>2.278973795877126E-3</v>
      </c>
      <c r="Y95" s="339">
        <f>SUM(L95,O95,R95,U95,X95)</f>
        <v>5.9757939131184837E-2</v>
      </c>
      <c r="Z95" s="363">
        <f>SUM(Y93:Y96)</f>
        <v>0.52249470541710541</v>
      </c>
      <c r="AA95" s="334">
        <f>Z95*52/10^3</f>
        <v>2.7169724681689482E-2</v>
      </c>
      <c r="AG95" s="328"/>
      <c r="AH95" s="328"/>
      <c r="AI95" s="328"/>
      <c r="AJ95" s="328"/>
      <c r="AK95" s="328"/>
      <c r="AL95" s="328"/>
      <c r="AP95" s="222"/>
      <c r="AQ95" s="211"/>
      <c r="AR95" s="222"/>
      <c r="AS95" s="222"/>
      <c r="AT95" s="225"/>
      <c r="AU95" s="225"/>
      <c r="AV95" s="225"/>
      <c r="AW95" s="225"/>
      <c r="AX95" s="225"/>
      <c r="AY95" s="300"/>
      <c r="AZ95" s="300"/>
    </row>
    <row r="96" spans="1:52" s="212" customFormat="1" ht="30" hidden="1" customHeight="1" thickBot="1" x14ac:dyDescent="0.3">
      <c r="A96" s="317"/>
      <c r="B96" s="317"/>
      <c r="C96" s="318"/>
      <c r="D96" s="1871"/>
      <c r="E96" s="1871"/>
      <c r="F96" s="1871"/>
      <c r="G96" s="1871"/>
      <c r="H96" s="1871"/>
      <c r="I96" s="1871"/>
      <c r="J96" s="91"/>
      <c r="K96" s="97"/>
      <c r="L96" s="91"/>
      <c r="M96" s="91"/>
      <c r="N96" s="97"/>
      <c r="O96" s="91"/>
      <c r="P96" s="91"/>
      <c r="Q96" s="97"/>
      <c r="R96" s="91"/>
      <c r="S96" s="91"/>
      <c r="T96" s="97"/>
      <c r="U96" s="91"/>
      <c r="V96" s="91"/>
      <c r="W96" s="97"/>
      <c r="X96" s="76"/>
      <c r="Y96" s="577"/>
      <c r="Z96" s="659"/>
      <c r="AA96" s="660"/>
      <c r="AG96" s="328"/>
      <c r="AH96" s="328"/>
      <c r="AI96" s="328"/>
      <c r="AJ96" s="328"/>
      <c r="AK96" s="328"/>
      <c r="AL96" s="328"/>
      <c r="AP96" s="222"/>
      <c r="AQ96" s="211"/>
      <c r="AR96" s="222"/>
      <c r="AS96" s="222"/>
      <c r="AT96" s="225"/>
      <c r="AU96" s="225"/>
      <c r="AV96" s="225"/>
      <c r="AW96" s="225"/>
      <c r="AX96" s="225"/>
      <c r="AY96" s="300"/>
      <c r="AZ96" s="300"/>
    </row>
    <row r="97" spans="1:54" s="212" customFormat="1" ht="30" customHeight="1" x14ac:dyDescent="0.25">
      <c r="A97" s="322"/>
      <c r="B97" s="322"/>
      <c r="C97" s="323" t="s">
        <v>569</v>
      </c>
      <c r="D97" s="1859">
        <v>6</v>
      </c>
      <c r="E97" s="1859">
        <v>1</v>
      </c>
      <c r="F97" s="1859">
        <v>250</v>
      </c>
      <c r="G97" s="1859">
        <v>0</v>
      </c>
      <c r="H97" s="1859">
        <v>0</v>
      </c>
      <c r="I97" s="1859">
        <v>0</v>
      </c>
      <c r="J97" s="91">
        <f>IF($F97=0,0,1+($F97-$C$21)/$C$22)+$G97/$C$23+$H97/$C$24+$I97/$C$25</f>
        <v>7.4545454545454541</v>
      </c>
      <c r="K97" s="97">
        <f t="shared" si="6"/>
        <v>3.5111917342151263E-8</v>
      </c>
      <c r="L97" s="91">
        <f>($C$7*$C$14*$C$8*$E97/$D97^2*K97*10^6)</f>
        <v>7.8026482982558355E-3</v>
      </c>
      <c r="M97" s="91">
        <f>IF($F97=0,0,1+($F97-$D$21)/$D$22)+$G97/$D$23+$H97/$D$24+$I97/$D$25</f>
        <v>6.6486486486486482</v>
      </c>
      <c r="N97" s="97">
        <f t="shared" si="7"/>
        <v>2.2456979955397711E-7</v>
      </c>
      <c r="O97" s="91">
        <f>($C$7*$D$14*$D$8*$E97/$D97^2*N97*10^6)</f>
        <v>4.99043999008838E-2</v>
      </c>
      <c r="P97" s="91">
        <f>IF($F97=0,0,1+($F97-$E$21)/$E$22)+$G97/$E$23+$H97/$E$24+$I97/$E$25</f>
        <v>5.7674418604651159</v>
      </c>
      <c r="Q97" s="97">
        <f t="shared" si="8"/>
        <v>1.7082763938087111E-6</v>
      </c>
      <c r="R97" s="91">
        <f>($C$7*$D$14*$E$8*$E97/$D97^2*Q97*10^6)</f>
        <v>0.37961697640193576</v>
      </c>
      <c r="S97" s="91">
        <f>IF($F97=0,0,1+($F97-$F$21)/$F$22)+$G97/$F$23+$H97/$F$24+$I97/$F$25</f>
        <v>9.1481481481481488</v>
      </c>
      <c r="T97" s="97">
        <f t="shared" si="9"/>
        <v>7.1097094323124171E-10</v>
      </c>
      <c r="U97" s="91">
        <f>($C$7*$F$14*$F$8*$E97/$D97^2*T97*10^6)</f>
        <v>1.5799354294027593E-4</v>
      </c>
      <c r="V97" s="91">
        <f>IF($F97=0,0,1+($F97-$G$21)/$G$22)+$G97/$G$23+$H97/$G$24+$I97/$G$25</f>
        <v>6.9444444444444446</v>
      </c>
      <c r="W97" s="97">
        <f t="shared" si="10"/>
        <v>1.136463666385722E-7</v>
      </c>
      <c r="X97" s="76">
        <f>($C$7*$G$14*$G$8*$E97/$D97^2*W97*10^6)</f>
        <v>2.5254748141904933E-2</v>
      </c>
      <c r="Y97" s="324">
        <f>SUM(L97,O97,R97,U97,X97)</f>
        <v>0.46273676628592059</v>
      </c>
      <c r="Z97" s="325"/>
      <c r="AA97" s="350"/>
      <c r="AG97" s="328"/>
      <c r="AI97" s="328"/>
      <c r="AJ97" s="328"/>
      <c r="AK97" s="328"/>
      <c r="AL97" s="328"/>
      <c r="AP97" s="222"/>
      <c r="AQ97" s="211"/>
      <c r="AR97" s="222"/>
      <c r="AS97" s="222"/>
      <c r="AT97" s="225"/>
      <c r="AU97" s="225"/>
      <c r="AV97" s="225"/>
      <c r="AW97" s="225"/>
      <c r="AX97" s="225"/>
      <c r="AY97" s="300"/>
      <c r="AZ97" s="300"/>
    </row>
    <row r="98" spans="1:54" s="212" customFormat="1" ht="30" customHeight="1" thickBot="1" x14ac:dyDescent="0.3">
      <c r="A98" s="351" t="str">
        <f>Samenvatting!A231</f>
        <v>L10</v>
      </c>
      <c r="B98" s="656" t="str">
        <f>Samenvatting!B231</f>
        <v>ingang labyrint linac 10</v>
      </c>
      <c r="C98" s="331" t="s">
        <v>568</v>
      </c>
      <c r="D98" s="1859">
        <v>5</v>
      </c>
      <c r="E98" s="58"/>
      <c r="F98" s="1859">
        <v>250</v>
      </c>
      <c r="G98" s="1859">
        <v>0</v>
      </c>
      <c r="H98" s="1859">
        <v>0</v>
      </c>
      <c r="I98" s="1859">
        <v>0</v>
      </c>
      <c r="J98" s="91">
        <f>$F98/$C$27+$G98/$C$28+$H98/$C$29+$I98/$C$30</f>
        <v>7.3529411764705879</v>
      </c>
      <c r="K98" s="97">
        <f t="shared" si="6"/>
        <v>4.4366873309786093E-8</v>
      </c>
      <c r="L98" s="91">
        <f>($C$7*$C$15*$C$8*($C$9+$C$10*$C$11)/$D98^2*K98*10^6)</f>
        <v>1.0648049594348663E-3</v>
      </c>
      <c r="M98" s="91">
        <f>$F98/$D$27+$G98/$D$28+$H98/$D$29+$I98/$D$30</f>
        <v>6.5789473684210522</v>
      </c>
      <c r="N98" s="97">
        <f t="shared" si="7"/>
        <v>2.636650898730358E-7</v>
      </c>
      <c r="O98" s="91">
        <f>($C$7*$C$15*$D$8*($D$9+$D$10*$D$11)/$D98^2*N98*10^6)</f>
        <v>6.3279621569528599E-3</v>
      </c>
      <c r="P98" s="91">
        <f>$F98/$E$27+$G98/$E$28+$H98/$E$29+$I98/$E$30</f>
        <v>5.6818181818181817</v>
      </c>
      <c r="Q98" s="97">
        <f t="shared" si="8"/>
        <v>2.0805675382171676E-6</v>
      </c>
      <c r="R98" s="91">
        <f>($C$7*$C$15*$E$8*($E$9+$E$10*$E$11)/$D98^2*Q98*10^6)</f>
        <v>4.9933620917212027E-2</v>
      </c>
      <c r="S98" s="91">
        <f>$F98/$F$27+$G98/$F$28+$H98/$F$29+$I98/$F$30</f>
        <v>8.1967213114754092</v>
      </c>
      <c r="T98" s="97">
        <f t="shared" si="9"/>
        <v>6.3573875711648393E-9</v>
      </c>
      <c r="U98" s="91">
        <f>($C$7*$C$15*$F$8*($F$9+$F$10*$F$11)/$D98^2*T98*10^6)</f>
        <v>1.5257730170795616E-4</v>
      </c>
      <c r="V98" s="91">
        <f>$F98/$G$27+$G98/$G$28+$H98/$G$29+$I98/$G$30</f>
        <v>7.0224719101123592</v>
      </c>
      <c r="W98" s="97">
        <f t="shared" si="10"/>
        <v>9.4957241494880226E-8</v>
      </c>
      <c r="X98" s="76">
        <f>($C$7*$C$15*$G$8*($G$9+$G$10*$G$11)/$D98^2*W98*10^6)</f>
        <v>2.278973795877126E-3</v>
      </c>
      <c r="Y98" s="339">
        <f>SUM(L98,O98,R98,U98,X98)</f>
        <v>5.9757939131184837E-2</v>
      </c>
      <c r="Z98" s="363">
        <f>SUM(Y96:Y99)</f>
        <v>0.52249470541710541</v>
      </c>
      <c r="AA98" s="334">
        <f>Z98*52/10^3</f>
        <v>2.7169724681689482E-2</v>
      </c>
      <c r="AG98" s="328"/>
      <c r="AH98" s="328"/>
      <c r="AI98" s="328"/>
      <c r="AJ98" s="328"/>
      <c r="AK98" s="328"/>
      <c r="AL98" s="328"/>
      <c r="AP98" s="222"/>
      <c r="AQ98" s="211"/>
      <c r="AR98" s="222"/>
      <c r="AS98" s="222"/>
      <c r="AT98" s="225"/>
      <c r="AU98" s="225"/>
      <c r="AV98" s="225"/>
      <c r="AW98" s="225"/>
      <c r="AX98" s="225"/>
      <c r="AY98" s="300"/>
      <c r="AZ98" s="300"/>
    </row>
    <row r="99" spans="1:54" s="212" customFormat="1" ht="30" hidden="1" customHeight="1" thickBot="1" x14ac:dyDescent="0.3">
      <c r="A99" s="317"/>
      <c r="B99" s="312"/>
      <c r="C99" s="318"/>
      <c r="D99" s="1871"/>
      <c r="E99" s="1871"/>
      <c r="F99" s="1871"/>
      <c r="G99" s="1871"/>
      <c r="H99" s="1871"/>
      <c r="I99" s="1871"/>
      <c r="J99" s="91"/>
      <c r="K99" s="97"/>
      <c r="L99" s="91"/>
      <c r="M99" s="91"/>
      <c r="N99" s="97"/>
      <c r="O99" s="91"/>
      <c r="P99" s="91"/>
      <c r="Q99" s="97"/>
      <c r="R99" s="91"/>
      <c r="S99" s="91"/>
      <c r="T99" s="97"/>
      <c r="U99" s="91"/>
      <c r="V99" s="91"/>
      <c r="W99" s="97"/>
      <c r="X99" s="76"/>
      <c r="Y99" s="577"/>
      <c r="Z99" s="659"/>
      <c r="AA99" s="660"/>
      <c r="AG99" s="328"/>
      <c r="AH99" s="328"/>
      <c r="AI99" s="328"/>
      <c r="AJ99" s="328"/>
      <c r="AK99" s="328"/>
      <c r="AL99" s="328"/>
      <c r="AP99" s="222"/>
      <c r="AQ99" s="211"/>
      <c r="AR99" s="222"/>
      <c r="AS99" s="222"/>
      <c r="AT99" s="225"/>
      <c r="AU99" s="225"/>
      <c r="AV99" s="225"/>
      <c r="AW99" s="225"/>
      <c r="AX99" s="225"/>
      <c r="AY99" s="300"/>
      <c r="AZ99" s="300"/>
    </row>
    <row r="100" spans="1:54" s="212" customFormat="1" ht="30" customHeight="1" x14ac:dyDescent="0.25">
      <c r="A100" s="322"/>
      <c r="B100" s="322"/>
      <c r="C100" s="323" t="s">
        <v>569</v>
      </c>
      <c r="D100" s="1859">
        <v>6</v>
      </c>
      <c r="E100" s="1859">
        <v>1</v>
      </c>
      <c r="F100" s="1859">
        <v>250</v>
      </c>
      <c r="G100" s="1859">
        <v>0</v>
      </c>
      <c r="H100" s="1859">
        <v>0</v>
      </c>
      <c r="I100" s="1859">
        <v>0</v>
      </c>
      <c r="J100" s="91">
        <f>IF($F100=0,0,1+($F100-$C$21)/$C$22)+$G100/$C$23+$H100/$C$24+$I100/$C$25</f>
        <v>7.4545454545454541</v>
      </c>
      <c r="K100" s="97">
        <f t="shared" si="6"/>
        <v>3.5111917342151263E-8</v>
      </c>
      <c r="L100" s="91">
        <f>($C$7*$C$14*$C$8*$E100/$D100^2*K100*10^6)</f>
        <v>7.8026482982558355E-3</v>
      </c>
      <c r="M100" s="91">
        <f>IF($F100=0,0,1+($F100-$D$21)/$D$22)+$G100/$D$23+$H100/$D$24+$I100/$D$25</f>
        <v>6.6486486486486482</v>
      </c>
      <c r="N100" s="97">
        <f t="shared" si="7"/>
        <v>2.2456979955397711E-7</v>
      </c>
      <c r="O100" s="91">
        <f>($C$7*$D$14*$D$8*$E100/$D100^2*N100*10^6)</f>
        <v>4.99043999008838E-2</v>
      </c>
      <c r="P100" s="91">
        <f>IF($F100=0,0,1+($F100-$E$21)/$E$22)+$G100/$E$23+$H100/$E$24+$I100/$E$25</f>
        <v>5.7674418604651159</v>
      </c>
      <c r="Q100" s="97">
        <f t="shared" si="8"/>
        <v>1.7082763938087111E-6</v>
      </c>
      <c r="R100" s="91">
        <f>($C$7*$D$14*$E$8*$E100/$D100^2*Q100*10^6)</f>
        <v>0.37961697640193576</v>
      </c>
      <c r="S100" s="91">
        <f>IF($F100=0,0,1+($F100-$F$21)/$F$22)+$G100/$F$23+$H100/$F$24+$I100/$F$25</f>
        <v>9.1481481481481488</v>
      </c>
      <c r="T100" s="97">
        <f t="shared" si="9"/>
        <v>7.1097094323124171E-10</v>
      </c>
      <c r="U100" s="91">
        <f>($C$7*$F$14*$F$8*$E100/$D100^2*T100*10^6)</f>
        <v>1.5799354294027593E-4</v>
      </c>
      <c r="V100" s="91">
        <f>IF($F100=0,0,1+($F100-$G$21)/$G$22)+$G100/$G$23+$H100/$G$24+$I100/$G$25</f>
        <v>6.9444444444444446</v>
      </c>
      <c r="W100" s="97">
        <f t="shared" si="10"/>
        <v>1.136463666385722E-7</v>
      </c>
      <c r="X100" s="76">
        <f>($C$7*$G$14*$G$8*$E100/$D100^2*W100*10^6)</f>
        <v>2.5254748141904933E-2</v>
      </c>
      <c r="Y100" s="324">
        <f>SUM(L100,O100,R100,U100,X100)</f>
        <v>0.46273676628592059</v>
      </c>
      <c r="Z100" s="325"/>
      <c r="AA100" s="350"/>
      <c r="AG100" s="328"/>
      <c r="AI100" s="328"/>
      <c r="AJ100" s="328"/>
      <c r="AK100" s="328"/>
      <c r="AL100" s="328"/>
      <c r="AP100" s="222"/>
      <c r="AQ100" s="211"/>
      <c r="AR100" s="222"/>
      <c r="AS100" s="222"/>
      <c r="AT100" s="225"/>
      <c r="AU100" s="225"/>
      <c r="AV100" s="225"/>
      <c r="AW100" s="225"/>
      <c r="AX100" s="225"/>
      <c r="AY100" s="300"/>
      <c r="AZ100" s="300"/>
    </row>
    <row r="101" spans="1:54" s="212" customFormat="1" ht="30" customHeight="1" thickBot="1" x14ac:dyDescent="0.3">
      <c r="A101" s="343" t="str">
        <f>Samenvatting!A233</f>
        <v>vrij</v>
      </c>
      <c r="B101" s="338" t="str">
        <f>Samenvatting!B233</f>
        <v>vrij te kiezen</v>
      </c>
      <c r="C101" s="331" t="s">
        <v>568</v>
      </c>
      <c r="D101" s="1859">
        <v>5</v>
      </c>
      <c r="E101" s="58"/>
      <c r="F101" s="1859">
        <v>250</v>
      </c>
      <c r="G101" s="1859">
        <v>0</v>
      </c>
      <c r="H101" s="1859">
        <v>0</v>
      </c>
      <c r="I101" s="1859">
        <v>0</v>
      </c>
      <c r="J101" s="91">
        <f>$F101/$C$27+$G101/$C$28+$H101/$C$29+$I101/$C$30</f>
        <v>7.3529411764705879</v>
      </c>
      <c r="K101" s="97">
        <f t="shared" si="6"/>
        <v>4.4366873309786093E-8</v>
      </c>
      <c r="L101" s="91">
        <f>($C$7*$C$15*$C$8*($C$9+$C$10*$C$11)/$D101^2*K101*10^6)</f>
        <v>1.0648049594348663E-3</v>
      </c>
      <c r="M101" s="91">
        <f>$F101/$D$27+$G101/$D$28+$H101/$D$29+$I101/$D$30</f>
        <v>6.5789473684210522</v>
      </c>
      <c r="N101" s="97">
        <f t="shared" si="7"/>
        <v>2.636650898730358E-7</v>
      </c>
      <c r="O101" s="91">
        <f>($C$7*$C$15*$D$8*($D$9+$D$10*$D$11)/$D101^2*N101*10^6)</f>
        <v>6.3279621569528599E-3</v>
      </c>
      <c r="P101" s="91">
        <f>$F101/$E$27+$G101/$E$28+$H101/$E$29+$I101/$E$30</f>
        <v>5.6818181818181817</v>
      </c>
      <c r="Q101" s="97">
        <f t="shared" si="8"/>
        <v>2.0805675382171676E-6</v>
      </c>
      <c r="R101" s="91">
        <f>($C$7*$C$15*$E$8*($E$9+$E$10*$E$11)/$D101^2*Q101*10^6)</f>
        <v>4.9933620917212027E-2</v>
      </c>
      <c r="S101" s="91">
        <f>$F101/$F$27+$G101/$F$28+$H101/$F$29+$I101/$F$30</f>
        <v>8.1967213114754092</v>
      </c>
      <c r="T101" s="97">
        <f t="shared" si="9"/>
        <v>6.3573875711648393E-9</v>
      </c>
      <c r="U101" s="91">
        <f>($C$7*$C$15*$F$8*($F$9+$F$10*$F$11)/$D101^2*T101*10^6)</f>
        <v>1.5257730170795616E-4</v>
      </c>
      <c r="V101" s="91">
        <f>$F101/$G$27+$G101/$G$28+$H101/$G$29+$I101/$G$30</f>
        <v>7.0224719101123592</v>
      </c>
      <c r="W101" s="97">
        <f t="shared" si="10"/>
        <v>9.4957241494880226E-8</v>
      </c>
      <c r="X101" s="76">
        <f>($C$7*$C$15*$G$8*($G$9+$G$10*$G$11)/$D101^2*W101*10^6)</f>
        <v>2.278973795877126E-3</v>
      </c>
      <c r="Y101" s="339">
        <f>SUM(L101,O101,R101,U101,X101)</f>
        <v>5.9757939131184837E-2</v>
      </c>
      <c r="Z101" s="363">
        <f>SUM(Y99:Y102)</f>
        <v>0.52249470541710541</v>
      </c>
      <c r="AA101" s="334">
        <f>Z101*52/10^3</f>
        <v>2.7169724681689482E-2</v>
      </c>
      <c r="AG101" s="328"/>
      <c r="AH101" s="328"/>
      <c r="AI101" s="328"/>
      <c r="AJ101" s="328"/>
      <c r="AK101" s="328"/>
      <c r="AL101" s="328"/>
      <c r="AP101" s="222"/>
      <c r="AQ101" s="211"/>
      <c r="AR101" s="222"/>
      <c r="AS101" s="222"/>
      <c r="AT101" s="225"/>
      <c r="AU101" s="225"/>
      <c r="AV101" s="225"/>
      <c r="AW101" s="225"/>
      <c r="AX101" s="225"/>
      <c r="AY101" s="300"/>
      <c r="AZ101" s="300"/>
    </row>
    <row r="102" spans="1:54" s="225" customFormat="1" ht="30" hidden="1" customHeight="1" x14ac:dyDescent="0.25">
      <c r="A102" s="211"/>
      <c r="B102" s="220"/>
      <c r="C102" s="310"/>
      <c r="D102" s="57"/>
      <c r="E102" s="57"/>
      <c r="F102" s="57"/>
      <c r="G102" s="57"/>
      <c r="H102" s="57"/>
      <c r="I102" s="57"/>
      <c r="J102" s="369"/>
      <c r="K102" s="328"/>
      <c r="L102" s="369"/>
      <c r="M102" s="369"/>
      <c r="N102" s="328"/>
      <c r="O102" s="369"/>
      <c r="P102" s="369"/>
      <c r="Q102" s="328"/>
      <c r="R102" s="369"/>
      <c r="S102" s="369"/>
      <c r="T102" s="328"/>
      <c r="U102" s="369"/>
      <c r="V102" s="369"/>
      <c r="W102" s="328"/>
      <c r="X102" s="369"/>
      <c r="Y102" s="369"/>
      <c r="Z102" s="233"/>
      <c r="AA102" s="233"/>
      <c r="AG102" s="328"/>
      <c r="AH102" s="328"/>
      <c r="AI102" s="328"/>
      <c r="AJ102" s="328"/>
      <c r="AK102" s="328"/>
      <c r="AL102" s="328"/>
      <c r="AP102" s="222"/>
      <c r="AQ102" s="211"/>
      <c r="AR102" s="222"/>
      <c r="AS102" s="222"/>
      <c r="AY102" s="300"/>
      <c r="AZ102" s="300"/>
    </row>
    <row r="103" spans="1:54" s="225" customFormat="1" ht="19.5" customHeight="1" thickBot="1" x14ac:dyDescent="0.3">
      <c r="A103" s="222"/>
      <c r="B103" s="222"/>
      <c r="C103" s="368"/>
      <c r="D103" s="57"/>
      <c r="E103" s="57"/>
      <c r="F103" s="57"/>
      <c r="G103" s="57"/>
      <c r="H103" s="57"/>
      <c r="I103" s="57"/>
      <c r="J103" s="369"/>
      <c r="K103" s="328"/>
      <c r="L103" s="369"/>
      <c r="M103" s="369"/>
      <c r="N103" s="328"/>
      <c r="O103" s="369"/>
      <c r="P103" s="369"/>
      <c r="Q103" s="328"/>
      <c r="R103" s="369"/>
      <c r="S103" s="369"/>
      <c r="T103" s="328"/>
      <c r="U103" s="369"/>
      <c r="V103" s="369"/>
      <c r="W103" s="328"/>
      <c r="X103" s="369"/>
      <c r="Y103" s="369"/>
      <c r="Z103" s="233"/>
      <c r="AA103" s="233"/>
      <c r="AG103" s="328"/>
      <c r="AH103" s="328"/>
      <c r="AI103" s="328"/>
      <c r="AJ103" s="328"/>
      <c r="AK103" s="328"/>
      <c r="AL103" s="328"/>
      <c r="AP103" s="222"/>
      <c r="AQ103" s="211"/>
      <c r="AR103" s="222"/>
      <c r="AS103" s="222"/>
      <c r="AY103" s="300"/>
      <c r="AZ103" s="300"/>
    </row>
    <row r="104" spans="1:54" ht="19.5" customHeight="1" x14ac:dyDescent="0.25">
      <c r="A104" s="373" t="s">
        <v>363</v>
      </c>
      <c r="B104" s="374"/>
      <c r="C104" s="375"/>
      <c r="D104" s="376"/>
      <c r="E104" s="377"/>
      <c r="F104" s="378"/>
      <c r="G104" s="379"/>
      <c r="H104" s="379"/>
      <c r="I104" s="379"/>
      <c r="J104" s="379"/>
      <c r="K104" s="379"/>
      <c r="L104" s="380"/>
      <c r="M104" s="380"/>
      <c r="N104" s="379"/>
      <c r="O104" s="379"/>
      <c r="P104" s="379"/>
      <c r="Q104" s="379"/>
      <c r="R104" s="379"/>
      <c r="S104" s="381"/>
      <c r="T104" s="379"/>
      <c r="U104" s="379"/>
      <c r="V104" s="379"/>
      <c r="W104" s="379"/>
      <c r="X104" s="379"/>
      <c r="Y104" s="379"/>
      <c r="Z104" s="379"/>
      <c r="AA104" s="216"/>
      <c r="AB104" s="297"/>
      <c r="AC104" s="216"/>
      <c r="AD104" s="216"/>
      <c r="AE104" s="216"/>
      <c r="AF104" s="216"/>
      <c r="AG104" s="382"/>
      <c r="AH104" s="382"/>
      <c r="AI104" s="382"/>
      <c r="AJ104" s="383"/>
      <c r="AK104" s="383"/>
      <c r="AL104" s="383"/>
      <c r="AM104" s="383"/>
      <c r="AN104" s="383"/>
      <c r="AO104" s="383"/>
      <c r="AP104" s="383"/>
      <c r="AQ104" s="383"/>
      <c r="AR104" s="382"/>
      <c r="AS104" s="382"/>
      <c r="AT104" s="382"/>
      <c r="AU104" s="382"/>
      <c r="AV104" s="186"/>
    </row>
    <row r="105" spans="1:54" ht="19.5" customHeight="1" thickBot="1" x14ac:dyDescent="0.3">
      <c r="A105" s="384"/>
      <c r="B105" s="385"/>
      <c r="C105" s="386"/>
      <c r="D105" s="387"/>
      <c r="E105" s="388"/>
      <c r="F105" s="388"/>
      <c r="G105" s="388"/>
      <c r="H105" s="288"/>
      <c r="I105" s="288"/>
      <c r="J105" s="288"/>
      <c r="K105" s="288"/>
      <c r="L105" s="299"/>
      <c r="M105" s="299"/>
      <c r="N105" s="288"/>
      <c r="O105" s="288"/>
      <c r="P105" s="288"/>
      <c r="Q105" s="288"/>
      <c r="R105" s="288"/>
      <c r="S105" s="289"/>
      <c r="T105" s="288"/>
      <c r="U105" s="288"/>
      <c r="V105" s="288"/>
      <c r="W105" s="288"/>
      <c r="X105" s="288"/>
      <c r="Y105" s="288"/>
      <c r="Z105" s="288"/>
      <c r="AA105" s="222"/>
      <c r="AB105" s="211"/>
      <c r="AC105" s="222"/>
      <c r="AD105" s="222"/>
      <c r="AE105" s="222"/>
      <c r="AF105" s="222"/>
      <c r="AG105" s="187"/>
      <c r="AH105" s="187"/>
      <c r="AI105" s="187"/>
      <c r="AJ105" s="282"/>
      <c r="AK105" s="282"/>
      <c r="AL105" s="282"/>
      <c r="AM105" s="282"/>
      <c r="AN105" s="282"/>
      <c r="AO105" s="282"/>
      <c r="AP105" s="282"/>
      <c r="AQ105" s="282"/>
      <c r="AR105" s="187"/>
      <c r="AS105" s="187"/>
      <c r="AT105" s="187"/>
      <c r="AU105" s="187"/>
      <c r="AV105" s="186"/>
    </row>
    <row r="106" spans="1:54" ht="19.5" customHeight="1" x14ac:dyDescent="0.25">
      <c r="A106" s="215" t="s">
        <v>247</v>
      </c>
      <c r="B106" s="389"/>
      <c r="C106" s="389"/>
      <c r="D106" s="389"/>
      <c r="E106" s="389"/>
      <c r="F106" s="389"/>
      <c r="G106" s="1845" t="s">
        <v>387</v>
      </c>
      <c r="H106" s="288"/>
      <c r="I106" s="288"/>
      <c r="J106" s="288"/>
      <c r="K106" s="288"/>
      <c r="L106" s="299"/>
      <c r="M106" s="299"/>
      <c r="N106" s="288"/>
      <c r="O106" s="288"/>
      <c r="P106" s="288"/>
      <c r="Q106" s="288"/>
      <c r="R106" s="288"/>
      <c r="S106" s="289"/>
      <c r="T106" s="288"/>
      <c r="U106" s="288"/>
      <c r="V106" s="288"/>
      <c r="W106" s="288"/>
      <c r="X106" s="288"/>
      <c r="Y106" s="288"/>
      <c r="Z106" s="288"/>
      <c r="AA106" s="222"/>
      <c r="AB106" s="211"/>
      <c r="AC106" s="222"/>
      <c r="AD106" s="222"/>
      <c r="AE106" s="222"/>
      <c r="AF106" s="222"/>
      <c r="AG106" s="187"/>
      <c r="AH106" s="187"/>
      <c r="AI106" s="187"/>
      <c r="AJ106" s="282"/>
      <c r="AK106" s="282"/>
      <c r="AL106" s="282"/>
      <c r="AM106" s="282"/>
      <c r="AN106" s="282"/>
      <c r="AO106" s="282"/>
      <c r="AP106" s="282"/>
      <c r="AQ106" s="282"/>
      <c r="AR106" s="187"/>
      <c r="AS106" s="187"/>
      <c r="AT106" s="187"/>
      <c r="AU106" s="187"/>
      <c r="AV106" s="186"/>
    </row>
    <row r="107" spans="1:54" ht="19.5" customHeight="1" thickBot="1" x14ac:dyDescent="0.3">
      <c r="A107" s="226" t="s">
        <v>246</v>
      </c>
      <c r="B107" s="390"/>
      <c r="C107" s="390"/>
      <c r="D107" s="390"/>
      <c r="E107" s="390"/>
      <c r="F107" s="390"/>
      <c r="G107" s="1846">
        <v>1</v>
      </c>
      <c r="H107" s="288"/>
      <c r="I107" s="288"/>
      <c r="J107" s="288"/>
      <c r="K107" s="288"/>
      <c r="L107" s="299"/>
      <c r="M107" s="299"/>
      <c r="N107" s="288"/>
      <c r="O107" s="288"/>
      <c r="P107" s="288"/>
      <c r="Q107" s="288"/>
      <c r="R107" s="288"/>
      <c r="S107" s="289"/>
      <c r="T107" s="288"/>
      <c r="U107" s="288"/>
      <c r="V107" s="288"/>
      <c r="W107" s="288"/>
      <c r="X107" s="288"/>
      <c r="Y107" s="288"/>
      <c r="Z107" s="288"/>
      <c r="AA107" s="222"/>
      <c r="AB107" s="211"/>
      <c r="AC107" s="222"/>
      <c r="AD107" s="222"/>
      <c r="AE107" s="222"/>
      <c r="AF107" s="222"/>
      <c r="AG107" s="187"/>
      <c r="AH107" s="187"/>
      <c r="AI107" s="187"/>
      <c r="AJ107" s="282"/>
      <c r="AK107" s="282"/>
      <c r="AL107" s="282"/>
      <c r="AM107" s="282"/>
      <c r="AN107" s="282"/>
      <c r="AO107" s="282"/>
      <c r="AP107" s="282"/>
      <c r="AQ107" s="282"/>
      <c r="AR107" s="187"/>
      <c r="AS107" s="187"/>
      <c r="AT107" s="187"/>
      <c r="AU107" s="187"/>
      <c r="AV107" s="186"/>
    </row>
    <row r="108" spans="1:54" ht="19.5" customHeight="1" thickBot="1" x14ac:dyDescent="0.3">
      <c r="A108" s="221"/>
      <c r="B108" s="225"/>
      <c r="C108" s="225"/>
      <c r="D108" s="225"/>
      <c r="E108" s="225"/>
      <c r="F108" s="225"/>
      <c r="G108" s="57"/>
      <c r="H108" s="288"/>
      <c r="I108" s="288"/>
      <c r="J108" s="288"/>
      <c r="K108" s="288"/>
      <c r="L108" s="225"/>
      <c r="M108" s="187"/>
      <c r="N108" s="187"/>
      <c r="O108" s="187"/>
      <c r="P108" s="187"/>
      <c r="Q108" s="187"/>
      <c r="R108" s="288"/>
      <c r="Y108" s="288"/>
      <c r="Z108" s="288"/>
      <c r="AA108" s="222"/>
      <c r="AB108" s="211"/>
      <c r="AC108" s="222"/>
      <c r="AD108" s="222"/>
      <c r="AE108" s="222"/>
      <c r="AF108" s="222"/>
      <c r="AG108" s="187"/>
      <c r="AH108" s="187"/>
      <c r="AI108" s="187"/>
      <c r="AJ108" s="282"/>
      <c r="AK108" s="282"/>
      <c r="AL108" s="282"/>
      <c r="AM108" s="282"/>
      <c r="AN108" s="282"/>
      <c r="AO108" s="282"/>
      <c r="AP108" s="282"/>
      <c r="AQ108" s="282"/>
      <c r="AR108" s="187"/>
      <c r="AS108" s="187"/>
      <c r="AT108" s="187"/>
      <c r="AU108" s="187"/>
      <c r="AV108" s="186"/>
    </row>
    <row r="109" spans="1:54" s="212" customFormat="1" ht="19.5" customHeight="1" thickBot="1" x14ac:dyDescent="0.3">
      <c r="A109" s="391" t="s">
        <v>243</v>
      </c>
      <c r="B109" s="392"/>
      <c r="C109" s="216"/>
      <c r="D109" s="216"/>
      <c r="E109" s="393"/>
      <c r="F109" s="216"/>
      <c r="G109" s="389"/>
      <c r="H109" s="216"/>
      <c r="I109" s="297"/>
      <c r="J109" s="394"/>
      <c r="K109" s="395"/>
      <c r="L109" s="396" t="s">
        <v>163</v>
      </c>
      <c r="M109" s="379"/>
      <c r="N109" s="379"/>
      <c r="O109" s="397"/>
      <c r="Q109" s="396" t="s">
        <v>581</v>
      </c>
      <c r="R109" s="398"/>
      <c r="S109" s="389"/>
      <c r="T109" s="389"/>
      <c r="U109" s="399"/>
      <c r="Y109" s="400"/>
      <c r="Z109" s="400"/>
      <c r="AA109" s="400"/>
      <c r="AB109" s="400"/>
      <c r="AC109" s="400"/>
      <c r="AD109" s="400"/>
      <c r="AE109" s="225"/>
      <c r="AF109" s="299"/>
      <c r="AG109" s="299"/>
      <c r="AH109" s="225"/>
      <c r="AI109" s="299"/>
      <c r="AJ109" s="299"/>
      <c r="AK109" s="225"/>
      <c r="AL109" s="299"/>
      <c r="AM109" s="299"/>
      <c r="AN109" s="225"/>
      <c r="AO109" s="299"/>
      <c r="AP109" s="299"/>
      <c r="AQ109" s="225"/>
      <c r="AR109" s="299"/>
      <c r="AS109" s="299"/>
      <c r="AT109" s="220"/>
      <c r="AU109" s="211"/>
      <c r="AV109" s="221"/>
      <c r="AW109" s="222"/>
      <c r="AX109" s="225"/>
      <c r="AY109" s="225"/>
      <c r="AZ109" s="225"/>
      <c r="BA109" s="225"/>
      <c r="BB109" s="225"/>
    </row>
    <row r="110" spans="1:54" s="212" customFormat="1" ht="19.5" customHeight="1" thickBot="1" x14ac:dyDescent="0.3">
      <c r="A110" s="401"/>
      <c r="B110" s="222"/>
      <c r="C110" s="225"/>
      <c r="D110" s="240"/>
      <c r="E110" s="402"/>
      <c r="F110" s="403" t="s">
        <v>55</v>
      </c>
      <c r="G110" s="211"/>
      <c r="H110" s="222"/>
      <c r="I110" s="211"/>
      <c r="J110" s="404"/>
      <c r="K110" s="395"/>
      <c r="L110" s="405" t="s">
        <v>577</v>
      </c>
      <c r="M110" s="406"/>
      <c r="N110" s="406"/>
      <c r="O110" s="407"/>
      <c r="Q110" s="408" t="s">
        <v>579</v>
      </c>
      <c r="R110" s="398"/>
      <c r="S110" s="389"/>
      <c r="T110" s="389"/>
      <c r="U110" s="399"/>
      <c r="Y110" s="400"/>
      <c r="Z110" s="400"/>
      <c r="AA110" s="400"/>
      <c r="AB110" s="400"/>
      <c r="AC110" s="400"/>
      <c r="AD110" s="400"/>
      <c r="AE110" s="225"/>
      <c r="AF110" s="299"/>
      <c r="AG110" s="299"/>
      <c r="AH110" s="225"/>
      <c r="AI110" s="299"/>
      <c r="AJ110" s="299"/>
      <c r="AK110" s="225"/>
      <c r="AL110" s="299"/>
      <c r="AM110" s="299"/>
      <c r="AN110" s="225"/>
      <c r="AO110" s="299"/>
      <c r="AP110" s="299"/>
      <c r="AQ110" s="225"/>
      <c r="AR110" s="299"/>
      <c r="AS110" s="299"/>
      <c r="AT110" s="220"/>
      <c r="AU110" s="211"/>
      <c r="AV110" s="221"/>
      <c r="AW110" s="222"/>
      <c r="AX110" s="225"/>
      <c r="AY110" s="225"/>
      <c r="AZ110" s="225"/>
      <c r="BA110" s="225"/>
      <c r="BB110" s="225"/>
    </row>
    <row r="111" spans="1:54" s="212" customFormat="1" ht="19.5" customHeight="1" thickBot="1" x14ac:dyDescent="0.3">
      <c r="A111" s="221"/>
      <c r="B111" s="308" t="s">
        <v>68</v>
      </c>
      <c r="C111" s="409" t="s">
        <v>81</v>
      </c>
      <c r="D111" s="410"/>
      <c r="E111" s="58">
        <v>0.5</v>
      </c>
      <c r="F111" s="411">
        <f>$C$4</f>
        <v>6</v>
      </c>
      <c r="G111" s="411">
        <f>$D$4</f>
        <v>10</v>
      </c>
      <c r="H111" s="411">
        <f>$E$4</f>
        <v>18</v>
      </c>
      <c r="I111" s="411" t="str">
        <f>$F$4</f>
        <v>6 FFF</v>
      </c>
      <c r="J111" s="412" t="str">
        <f>$G$4</f>
        <v>10 FFF</v>
      </c>
      <c r="K111" s="395"/>
      <c r="L111" s="413"/>
      <c r="M111" s="414" t="s">
        <v>38</v>
      </c>
      <c r="N111" s="415" t="s">
        <v>38</v>
      </c>
      <c r="O111" s="416" t="s">
        <v>156</v>
      </c>
      <c r="Q111" s="1847">
        <v>5.6999999999999999E-16</v>
      </c>
      <c r="R111" s="390"/>
      <c r="S111" s="390"/>
      <c r="T111" s="390"/>
      <c r="U111" s="417"/>
      <c r="Y111" s="400"/>
      <c r="Z111" s="400"/>
      <c r="AA111" s="400"/>
      <c r="AB111" s="400"/>
      <c r="AC111" s="400"/>
      <c r="AD111" s="400"/>
      <c r="AE111" s="225"/>
      <c r="AF111" s="299"/>
      <c r="AG111" s="299"/>
      <c r="AH111" s="225"/>
      <c r="AI111" s="299"/>
      <c r="AJ111" s="299"/>
      <c r="AK111" s="225"/>
      <c r="AL111" s="299"/>
      <c r="AM111" s="299"/>
      <c r="AN111" s="225"/>
      <c r="AO111" s="299"/>
      <c r="AP111" s="299"/>
      <c r="AQ111" s="225"/>
      <c r="AR111" s="299"/>
      <c r="AS111" s="299"/>
      <c r="AT111" s="220"/>
      <c r="AU111" s="211"/>
      <c r="AV111" s="221"/>
      <c r="AW111" s="222"/>
      <c r="AX111" s="225"/>
      <c r="AY111" s="225"/>
      <c r="AZ111" s="225"/>
      <c r="BA111" s="225"/>
      <c r="BB111" s="225"/>
    </row>
    <row r="112" spans="1:54" s="212" customFormat="1" ht="19.5" customHeight="1" thickBot="1" x14ac:dyDescent="0.3">
      <c r="A112" s="418" t="s">
        <v>293</v>
      </c>
      <c r="B112" s="419" t="s">
        <v>282</v>
      </c>
      <c r="C112" s="420">
        <f>IF($G$106="parallel",75,30)</f>
        <v>75</v>
      </c>
      <c r="D112" s="421"/>
      <c r="E112" s="422"/>
      <c r="F112" s="423">
        <f>IF($G$106="parallel",VLOOKUP($F$111,reflectiecoefficienten!$A$11:$F$20,2),VLOOKUP($F$111,reflectiecoefficienten!$A$28:$F$37,2))</f>
        <v>2.7000000000000001E-3</v>
      </c>
      <c r="G112" s="423">
        <f>IF($G$106="parallel",VLOOKUP($G$111,reflectiecoefficienten!$A$11:$F$20,2),VLOOKUP($G$111,reflectiecoefficienten!$A$28:$F$37,2))</f>
        <v>2.0999999999999999E-3</v>
      </c>
      <c r="H112" s="423">
        <f>IF($G$106="parallel",VLOOKUP($H$111,reflectiecoefficienten!$A$11:$F$20,2),VLOOKUP($H$111,reflectiecoefficienten!$A$28:$F$37,2))</f>
        <v>1.6000000000000001E-3</v>
      </c>
      <c r="I112" s="424">
        <f>IF($G$106="parallel",VLOOKUP($I$111,reflectiecoefficienten!$A$11:$F$20,2),VLOOKUP($I$111,reflectiecoefficienten!$A$28:$F$37,2))</f>
        <v>3.5000000000000001E-3</v>
      </c>
      <c r="J112" s="425">
        <f>IF($G$106="parallel",VLOOKUP($J$111,reflectiecoefficienten!$A$11:$F$20,2),VLOOKUP($J$111,reflectiecoefficienten!$A$28:$F$37,2))</f>
        <v>3.3E-3</v>
      </c>
      <c r="K112" s="395"/>
      <c r="L112" s="257"/>
      <c r="M112" s="312" t="s">
        <v>578</v>
      </c>
      <c r="N112" s="308" t="s">
        <v>33</v>
      </c>
      <c r="O112" s="309" t="s">
        <v>245</v>
      </c>
      <c r="Q112" s="426" t="s">
        <v>580</v>
      </c>
      <c r="R112" s="400"/>
      <c r="S112" s="225"/>
      <c r="T112" s="225"/>
      <c r="U112" s="427"/>
      <c r="Y112" s="400"/>
      <c r="Z112" s="400"/>
      <c r="AA112" s="400"/>
      <c r="AB112" s="400"/>
      <c r="AC112" s="400"/>
      <c r="AD112" s="400"/>
      <c r="AE112" s="225"/>
      <c r="AF112" s="299"/>
      <c r="AG112" s="299"/>
      <c r="AH112" s="225"/>
      <c r="AI112" s="299"/>
      <c r="AJ112" s="299"/>
      <c r="AK112" s="225"/>
      <c r="AL112" s="299"/>
      <c r="AM112" s="299"/>
      <c r="AN112" s="225"/>
      <c r="AO112" s="299"/>
      <c r="AP112" s="299"/>
      <c r="AQ112" s="225"/>
      <c r="AR112" s="299"/>
      <c r="AS112" s="299"/>
      <c r="AT112" s="220"/>
      <c r="AU112" s="211"/>
      <c r="AV112" s="221"/>
      <c r="AW112" s="222"/>
      <c r="AX112" s="225"/>
      <c r="AY112" s="225"/>
      <c r="AZ112" s="225"/>
      <c r="BA112" s="225"/>
      <c r="BB112" s="225"/>
    </row>
    <row r="113" spans="1:54" s="212" customFormat="1" ht="19.5" customHeight="1" thickBot="1" x14ac:dyDescent="0.3">
      <c r="A113" s="428" t="s">
        <v>294</v>
      </c>
      <c r="B113" s="179" t="s">
        <v>282</v>
      </c>
      <c r="C113" s="308">
        <v>75</v>
      </c>
      <c r="D113" s="421"/>
      <c r="E113" s="429"/>
      <c r="F113" s="423">
        <f>IF($G$106="parallel",VLOOKUP($F$111,reflectiecoefficienten!$A$11:$F$20,3),VLOOKUP($F$111,reflectiecoefficienten!$A$28:$F$37,3))</f>
        <v>2.7000000000000001E-3</v>
      </c>
      <c r="G113" s="423">
        <f>IF($G$106="parallel",VLOOKUP($G$111,reflectiecoefficienten!$A$11:$F$20,3),VLOOKUP($G$111,reflectiecoefficienten!$A$28:$F$37,3))</f>
        <v>2.0999999999999999E-3</v>
      </c>
      <c r="H113" s="423">
        <f>IF($G$106="parallel",VLOOKUP($H$111,reflectiecoefficienten!$A$11:$F$20,3),VLOOKUP($H$111,reflectiecoefficienten!$A$28:$F$37,3))</f>
        <v>1.6000000000000001E-3</v>
      </c>
      <c r="I113" s="424">
        <f>IF($G$106="parallel",VLOOKUP($I$111,reflectiecoefficienten!$A$11:$F$20,3),VLOOKUP($I$111,reflectiecoefficienten!$A$28:$F$37,3))</f>
        <v>3.5000000000000001E-3</v>
      </c>
      <c r="J113" s="425">
        <f>IF($G$106="parallel",VLOOKUP($J$111,reflectiecoefficienten!$A$11:$F$20,3),VLOOKUP($J$111,reflectiecoefficienten!$A$28:$F$37,3))</f>
        <v>3.3E-3</v>
      </c>
      <c r="K113" s="395"/>
      <c r="L113" s="307" t="s">
        <v>55</v>
      </c>
      <c r="M113" s="430">
        <v>0.5</v>
      </c>
      <c r="N113" s="415">
        <v>0.1</v>
      </c>
      <c r="O113" s="416">
        <v>3.6</v>
      </c>
      <c r="Q113" s="1848">
        <v>6.2</v>
      </c>
      <c r="R113" s="431"/>
      <c r="S113" s="390"/>
      <c r="T113" s="390"/>
      <c r="U113" s="417"/>
      <c r="Y113" s="400"/>
      <c r="Z113" s="400"/>
      <c r="AA113" s="400"/>
      <c r="AB113" s="400"/>
      <c r="AC113" s="400"/>
      <c r="AD113" s="400"/>
      <c r="AE113" s="225"/>
      <c r="AF113" s="299"/>
      <c r="AG113" s="299"/>
      <c r="AH113" s="225"/>
      <c r="AI113" s="299"/>
      <c r="AJ113" s="299"/>
      <c r="AK113" s="225"/>
      <c r="AL113" s="299"/>
      <c r="AM113" s="299"/>
      <c r="AN113" s="225"/>
      <c r="AO113" s="299"/>
      <c r="AP113" s="299"/>
      <c r="AQ113" s="225"/>
      <c r="AR113" s="299"/>
      <c r="AS113" s="299"/>
      <c r="AT113" s="220"/>
      <c r="AU113" s="211"/>
      <c r="AV113" s="221"/>
      <c r="AW113" s="222"/>
      <c r="AX113" s="225"/>
      <c r="AY113" s="225"/>
      <c r="AZ113" s="225"/>
      <c r="BA113" s="225"/>
      <c r="BB113" s="225"/>
    </row>
    <row r="114" spans="1:54" s="212" customFormat="1" ht="19.5" customHeight="1" x14ac:dyDescent="0.25">
      <c r="A114" s="428" t="s">
        <v>295</v>
      </c>
      <c r="B114" s="308" t="str">
        <f>IF($G$106="parallel","loodrecht",45)</f>
        <v>loodrecht</v>
      </c>
      <c r="C114" s="308">
        <f>IF($G$106="parallel",75,0)</f>
        <v>75</v>
      </c>
      <c r="D114" s="421"/>
      <c r="E114" s="432">
        <f>IF($G$106="parallel",VLOOKUP($E$111,reflectiecoefficienten!$A$11:$F$20,4),VLOOKUP($E$111,reflectiecoefficienten!$A$28:$F$37,4))</f>
        <v>8.0000000000000002E-3</v>
      </c>
      <c r="F114" s="433"/>
      <c r="G114" s="423"/>
      <c r="H114" s="423"/>
      <c r="I114" s="424"/>
      <c r="J114" s="425"/>
      <c r="K114" s="395"/>
      <c r="L114" s="434" t="s">
        <v>3</v>
      </c>
      <c r="M114" s="263">
        <f>VLOOKUP($M$113,'TVT''s afscherming'!$A$10:$J$23,5)</f>
        <v>5.5</v>
      </c>
      <c r="N114" s="435">
        <f>VLOOKUP($N$113,'TVT''s afscherming'!$A$45:$J$45,3)</f>
        <v>37</v>
      </c>
      <c r="O114" s="436">
        <f>VLOOKUP($O$113,'TVT''s afscherming'!$A$47:$J$47,3)</f>
        <v>13.5</v>
      </c>
      <c r="R114" s="400"/>
      <c r="Y114" s="400"/>
      <c r="Z114" s="400"/>
      <c r="AA114" s="400"/>
      <c r="AB114" s="400"/>
      <c r="AC114" s="400"/>
      <c r="AD114" s="400"/>
      <c r="AE114" s="225"/>
      <c r="AF114" s="299"/>
      <c r="AG114" s="299"/>
      <c r="AH114" s="225"/>
      <c r="AI114" s="299"/>
      <c r="AJ114" s="299"/>
      <c r="AK114" s="225"/>
      <c r="AL114" s="299"/>
      <c r="AM114" s="299"/>
      <c r="AN114" s="225"/>
      <c r="AO114" s="299"/>
      <c r="AP114" s="299"/>
      <c r="AQ114" s="225"/>
      <c r="AR114" s="299"/>
      <c r="AS114" s="299"/>
      <c r="AT114" s="220"/>
      <c r="AU114" s="211"/>
      <c r="AV114" s="221"/>
      <c r="AW114" s="222"/>
      <c r="AX114" s="225"/>
      <c r="AY114" s="225"/>
      <c r="AZ114" s="225"/>
      <c r="BA114" s="225"/>
      <c r="BB114" s="225"/>
    </row>
    <row r="115" spans="1:54" s="212" customFormat="1" ht="19.5" customHeight="1" x14ac:dyDescent="0.25">
      <c r="A115" s="428" t="s">
        <v>296</v>
      </c>
      <c r="B115" s="308">
        <v>45</v>
      </c>
      <c r="C115" s="308">
        <v>0</v>
      </c>
      <c r="D115" s="421"/>
      <c r="E115" s="432">
        <f>IF($G$106="parallel",VLOOKUP($E$111,reflectiecoefficienten!$A$11:$F$20,5),VLOOKUP($E$111,reflectiecoefficienten!$A$28:$F$37,5))</f>
        <v>2.1999999999999999E-2</v>
      </c>
      <c r="F115" s="423">
        <f>IF($G$106="parallel",VLOOKUP($F$111,reflectiecoefficienten!$A$11:$F$20,5),VLOOKUP($F$111,reflectiecoefficienten!$A$28:$F$37,5))</f>
        <v>6.4000000000000003E-3</v>
      </c>
      <c r="G115" s="423">
        <f>IF($G$106="parallel",VLOOKUP($G$111,reflectiecoefficienten!$A$11:$F$20,5),VLOOKUP($G$111,reflectiecoefficienten!$A$28:$F$37,5))</f>
        <v>5.1000000000000004E-3</v>
      </c>
      <c r="H115" s="423">
        <f>IF($G$106="parallel",VLOOKUP($H$111,reflectiecoefficienten!$A$11:$F$20,5),VLOOKUP($H$111,reflectiecoefficienten!$A$28:$F$37,5))</f>
        <v>4.4999999999999997E-3</v>
      </c>
      <c r="I115" s="424">
        <f>IF($G$106="parallel",VLOOKUP($I$111,reflectiecoefficienten!$A$11:$F$20,5),VLOOKUP($I$111,reflectiecoefficienten!$A$28:$F$37,5))</f>
        <v>8.3000000000000001E-3</v>
      </c>
      <c r="J115" s="425">
        <f>IF($G$106="parallel",VLOOKUP($J$111,reflectiecoefficienten!$A$11:$F$20,5),VLOOKUP($J$111,reflectiecoefficienten!$A$28:$F$37,5))</f>
        <v>7.3000000000000001E-3</v>
      </c>
      <c r="K115" s="395"/>
      <c r="L115" s="307" t="s">
        <v>22</v>
      </c>
      <c r="M115" s="263">
        <f>VLOOKUP($M$113,'TVT''s afscherming'!$A$10:$J$23,6)</f>
        <v>1.6</v>
      </c>
      <c r="N115" s="258">
        <f>VLOOKUP($N$113,'TVT''s afscherming'!$A$45:$J$45,4)</f>
        <v>37</v>
      </c>
      <c r="O115" s="721">
        <f>IF(M134&gt;5,'TVT''s afscherming'!$D$48,'TVT''s afscherming'!$D$47)</f>
        <v>0.6</v>
      </c>
      <c r="R115" s="400"/>
      <c r="Y115" s="400"/>
      <c r="Z115" s="400"/>
      <c r="AA115" s="400"/>
      <c r="AB115" s="400"/>
      <c r="AC115" s="400"/>
      <c r="AD115" s="400"/>
      <c r="AE115" s="225"/>
      <c r="AF115" s="299"/>
      <c r="AG115" s="299"/>
      <c r="AH115" s="225"/>
      <c r="AI115" s="299"/>
      <c r="AJ115" s="299"/>
      <c r="AK115" s="225"/>
      <c r="AL115" s="299"/>
      <c r="AM115" s="299"/>
      <c r="AN115" s="225"/>
      <c r="AO115" s="299"/>
      <c r="AP115" s="299"/>
      <c r="AQ115" s="225"/>
      <c r="AR115" s="299"/>
      <c r="AS115" s="299"/>
      <c r="AT115" s="220"/>
      <c r="AU115" s="211"/>
      <c r="AV115" s="221"/>
      <c r="AW115" s="222"/>
      <c r="AX115" s="225"/>
      <c r="AY115" s="225"/>
      <c r="AZ115" s="225"/>
      <c r="BA115" s="225"/>
      <c r="BB115" s="225"/>
    </row>
    <row r="116" spans="1:54" s="212" customFormat="1" ht="19.5" customHeight="1" thickBot="1" x14ac:dyDescent="0.3">
      <c r="A116" s="428" t="s">
        <v>297</v>
      </c>
      <c r="B116" s="179" t="s">
        <v>282</v>
      </c>
      <c r="C116" s="308">
        <v>75</v>
      </c>
      <c r="D116" s="222"/>
      <c r="E116" s="424">
        <f>IF(G107=1,1,(IF($G$106="parallel",VLOOKUP($E$111,reflectiecoefficienten!$A$11:$F$20,6),VLOOKUP($E$111,reflectiecoefficienten!$A$28:$F$37,6))))</f>
        <v>1</v>
      </c>
      <c r="F116" s="429"/>
      <c r="G116" s="423"/>
      <c r="H116" s="424"/>
      <c r="I116" s="424"/>
      <c r="J116" s="425"/>
      <c r="K116" s="395"/>
      <c r="L116" s="438" t="s">
        <v>39</v>
      </c>
      <c r="M116" s="439"/>
      <c r="N116" s="276">
        <f>VLOOKUP($N$113,'TVT''s afscherming'!$A$45:$J$45,5)</f>
        <v>4.5</v>
      </c>
      <c r="O116" s="440"/>
      <c r="R116" s="400"/>
      <c r="Y116" s="400"/>
      <c r="Z116" s="400"/>
      <c r="AA116" s="400"/>
      <c r="AB116" s="400"/>
      <c r="AC116" s="400"/>
      <c r="AD116" s="400"/>
      <c r="AE116" s="225"/>
      <c r="AF116" s="299"/>
      <c r="AG116" s="299"/>
      <c r="AH116" s="225"/>
      <c r="AI116" s="299"/>
      <c r="AJ116" s="299"/>
      <c r="AK116" s="225"/>
      <c r="AL116" s="299"/>
      <c r="AM116" s="299"/>
      <c r="AN116" s="225"/>
      <c r="AO116" s="299"/>
      <c r="AP116" s="299"/>
      <c r="AQ116" s="225"/>
      <c r="AR116" s="299"/>
      <c r="AS116" s="299"/>
      <c r="AT116" s="220"/>
      <c r="AU116" s="211"/>
      <c r="AV116" s="221"/>
      <c r="AW116" s="222"/>
      <c r="AX116" s="225"/>
      <c r="AY116" s="225"/>
      <c r="AZ116" s="225"/>
      <c r="BA116" s="225"/>
      <c r="BB116" s="225"/>
    </row>
    <row r="117" spans="1:54" s="212" customFormat="1" ht="19.5" customHeight="1" thickBot="1" x14ac:dyDescent="0.3">
      <c r="A117" s="441"/>
      <c r="B117" s="442"/>
      <c r="C117" s="443"/>
      <c r="D117" s="444"/>
      <c r="E117" s="445"/>
      <c r="F117" s="446"/>
      <c r="G117" s="445"/>
      <c r="H117" s="445"/>
      <c r="I117" s="445"/>
      <c r="J117" s="445"/>
      <c r="K117" s="395"/>
      <c r="R117" s="400"/>
      <c r="Y117" s="400"/>
      <c r="Z117" s="400"/>
      <c r="AA117" s="400"/>
      <c r="AB117" s="400"/>
      <c r="AC117" s="400"/>
      <c r="AD117" s="400"/>
      <c r="AE117" s="225"/>
      <c r="AF117" s="299"/>
      <c r="AG117" s="299"/>
      <c r="AH117" s="225"/>
      <c r="AI117" s="299"/>
      <c r="AJ117" s="299"/>
      <c r="AK117" s="225"/>
      <c r="AL117" s="299"/>
      <c r="AM117" s="299"/>
      <c r="AN117" s="225"/>
      <c r="AO117" s="299"/>
      <c r="AP117" s="299"/>
      <c r="AQ117" s="225"/>
      <c r="AR117" s="299"/>
      <c r="AS117" s="299"/>
      <c r="AT117" s="220"/>
      <c r="AU117" s="211"/>
      <c r="AV117" s="221"/>
      <c r="AW117" s="222"/>
      <c r="AX117" s="225"/>
      <c r="AY117" s="225"/>
      <c r="AZ117" s="225"/>
      <c r="BA117" s="225"/>
      <c r="BB117" s="225"/>
    </row>
    <row r="118" spans="1:54" s="212" customFormat="1" ht="19.5" customHeight="1" x14ac:dyDescent="0.25">
      <c r="A118" s="447" t="s">
        <v>280</v>
      </c>
      <c r="B118" s="272"/>
      <c r="C118" s="222"/>
      <c r="D118" s="222"/>
      <c r="E118" s="310"/>
      <c r="F118" s="448" t="s">
        <v>55</v>
      </c>
      <c r="J118" s="449"/>
      <c r="K118" s="395"/>
      <c r="R118" s="400"/>
      <c r="S118" s="400"/>
      <c r="T118" s="400"/>
      <c r="U118" s="400"/>
      <c r="V118" s="400"/>
      <c r="W118" s="400"/>
      <c r="X118" s="400"/>
      <c r="Y118" s="400"/>
      <c r="Z118" s="400"/>
      <c r="AA118" s="400"/>
      <c r="AB118" s="400"/>
      <c r="AC118" s="400"/>
      <c r="AD118" s="400"/>
      <c r="AE118" s="225"/>
      <c r="AF118" s="299"/>
      <c r="AG118" s="299"/>
      <c r="AH118" s="225"/>
      <c r="AI118" s="299"/>
      <c r="AJ118" s="299"/>
      <c r="AK118" s="225"/>
      <c r="AL118" s="299"/>
      <c r="AM118" s="299"/>
      <c r="AN118" s="225"/>
      <c r="AO118" s="299"/>
      <c r="AP118" s="299"/>
      <c r="AQ118" s="225"/>
      <c r="AR118" s="299"/>
      <c r="AS118" s="299"/>
      <c r="AT118" s="220"/>
      <c r="AU118" s="211"/>
      <c r="AV118" s="221"/>
      <c r="AW118" s="222"/>
      <c r="AX118" s="225"/>
      <c r="AY118" s="225"/>
      <c r="AZ118" s="225"/>
      <c r="BA118" s="225"/>
      <c r="BB118" s="225"/>
    </row>
    <row r="119" spans="1:54" s="212" customFormat="1" ht="19.5" customHeight="1" x14ac:dyDescent="0.25">
      <c r="A119" s="221" t="s">
        <v>291</v>
      </c>
      <c r="B119" s="220"/>
      <c r="C119" s="450" t="s">
        <v>289</v>
      </c>
      <c r="D119" s="266"/>
      <c r="E119" s="451"/>
      <c r="F119" s="411">
        <f>$C$4</f>
        <v>6</v>
      </c>
      <c r="G119" s="269">
        <f>$D$4</f>
        <v>10</v>
      </c>
      <c r="H119" s="269">
        <f>$E$4</f>
        <v>18</v>
      </c>
      <c r="I119" s="411" t="str">
        <f>$F$4</f>
        <v>6 FFF</v>
      </c>
      <c r="J119" s="412" t="str">
        <f>$G$4</f>
        <v>10 FFF</v>
      </c>
      <c r="K119" s="395"/>
      <c r="L119" s="211"/>
      <c r="M119" s="452"/>
      <c r="N119" s="453"/>
      <c r="O119" s="453"/>
      <c r="P119" s="453"/>
      <c r="Q119" s="453"/>
      <c r="R119" s="400"/>
      <c r="S119" s="400"/>
      <c r="T119" s="400"/>
      <c r="U119" s="400"/>
      <c r="V119" s="400"/>
      <c r="W119" s="400"/>
      <c r="X119" s="400"/>
      <c r="Y119" s="400"/>
      <c r="Z119" s="400"/>
      <c r="AA119" s="400"/>
      <c r="AB119" s="400"/>
      <c r="AC119" s="400"/>
      <c r="AD119" s="400"/>
      <c r="AE119" s="225"/>
      <c r="AF119" s="299"/>
      <c r="AG119" s="299"/>
      <c r="AH119" s="225"/>
      <c r="AI119" s="299"/>
      <c r="AJ119" s="299"/>
      <c r="AK119" s="225"/>
      <c r="AL119" s="299"/>
      <c r="AM119" s="299"/>
      <c r="AN119" s="225"/>
      <c r="AO119" s="299"/>
      <c r="AP119" s="299"/>
      <c r="AQ119" s="225"/>
      <c r="AR119" s="299"/>
      <c r="AS119" s="299"/>
      <c r="AT119" s="220"/>
      <c r="AU119" s="211"/>
      <c r="AV119" s="221"/>
      <c r="AW119" s="222"/>
      <c r="AX119" s="225"/>
      <c r="AY119" s="225"/>
      <c r="AZ119" s="225"/>
      <c r="BA119" s="225"/>
      <c r="BB119" s="225"/>
    </row>
    <row r="120" spans="1:54" s="212" customFormat="1" ht="19.5" customHeight="1" x14ac:dyDescent="0.25">
      <c r="A120" s="454" t="s">
        <v>281</v>
      </c>
      <c r="B120" s="455"/>
      <c r="C120" s="456" t="s">
        <v>287</v>
      </c>
      <c r="D120" s="457"/>
      <c r="E120" s="458"/>
      <c r="F120" s="423">
        <f>VLOOKUP($F$119,patientscatterfactoren!$A$18:$I$29,5)</f>
        <v>1.39E-3</v>
      </c>
      <c r="G120" s="423">
        <f>VLOOKUP($G$119,patientscatterfactoren!$A$18:$I$29,5)</f>
        <v>1.3500000000000001E-3</v>
      </c>
      <c r="H120" s="423">
        <f>VLOOKUP($H$119,patientscatterfactoren!$A$18:$I$29,5)</f>
        <v>8.6399999999999997E-4</v>
      </c>
      <c r="I120" s="423">
        <f>VLOOKUP($I$119,patientscatterfactoren!$A$18:$I$29,5)</f>
        <v>1.2999999999999999E-3</v>
      </c>
      <c r="J120" s="425">
        <f>VLOOKUP($J$119,patientscatterfactoren!$A$18:$I$29,5)</f>
        <v>1.1999999999999999E-3</v>
      </c>
      <c r="K120" s="395"/>
      <c r="L120" s="211"/>
      <c r="M120" s="453"/>
      <c r="N120" s="453"/>
      <c r="O120" s="453"/>
      <c r="P120" s="453"/>
      <c r="Q120" s="453"/>
      <c r="R120" s="400"/>
      <c r="S120" s="400"/>
      <c r="T120" s="400"/>
      <c r="U120" s="400"/>
      <c r="V120" s="400"/>
      <c r="W120" s="400"/>
      <c r="X120" s="400"/>
      <c r="Y120" s="400"/>
      <c r="Z120" s="400"/>
      <c r="AA120" s="400"/>
      <c r="AB120" s="400"/>
      <c r="AC120" s="400"/>
      <c r="AD120" s="400"/>
      <c r="AE120" s="225"/>
      <c r="AF120" s="299"/>
      <c r="AG120" s="299"/>
      <c r="AH120" s="225"/>
      <c r="AI120" s="299"/>
      <c r="AJ120" s="299"/>
      <c r="AK120" s="225"/>
      <c r="AL120" s="299"/>
      <c r="AM120" s="299"/>
      <c r="AN120" s="225"/>
      <c r="AO120" s="299"/>
      <c r="AP120" s="299"/>
      <c r="AQ120" s="225"/>
      <c r="AR120" s="299"/>
      <c r="AS120" s="299"/>
      <c r="AT120" s="220"/>
      <c r="AU120" s="211"/>
      <c r="AV120" s="221"/>
      <c r="AW120" s="222"/>
      <c r="AX120" s="225"/>
      <c r="AY120" s="225"/>
      <c r="AZ120" s="225"/>
      <c r="BA120" s="225"/>
      <c r="BB120" s="225"/>
    </row>
    <row r="121" spans="1:54" s="212" customFormat="1" ht="19.5" customHeight="1" x14ac:dyDescent="0.25">
      <c r="A121" s="459" t="s">
        <v>284</v>
      </c>
      <c r="B121" s="272"/>
      <c r="C121" s="460" t="s">
        <v>285</v>
      </c>
      <c r="D121" s="222"/>
      <c r="E121" s="461"/>
      <c r="F121" s="423">
        <f>VLOOKUP($F$119,patientscatterfactoren!$A$18:$I$29,7)</f>
        <v>4.26E-4</v>
      </c>
      <c r="G121" s="423">
        <f>VLOOKUP($G$119,patientscatterfactoren!$A$18:$I$29,7)</f>
        <v>3.8099999999999999E-4</v>
      </c>
      <c r="H121" s="423">
        <f>VLOOKUP($H$119,patientscatterfactoren!$A$18:$I$29,7)</f>
        <v>1.8900000000000001E-4</v>
      </c>
      <c r="I121" s="423">
        <f>VLOOKUP($I$119,patientscatterfactoren!$A$18:$I$29,7)</f>
        <v>4.46E-4</v>
      </c>
      <c r="J121" s="425">
        <f>VLOOKUP($J$119,patientscatterfactoren!$A$18:$I$29,7)</f>
        <v>4.0299999999999998E-4</v>
      </c>
      <c r="K121" s="395"/>
      <c r="L121" s="211"/>
      <c r="M121" s="453"/>
      <c r="N121" s="453"/>
      <c r="O121" s="453"/>
      <c r="P121" s="453"/>
      <c r="Q121" s="453"/>
      <c r="R121" s="400"/>
      <c r="S121" s="400"/>
      <c r="T121" s="400"/>
      <c r="U121" s="400"/>
      <c r="V121" s="400"/>
      <c r="W121" s="400"/>
      <c r="X121" s="400"/>
      <c r="Y121" s="400"/>
      <c r="Z121" s="400"/>
      <c r="AA121" s="400"/>
      <c r="AB121" s="400"/>
      <c r="AC121" s="400"/>
      <c r="AD121" s="400"/>
      <c r="AE121" s="225"/>
      <c r="AF121" s="299"/>
      <c r="AG121" s="299"/>
      <c r="AH121" s="225"/>
      <c r="AI121" s="299"/>
      <c r="AJ121" s="299"/>
      <c r="AK121" s="225"/>
      <c r="AL121" s="299"/>
      <c r="AM121" s="299"/>
      <c r="AN121" s="225"/>
      <c r="AO121" s="299"/>
      <c r="AP121" s="299"/>
      <c r="AQ121" s="225"/>
      <c r="AR121" s="299"/>
      <c r="AS121" s="299"/>
      <c r="AT121" s="220"/>
      <c r="AU121" s="211"/>
      <c r="AV121" s="221"/>
      <c r="AW121" s="222"/>
      <c r="AX121" s="225"/>
      <c r="AY121" s="225"/>
      <c r="AZ121" s="225"/>
      <c r="BA121" s="225"/>
      <c r="BB121" s="225"/>
    </row>
    <row r="122" spans="1:54" s="212" customFormat="1" ht="19.5" customHeight="1" thickBot="1" x14ac:dyDescent="0.3">
      <c r="A122" s="459" t="s">
        <v>286</v>
      </c>
      <c r="B122" s="272"/>
      <c r="C122" s="460" t="s">
        <v>288</v>
      </c>
      <c r="D122" s="222"/>
      <c r="E122" s="462"/>
      <c r="F122" s="423">
        <f>VLOOKUP($F$119,patientscatterfactoren!$A$18:$I$29,8)</f>
        <v>2.9999999999999997E-4</v>
      </c>
      <c r="G122" s="423">
        <f>VLOOKUP($G$119,patientscatterfactoren!$A$18:$I$29,8)</f>
        <v>3.0200000000000002E-4</v>
      </c>
      <c r="H122" s="463">
        <f>VLOOKUP($H$119,patientscatterfactoren!$A$18:$I$29,8)</f>
        <v>1.2400000000000001E-4</v>
      </c>
      <c r="I122" s="463">
        <f>VLOOKUP($I$119,patientscatterfactoren!$A$18:$I$29,8)</f>
        <v>3.4200000000000002E-4</v>
      </c>
      <c r="J122" s="464">
        <f>VLOOKUP($J$119,patientscatterfactoren!$A$18:$I$29,8)</f>
        <v>3.8200000000000002E-4</v>
      </c>
      <c r="K122" s="395"/>
      <c r="L122" s="211"/>
      <c r="M122" s="453"/>
      <c r="N122" s="453"/>
      <c r="O122" s="453"/>
      <c r="P122" s="453"/>
      <c r="Q122" s="453"/>
      <c r="R122" s="400"/>
      <c r="S122" s="400"/>
      <c r="T122" s="400"/>
      <c r="U122" s="400"/>
      <c r="V122" s="400"/>
      <c r="W122" s="400"/>
      <c r="X122" s="400"/>
      <c r="Y122" s="400"/>
      <c r="Z122" s="400"/>
      <c r="AA122" s="400"/>
      <c r="AB122" s="400"/>
      <c r="AC122" s="400"/>
      <c r="AD122" s="400"/>
      <c r="AE122" s="225"/>
      <c r="AF122" s="299"/>
      <c r="AG122" s="299"/>
      <c r="AH122" s="225"/>
      <c r="AI122" s="299"/>
      <c r="AJ122" s="299"/>
      <c r="AK122" s="225"/>
      <c r="AL122" s="299"/>
      <c r="AM122" s="299"/>
      <c r="AN122" s="225"/>
      <c r="AO122" s="299"/>
      <c r="AP122" s="299"/>
      <c r="AQ122" s="225"/>
      <c r="AR122" s="299"/>
      <c r="AS122" s="299"/>
      <c r="AT122" s="220"/>
      <c r="AU122" s="211"/>
      <c r="AV122" s="221"/>
      <c r="AW122" s="222"/>
      <c r="AX122" s="225"/>
      <c r="AY122" s="225"/>
      <c r="AZ122" s="225"/>
      <c r="BA122" s="225"/>
      <c r="BB122" s="225"/>
    </row>
    <row r="123" spans="1:54" s="212" customFormat="1" ht="19.5" customHeight="1" thickBot="1" x14ac:dyDescent="0.3">
      <c r="A123" s="465"/>
      <c r="B123" s="466"/>
      <c r="C123" s="466"/>
      <c r="D123" s="444"/>
      <c r="E123" s="445"/>
      <c r="F123" s="445"/>
      <c r="G123" s="445"/>
      <c r="H123" s="467"/>
      <c r="I123" s="467"/>
      <c r="J123" s="467"/>
      <c r="K123" s="395"/>
      <c r="L123" s="395"/>
      <c r="M123" s="400"/>
      <c r="N123" s="400"/>
      <c r="O123" s="400"/>
      <c r="P123" s="400"/>
      <c r="Q123" s="400"/>
      <c r="R123" s="400"/>
      <c r="S123" s="400"/>
      <c r="T123" s="400"/>
      <c r="U123" s="400"/>
      <c r="V123" s="400"/>
      <c r="W123" s="400"/>
      <c r="X123" s="400"/>
      <c r="Y123" s="400"/>
      <c r="Z123" s="400"/>
      <c r="AA123" s="400"/>
      <c r="AB123" s="400"/>
      <c r="AC123" s="400"/>
      <c r="AD123" s="400"/>
      <c r="AE123" s="225"/>
      <c r="AF123" s="299"/>
      <c r="AG123" s="299"/>
      <c r="AH123" s="225"/>
      <c r="AI123" s="299"/>
      <c r="AJ123" s="299"/>
      <c r="AK123" s="225"/>
      <c r="AL123" s="299"/>
      <c r="AM123" s="299"/>
      <c r="AN123" s="225"/>
      <c r="AO123" s="299"/>
      <c r="AP123" s="299"/>
      <c r="AQ123" s="225"/>
      <c r="AR123" s="299"/>
      <c r="AS123" s="299"/>
      <c r="AT123" s="220"/>
      <c r="AU123" s="211"/>
      <c r="AV123" s="221"/>
      <c r="AW123" s="222"/>
      <c r="AX123" s="225"/>
      <c r="AY123" s="225"/>
      <c r="AZ123" s="225"/>
      <c r="BA123" s="225"/>
      <c r="BB123" s="225"/>
    </row>
    <row r="124" spans="1:54" s="212" customFormat="1" ht="19.5" customHeight="1" x14ac:dyDescent="0.25">
      <c r="A124" s="428" t="s">
        <v>244</v>
      </c>
      <c r="B124" s="225"/>
      <c r="C124" s="225"/>
      <c r="D124" s="211"/>
      <c r="E124" s="211"/>
      <c r="F124" s="225"/>
      <c r="G124" s="427"/>
      <c r="H124" s="225"/>
      <c r="I124" s="225"/>
      <c r="J124" s="222"/>
      <c r="K124" s="395"/>
      <c r="L124" s="395"/>
      <c r="M124" s="400"/>
      <c r="N124" s="400"/>
      <c r="O124" s="400"/>
      <c r="P124" s="400"/>
      <c r="Q124" s="400"/>
      <c r="R124" s="400"/>
      <c r="S124" s="400"/>
      <c r="T124" s="400"/>
      <c r="U124" s="400"/>
      <c r="V124" s="400"/>
      <c r="W124" s="400"/>
      <c r="X124" s="400"/>
      <c r="Y124" s="400"/>
      <c r="Z124" s="400"/>
      <c r="AA124" s="400"/>
      <c r="AB124" s="400"/>
      <c r="AC124" s="400"/>
      <c r="AD124" s="400"/>
      <c r="AE124" s="225"/>
      <c r="AF124" s="299"/>
      <c r="AG124" s="299"/>
      <c r="AH124" s="225"/>
      <c r="AI124" s="299"/>
      <c r="AJ124" s="299"/>
      <c r="AK124" s="225"/>
      <c r="AL124" s="299"/>
      <c r="AM124" s="299"/>
      <c r="AN124" s="225"/>
      <c r="AO124" s="299"/>
      <c r="AP124" s="299"/>
      <c r="AQ124" s="225"/>
      <c r="AR124" s="299"/>
      <c r="AS124" s="299"/>
      <c r="AT124" s="220"/>
      <c r="AU124" s="211"/>
      <c r="AV124" s="221"/>
      <c r="AW124" s="222"/>
      <c r="AX124" s="225"/>
      <c r="AY124" s="225"/>
      <c r="AZ124" s="225"/>
      <c r="BA124" s="225"/>
      <c r="BB124" s="225"/>
    </row>
    <row r="125" spans="1:54" s="212" customFormat="1" ht="19.5" customHeight="1" x14ac:dyDescent="0.25">
      <c r="A125" s="401" t="s">
        <v>241</v>
      </c>
      <c r="B125" s="267"/>
      <c r="C125" s="222"/>
      <c r="D125" s="222"/>
      <c r="E125" s="222"/>
      <c r="F125" s="222"/>
      <c r="G125" s="1849">
        <v>0.5</v>
      </c>
      <c r="H125" s="225"/>
      <c r="I125" s="225"/>
      <c r="J125" s="222"/>
      <c r="K125" s="395"/>
      <c r="L125" s="395"/>
      <c r="M125" s="400"/>
      <c r="N125" s="400"/>
      <c r="O125" s="400"/>
      <c r="P125" s="400"/>
      <c r="Q125" s="400"/>
      <c r="R125" s="400"/>
      <c r="S125" s="400"/>
      <c r="T125" s="400"/>
      <c r="U125" s="400"/>
      <c r="V125" s="400"/>
      <c r="W125" s="400"/>
      <c r="X125" s="400"/>
      <c r="Y125" s="400"/>
      <c r="Z125" s="400"/>
      <c r="AA125" s="400"/>
      <c r="AB125" s="400"/>
      <c r="AC125" s="400"/>
      <c r="AD125" s="400"/>
      <c r="AE125" s="225"/>
      <c r="AF125" s="299"/>
      <c r="AG125" s="299"/>
      <c r="AH125" s="225"/>
      <c r="AI125" s="299"/>
      <c r="AJ125" s="299"/>
      <c r="AK125" s="225"/>
      <c r="AL125" s="299"/>
      <c r="AM125" s="299"/>
      <c r="AN125" s="225"/>
      <c r="AO125" s="299"/>
      <c r="AP125" s="299"/>
      <c r="AQ125" s="225"/>
      <c r="AR125" s="299"/>
      <c r="AS125" s="299"/>
      <c r="AT125" s="220"/>
      <c r="AU125" s="211"/>
      <c r="AV125" s="221"/>
      <c r="AW125" s="222"/>
      <c r="AX125" s="225"/>
      <c r="AY125" s="225"/>
      <c r="AZ125" s="225"/>
      <c r="BA125" s="225"/>
      <c r="BB125" s="225"/>
    </row>
    <row r="126" spans="1:54" s="212" customFormat="1" ht="19.5" customHeight="1" thickBot="1" x14ac:dyDescent="0.3">
      <c r="A126" s="468" t="s">
        <v>242</v>
      </c>
      <c r="B126" s="388"/>
      <c r="C126" s="388"/>
      <c r="D126" s="388"/>
      <c r="E126" s="388"/>
      <c r="F126" s="388"/>
      <c r="G126" s="1850">
        <v>0.32</v>
      </c>
      <c r="H126" s="225"/>
      <c r="I126" s="225"/>
      <c r="J126" s="222"/>
      <c r="K126" s="395"/>
      <c r="L126" s="395"/>
      <c r="M126" s="400"/>
      <c r="N126" s="400"/>
      <c r="O126" s="400"/>
      <c r="P126" s="400"/>
      <c r="Q126" s="400"/>
      <c r="R126" s="400"/>
      <c r="S126" s="400"/>
      <c r="T126" s="400"/>
      <c r="U126" s="400"/>
      <c r="V126" s="400"/>
      <c r="W126" s="400"/>
      <c r="X126" s="400"/>
      <c r="Y126" s="400"/>
      <c r="Z126" s="400"/>
      <c r="AA126" s="400"/>
      <c r="AB126" s="400"/>
      <c r="AC126" s="400"/>
      <c r="AD126" s="400"/>
      <c r="AE126" s="225"/>
      <c r="AF126" s="299"/>
      <c r="AG126" s="299"/>
      <c r="AH126" s="225"/>
      <c r="AI126" s="299"/>
      <c r="AJ126" s="299"/>
      <c r="AK126" s="225"/>
      <c r="AL126" s="299"/>
      <c r="AM126" s="299"/>
      <c r="AN126" s="225"/>
      <c r="AO126" s="299"/>
      <c r="AP126" s="299"/>
      <c r="AQ126" s="225"/>
      <c r="AR126" s="299"/>
      <c r="AS126" s="299"/>
      <c r="AT126" s="220"/>
      <c r="AU126" s="211"/>
      <c r="AV126" s="221"/>
      <c r="AW126" s="222"/>
      <c r="AX126" s="225"/>
      <c r="AY126" s="225"/>
      <c r="AZ126" s="225"/>
      <c r="BA126" s="225"/>
      <c r="BB126" s="225"/>
    </row>
    <row r="127" spans="1:54" s="212" customFormat="1" ht="19.5" customHeight="1" x14ac:dyDescent="0.25">
      <c r="A127" s="469"/>
      <c r="B127" s="400"/>
      <c r="C127" s="400"/>
      <c r="D127" s="400"/>
      <c r="E127" s="400"/>
      <c r="F127" s="400"/>
      <c r="G127" s="395"/>
      <c r="H127" s="395"/>
      <c r="I127" s="395"/>
      <c r="J127" s="395"/>
      <c r="K127" s="395"/>
      <c r="L127" s="395"/>
      <c r="M127" s="400"/>
      <c r="N127" s="400"/>
      <c r="O127" s="400"/>
      <c r="P127" s="400"/>
      <c r="Q127" s="400"/>
      <c r="R127" s="400"/>
      <c r="S127" s="400"/>
      <c r="T127" s="400"/>
      <c r="U127" s="400"/>
      <c r="V127" s="400"/>
      <c r="W127" s="400"/>
      <c r="X127" s="400"/>
      <c r="Y127" s="400"/>
      <c r="Z127" s="400"/>
      <c r="AA127" s="400"/>
      <c r="AB127" s="400"/>
      <c r="AC127" s="400"/>
      <c r="AD127" s="400"/>
      <c r="AE127" s="472"/>
      <c r="AF127" s="473">
        <f>$C$4</f>
        <v>6</v>
      </c>
      <c r="AG127" s="474"/>
      <c r="AH127" s="475"/>
      <c r="AI127" s="473">
        <f>$D$4</f>
        <v>10</v>
      </c>
      <c r="AJ127" s="474"/>
      <c r="AK127" s="476"/>
      <c r="AL127" s="473">
        <f>$E$4</f>
        <v>18</v>
      </c>
      <c r="AM127" s="474"/>
      <c r="AN127" s="476"/>
      <c r="AO127" s="473" t="str">
        <f>$F$4</f>
        <v>6 FFF</v>
      </c>
      <c r="AP127" s="474"/>
      <c r="AQ127" s="476"/>
      <c r="AR127" s="473" t="str">
        <f>$G$4</f>
        <v>10 FFF</v>
      </c>
      <c r="AS127" s="473"/>
      <c r="AT127" s="477" t="s">
        <v>16</v>
      </c>
      <c r="AU127" s="478"/>
      <c r="AV127" s="222"/>
      <c r="AW127" s="222"/>
      <c r="AX127" s="225"/>
      <c r="AY127" s="225"/>
      <c r="AZ127" s="225"/>
      <c r="BA127" s="225"/>
      <c r="BB127" s="225"/>
    </row>
    <row r="128" spans="1:54" s="212" customFormat="1" ht="19.5" customHeight="1" x14ac:dyDescent="0.2">
      <c r="A128" s="479" t="s">
        <v>50</v>
      </c>
      <c r="B128" s="480" t="s">
        <v>15</v>
      </c>
      <c r="C128" s="481" t="s">
        <v>25</v>
      </c>
      <c r="D128" s="482" t="s">
        <v>158</v>
      </c>
      <c r="E128" s="483"/>
      <c r="F128" s="484" t="s">
        <v>386</v>
      </c>
      <c r="G128" s="485"/>
      <c r="H128" s="482"/>
      <c r="I128" s="482"/>
      <c r="J128" s="482"/>
      <c r="K128" s="482"/>
      <c r="L128" s="482"/>
      <c r="M128" s="486"/>
      <c r="N128" s="487" t="s">
        <v>381</v>
      </c>
      <c r="O128" s="484"/>
      <c r="P128" s="484" t="s">
        <v>386</v>
      </c>
      <c r="Q128" s="488"/>
      <c r="R128" s="488"/>
      <c r="S128" s="482"/>
      <c r="T128" s="482"/>
      <c r="U128" s="486"/>
      <c r="V128" s="489" t="s">
        <v>525</v>
      </c>
      <c r="W128" s="301" t="s">
        <v>524</v>
      </c>
      <c r="X128" s="1990" t="s">
        <v>77</v>
      </c>
      <c r="Y128" s="1991"/>
      <c r="Z128" s="1992"/>
      <c r="AA128" s="490"/>
      <c r="AB128" s="491"/>
      <c r="AC128" s="492" t="s">
        <v>334</v>
      </c>
      <c r="AD128" s="485"/>
      <c r="AE128" s="493"/>
      <c r="AF128" s="420" t="s">
        <v>206</v>
      </c>
      <c r="AG128" s="420" t="s">
        <v>16</v>
      </c>
      <c r="AH128" s="420" t="s">
        <v>86</v>
      </c>
      <c r="AI128" s="420" t="s">
        <v>206</v>
      </c>
      <c r="AJ128" s="420" t="s">
        <v>16</v>
      </c>
      <c r="AK128" s="420" t="s">
        <v>86</v>
      </c>
      <c r="AL128" s="420" t="s">
        <v>206</v>
      </c>
      <c r="AM128" s="420" t="s">
        <v>16</v>
      </c>
      <c r="AN128" s="420" t="s">
        <v>86</v>
      </c>
      <c r="AO128" s="420" t="s">
        <v>206</v>
      </c>
      <c r="AP128" s="420" t="s">
        <v>16</v>
      </c>
      <c r="AQ128" s="420" t="s">
        <v>86</v>
      </c>
      <c r="AR128" s="420" t="s">
        <v>206</v>
      </c>
      <c r="AS128" s="420" t="s">
        <v>16</v>
      </c>
      <c r="AT128" s="494"/>
      <c r="AU128" s="495" t="s">
        <v>11</v>
      </c>
      <c r="AV128" s="222"/>
      <c r="AW128" s="222"/>
      <c r="AX128" s="225"/>
      <c r="AY128" s="225"/>
      <c r="AZ128" s="225"/>
      <c r="BA128" s="225"/>
      <c r="BB128" s="225"/>
    </row>
    <row r="129" spans="1:90" s="212" customFormat="1" ht="19.5" customHeight="1" thickBot="1" x14ac:dyDescent="0.25">
      <c r="A129" s="496"/>
      <c r="B129" s="497"/>
      <c r="C129" s="498"/>
      <c r="D129" s="499" t="s">
        <v>367</v>
      </c>
      <c r="E129" s="498" t="s">
        <v>364</v>
      </c>
      <c r="F129" s="498" t="s">
        <v>370</v>
      </c>
      <c r="G129" s="499" t="s">
        <v>368</v>
      </c>
      <c r="H129" s="498" t="s">
        <v>365</v>
      </c>
      <c r="I129" s="499" t="s">
        <v>369</v>
      </c>
      <c r="J129" s="498" t="s">
        <v>371</v>
      </c>
      <c r="K129" s="498" t="s">
        <v>366</v>
      </c>
      <c r="L129" s="498" t="s">
        <v>373</v>
      </c>
      <c r="M129" s="498" t="s">
        <v>372</v>
      </c>
      <c r="N129" s="498" t="s">
        <v>374</v>
      </c>
      <c r="O129" s="498" t="s">
        <v>375</v>
      </c>
      <c r="P129" s="498" t="s">
        <v>376</v>
      </c>
      <c r="Q129" s="498" t="s">
        <v>377</v>
      </c>
      <c r="R129" s="498" t="s">
        <v>378</v>
      </c>
      <c r="S129" s="498" t="s">
        <v>382</v>
      </c>
      <c r="T129" s="498" t="s">
        <v>379</v>
      </c>
      <c r="U129" s="498" t="s">
        <v>380</v>
      </c>
      <c r="V129" s="498" t="s">
        <v>526</v>
      </c>
      <c r="W129" s="308" t="s">
        <v>528</v>
      </c>
      <c r="X129" s="500" t="s">
        <v>1</v>
      </c>
      <c r="Y129" s="501" t="s">
        <v>61</v>
      </c>
      <c r="Z129" s="502" t="s">
        <v>3</v>
      </c>
      <c r="AA129" s="502" t="s">
        <v>22</v>
      </c>
      <c r="AB129" s="502" t="s">
        <v>3</v>
      </c>
      <c r="AC129" s="503" t="s">
        <v>22</v>
      </c>
      <c r="AD129" s="504" t="s">
        <v>39</v>
      </c>
      <c r="AE129" s="505" t="s">
        <v>208</v>
      </c>
      <c r="AF129" s="505" t="s">
        <v>207</v>
      </c>
      <c r="AG129" s="506" t="s">
        <v>174</v>
      </c>
      <c r="AH129" s="505" t="s">
        <v>208</v>
      </c>
      <c r="AI129" s="505" t="s">
        <v>207</v>
      </c>
      <c r="AJ129" s="506" t="s">
        <v>174</v>
      </c>
      <c r="AK129" s="507" t="s">
        <v>208</v>
      </c>
      <c r="AL129" s="507" t="s">
        <v>207</v>
      </c>
      <c r="AM129" s="179" t="s">
        <v>174</v>
      </c>
      <c r="AN129" s="507" t="s">
        <v>208</v>
      </c>
      <c r="AO129" s="507" t="s">
        <v>207</v>
      </c>
      <c r="AP129" s="179" t="s">
        <v>174</v>
      </c>
      <c r="AQ129" s="507" t="s">
        <v>208</v>
      </c>
      <c r="AR129" s="507" t="s">
        <v>207</v>
      </c>
      <c r="AS129" s="179" t="s">
        <v>174</v>
      </c>
      <c r="AT129" s="508" t="s">
        <v>174</v>
      </c>
      <c r="AU129" s="509" t="s">
        <v>166</v>
      </c>
      <c r="AV129" s="211"/>
      <c r="AW129" s="222"/>
      <c r="AX129" s="225"/>
      <c r="AY129" s="225"/>
      <c r="AZ129" s="225"/>
      <c r="BA129" s="225"/>
      <c r="BB129" s="225"/>
    </row>
    <row r="130" spans="1:90" s="212" customFormat="1" ht="30" customHeight="1" thickBot="1" x14ac:dyDescent="0.3">
      <c r="A130" s="510" t="str">
        <f>A82</f>
        <v>L5</v>
      </c>
      <c r="B130" s="712" t="str">
        <f>B82</f>
        <v>ingang labyrint linac 5</v>
      </c>
      <c r="C130" s="512" t="s">
        <v>200</v>
      </c>
      <c r="D130" s="1851">
        <v>5</v>
      </c>
      <c r="E130" s="111"/>
      <c r="F130" s="116"/>
      <c r="G130" s="1851">
        <v>10</v>
      </c>
      <c r="H130" s="120"/>
      <c r="I130" s="1853">
        <v>10</v>
      </c>
      <c r="J130" s="123"/>
      <c r="K130" s="1982">
        <v>1</v>
      </c>
      <c r="L130" s="114"/>
      <c r="M130" s="113"/>
      <c r="N130" s="1851">
        <v>4</v>
      </c>
      <c r="O130" s="120"/>
      <c r="P130" s="1851">
        <v>5</v>
      </c>
      <c r="Q130" s="134"/>
      <c r="R130" s="1828">
        <v>2</v>
      </c>
      <c r="S130" s="137"/>
      <c r="T130" s="114"/>
      <c r="U130" s="138"/>
      <c r="V130" s="141"/>
      <c r="W130" s="1828">
        <v>0.25</v>
      </c>
      <c r="X130" s="149"/>
      <c r="Y130" s="150"/>
      <c r="Z130" s="151"/>
      <c r="AA130" s="152"/>
      <c r="AB130" s="1984">
        <v>0</v>
      </c>
      <c r="AC130" s="1987">
        <v>0</v>
      </c>
      <c r="AD130" s="168"/>
      <c r="AE130" s="171">
        <f>$AB130/$M$114+$AC130/$M$115</f>
        <v>0</v>
      </c>
      <c r="AF130" s="97">
        <f t="shared" ref="AF130:AF135" si="11">10^(-AE130)</f>
        <v>1</v>
      </c>
      <c r="AG130" s="91">
        <f>$C$7*$C$14*$C$8*$W$130/$D$130^2*$N$130*$F$112/$G$130^2*$P$130*$E$114/$I$130^2*$R$130*$E$116/$K$130^2*AF130*10^6</f>
        <v>6.9119999999999997E-3</v>
      </c>
      <c r="AH130" s="91">
        <f>$AB130/$M$114+$AC130/$M$115</f>
        <v>0</v>
      </c>
      <c r="AI130" s="97">
        <f t="shared" ref="AI130:AI135" si="12">10^(-AH130)</f>
        <v>1</v>
      </c>
      <c r="AJ130" s="91">
        <f>$C$7*$D$14*$D$8*$W$130/$D$130^2*$N$130*$G$112/$G$130^2*$P$130*$E$114/$I$130^2*$R$130*$E$116/$K$130^2*AI130*10^6</f>
        <v>5.3760000000000006E-3</v>
      </c>
      <c r="AK130" s="91">
        <f>$AB130/$M$114+$AC130/$M$115</f>
        <v>0</v>
      </c>
      <c r="AL130" s="97">
        <f t="shared" ref="AL130:AL135" si="13">10^(-AK130)</f>
        <v>1</v>
      </c>
      <c r="AM130" s="91">
        <f>$C$7*$E$14*$E$8*$W$130/$D$130^2*$N$130*$H$112/$G$130^2*$P$130*$E$114/$I$130^2*$R$130*$E$116/$K$130^2*AL130*10^6</f>
        <v>4.0960000000000015E-3</v>
      </c>
      <c r="AN130" s="91">
        <f>$AB130/$M$114+$AC130/$M$115</f>
        <v>0</v>
      </c>
      <c r="AO130" s="97">
        <f t="shared" ref="AO130:AO135" si="14">10^(-AN130)</f>
        <v>1</v>
      </c>
      <c r="AP130" s="91">
        <f>$C$7*$F$14*$F$8*$W$130/$D$130^2*$N$130*$I$112/$G$130^2*$P$130*$E$114/$I$130^2*$R$130*$E$116/$K$130^2*AO130*10^6</f>
        <v>8.9600000000000009E-3</v>
      </c>
      <c r="AQ130" s="91">
        <f>$AB130/$M$114+$AC130/$M$115</f>
        <v>0</v>
      </c>
      <c r="AR130" s="97">
        <f t="shared" ref="AR130:AR135" si="15">10^(-AQ130)</f>
        <v>1</v>
      </c>
      <c r="AS130" s="76">
        <f>$C$7*$G$14*$G$8*$W$130/$D$130^2*$N$130*$J$112/$G$130^2*$P$130*$E$114/$I$130^2*$R$130*$E$116/$K$130^2*AR130*10^6</f>
        <v>8.4480000000000006E-3</v>
      </c>
      <c r="AT130" s="513">
        <f t="shared" ref="AT130:AT135" si="16">SUM(AG130,AJ130,AM130,AP130,AS130)</f>
        <v>3.3792000000000003E-2</v>
      </c>
      <c r="AU130" s="514">
        <f>SUM(AT130:AT136)*52/10^3</f>
        <v>15.505920420432142</v>
      </c>
      <c r="AV130" s="222"/>
      <c r="AW130" s="222"/>
      <c r="AX130" s="225"/>
      <c r="AY130" s="225"/>
      <c r="AZ130" s="225"/>
      <c r="BA130" s="225"/>
      <c r="BB130" s="225"/>
    </row>
    <row r="131" spans="1:90" s="212" customFormat="1" ht="30" customHeight="1" thickBot="1" x14ac:dyDescent="0.3">
      <c r="A131" s="447"/>
      <c r="B131" s="460"/>
      <c r="C131" s="515" t="s">
        <v>536</v>
      </c>
      <c r="D131" s="107"/>
      <c r="E131" s="1852">
        <v>1</v>
      </c>
      <c r="F131" s="117"/>
      <c r="G131" s="118"/>
      <c r="H131" s="1828">
        <v>5</v>
      </c>
      <c r="I131" s="122"/>
      <c r="J131" s="124"/>
      <c r="K131" s="2030"/>
      <c r="L131" s="127"/>
      <c r="M131" s="128"/>
      <c r="N131" s="129"/>
      <c r="O131" s="1828">
        <v>5</v>
      </c>
      <c r="P131" s="133"/>
      <c r="Q131" s="133"/>
      <c r="R131" s="1828">
        <v>2</v>
      </c>
      <c r="S131" s="139"/>
      <c r="T131" s="132"/>
      <c r="U131" s="140"/>
      <c r="V131" s="142"/>
      <c r="W131" s="1828">
        <v>0.25</v>
      </c>
      <c r="X131" s="1856">
        <v>200</v>
      </c>
      <c r="Y131" s="1856">
        <v>0</v>
      </c>
      <c r="Z131" s="1857">
        <v>0</v>
      </c>
      <c r="AA131" s="1857">
        <v>0</v>
      </c>
      <c r="AB131" s="1985"/>
      <c r="AC131" s="1988"/>
      <c r="AD131" s="169"/>
      <c r="AE131" s="171">
        <f>IF($X131=0,0,1+($X131-$C$21)/$C$22)+$Y131/$C$23+$Z131/$C$24+$AA131/$C$25+$AB130/$M$114+$AC130/$M$115</f>
        <v>5.9393939393939394</v>
      </c>
      <c r="AF131" s="97">
        <f t="shared" si="11"/>
        <v>1.1497569953977332E-6</v>
      </c>
      <c r="AG131" s="91">
        <f>$C$7*$C$14*$C$8*$W$131/$E$131^2*$O$131*$F$113/$H$131^2*$R$131*$E$116/$K$130^2*AF131*10^6</f>
        <v>2.4834751100591044E-3</v>
      </c>
      <c r="AH131" s="91">
        <f>IF($X131=0,0,1+($X131-$D$21)/$D$22)+$Y131/$D$23+$Z131/$D$24+$AB130/$M$114+$AC130/$M$115</f>
        <v>5.2972972972972974</v>
      </c>
      <c r="AI131" s="97">
        <f t="shared" si="12"/>
        <v>5.0431594871713543E-6</v>
      </c>
      <c r="AJ131" s="91">
        <f>$C$7*$D$14*$D$8*$W$131/$E$131^2*$O$131*$G$113/$H$131^2*$R$131*$E$116/$K$130^2*AI131*10^6</f>
        <v>8.4725079384478739E-3</v>
      </c>
      <c r="AK131" s="91">
        <f>IF($X131=0,0,1+($X131-$E$21)/$E$22)+$Y131/$E$23+$Z131/$E$24+$AB130/$M$114+$AC130/$M$115</f>
        <v>4.6046511627906979</v>
      </c>
      <c r="AL131" s="97">
        <f t="shared" si="13"/>
        <v>2.485128426980553E-5</v>
      </c>
      <c r="AM131" s="91">
        <f>$C$7*$E$14*$E$8*$W$131/$E$131^2*$O$131*$H$113/$H$131^2*$R$131*$E$116/$K$130^2*AL131*10^6</f>
        <v>3.1809643865351081E-2</v>
      </c>
      <c r="AN131" s="91">
        <f>IF($X131=0,0,1+($X131-$F$21)/$F$22)+$Y131/$F$23+$Z131/$E$24+$AB130/$M$114+$AC130/$M$115</f>
        <v>7.2962962962962967</v>
      </c>
      <c r="AO131" s="97">
        <f t="shared" si="14"/>
        <v>5.0547968211912231E-8</v>
      </c>
      <c r="AP131" s="91">
        <f>$C$7*$F$14*$F$8*$W$131/$E$131^2*$O$131*$I$113/$H$131^2*$R$131*$E$116/$K$130^2*AO131*10^6</f>
        <v>1.4153431099335427E-4</v>
      </c>
      <c r="AQ131" s="91">
        <f>IF($X131=0,0,1+($X131-$G$21)/$G$22)+$Y131/$G$23+$Z131/$G$24+$AB130/$M$114+$AC130/$M$115</f>
        <v>5.5555555555555554</v>
      </c>
      <c r="AR131" s="97">
        <f t="shared" si="15"/>
        <v>2.782559402207123E-6</v>
      </c>
      <c r="AS131" s="76">
        <f>$C$7*$G$14*$G$8*$W$131/$E$131^2*$O$131*$J$113/$H$131^2*$R$131*$E$116/$K$130^2*AR131*10^6</f>
        <v>7.3459568218268044E-3</v>
      </c>
      <c r="AT131" s="513">
        <f t="shared" si="16"/>
        <v>5.0253118046678216E-2</v>
      </c>
      <c r="AU131" s="516"/>
      <c r="AV131" s="222"/>
      <c r="AW131" s="222"/>
      <c r="AX131" s="225"/>
      <c r="AY131" s="225"/>
      <c r="AZ131" s="225"/>
      <c r="BA131" s="225"/>
      <c r="BB131" s="225"/>
    </row>
    <row r="132" spans="1:90" s="212" customFormat="1" ht="30" customHeight="1" thickBot="1" x14ac:dyDescent="0.3">
      <c r="A132" s="221"/>
      <c r="B132" s="517"/>
      <c r="C132" s="518" t="s">
        <v>537</v>
      </c>
      <c r="D132" s="108"/>
      <c r="E132" s="112"/>
      <c r="F132" s="1987">
        <v>5</v>
      </c>
      <c r="G132" s="119"/>
      <c r="H132" s="121"/>
      <c r="I132" s="113"/>
      <c r="J132" s="1980">
        <v>10</v>
      </c>
      <c r="K132" s="2030"/>
      <c r="L132" s="114"/>
      <c r="M132" s="113"/>
      <c r="N132" s="119"/>
      <c r="O132" s="121"/>
      <c r="P132" s="113"/>
      <c r="Q132" s="1980">
        <v>5</v>
      </c>
      <c r="R132" s="1982">
        <v>2</v>
      </c>
      <c r="S132" s="137"/>
      <c r="T132" s="114"/>
      <c r="U132" s="138"/>
      <c r="V132" s="143"/>
      <c r="W132" s="144">
        <v>1</v>
      </c>
      <c r="X132" s="153"/>
      <c r="Y132" s="154"/>
      <c r="Z132" s="155"/>
      <c r="AA132" s="156"/>
      <c r="AB132" s="1985"/>
      <c r="AC132" s="1988"/>
      <c r="AD132" s="168"/>
      <c r="AE132" s="91">
        <f>$AB130/$M$114+$AC130/$M$115</f>
        <v>0</v>
      </c>
      <c r="AF132" s="97">
        <f t="shared" si="11"/>
        <v>1</v>
      </c>
      <c r="AG132" s="91">
        <f>$C$7*$C$15*$C$8*($C$9+$C$10*$C$11)*$W$132/$F$132^2*$Q$132*$F$115/$J$132^2*$R$132*$E$116/$K$130^2*AF132*10^6</f>
        <v>15.360000000000005</v>
      </c>
      <c r="AH132" s="91">
        <f>$AB130/$M$114+$AC130/$M$115</f>
        <v>0</v>
      </c>
      <c r="AI132" s="97">
        <f t="shared" si="12"/>
        <v>1</v>
      </c>
      <c r="AJ132" s="91">
        <f>$C$7*$C$15*$D$8*($D$9+$D$10*$D$11)*$W$132/$F$132^2*$Q$132*$G$115/$J$132^2*$R$132*$E$116/$K$130^2*AI132*10^6</f>
        <v>12.240000000000004</v>
      </c>
      <c r="AK132" s="91">
        <f>$AB130/$M$114+$AC130/$M$115</f>
        <v>0</v>
      </c>
      <c r="AL132" s="97">
        <f t="shared" si="13"/>
        <v>1</v>
      </c>
      <c r="AM132" s="91">
        <f>$C$7*$C$15*$E$8*($E$9+$E$10*$E$11)*$W$132/$F$132^2*$Q$132*$H$115/$J$132^2*$R$132*$E$116/$K$130^2*AL132*10^6</f>
        <v>10.800000000000002</v>
      </c>
      <c r="AN132" s="91">
        <f>$AB130/$M$114+$AC130/$M$115</f>
        <v>0</v>
      </c>
      <c r="AO132" s="97">
        <f t="shared" si="14"/>
        <v>1</v>
      </c>
      <c r="AP132" s="91">
        <f>$C$7*$C$15*$F$8*($F$9+$F$10*$F$11)*$W$132/$F$132^2*$Q$132*$I$115/$J$132^2*$R$132*$E$116/$K$130^2*AO132*10^6</f>
        <v>19.920000000000002</v>
      </c>
      <c r="AQ132" s="91">
        <f>$AB130/$M$114+$AC130/$M$115</f>
        <v>0</v>
      </c>
      <c r="AR132" s="97">
        <f t="shared" si="15"/>
        <v>1</v>
      </c>
      <c r="AS132" s="76">
        <f>$C$7*$C$15*$G$8*($G$9+$G$10*$G$11)*$W$132/$F$132^2*$Q$132*$J$115/$J$132^2*$R$132*$E$116/$K$130^2*AR132*10^6</f>
        <v>17.520000000000003</v>
      </c>
      <c r="AT132" s="519">
        <f t="shared" si="16"/>
        <v>75.840000000000018</v>
      </c>
      <c r="AU132" s="516"/>
      <c r="AV132" s="222"/>
      <c r="AW132" s="520"/>
      <c r="AX132" s="222"/>
      <c r="AY132" s="211"/>
      <c r="AZ132" s="222"/>
      <c r="BA132" s="222"/>
      <c r="BB132" s="225"/>
    </row>
    <row r="133" spans="1:90" s="212" customFormat="1" ht="30" customHeight="1" thickBot="1" x14ac:dyDescent="0.3">
      <c r="A133" s="221"/>
      <c r="B133" s="517"/>
      <c r="C133" s="521" t="s">
        <v>523</v>
      </c>
      <c r="D133" s="108"/>
      <c r="E133" s="113"/>
      <c r="F133" s="2029"/>
      <c r="G133" s="119"/>
      <c r="H133" s="114"/>
      <c r="I133" s="113"/>
      <c r="J133" s="1981"/>
      <c r="K133" s="1983"/>
      <c r="L133" s="114"/>
      <c r="M133" s="113"/>
      <c r="N133" s="119"/>
      <c r="O133" s="114"/>
      <c r="P133" s="113"/>
      <c r="Q133" s="1981"/>
      <c r="R133" s="1983"/>
      <c r="S133" s="137"/>
      <c r="T133" s="114"/>
      <c r="U133" s="113"/>
      <c r="V133" s="1855">
        <f>20*20</f>
        <v>400</v>
      </c>
      <c r="W133" s="1828">
        <v>0.25</v>
      </c>
      <c r="X133" s="157"/>
      <c r="Y133" s="158"/>
      <c r="Z133" s="159"/>
      <c r="AA133" s="160"/>
      <c r="AB133" s="1985"/>
      <c r="AC133" s="1988"/>
      <c r="AD133" s="168"/>
      <c r="AE133" s="98">
        <f>$AB130/$M$114+$AC130/$M$115</f>
        <v>0</v>
      </c>
      <c r="AF133" s="97">
        <f t="shared" si="11"/>
        <v>1</v>
      </c>
      <c r="AG133" s="91">
        <f>$C$7*$C$8*$W$133*$F$120*$V$133/400*$E$115*$E$116*$Q$132*$R$132/1/1/$F$132^2/$J$132^2/$K$130^2*AF133*10^6</f>
        <v>6.1159999999999988</v>
      </c>
      <c r="AH133" s="98">
        <f>$AB130/$M$114+$AC130/$M$115</f>
        <v>0</v>
      </c>
      <c r="AI133" s="97">
        <f t="shared" si="12"/>
        <v>1</v>
      </c>
      <c r="AJ133" s="91">
        <f>$C$7*$D$8*$W$133*$G$120*$V$133/400*$E$115*$E$116*$Q$132*$R$132/1/1/$F$132^2/$J$132^2/$K$130^2*AI133*10^6</f>
        <v>5.9399999999999995</v>
      </c>
      <c r="AK133" s="98">
        <f>$AB130/$M$114+$AC130/$M$115</f>
        <v>0</v>
      </c>
      <c r="AL133" s="97">
        <f t="shared" si="13"/>
        <v>1</v>
      </c>
      <c r="AM133" s="91">
        <f>$C$7*$E$8*$W$133*$H$120*$V$133/400*$E$115*$E$116*$Q$132*$R$132/1/1/$F$132^2/$J$132^2/$K$130^2*AL133*10^6</f>
        <v>3.8015999999999992</v>
      </c>
      <c r="AN133" s="98">
        <f>$AB130/$M$114+$AC130/$M$115</f>
        <v>0</v>
      </c>
      <c r="AO133" s="97">
        <f t="shared" si="14"/>
        <v>1</v>
      </c>
      <c r="AP133" s="91">
        <f>$C$7*$F$8*$W$133*$I$120*$V$133/400*$E$115*$E$116*$R$132*$Q$132/1/1/$F$132^2/$J$132^2/$K$130^2*AO133*10^6</f>
        <v>5.7200000000000006</v>
      </c>
      <c r="AQ133" s="98">
        <f>$AB130/$M$114+$AC130/$M$115</f>
        <v>0</v>
      </c>
      <c r="AR133" s="97">
        <f t="shared" si="15"/>
        <v>1</v>
      </c>
      <c r="AS133" s="76">
        <f>$C$7*$G$8*$W$133*$J$120*$V$133/400*$E$115*$E$116*$Q$132*$R$132/1/1/$F$132^2/$J$132^2/$K$130^2*AR133*10^6</f>
        <v>5.2799999999999994</v>
      </c>
      <c r="AT133" s="513">
        <f t="shared" si="16"/>
        <v>26.857599999999998</v>
      </c>
      <c r="AU133" s="516"/>
      <c r="AV133" s="222"/>
      <c r="AW133" s="520"/>
      <c r="AX133" s="222"/>
      <c r="AY133" s="211"/>
      <c r="AZ133" s="222"/>
      <c r="BA133" s="222"/>
      <c r="BB133" s="225"/>
      <c r="BC133" s="225"/>
      <c r="BD133" s="225"/>
      <c r="BE133" s="225"/>
      <c r="BF133" s="225"/>
      <c r="BG133" s="300"/>
      <c r="BH133" s="300"/>
      <c r="BI133" s="300"/>
      <c r="BJ133" s="522"/>
      <c r="BK133" s="522"/>
      <c r="BL133" s="522"/>
    </row>
    <row r="134" spans="1:90" s="212" customFormat="1" ht="30" customHeight="1" x14ac:dyDescent="0.25">
      <c r="A134" s="221"/>
      <c r="B134" s="517"/>
      <c r="C134" s="523" t="s">
        <v>33</v>
      </c>
      <c r="D134" s="109"/>
      <c r="E134" s="114"/>
      <c r="F134" s="114"/>
      <c r="G134" s="114"/>
      <c r="H134" s="114"/>
      <c r="I134" s="114"/>
      <c r="J134" s="114"/>
      <c r="K134" s="125"/>
      <c r="L134" s="2028">
        <v>5</v>
      </c>
      <c r="M134" s="2028">
        <v>10</v>
      </c>
      <c r="N134" s="130"/>
      <c r="O134" s="132"/>
      <c r="P134" s="132"/>
      <c r="Q134" s="132"/>
      <c r="R134" s="135"/>
      <c r="S134" s="1851">
        <v>225</v>
      </c>
      <c r="T134" s="1854">
        <v>1</v>
      </c>
      <c r="U134" s="1851">
        <v>1</v>
      </c>
      <c r="V134" s="145"/>
      <c r="W134" s="146"/>
      <c r="X134" s="161"/>
      <c r="Y134" s="162"/>
      <c r="Z134" s="122"/>
      <c r="AA134" s="163"/>
      <c r="AB134" s="1985"/>
      <c r="AC134" s="1988"/>
      <c r="AD134" s="1858">
        <v>0</v>
      </c>
      <c r="AE134" s="91">
        <f>$AB130/$N$114+$AC130/$N$115+$AD134/$N$116</f>
        <v>0</v>
      </c>
      <c r="AF134" s="97">
        <f t="shared" si="11"/>
        <v>1</v>
      </c>
      <c r="AG134" s="91">
        <f>$C$7*$C$8*($C$9+$C$10*$C$11)*0.0000000000000024*($C$16*$C$17*10^12/(4*PI()*$L$134^2)+5.4*$C$16*$C$17*10^12/(2*PI()*$S$134)+1.3*$C$17*10^12/(2*PI()*$S$134))*(SQRT($T$134/$U$134)*((1.64*10^(-$M$134/1.9)+10^(-$M$134/(2.06*SQRT($U$134))))*(1-$G$125)*$AF$134*10^6))</f>
        <v>0.11345901793121269</v>
      </c>
      <c r="AH134" s="91">
        <f>$AB130/$N$114+$AC130/$N$115+$AD134/$N$116</f>
        <v>0</v>
      </c>
      <c r="AI134" s="97">
        <f t="shared" si="12"/>
        <v>1</v>
      </c>
      <c r="AJ134" s="91">
        <f>$C$7*$D$8*($D$9+$D$10*$D$11)*0.0000000000000024*($C$16*$D$17*10^12/(4*PI()*$L$134^2)+5.4*$C$16*$D$17*10^12/(2*PI()*$S$134)+1.3*$D$17*10^12/(2*PI()*$S$134))*(SQRT($T$134/$U$134)*((1.64*10^(-$M$134/1.9)+10^(-$M$134/(2.06*SQRT($U$134))))*(1-$G$125)*$AI$134*10^6))</f>
        <v>0.11345901793121269</v>
      </c>
      <c r="AK134" s="91">
        <f>$AB130/$N$114+$AC130/$N$115+$AD134/$N$116</f>
        <v>0</v>
      </c>
      <c r="AL134" s="97">
        <f t="shared" si="13"/>
        <v>1</v>
      </c>
      <c r="AM134" s="91">
        <f>$C$7*$E$8*($E$9+$E$10*$E$11)*0.0000000000000024*($C$16*$E$17*10^12/(4*PI()*$L$134^2)+5.4*$C$16*$E$17*10^12/(2*PI()*$S$134)+1.3*$E$17*10^12/(2*PI()*$S$134))*(SQRT($T$134/$U$134)*((1.64*10^(-$M$134/1.9)+10^(-$M$134/(2.06*SQRT($U$134))))*(1-$G$125)*$AL$134*10^6))</f>
        <v>0.11345901793121269</v>
      </c>
      <c r="AN134" s="91">
        <f>$AB130/$N$114+$AC130/$N$115+$AD134/$N$116</f>
        <v>0</v>
      </c>
      <c r="AO134" s="97">
        <f t="shared" si="14"/>
        <v>1</v>
      </c>
      <c r="AP134" s="91">
        <f>$C$7*$F$8*($F$9+$F$10*$F$11)*0.0000000000000024*($C$16*$F$17*10^12/(4*PI()*$L$134^2)+5.4*$C$16*$F$17*10^12/(2*PI()*$S$134)+1.3*$F$17*10^12/(2*PI()*$S$134))*(SQRT($T$134/$U$134)*((1.64*10^(-$M$134/1.9)+10^(-$M$134/(2.06*SQRT($U$134))))*(1-$G$125)*$AO$134*10^6))</f>
        <v>0.11345901793121269</v>
      </c>
      <c r="AQ134" s="91">
        <f>$AB130/$N$114+$AC130/$N$115+$AD134/$N$116</f>
        <v>0</v>
      </c>
      <c r="AR134" s="97">
        <f t="shared" si="15"/>
        <v>1</v>
      </c>
      <c r="AS134" s="76">
        <f>$C$7*$G$8*($G$9+$G$10*$G$11)*0.0000000000000024*($C$16*$G$17*10^12/(4*PI()*$L$134^2)+5.4*$C$16*$G$17*10^12/(2*PI()*$S$134)+1.3*$G$17*10^12/(2*PI()*$S$134))*(SQRT($T$134/$U$134)*((1.64*10^(-$M$134/1.9)+10^(-$M$134/(2.06*SQRT($U$134))))*(1-$G$125)*$AR$134*10^6))</f>
        <v>0.11345901793121269</v>
      </c>
      <c r="AT134" s="513">
        <f t="shared" si="16"/>
        <v>0.56729508965606346</v>
      </c>
      <c r="AU134" s="516"/>
      <c r="AV134" s="222"/>
      <c r="AW134" s="189"/>
      <c r="AX134" s="222"/>
      <c r="AY134" s="211"/>
      <c r="AZ134" s="222"/>
      <c r="BA134" s="222"/>
      <c r="BB134" s="225"/>
      <c r="BC134" s="225"/>
      <c r="BD134" s="225"/>
      <c r="BE134" s="225"/>
      <c r="BF134" s="225"/>
      <c r="BG134" s="300"/>
      <c r="BH134" s="300"/>
      <c r="BI134" s="300"/>
      <c r="BJ134" s="522"/>
      <c r="BK134" s="522"/>
      <c r="BL134" s="522"/>
    </row>
    <row r="135" spans="1:90" s="212" customFormat="1" ht="30" customHeight="1" thickBot="1" x14ac:dyDescent="0.3">
      <c r="A135" s="226"/>
      <c r="B135" s="524"/>
      <c r="C135" s="525" t="s">
        <v>157</v>
      </c>
      <c r="D135" s="110"/>
      <c r="E135" s="115"/>
      <c r="F135" s="115"/>
      <c r="G135" s="115"/>
      <c r="H135" s="115"/>
      <c r="I135" s="115"/>
      <c r="J135" s="115"/>
      <c r="K135" s="126"/>
      <c r="L135" s="1989"/>
      <c r="M135" s="1989"/>
      <c r="N135" s="131"/>
      <c r="O135" s="115"/>
      <c r="P135" s="115"/>
      <c r="Q135" s="136"/>
      <c r="R135" s="136"/>
      <c r="S135" s="115"/>
      <c r="T135" s="115"/>
      <c r="U135" s="126"/>
      <c r="V135" s="147"/>
      <c r="W135" s="148"/>
      <c r="X135" s="164"/>
      <c r="Y135" s="165"/>
      <c r="Z135" s="166"/>
      <c r="AA135" s="167"/>
      <c r="AB135" s="1986"/>
      <c r="AC135" s="1989"/>
      <c r="AD135" s="170"/>
      <c r="AE135" s="172">
        <f>$AB130/$O$114+$AC130/$O$115</f>
        <v>0</v>
      </c>
      <c r="AF135" s="173">
        <f t="shared" si="11"/>
        <v>1</v>
      </c>
      <c r="AG135" s="174">
        <f>$C$7*$C$8*($C$9+$C$10*$C$11)*$Q$111*($C$16*$C$17*10^12/(4*PI()*$L$134^2)+5.4*$C$16*$C$17*10^12/(2*PI()*$S$134)+1.3*$C$17*10^12/(2*PI()*$S$134))*10^-($M$134/$Q$113)*(1-$G$126)*AF135*10^6</f>
        <v>38.968367421659991</v>
      </c>
      <c r="AH135" s="172">
        <f>$AB130/$O$114+$AC130/$O$115</f>
        <v>0</v>
      </c>
      <c r="AI135" s="173">
        <f t="shared" si="12"/>
        <v>1</v>
      </c>
      <c r="AJ135" s="175">
        <f>$C$7*$D$8*($D$9+$D$10*$D$11)*$Q$111*($C$16*$D$17*10^12/(4*PI()*$L$134^2)+5.4*$C$16*$D$17*10^12/(2*PI()*$S$134)+1.3*$D$17*10^12/(2*PI()*$S$134))*10^-($M$134/$Q$113)*(1-$G$126)*AI135*10^6</f>
        <v>38.968367421659991</v>
      </c>
      <c r="AK135" s="176">
        <f>$AB130/$O$114+$AC130/$O$115</f>
        <v>0</v>
      </c>
      <c r="AL135" s="173">
        <f t="shared" si="13"/>
        <v>1</v>
      </c>
      <c r="AM135" s="175">
        <f>$C$7*$E$8*($E$9+$E$10*$E$11)*$Q$111*($C$16*$E$17*10^12/(4*PI()*$L$134^2)+5.4*$C$16*$E$17*10^12/(2*PI()*$S$134)+1.3*$E$17*10^12/(2*PI()*$S$134))*10^-($M$134/$Q$113)*(1-$G$126)*AL135*10^6</f>
        <v>38.968367421659991</v>
      </c>
      <c r="AN135" s="172">
        <f>$AB130/$O$114+$AC130/$O$115</f>
        <v>0</v>
      </c>
      <c r="AO135" s="173">
        <f t="shared" si="14"/>
        <v>1</v>
      </c>
      <c r="AP135" s="175">
        <f>$C$7*$F$8*($F$9+$F$10*$F$11)*$Q$111*($C$16*$F$17*10^12/(4*PI()*$L$134^2)+5.4*$C$16*$F$17*10^12/(2*PI()*$S$134)+1.3*$F$17*10^12/(2*PI()*$S$134))*10^-($M$134/$Q$113)*(1-$G$126)*AO135*10^6</f>
        <v>38.968367421659991</v>
      </c>
      <c r="AQ135" s="172">
        <f>$AB130/$O$114+$AC130/$O$115</f>
        <v>0</v>
      </c>
      <c r="AR135" s="173">
        <f t="shared" si="15"/>
        <v>1</v>
      </c>
      <c r="AS135" s="177">
        <f>$C$7*$G$8*($G$9+$G$10*$G$11)*$Q$111*($C$16*$G$17*10^12/(4*PI()*$L$134^2)+5.4*$C$16*$G$17*10^12/(2*PI()*$S$134)+1.3*$G$17*10^12/(2*PI()*$S$134))*10^-($M$134/$Q$113)*(1-$G$126)*AR135*10^6</f>
        <v>38.968367421659991</v>
      </c>
      <c r="AT135" s="526">
        <f t="shared" si="16"/>
        <v>194.84183710829996</v>
      </c>
      <c r="AU135" s="527"/>
      <c r="AV135" s="222"/>
      <c r="AW135" s="189"/>
      <c r="AX135" s="222"/>
      <c r="AY135" s="211"/>
      <c r="AZ135" s="222"/>
      <c r="BA135" s="222"/>
      <c r="BB135" s="225"/>
      <c r="BC135" s="225"/>
      <c r="BD135" s="225"/>
      <c r="BE135" s="225"/>
      <c r="BF135" s="225"/>
      <c r="BG135" s="300"/>
      <c r="BH135" s="300"/>
      <c r="BI135" s="300"/>
      <c r="BJ135" s="522"/>
      <c r="BK135" s="522"/>
      <c r="BL135" s="522"/>
    </row>
    <row r="136" spans="1:90" s="212" customFormat="1" ht="30" hidden="1" customHeight="1" x14ac:dyDescent="0.25">
      <c r="A136" s="222"/>
      <c r="B136" s="222"/>
      <c r="C136" s="282"/>
      <c r="D136" s="282"/>
      <c r="E136" s="211"/>
      <c r="F136" s="211"/>
      <c r="G136" s="211"/>
      <c r="H136" s="211"/>
      <c r="I136" s="211"/>
      <c r="J136" s="211"/>
      <c r="K136" s="211"/>
      <c r="L136" s="57"/>
      <c r="M136" s="57"/>
      <c r="N136" s="211"/>
      <c r="O136" s="211"/>
      <c r="P136" s="211"/>
      <c r="Q136" s="211"/>
      <c r="R136" s="211"/>
      <c r="S136" s="211"/>
      <c r="T136" s="211"/>
      <c r="U136" s="211"/>
      <c r="V136" s="211"/>
      <c r="W136" s="211"/>
      <c r="X136" s="453"/>
      <c r="Y136" s="528"/>
      <c r="Z136" s="57"/>
      <c r="AA136" s="57"/>
      <c r="AB136" s="57"/>
      <c r="AC136" s="57"/>
      <c r="AD136" s="529"/>
      <c r="AE136" s="369"/>
      <c r="AF136" s="328"/>
      <c r="AG136" s="530"/>
      <c r="AH136" s="369"/>
      <c r="AI136" s="328"/>
      <c r="AJ136" s="530"/>
      <c r="AK136" s="369"/>
      <c r="AL136" s="328"/>
      <c r="AM136" s="530"/>
      <c r="AN136" s="369"/>
      <c r="AO136" s="328"/>
      <c r="AP136" s="530"/>
      <c r="AQ136" s="369"/>
      <c r="AR136" s="328"/>
      <c r="AS136" s="530"/>
      <c r="AT136" s="369"/>
      <c r="AU136" s="233"/>
      <c r="AV136" s="222"/>
      <c r="AW136" s="189"/>
      <c r="AX136" s="222"/>
      <c r="AY136" s="211"/>
      <c r="AZ136" s="222"/>
      <c r="BA136" s="222"/>
      <c r="BB136" s="225"/>
      <c r="BC136" s="225"/>
      <c r="BD136" s="225"/>
      <c r="BE136" s="225"/>
      <c r="BF136" s="225"/>
      <c r="BG136" s="300"/>
      <c r="BH136" s="300"/>
      <c r="BI136" s="300"/>
      <c r="BJ136" s="522"/>
      <c r="BK136" s="522"/>
      <c r="BL136" s="522"/>
    </row>
    <row r="137" spans="1:90" s="212" customFormat="1" ht="19.5" customHeight="1" x14ac:dyDescent="0.25">
      <c r="A137" s="222"/>
      <c r="B137" s="222"/>
      <c r="C137" s="282"/>
      <c r="D137" s="282"/>
      <c r="E137" s="211"/>
      <c r="F137" s="211"/>
      <c r="G137" s="211"/>
      <c r="H137" s="211"/>
      <c r="I137" s="211"/>
      <c r="J137" s="211"/>
      <c r="K137" s="211"/>
      <c r="L137" s="211"/>
      <c r="M137" s="211"/>
      <c r="N137" s="211"/>
      <c r="O137" s="211"/>
      <c r="P137" s="211"/>
      <c r="Q137" s="211"/>
      <c r="R137" s="211"/>
      <c r="S137" s="211"/>
      <c r="T137" s="211"/>
      <c r="U137" s="211"/>
      <c r="V137" s="211"/>
      <c r="W137" s="211"/>
      <c r="X137" s="57"/>
      <c r="Y137" s="453"/>
      <c r="Z137" s="528"/>
      <c r="AA137" s="57"/>
      <c r="AB137" s="57"/>
      <c r="AC137" s="57"/>
      <c r="AD137" s="57"/>
      <c r="AE137" s="529"/>
      <c r="AF137" s="369"/>
      <c r="AG137" s="328"/>
      <c r="AH137" s="530"/>
      <c r="AI137" s="369"/>
      <c r="AJ137" s="328"/>
      <c r="AK137" s="530"/>
      <c r="AL137" s="369"/>
      <c r="AM137" s="328"/>
      <c r="AN137" s="530"/>
      <c r="AO137" s="369"/>
      <c r="AP137" s="328"/>
      <c r="AQ137" s="530"/>
      <c r="AR137" s="369"/>
      <c r="AS137" s="328"/>
      <c r="AT137" s="530"/>
      <c r="AU137" s="369"/>
      <c r="AV137" s="233"/>
      <c r="AW137" s="222"/>
      <c r="AX137" s="189"/>
      <c r="AY137" s="222"/>
      <c r="AZ137" s="211"/>
      <c r="BA137" s="222"/>
      <c r="BB137" s="222"/>
      <c r="BC137" s="225"/>
      <c r="BD137" s="225"/>
      <c r="BE137" s="225"/>
      <c r="BF137" s="225"/>
      <c r="BG137" s="225"/>
      <c r="BH137" s="300"/>
      <c r="BI137" s="300"/>
      <c r="BJ137" s="300"/>
      <c r="BK137" s="522"/>
      <c r="BL137" s="522"/>
      <c r="BM137" s="522"/>
    </row>
    <row r="138" spans="1:90" s="212" customFormat="1" ht="19.5" customHeight="1" x14ac:dyDescent="0.25">
      <c r="A138" s="222"/>
      <c r="B138" s="222"/>
      <c r="C138" s="282"/>
      <c r="D138" s="282"/>
      <c r="E138" s="211"/>
      <c r="F138" s="211"/>
      <c r="G138" s="211"/>
      <c r="H138" s="211"/>
      <c r="I138" s="211"/>
      <c r="J138" s="211"/>
      <c r="K138" s="211"/>
      <c r="L138" s="211"/>
      <c r="M138" s="211"/>
      <c r="N138" s="211"/>
      <c r="O138" s="211"/>
      <c r="P138" s="211"/>
      <c r="Q138" s="211"/>
      <c r="R138" s="211"/>
      <c r="S138" s="211"/>
      <c r="T138" s="211"/>
      <c r="U138" s="211"/>
      <c r="V138" s="211"/>
      <c r="W138" s="211"/>
      <c r="X138" s="57"/>
      <c r="Y138" s="453"/>
      <c r="Z138" s="528"/>
      <c r="AA138" s="57"/>
      <c r="AB138" s="57"/>
      <c r="AC138" s="57"/>
      <c r="AD138" s="529"/>
      <c r="AE138" s="369"/>
      <c r="AF138" s="328"/>
      <c r="AG138" s="530"/>
      <c r="AH138" s="369"/>
      <c r="AI138" s="328"/>
      <c r="AJ138" s="530"/>
      <c r="AK138" s="369"/>
      <c r="AL138" s="328"/>
      <c r="AM138" s="530"/>
      <c r="AN138" s="369"/>
      <c r="AO138" s="328"/>
      <c r="AP138" s="530"/>
      <c r="AQ138" s="369"/>
      <c r="AR138" s="328"/>
      <c r="AS138" s="530"/>
      <c r="AT138" s="369"/>
      <c r="AU138" s="233"/>
      <c r="AV138" s="222"/>
      <c r="AW138" s="189"/>
      <c r="AX138" s="222"/>
      <c r="AY138" s="211"/>
      <c r="AZ138" s="222"/>
      <c r="BA138" s="222"/>
      <c r="BB138" s="225"/>
      <c r="BC138" s="225"/>
      <c r="BD138" s="225"/>
      <c r="BE138" s="225"/>
      <c r="BF138" s="225"/>
      <c r="BG138" s="300"/>
      <c r="BH138" s="300"/>
      <c r="BI138" s="300"/>
      <c r="BJ138" s="522"/>
      <c r="BK138" s="522"/>
      <c r="BL138" s="522"/>
    </row>
    <row r="139" spans="1:90" s="212" customFormat="1" ht="19.5" customHeight="1" thickBot="1" x14ac:dyDescent="0.3">
      <c r="A139" s="532" t="s">
        <v>645</v>
      </c>
      <c r="B139" s="533"/>
      <c r="C139" s="310"/>
      <c r="D139" s="57"/>
      <c r="E139" s="57"/>
      <c r="F139" s="57"/>
      <c r="G139" s="57"/>
      <c r="H139" s="57"/>
      <c r="I139" s="57"/>
      <c r="J139" s="57"/>
      <c r="K139" s="57"/>
      <c r="L139" s="529"/>
      <c r="M139" s="529"/>
      <c r="N139" s="529"/>
      <c r="O139" s="530"/>
      <c r="P139" s="328"/>
      <c r="Q139" s="369"/>
      <c r="R139" s="369"/>
      <c r="S139" s="328"/>
      <c r="T139" s="369"/>
      <c r="U139" s="369"/>
      <c r="V139" s="328"/>
      <c r="W139" s="369"/>
      <c r="X139" s="369"/>
      <c r="Y139" s="328"/>
      <c r="Z139" s="369"/>
      <c r="AA139" s="369"/>
      <c r="AB139" s="328"/>
      <c r="AC139" s="369"/>
      <c r="AD139" s="369"/>
      <c r="AE139" s="328"/>
      <c r="AF139" s="233"/>
      <c r="AG139" s="222"/>
      <c r="AH139" s="189"/>
      <c r="AI139" s="222"/>
      <c r="AJ139" s="211"/>
      <c r="AK139" s="222"/>
      <c r="AL139" s="222"/>
      <c r="AM139" s="225"/>
      <c r="AN139" s="225"/>
      <c r="AO139" s="225"/>
      <c r="AP139" s="225"/>
      <c r="AQ139" s="225"/>
      <c r="AR139" s="300"/>
      <c r="AS139" s="300"/>
      <c r="AT139" s="300"/>
      <c r="AU139" s="300"/>
      <c r="AV139" s="300"/>
      <c r="AW139" s="300"/>
      <c r="AX139" s="225"/>
      <c r="AY139" s="225"/>
      <c r="AZ139" s="225"/>
      <c r="BA139" s="225"/>
      <c r="BB139" s="225"/>
      <c r="BC139" s="225"/>
      <c r="BD139" s="225"/>
      <c r="BE139" s="225"/>
      <c r="BF139" s="225"/>
      <c r="BG139" s="225"/>
      <c r="BH139" s="225"/>
      <c r="BI139" s="225"/>
      <c r="BJ139" s="225"/>
      <c r="BK139" s="225"/>
      <c r="BL139" s="225"/>
    </row>
    <row r="140" spans="1:90" ht="19.5" customHeight="1" x14ac:dyDescent="0.25">
      <c r="C140" s="534"/>
      <c r="D140" s="535"/>
      <c r="E140" s="535"/>
      <c r="F140" s="535"/>
      <c r="G140" s="535"/>
      <c r="H140" s="536"/>
      <c r="I140" s="536"/>
      <c r="J140" s="536"/>
      <c r="K140" s="536"/>
      <c r="L140" s="536"/>
      <c r="M140" s="537"/>
      <c r="N140" s="473">
        <f>$C$4</f>
        <v>6</v>
      </c>
      <c r="O140" s="293"/>
      <c r="P140" s="2005">
        <f>$D$4</f>
        <v>10</v>
      </c>
      <c r="Q140" s="2006"/>
      <c r="R140" s="2007"/>
      <c r="S140" s="2005">
        <f>$E$4</f>
        <v>18</v>
      </c>
      <c r="T140" s="2006"/>
      <c r="U140" s="2007"/>
      <c r="V140" s="2005" t="str">
        <f>$F$4</f>
        <v>6 FFF</v>
      </c>
      <c r="W140" s="2006"/>
      <c r="X140" s="2007"/>
      <c r="Y140" s="2005" t="str">
        <f>$G$4</f>
        <v>10 FFF</v>
      </c>
      <c r="Z140" s="2006"/>
      <c r="AA140" s="2033"/>
      <c r="AB140" s="1995" t="s">
        <v>16</v>
      </c>
      <c r="AC140" s="1996"/>
      <c r="AD140" s="1997"/>
      <c r="AE140" s="538"/>
      <c r="AF140" s="538"/>
      <c r="AG140" s="538"/>
      <c r="AH140" s="538"/>
    </row>
    <row r="141" spans="1:90" s="212" customFormat="1" ht="19.5" customHeight="1" x14ac:dyDescent="0.25">
      <c r="A141" s="415" t="s">
        <v>50</v>
      </c>
      <c r="B141" s="415" t="s">
        <v>15</v>
      </c>
      <c r="C141" s="539" t="s">
        <v>25</v>
      </c>
      <c r="D141" s="402" t="s">
        <v>158</v>
      </c>
      <c r="E141" s="310"/>
      <c r="F141" s="540"/>
      <c r="G141" s="541" t="s">
        <v>529</v>
      </c>
      <c r="H141" s="301" t="s">
        <v>524</v>
      </c>
      <c r="I141" s="542"/>
      <c r="J141" s="541" t="s">
        <v>77</v>
      </c>
      <c r="K141" s="541"/>
      <c r="L141" s="543"/>
      <c r="M141" s="1998" t="s">
        <v>216</v>
      </c>
      <c r="N141" s="301" t="s">
        <v>206</v>
      </c>
      <c r="O141" s="301" t="s">
        <v>16</v>
      </c>
      <c r="P141" s="1998" t="s">
        <v>216</v>
      </c>
      <c r="Q141" s="301" t="s">
        <v>206</v>
      </c>
      <c r="R141" s="301" t="s">
        <v>16</v>
      </c>
      <c r="S141" s="1998" t="s">
        <v>216</v>
      </c>
      <c r="T141" s="301" t="s">
        <v>206</v>
      </c>
      <c r="U141" s="301" t="s">
        <v>16</v>
      </c>
      <c r="V141" s="1998" t="s">
        <v>216</v>
      </c>
      <c r="W141" s="301" t="s">
        <v>206</v>
      </c>
      <c r="X141" s="301" t="s">
        <v>16</v>
      </c>
      <c r="Y141" s="1998" t="s">
        <v>216</v>
      </c>
      <c r="Z141" s="301" t="s">
        <v>206</v>
      </c>
      <c r="AA141" s="304" t="s">
        <v>16</v>
      </c>
      <c r="AB141" s="544" t="s">
        <v>23</v>
      </c>
      <c r="AC141" s="1993" t="s">
        <v>178</v>
      </c>
      <c r="AD141" s="1994"/>
      <c r="AE141" s="538"/>
      <c r="AF141" s="538"/>
      <c r="AG141" s="538"/>
      <c r="AH141" s="538"/>
      <c r="AI141" s="538"/>
      <c r="AJ141" s="538"/>
      <c r="AK141" s="538"/>
      <c r="AL141" s="538"/>
      <c r="AM141" s="538"/>
      <c r="AN141" s="538"/>
      <c r="AO141" s="538"/>
      <c r="AP141" s="538"/>
      <c r="AQ141" s="538"/>
      <c r="AR141" s="538"/>
      <c r="AS141" s="545"/>
      <c r="AT141" s="328"/>
      <c r="AU141" s="328"/>
      <c r="AV141" s="328"/>
      <c r="AW141" s="328"/>
      <c r="AX141" s="328"/>
      <c r="AY141" s="328"/>
      <c r="AZ141" s="328"/>
      <c r="BA141" s="328"/>
      <c r="BB141" s="328"/>
      <c r="BC141" s="328"/>
      <c r="BD141" s="328"/>
      <c r="BE141" s="328"/>
      <c r="BF141" s="328"/>
      <c r="BG141" s="328"/>
      <c r="BH141" s="328"/>
      <c r="BI141" s="328"/>
      <c r="BJ141" s="328"/>
      <c r="BK141" s="328"/>
      <c r="BL141" s="328"/>
      <c r="BM141" s="328"/>
      <c r="BN141" s="369"/>
      <c r="BO141" s="233"/>
      <c r="BP141" s="233"/>
      <c r="BQ141" s="222"/>
      <c r="BR141" s="233"/>
      <c r="BS141" s="222"/>
      <c r="BT141" s="211"/>
      <c r="BU141" s="222"/>
      <c r="BV141" s="222"/>
      <c r="BW141" s="225"/>
      <c r="BX141" s="225"/>
      <c r="BY141" s="225"/>
      <c r="BZ141" s="225"/>
      <c r="CA141" s="225"/>
      <c r="CB141" s="300"/>
      <c r="CC141" s="300"/>
      <c r="CD141" s="300"/>
      <c r="CE141" s="522"/>
      <c r="CF141" s="522"/>
      <c r="CG141" s="522"/>
    </row>
    <row r="142" spans="1:90" s="212" customFormat="1" ht="19.5" customHeight="1" thickBot="1" x14ac:dyDescent="0.3">
      <c r="A142" s="308"/>
      <c r="B142" s="308"/>
      <c r="C142" s="546"/>
      <c r="D142" s="313" t="s">
        <v>383</v>
      </c>
      <c r="E142" s="313" t="s">
        <v>384</v>
      </c>
      <c r="F142" s="313" t="s">
        <v>385</v>
      </c>
      <c r="G142" s="541" t="s">
        <v>28</v>
      </c>
      <c r="H142" s="312" t="s">
        <v>528</v>
      </c>
      <c r="I142" s="542" t="s">
        <v>2</v>
      </c>
      <c r="J142" s="547" t="s">
        <v>61</v>
      </c>
      <c r="K142" s="541" t="s">
        <v>3</v>
      </c>
      <c r="L142" s="547" t="s">
        <v>22</v>
      </c>
      <c r="M142" s="1999"/>
      <c r="N142" s="314" t="s">
        <v>207</v>
      </c>
      <c r="O142" s="315" t="s">
        <v>174</v>
      </c>
      <c r="P142" s="1999"/>
      <c r="Q142" s="314" t="s">
        <v>207</v>
      </c>
      <c r="R142" s="315" t="s">
        <v>174</v>
      </c>
      <c r="S142" s="1999"/>
      <c r="T142" s="314" t="s">
        <v>207</v>
      </c>
      <c r="U142" s="315" t="s">
        <v>174</v>
      </c>
      <c r="V142" s="1999"/>
      <c r="W142" s="314" t="s">
        <v>207</v>
      </c>
      <c r="X142" s="315" t="s">
        <v>174</v>
      </c>
      <c r="Y142" s="1999"/>
      <c r="Z142" s="314" t="s">
        <v>207</v>
      </c>
      <c r="AA142" s="178" t="s">
        <v>174</v>
      </c>
      <c r="AB142" s="548" t="s">
        <v>173</v>
      </c>
      <c r="AC142" s="679" t="s">
        <v>173</v>
      </c>
      <c r="AD142" s="550" t="s">
        <v>166</v>
      </c>
      <c r="AE142" s="538"/>
      <c r="AF142" s="538"/>
      <c r="AG142" s="538"/>
      <c r="AH142" s="538"/>
      <c r="AI142" s="551"/>
      <c r="AJ142" s="538"/>
      <c r="AK142" s="538"/>
      <c r="AL142" s="538"/>
      <c r="AM142" s="538"/>
      <c r="AN142" s="538"/>
      <c r="AO142" s="538"/>
      <c r="AP142" s="538"/>
      <c r="AQ142" s="538"/>
      <c r="AR142" s="538"/>
      <c r="AS142" s="538"/>
      <c r="AT142" s="538"/>
      <c r="AU142" s="538"/>
      <c r="AV142" s="538"/>
      <c r="AW142" s="538"/>
      <c r="AX142" s="545"/>
      <c r="AY142" s="328"/>
      <c r="AZ142" s="328"/>
      <c r="BA142" s="328"/>
      <c r="BB142" s="328"/>
      <c r="BC142" s="328"/>
      <c r="BD142" s="328"/>
      <c r="BE142" s="328"/>
      <c r="BF142" s="328"/>
      <c r="BG142" s="328"/>
      <c r="BH142" s="328"/>
      <c r="BI142" s="328"/>
      <c r="BJ142" s="328"/>
      <c r="BK142" s="328"/>
      <c r="BL142" s="328"/>
      <c r="BM142" s="328"/>
      <c r="BN142" s="328"/>
      <c r="BO142" s="328"/>
      <c r="BP142" s="328"/>
      <c r="BQ142" s="328"/>
      <c r="BR142" s="328"/>
      <c r="BS142" s="369"/>
      <c r="BT142" s="233"/>
      <c r="BU142" s="233"/>
      <c r="BV142" s="222"/>
      <c r="BW142" s="233"/>
      <c r="BX142" s="222"/>
      <c r="BY142" s="211"/>
      <c r="BZ142" s="222"/>
      <c r="CA142" s="222"/>
      <c r="CB142" s="225"/>
      <c r="CC142" s="225"/>
      <c r="CD142" s="225"/>
      <c r="CE142" s="225"/>
      <c r="CF142" s="225"/>
      <c r="CG142" s="300"/>
      <c r="CH142" s="300"/>
      <c r="CI142" s="300"/>
      <c r="CJ142" s="522"/>
      <c r="CK142" s="522"/>
      <c r="CL142" s="522"/>
    </row>
    <row r="143" spans="1:90" s="212" customFormat="1" ht="19.5" hidden="1" customHeight="1" thickBot="1" x14ac:dyDescent="0.3">
      <c r="A143" s="694"/>
      <c r="B143" s="694"/>
      <c r="C143" s="695"/>
      <c r="D143" s="695"/>
      <c r="E143" s="695"/>
      <c r="F143" s="695"/>
      <c r="G143" s="713"/>
      <c r="H143" s="694"/>
      <c r="I143" s="714"/>
      <c r="J143" s="694"/>
      <c r="K143" s="713"/>
      <c r="L143" s="694"/>
      <c r="M143" s="695"/>
      <c r="N143" s="97"/>
      <c r="O143" s="58"/>
      <c r="P143" s="695"/>
      <c r="Q143" s="97"/>
      <c r="R143" s="58"/>
      <c r="S143" s="695"/>
      <c r="T143" s="97"/>
      <c r="U143" s="58"/>
      <c r="V143" s="695"/>
      <c r="W143" s="97"/>
      <c r="X143" s="58"/>
      <c r="Y143" s="695"/>
      <c r="Z143" s="97"/>
      <c r="AA143" s="90"/>
      <c r="AB143" s="319"/>
      <c r="AC143" s="320"/>
      <c r="AD143" s="321"/>
      <c r="AI143" s="300"/>
      <c r="AX143" s="225"/>
      <c r="AY143" s="328"/>
      <c r="AZ143" s="328"/>
      <c r="BA143" s="328"/>
      <c r="BB143" s="328"/>
      <c r="BC143" s="328"/>
      <c r="BD143" s="328"/>
      <c r="BE143" s="328"/>
      <c r="BF143" s="328"/>
      <c r="BG143" s="328"/>
      <c r="BH143" s="328"/>
      <c r="BI143" s="328"/>
      <c r="BJ143" s="328"/>
      <c r="BK143" s="328"/>
      <c r="BL143" s="328"/>
      <c r="BM143" s="328"/>
      <c r="BN143" s="328"/>
      <c r="BO143" s="328"/>
      <c r="BP143" s="328"/>
      <c r="BQ143" s="328"/>
      <c r="BR143" s="328"/>
      <c r="BS143" s="369"/>
      <c r="BT143" s="233"/>
      <c r="BU143" s="233"/>
      <c r="BV143" s="222"/>
      <c r="BW143" s="233"/>
      <c r="BX143" s="222"/>
      <c r="BY143" s="211"/>
      <c r="BZ143" s="222"/>
      <c r="CA143" s="222"/>
      <c r="CB143" s="225"/>
      <c r="CC143" s="225"/>
      <c r="CD143" s="225"/>
      <c r="CE143" s="225"/>
      <c r="CF143" s="225"/>
      <c r="CG143" s="300"/>
      <c r="CH143" s="300"/>
      <c r="CI143" s="300"/>
      <c r="CJ143" s="522"/>
      <c r="CK143" s="522"/>
      <c r="CL143" s="522"/>
    </row>
    <row r="144" spans="1:90" s="212" customFormat="1" ht="30" customHeight="1" x14ac:dyDescent="0.25">
      <c r="A144" s="552"/>
      <c r="B144" s="322"/>
      <c r="C144" s="323" t="s">
        <v>569</v>
      </c>
      <c r="D144" s="1836">
        <v>1</v>
      </c>
      <c r="E144" s="89"/>
      <c r="F144" s="89"/>
      <c r="G144" s="89"/>
      <c r="H144" s="1836">
        <v>0.25</v>
      </c>
      <c r="I144" s="1836">
        <v>250</v>
      </c>
      <c r="J144" s="1836">
        <v>0</v>
      </c>
      <c r="K144" s="1836">
        <v>0</v>
      </c>
      <c r="L144" s="1836">
        <v>0</v>
      </c>
      <c r="M144" s="91">
        <f>IF($I144=0,0,1+($I144-$C$21)/$C$22)+$J144/$C$23+$K144/$C$24+$L144/$C$25</f>
        <v>7.4545454545454541</v>
      </c>
      <c r="N144" s="92">
        <f t="shared" ref="N144:N162" si="17">10^(-M144)</f>
        <v>3.5111917342151263E-8</v>
      </c>
      <c r="O144" s="93">
        <f>$C$7*$C$14*$C$8*$H144/$D144^2*N144*10^6</f>
        <v>7.022383468430253E-2</v>
      </c>
      <c r="P144" s="91">
        <f>IF($I144=0,0,1+($I144-$D$21)/$D$22)+$J144/$D$23+$K144/$D$24+$L144/$D$25</f>
        <v>6.6486486486486482</v>
      </c>
      <c r="Q144" s="92">
        <f t="shared" ref="Q144:Q162" si="18">10^(-P144)</f>
        <v>2.2456979955397711E-7</v>
      </c>
      <c r="R144" s="93">
        <f>$C$7*$D$14*$D$8*$H144/$D144^2*$Q144*10^6</f>
        <v>0.4491395991079542</v>
      </c>
      <c r="S144" s="93">
        <f>IF($I144=0,0,1+(I144-$E$21)/$E$22)+$J144/$E$23+K144/$E$24+$L144/$E$25</f>
        <v>5.7674418604651159</v>
      </c>
      <c r="T144" s="92">
        <f t="shared" ref="T144:T162" si="19">10^(-S144)</f>
        <v>1.7082763938087111E-6</v>
      </c>
      <c r="U144" s="93">
        <f>$C$7*$E$14*$E$8*$H144/$D144^2*$T144*10^6</f>
        <v>3.4165527876174222</v>
      </c>
      <c r="V144" s="93">
        <f>IF($I144=0,0,1+(I144-$F$21)/$F$22)+$J144/$F$23+K144/$F$24+$L144/$F$25</f>
        <v>9.1481481481481488</v>
      </c>
      <c r="W144" s="92">
        <f t="shared" ref="W144:W162" si="20">10^(-V144)</f>
        <v>7.1097094323124171E-10</v>
      </c>
      <c r="X144" s="93">
        <f>$C$7*$F$14*$F$8*$H144/$D144^2*$W144*10^6</f>
        <v>1.4219418864624834E-3</v>
      </c>
      <c r="Y144" s="93">
        <f>IF($I144=0,0,1+(I144-$G$21)/$G$22)+$J144/$G$23+K144/$G$24+$L144/$G$25</f>
        <v>6.9444444444444446</v>
      </c>
      <c r="Z144" s="92">
        <f t="shared" ref="Z144:Z162" si="21">10^(-Y144)</f>
        <v>1.136463666385722E-7</v>
      </c>
      <c r="AA144" s="94">
        <f>$C$7*$G$14*$G$8*$H144/$D144^2*$Z144*10^6</f>
        <v>0.22729273327714439</v>
      </c>
      <c r="AB144" s="553">
        <f>SUM(O144,R144,U144,X144,AA144)</f>
        <v>4.1646308965732857</v>
      </c>
      <c r="AC144" s="554"/>
      <c r="AD144" s="555"/>
      <c r="AE144" s="538"/>
      <c r="AF144" s="538"/>
      <c r="AG144" s="538"/>
      <c r="AH144" s="556"/>
      <c r="AI144" s="551"/>
      <c r="AJ144" s="551"/>
      <c r="AK144" s="551"/>
      <c r="AL144" s="538"/>
      <c r="AM144" s="538"/>
      <c r="AN144" s="538"/>
      <c r="AO144" s="538"/>
      <c r="AP144" s="538"/>
      <c r="AQ144" s="538"/>
      <c r="AR144" s="538"/>
      <c r="AS144" s="538"/>
      <c r="AT144" s="538"/>
      <c r="AU144" s="538"/>
      <c r="AV144" s="538"/>
      <c r="AW144" s="538"/>
      <c r="AX144" s="545"/>
      <c r="AY144" s="328"/>
      <c r="AZ144" s="328"/>
      <c r="BA144" s="328"/>
      <c r="BB144" s="328"/>
      <c r="BC144" s="328"/>
      <c r="BD144" s="328"/>
      <c r="BE144" s="328"/>
      <c r="BF144" s="328"/>
      <c r="BG144" s="328"/>
      <c r="BH144" s="328"/>
      <c r="BI144" s="328"/>
      <c r="BJ144" s="328"/>
      <c r="BK144" s="328"/>
      <c r="BL144" s="328"/>
      <c r="BM144" s="328"/>
      <c r="BN144" s="328"/>
      <c r="BO144" s="328"/>
      <c r="BP144" s="328"/>
      <c r="BQ144" s="328"/>
      <c r="BR144" s="328"/>
      <c r="BS144" s="369"/>
      <c r="BT144" s="233"/>
      <c r="BU144" s="233"/>
      <c r="BV144" s="222"/>
      <c r="BW144" s="222"/>
      <c r="BX144" s="222"/>
      <c r="BY144" s="211"/>
      <c r="BZ144" s="222"/>
      <c r="CA144" s="222"/>
      <c r="CB144" s="225"/>
      <c r="CC144" s="225"/>
      <c r="CD144" s="225"/>
      <c r="CE144" s="225"/>
      <c r="CF144" s="225"/>
      <c r="CG144" s="300"/>
      <c r="CH144" s="300"/>
      <c r="CI144" s="300"/>
      <c r="CJ144" s="522"/>
      <c r="CK144" s="522"/>
      <c r="CL144" s="522"/>
    </row>
    <row r="145" spans="1:90" s="212" customFormat="1" ht="30" customHeight="1" x14ac:dyDescent="0.25">
      <c r="A145" s="557" t="str">
        <f>Samenvatting!A332</f>
        <v>T1</v>
      </c>
      <c r="B145" s="558" t="str">
        <f>Samenvatting!B332</f>
        <v>terreingrens 1</v>
      </c>
      <c r="C145" s="331" t="s">
        <v>568</v>
      </c>
      <c r="D145" s="1836">
        <v>25</v>
      </c>
      <c r="E145" s="89"/>
      <c r="F145" s="89"/>
      <c r="G145" s="89"/>
      <c r="H145" s="559"/>
      <c r="I145" s="1836">
        <v>250</v>
      </c>
      <c r="J145" s="1836">
        <v>0</v>
      </c>
      <c r="K145" s="1836">
        <v>0</v>
      </c>
      <c r="L145" s="1836">
        <v>0</v>
      </c>
      <c r="M145" s="93">
        <f>$I145/$C$27+$J145/$C$28+K145/$C$29+$L145/$C$30</f>
        <v>7.3529411764705879</v>
      </c>
      <c r="N145" s="92">
        <f t="shared" si="17"/>
        <v>4.4366873309786093E-8</v>
      </c>
      <c r="O145" s="93">
        <f>$C$7*$C$15*$C$8*($C$9+$C$10*$C$11)/$D145^2*$N145*10^6</f>
        <v>4.2592198377394652E-5</v>
      </c>
      <c r="P145" s="93">
        <f>$I145/$D$27+$J145/$D$28+K145/$D$29+$L145/$D$30</f>
        <v>6.5789473684210522</v>
      </c>
      <c r="Q145" s="92">
        <f t="shared" si="18"/>
        <v>2.636650898730358E-7</v>
      </c>
      <c r="R145" s="93">
        <f>$C$7*$C$15*$D$8*($D$9+$D$10*$D$11)/$D145^2*$Q145*10^6</f>
        <v>2.5311848627811444E-4</v>
      </c>
      <c r="S145" s="93">
        <f>$I145/$E$27+$J145/$E$28+K145/$E$29+$L145/$E$30</f>
        <v>5.6818181818181817</v>
      </c>
      <c r="T145" s="92">
        <f t="shared" si="19"/>
        <v>2.0805675382171676E-6</v>
      </c>
      <c r="U145" s="93">
        <f>$C$7*$C$15*$E$8*($E$9+$E$10*$E$11)/$D145^2*$T145*10^6</f>
        <v>1.9973448366884814E-3</v>
      </c>
      <c r="V145" s="93">
        <f>$I145/$F$27+$J145/$F$28+K145/$F$29+$L145/$F$30</f>
        <v>8.1967213114754092</v>
      </c>
      <c r="W145" s="92">
        <f t="shared" si="20"/>
        <v>6.3573875711648393E-9</v>
      </c>
      <c r="X145" s="93">
        <f>$C$7*$C$15*$F$8*($F$9+$F$10*$F$11)/$D145^2*$W145*10^6</f>
        <v>6.1030920683182469E-6</v>
      </c>
      <c r="Y145" s="93">
        <f>$I145/$G$27+$J145/$G$28+K145/$G$29+$L145/$G$30</f>
        <v>7.0224719101123592</v>
      </c>
      <c r="Z145" s="92">
        <f t="shared" si="21"/>
        <v>9.4957241494880226E-8</v>
      </c>
      <c r="AA145" s="94">
        <f>$C$7*$C$15*$G$8*($G$9+$G$10*$G$11)/$D145^2*$Z145*10^6</f>
        <v>9.1158951835085031E-5</v>
      </c>
      <c r="AB145" s="560">
        <f>SUM(O145,R145,U145,X145,AA145)</f>
        <v>2.3903175652473939E-3</v>
      </c>
      <c r="AC145" s="561">
        <f>SUM(AB143:AB148)</f>
        <v>4.1670929152189826</v>
      </c>
      <c r="AD145" s="562">
        <f>AC145*52/10^3</f>
        <v>0.2166888315913871</v>
      </c>
      <c r="AE145" s="538"/>
      <c r="AF145" s="538"/>
      <c r="AG145" s="538"/>
      <c r="AH145" s="556"/>
      <c r="AI145" s="563"/>
      <c r="AJ145" s="551"/>
      <c r="AK145" s="551"/>
      <c r="AL145" s="538"/>
      <c r="AM145" s="538"/>
      <c r="AN145" s="538"/>
      <c r="AO145" s="538"/>
      <c r="AP145" s="538"/>
      <c r="AQ145" s="538"/>
      <c r="AR145" s="538"/>
      <c r="AS145" s="538"/>
      <c r="AT145" s="538"/>
      <c r="AU145" s="538"/>
      <c r="AV145" s="538"/>
      <c r="AW145" s="538"/>
      <c r="AX145" s="545"/>
      <c r="AY145" s="545"/>
      <c r="AZ145" s="545"/>
      <c r="BA145" s="545"/>
      <c r="BB145" s="328"/>
      <c r="BC145" s="328"/>
      <c r="BD145" s="328"/>
      <c r="BE145" s="328"/>
      <c r="BF145" s="328"/>
      <c r="BG145" s="328"/>
      <c r="BH145" s="328"/>
      <c r="BI145" s="328"/>
      <c r="BJ145" s="328"/>
      <c r="BK145" s="328"/>
      <c r="BL145" s="328"/>
      <c r="BM145" s="328"/>
      <c r="BN145" s="328"/>
      <c r="BO145" s="328"/>
      <c r="BP145" s="328"/>
      <c r="BQ145" s="328"/>
      <c r="BR145" s="328"/>
      <c r="BS145" s="369"/>
      <c r="BT145" s="233"/>
      <c r="BU145" s="233"/>
      <c r="BV145" s="222"/>
      <c r="BW145" s="222"/>
      <c r="BX145" s="222"/>
      <c r="BY145" s="211"/>
      <c r="BZ145" s="222"/>
      <c r="CA145" s="222"/>
      <c r="CB145" s="225"/>
      <c r="CC145" s="225"/>
      <c r="CD145" s="225"/>
      <c r="CE145" s="225"/>
      <c r="CF145" s="225"/>
      <c r="CG145" s="300"/>
      <c r="CH145" s="300"/>
      <c r="CI145" s="300"/>
      <c r="CJ145" s="522"/>
      <c r="CK145" s="522"/>
      <c r="CL145" s="522"/>
    </row>
    <row r="146" spans="1:90" s="212" customFormat="1" ht="30" customHeight="1" x14ac:dyDescent="0.25">
      <c r="A146" s="557"/>
      <c r="B146" s="558"/>
      <c r="C146" s="331" t="s">
        <v>26</v>
      </c>
      <c r="D146" s="564"/>
      <c r="E146" s="1836">
        <v>11</v>
      </c>
      <c r="F146" s="89">
        <f>D145</f>
        <v>25</v>
      </c>
      <c r="G146" s="1836">
        <v>15</v>
      </c>
      <c r="H146" s="1836">
        <v>0.25</v>
      </c>
      <c r="I146" s="1836">
        <v>210</v>
      </c>
      <c r="J146" s="1836">
        <v>0</v>
      </c>
      <c r="K146" s="1836">
        <v>0</v>
      </c>
      <c r="L146" s="1836">
        <v>0</v>
      </c>
      <c r="M146" s="93">
        <f>IF($I146=0,0,1+(I146-$C$21)/$C$22)+$J146/$C$23+K146/$C$24+$L146/$C$25</f>
        <v>6.2424242424242422</v>
      </c>
      <c r="N146" s="92">
        <f t="shared" si="17"/>
        <v>5.722367659350211E-7</v>
      </c>
      <c r="O146" s="95">
        <f>2.5*0.01*$C$7*$C$14*$C$8*$H146*(2*PI()*(1-COS($G146/180*PI())))^1.3/$E146^2/$F146^2*N146*10^6</f>
        <v>5.101138747051231E-8</v>
      </c>
      <c r="P146" s="91">
        <f>IF($I146=0,0,1+($I146-$D$21)/$D$22)+$J146/$D$23+$K146/$D$24+$L146/$D$25</f>
        <v>5.5675675675675675</v>
      </c>
      <c r="Q146" s="92">
        <f t="shared" si="18"/>
        <v>2.7066520700332395E-6</v>
      </c>
      <c r="R146" s="95">
        <f>2.5*0.01*$C$7*$D$14*$D$8*$H146*(2*PI()*(1-COS($G146/180*PI())))^1.3/$E146^2/$F146^2*Q146*10^6</f>
        <v>2.4128138160910826E-7</v>
      </c>
      <c r="S146" s="93">
        <f>IF($I146=0,0,1+(I146-$E$21)/$E$22)+$J146/$E$23+K146/$E$24+$L146/$E$25</f>
        <v>4.8372093023255811</v>
      </c>
      <c r="T146" s="92">
        <f t="shared" si="19"/>
        <v>1.4547578108480478E-5</v>
      </c>
      <c r="U146" s="95">
        <f>2.5*0.01*$C$7*$E$14*$E$8*$H146*(2*PI()*(1-COS($G146/180*PI())))^1.3/$E146^2/$F146^2*T146*10^6</f>
        <v>1.2968270964496306E-6</v>
      </c>
      <c r="V146" s="93">
        <f>IF($I146=0,0,1+(I146-$F$21)/$F$22)+$J146/$F$23+K146/$F$24+$L146/$F$25</f>
        <v>7.666666666666667</v>
      </c>
      <c r="W146" s="92">
        <f t="shared" si="20"/>
        <v>2.1544346900318783E-8</v>
      </c>
      <c r="X146" s="95">
        <f>2.5*0.01*$C$7*$F$14*$F$8*$H146*(2*PI()*(1-COS($G146/180*PI())))^1.3/$E146^2/$F146^2*W146*10^6</f>
        <v>1.920545992418962E-9</v>
      </c>
      <c r="Y146" s="93">
        <f>IF($I146=0,0,1+(I146-$G$21)/$G$22)+$J146/$G$23+K146/$G$24+$L146/$G$25</f>
        <v>5.833333333333333</v>
      </c>
      <c r="Z146" s="92">
        <f t="shared" si="21"/>
        <v>1.4677992676220696E-6</v>
      </c>
      <c r="AA146" s="96">
        <f>2.5*0.01*$C$7*$G$14*$G$8*$H146*(2*PI()*(1-COS($G146/180*PI())))^1.3/$E146^2/$F146^2*Z146*10^6</f>
        <v>1.3084527528960935E-7</v>
      </c>
      <c r="AB146" s="560">
        <f>SUM(O146,R146,U146,X146,AA146)</f>
        <v>1.7218856868112794E-6</v>
      </c>
      <c r="AC146" s="565"/>
      <c r="AD146" s="566"/>
      <c r="AE146" s="538"/>
      <c r="AF146" s="538"/>
      <c r="AG146" s="567"/>
      <c r="AH146" s="538"/>
      <c r="AI146" s="563"/>
      <c r="AJ146" s="545"/>
      <c r="AK146" s="545"/>
      <c r="AL146" s="538"/>
      <c r="AM146" s="538"/>
      <c r="AN146" s="538"/>
      <c r="AO146" s="538"/>
      <c r="AP146" s="538"/>
      <c r="AQ146" s="538"/>
      <c r="AR146" s="538"/>
      <c r="AS146" s="538"/>
      <c r="AT146" s="538"/>
      <c r="AU146" s="538"/>
      <c r="AV146" s="538"/>
      <c r="AW146" s="538"/>
      <c r="AX146" s="545"/>
      <c r="AY146" s="545"/>
      <c r="AZ146" s="545"/>
      <c r="BA146" s="545"/>
      <c r="BB146" s="328"/>
      <c r="BC146" s="328"/>
      <c r="BD146" s="328"/>
      <c r="BE146" s="328"/>
      <c r="BF146" s="328"/>
      <c r="BG146" s="328"/>
      <c r="BH146" s="328"/>
      <c r="BI146" s="328"/>
      <c r="BJ146" s="328"/>
      <c r="BK146" s="328"/>
      <c r="BL146" s="328"/>
      <c r="BM146" s="328"/>
      <c r="BN146" s="328"/>
      <c r="BO146" s="328"/>
      <c r="BP146" s="328"/>
      <c r="BQ146" s="328"/>
      <c r="BR146" s="328"/>
      <c r="BS146" s="369"/>
      <c r="BT146" s="233"/>
      <c r="BU146" s="233"/>
      <c r="BV146" s="222"/>
      <c r="BW146" s="222"/>
      <c r="BX146" s="222"/>
      <c r="BY146" s="211"/>
      <c r="BZ146" s="222"/>
      <c r="CA146" s="222"/>
      <c r="CB146" s="225"/>
      <c r="CC146" s="225"/>
      <c r="CD146" s="225"/>
      <c r="CE146" s="225"/>
      <c r="CF146" s="225"/>
      <c r="CG146" s="300"/>
      <c r="CH146" s="300"/>
      <c r="CI146" s="300"/>
      <c r="CJ146" s="522"/>
      <c r="CK146" s="522"/>
      <c r="CL146" s="522"/>
    </row>
    <row r="147" spans="1:90" s="538" customFormat="1" ht="30" customHeight="1" thickBot="1" x14ac:dyDescent="0.3">
      <c r="A147" s="557"/>
      <c r="B147" s="558"/>
      <c r="C147" s="331" t="s">
        <v>27</v>
      </c>
      <c r="D147" s="89"/>
      <c r="E147" s="1836">
        <v>10</v>
      </c>
      <c r="F147" s="89"/>
      <c r="G147" s="1836">
        <v>60</v>
      </c>
      <c r="H147" s="568"/>
      <c r="I147" s="1836">
        <v>190</v>
      </c>
      <c r="J147" s="1836">
        <v>0</v>
      </c>
      <c r="K147" s="1836">
        <v>0</v>
      </c>
      <c r="L147" s="1836">
        <v>0</v>
      </c>
      <c r="M147" s="93">
        <f>$I147/$C$27+$J147/$C$28+K147/$C$29+$L147/$C$30</f>
        <v>5.5882352941176467</v>
      </c>
      <c r="N147" s="92">
        <f t="shared" si="17"/>
        <v>2.580861540418073E-6</v>
      </c>
      <c r="O147" s="95">
        <f>2.5*0.01*$C$7*$C$15*$C$8*($C$9+$C$10*$C$11)*(2*PI()*(1-COS($G147/180*PI())))^1.3/E$147^2/$F146^2*N147*10^6</f>
        <v>2.7432840731901286E-6</v>
      </c>
      <c r="P147" s="93">
        <f>$I147/$D$27+$J147/$D$28+K147/$D$29+$L147/$D$30</f>
        <v>5</v>
      </c>
      <c r="Q147" s="92">
        <f t="shared" si="18"/>
        <v>1.0000000000000001E-5</v>
      </c>
      <c r="R147" s="95">
        <f>2.5*0.01*$C$7*$C$15*$D$8*($D$9+$D$10*$D$11)*(2*PI()*(1-COS($G147/180*PI())))^1.3/$E147^2/$F146^2*Q147*10^6</f>
        <v>1.0629334546733355E-5</v>
      </c>
      <c r="S147" s="93">
        <f>$I147/$E$27+$J147/$E$28+K147/$E$29+$L147/$E$30</f>
        <v>4.3181818181818183</v>
      </c>
      <c r="T147" s="92">
        <f t="shared" si="19"/>
        <v>4.8063808630643867E-5</v>
      </c>
      <c r="U147" s="95">
        <f>2.5*0.01*$C$7*$C$15*$E$8*($E$9+$E$10*$E$11)*(2*PI()*(1-COS($G147/180*PI())))^1.3/$E147^2/$F146^2*T147*10^6</f>
        <v>5.1088630152528366E-5</v>
      </c>
      <c r="V147" s="93">
        <f>$I147/$F$27+$J147/$F$28+K147/$F$29+$L147/$F$30</f>
        <v>6.2295081967213113</v>
      </c>
      <c r="W147" s="92">
        <f t="shared" si="20"/>
        <v>5.8951085074002664E-7</v>
      </c>
      <c r="X147" s="95">
        <f>2.5*0.01*$C$7*$C$15*$F$8*($F$9+$F$10*$F$11)*(2*PI()*(1-COS($G147/180*PI())))^1.3/$E147^2/$F146^2*W147*10^6</f>
        <v>6.2661080514451354E-7</v>
      </c>
      <c r="Y147" s="93">
        <f>$I147/$G$27+$J147/$G$28+K147/$G$29+$L147/$G$30</f>
        <v>5.3370786516853927</v>
      </c>
      <c r="Z147" s="92">
        <f t="shared" si="21"/>
        <v>4.6017322765137984E-6</v>
      </c>
      <c r="AA147" s="96">
        <f>2.5*0.01*$C$7*$C$15*$G$8*($G$9+$G$10*$G$11)*(2*PI()*(1-COS($G147/180*PI())))^1.3/$E147^2/$F146^2*Z147*10^6</f>
        <v>4.891335186156605E-6</v>
      </c>
      <c r="AB147" s="569">
        <f>SUM(O147,R147,U147,X147,AA147)</f>
        <v>6.9979194763752965E-5</v>
      </c>
      <c r="AC147" s="570"/>
      <c r="AD147" s="571"/>
      <c r="AH147" s="572"/>
      <c r="AI147" s="573"/>
      <c r="AJ147" s="563"/>
      <c r="AK147" s="551"/>
      <c r="AX147" s="545"/>
      <c r="AY147" s="545"/>
      <c r="AZ147" s="545"/>
      <c r="BA147" s="545"/>
      <c r="BB147" s="545"/>
      <c r="BC147" s="545"/>
      <c r="BD147" s="545"/>
      <c r="BE147" s="545"/>
      <c r="BF147" s="545"/>
      <c r="BG147" s="545"/>
      <c r="BH147" s="545"/>
      <c r="BI147" s="545"/>
      <c r="BJ147" s="545"/>
      <c r="BK147" s="545"/>
      <c r="BL147" s="545"/>
      <c r="BM147" s="545"/>
      <c r="BN147" s="545"/>
      <c r="BO147" s="545"/>
      <c r="BP147" s="545"/>
      <c r="BQ147" s="545"/>
      <c r="BR147" s="545"/>
      <c r="BS147" s="545"/>
      <c r="BT147" s="545"/>
      <c r="BU147" s="545"/>
      <c r="BV147" s="545"/>
      <c r="BW147" s="545"/>
      <c r="BX147" s="545"/>
      <c r="BY147" s="545"/>
      <c r="BZ147" s="545"/>
    </row>
    <row r="148" spans="1:90" s="212" customFormat="1" ht="30" hidden="1" customHeight="1" thickBot="1" x14ac:dyDescent="0.3">
      <c r="A148" s="574"/>
      <c r="B148" s="575"/>
      <c r="C148" s="576"/>
      <c r="D148" s="89"/>
      <c r="E148" s="89"/>
      <c r="F148" s="89"/>
      <c r="G148" s="89"/>
      <c r="H148" s="1837"/>
      <c r="I148" s="1837"/>
      <c r="J148" s="1837"/>
      <c r="K148" s="1837"/>
      <c r="L148" s="1837"/>
      <c r="M148" s="91"/>
      <c r="N148" s="97"/>
      <c r="O148" s="98"/>
      <c r="P148" s="91"/>
      <c r="Q148" s="97"/>
      <c r="R148" s="98"/>
      <c r="S148" s="91"/>
      <c r="T148" s="97"/>
      <c r="U148" s="98"/>
      <c r="V148" s="91"/>
      <c r="W148" s="97"/>
      <c r="X148" s="98"/>
      <c r="Y148" s="91"/>
      <c r="Z148" s="97"/>
      <c r="AA148" s="99"/>
      <c r="AB148" s="577"/>
      <c r="AC148" s="578"/>
      <c r="AD148" s="579"/>
      <c r="AH148" s="580"/>
      <c r="AI148" s="581"/>
      <c r="AJ148" s="282"/>
      <c r="AK148" s="300"/>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25"/>
      <c r="BZ148" s="225"/>
    </row>
    <row r="149" spans="1:90" s="212" customFormat="1" ht="30" customHeight="1" x14ac:dyDescent="0.25">
      <c r="A149" s="552"/>
      <c r="B149" s="322"/>
      <c r="C149" s="323" t="s">
        <v>569</v>
      </c>
      <c r="D149" s="1836">
        <v>1</v>
      </c>
      <c r="E149" s="89"/>
      <c r="F149" s="89"/>
      <c r="G149" s="89"/>
      <c r="H149" s="1836">
        <v>0.25</v>
      </c>
      <c r="I149" s="1836">
        <v>250</v>
      </c>
      <c r="J149" s="1836">
        <v>0</v>
      </c>
      <c r="K149" s="1836">
        <v>0</v>
      </c>
      <c r="L149" s="1836">
        <v>0</v>
      </c>
      <c r="M149" s="91">
        <f>IF($I149=0,0,1+($I149-$C$21)/$C$22)+$J149/$C$23+$K149/$C$24+$L149/$C$25</f>
        <v>7.4545454545454541</v>
      </c>
      <c r="N149" s="92">
        <f t="shared" si="17"/>
        <v>3.5111917342151263E-8</v>
      </c>
      <c r="O149" s="93">
        <f>$C$7*$C$14*$C$8*$H149/$D149^2*N149*10^6</f>
        <v>7.022383468430253E-2</v>
      </c>
      <c r="P149" s="91">
        <f>IF($I149=0,0,1+($I149-$D$21)/$D$22)+$J149/$D$23+$K149/$D$24+$L149/$D$25</f>
        <v>6.6486486486486482</v>
      </c>
      <c r="Q149" s="92">
        <f t="shared" si="18"/>
        <v>2.2456979955397711E-7</v>
      </c>
      <c r="R149" s="93">
        <f>$C$7*$D$14*$D$8*$H149/$D149^2*$Q149*10^6</f>
        <v>0.4491395991079542</v>
      </c>
      <c r="S149" s="93">
        <f>IF($I149=0,0,1+(I149-$E$21)/$E$22)+$J149/$E$23+K149/$E$24+$L149/$E$25</f>
        <v>5.7674418604651159</v>
      </c>
      <c r="T149" s="92">
        <f t="shared" si="19"/>
        <v>1.7082763938087111E-6</v>
      </c>
      <c r="U149" s="93">
        <f>$C$7*$E$14*$E$8*$H149/$D149^2*$T149*10^6</f>
        <v>3.4165527876174222</v>
      </c>
      <c r="V149" s="93">
        <f>IF($I149=0,0,1+(I149-$F$21)/$F$22)+$J149/$F$23+K149/$F$24+$L149/$F$25</f>
        <v>9.1481481481481488</v>
      </c>
      <c r="W149" s="92">
        <f t="shared" si="20"/>
        <v>7.1097094323124171E-10</v>
      </c>
      <c r="X149" s="93">
        <f>$C$7*$F$14*$F$8*$H149/$D149^2*$W149*10^6</f>
        <v>1.4219418864624834E-3</v>
      </c>
      <c r="Y149" s="93">
        <f>IF($I149=0,0,1+(I149-$G$21)/$G$22)+$J149/$G$23+K149/$G$24+$L149/$G$25</f>
        <v>6.9444444444444446</v>
      </c>
      <c r="Z149" s="92">
        <f t="shared" si="21"/>
        <v>1.136463666385722E-7</v>
      </c>
      <c r="AA149" s="94">
        <f>$C$7*$G$14*$G$8*$H149/$D149^2*$Z149*10^6</f>
        <v>0.22729273327714439</v>
      </c>
      <c r="AB149" s="553">
        <f>SUM(O149,R149,U149,X149,AA149)</f>
        <v>4.1646308965732857</v>
      </c>
      <c r="AC149" s="554"/>
      <c r="AD149" s="555"/>
      <c r="AE149" s="538"/>
      <c r="AF149" s="538"/>
      <c r="AG149" s="538"/>
      <c r="AH149" s="556"/>
      <c r="AI149" s="551"/>
      <c r="AJ149" s="551"/>
      <c r="AK149" s="551"/>
      <c r="AL149" s="538"/>
      <c r="AM149" s="538"/>
      <c r="AN149" s="538"/>
      <c r="AO149" s="538"/>
      <c r="AP149" s="538"/>
      <c r="AQ149" s="538"/>
      <c r="AR149" s="538"/>
      <c r="AS149" s="538"/>
      <c r="AT149" s="538"/>
      <c r="AU149" s="538"/>
      <c r="AV149" s="538"/>
      <c r="AW149" s="538"/>
      <c r="AX149" s="545"/>
      <c r="AY149" s="328"/>
      <c r="AZ149" s="328"/>
      <c r="BA149" s="328"/>
      <c r="BB149" s="328"/>
      <c r="BC149" s="328"/>
      <c r="BD149" s="328"/>
      <c r="BE149" s="328"/>
      <c r="BF149" s="328"/>
      <c r="BG149" s="328"/>
      <c r="BH149" s="328"/>
      <c r="BI149" s="328"/>
      <c r="BJ149" s="328"/>
      <c r="BK149" s="328"/>
      <c r="BL149" s="328"/>
      <c r="BM149" s="328"/>
      <c r="BN149" s="328"/>
      <c r="BO149" s="328"/>
      <c r="BP149" s="328"/>
      <c r="BQ149" s="328"/>
      <c r="BR149" s="328"/>
      <c r="BS149" s="369"/>
      <c r="BT149" s="233"/>
      <c r="BU149" s="233"/>
      <c r="BV149" s="222"/>
      <c r="BW149" s="222"/>
      <c r="BX149" s="222"/>
      <c r="BY149" s="211"/>
      <c r="BZ149" s="222"/>
      <c r="CA149" s="222"/>
      <c r="CB149" s="225"/>
      <c r="CC149" s="225"/>
      <c r="CD149" s="225"/>
      <c r="CE149" s="225"/>
      <c r="CF149" s="225"/>
      <c r="CG149" s="300"/>
      <c r="CH149" s="300"/>
      <c r="CI149" s="300"/>
      <c r="CJ149" s="522"/>
      <c r="CK149" s="522"/>
      <c r="CL149" s="522"/>
    </row>
    <row r="150" spans="1:90" s="212" customFormat="1" ht="30" customHeight="1" x14ac:dyDescent="0.25">
      <c r="A150" s="557" t="str">
        <f>Samenvatting!A343</f>
        <v>T2</v>
      </c>
      <c r="B150" s="558" t="str">
        <f>Samenvatting!B343</f>
        <v>terreingrens 2</v>
      </c>
      <c r="C150" s="331" t="s">
        <v>568</v>
      </c>
      <c r="D150" s="1836">
        <v>25</v>
      </c>
      <c r="E150" s="89"/>
      <c r="F150" s="89"/>
      <c r="G150" s="89"/>
      <c r="H150" s="559"/>
      <c r="I150" s="1836">
        <v>250</v>
      </c>
      <c r="J150" s="1836">
        <v>0</v>
      </c>
      <c r="K150" s="1836">
        <v>0</v>
      </c>
      <c r="L150" s="1836">
        <v>0</v>
      </c>
      <c r="M150" s="93">
        <f>$I150/$C$27+$J150/$C$28+K150/$C$29+$L150/$C$30</f>
        <v>7.3529411764705879</v>
      </c>
      <c r="N150" s="92">
        <f t="shared" si="17"/>
        <v>4.4366873309786093E-8</v>
      </c>
      <c r="O150" s="93">
        <f>$C$7*$C$15*$C$8*($C$9+$C$10*$C$11)/$D150^2*$N150*10^6</f>
        <v>4.2592198377394652E-5</v>
      </c>
      <c r="P150" s="93">
        <f>$I150/$D$27+$J150/$D$28+K150/$D$29+$L150/$D$30</f>
        <v>6.5789473684210522</v>
      </c>
      <c r="Q150" s="92">
        <f t="shared" si="18"/>
        <v>2.636650898730358E-7</v>
      </c>
      <c r="R150" s="93">
        <f>$C$7*$C$15*$D$8*($D$9+$D$10*$D$11)/$D150^2*$Q150*10^6</f>
        <v>2.5311848627811444E-4</v>
      </c>
      <c r="S150" s="93">
        <f>$I150/$E$27+$J150/$E$28+K150/$E$29+$L150/$E$30</f>
        <v>5.6818181818181817</v>
      </c>
      <c r="T150" s="92">
        <f t="shared" si="19"/>
        <v>2.0805675382171676E-6</v>
      </c>
      <c r="U150" s="93">
        <f>$C$7*$C$15*$E$8*($E$9+$E$10*$E$11)/$D150^2*$T150*10^6</f>
        <v>1.9973448366884814E-3</v>
      </c>
      <c r="V150" s="93">
        <f>$I150/$F$27+$J150/$F$28+K150/$F$29+$L150/$F$30</f>
        <v>8.1967213114754092</v>
      </c>
      <c r="W150" s="92">
        <f t="shared" si="20"/>
        <v>6.3573875711648393E-9</v>
      </c>
      <c r="X150" s="93">
        <f>$C$7*$C$15*$F$8*($F$9+$F$10*$F$11)/$D150^2*$W150*10^6</f>
        <v>6.1030920683182469E-6</v>
      </c>
      <c r="Y150" s="93">
        <f>$I150/$G$27+$J150/$G$28+K150/$G$29+$L150/$G$30</f>
        <v>7.0224719101123592</v>
      </c>
      <c r="Z150" s="92">
        <f t="shared" si="21"/>
        <v>9.4957241494880226E-8</v>
      </c>
      <c r="AA150" s="94">
        <f>$C$7*$C$15*$G$8*($G$9+$G$10*$G$11)/$D150^2*$Z150*10^6</f>
        <v>9.1158951835085031E-5</v>
      </c>
      <c r="AB150" s="560">
        <f>SUM(O150,R150,U150,X150,AA150)</f>
        <v>2.3903175652473939E-3</v>
      </c>
      <c r="AC150" s="561">
        <f>SUM(AB148:AB153)</f>
        <v>4.1670929152189826</v>
      </c>
      <c r="AD150" s="562">
        <f>AC150*52/10^3</f>
        <v>0.2166888315913871</v>
      </c>
      <c r="AE150" s="538"/>
      <c r="AF150" s="538"/>
      <c r="AG150" s="538"/>
      <c r="AH150" s="556"/>
      <c r="AI150" s="563"/>
      <c r="AJ150" s="551"/>
      <c r="AK150" s="551"/>
      <c r="AL150" s="538"/>
      <c r="AM150" s="538"/>
      <c r="AN150" s="538"/>
      <c r="AO150" s="538"/>
      <c r="AP150" s="538"/>
      <c r="AQ150" s="538"/>
      <c r="AR150" s="538"/>
      <c r="AS150" s="538"/>
      <c r="AT150" s="538"/>
      <c r="AU150" s="538"/>
      <c r="AV150" s="538"/>
      <c r="AW150" s="538"/>
      <c r="AX150" s="545"/>
      <c r="AY150" s="545"/>
      <c r="AZ150" s="545"/>
      <c r="BA150" s="545"/>
      <c r="BB150" s="328"/>
      <c r="BC150" s="328"/>
      <c r="BD150" s="328"/>
      <c r="BE150" s="328"/>
      <c r="BF150" s="328"/>
      <c r="BG150" s="328"/>
      <c r="BH150" s="328"/>
      <c r="BI150" s="328"/>
      <c r="BJ150" s="328"/>
      <c r="BK150" s="328"/>
      <c r="BL150" s="328"/>
      <c r="BM150" s="328"/>
      <c r="BN150" s="328"/>
      <c r="BO150" s="328"/>
      <c r="BP150" s="328"/>
      <c r="BQ150" s="328"/>
      <c r="BR150" s="328"/>
      <c r="BS150" s="369"/>
      <c r="BT150" s="233"/>
      <c r="BU150" s="233"/>
      <c r="BV150" s="222"/>
      <c r="BW150" s="222"/>
      <c r="BX150" s="222"/>
      <c r="BY150" s="211"/>
      <c r="BZ150" s="222"/>
      <c r="CA150" s="222"/>
      <c r="CB150" s="225"/>
      <c r="CC150" s="225"/>
      <c r="CD150" s="225"/>
      <c r="CE150" s="225"/>
      <c r="CF150" s="225"/>
      <c r="CG150" s="300"/>
      <c r="CH150" s="300"/>
      <c r="CI150" s="300"/>
      <c r="CJ150" s="522"/>
      <c r="CK150" s="522"/>
      <c r="CL150" s="522"/>
    </row>
    <row r="151" spans="1:90" s="212" customFormat="1" ht="30" customHeight="1" x14ac:dyDescent="0.25">
      <c r="A151" s="557"/>
      <c r="B151" s="558"/>
      <c r="C151" s="331" t="s">
        <v>26</v>
      </c>
      <c r="D151" s="564"/>
      <c r="E151" s="89">
        <f>E146</f>
        <v>11</v>
      </c>
      <c r="F151" s="89">
        <f>D150</f>
        <v>25</v>
      </c>
      <c r="G151" s="1836">
        <v>15</v>
      </c>
      <c r="H151" s="1836">
        <v>0.25</v>
      </c>
      <c r="I151" s="1836">
        <v>210</v>
      </c>
      <c r="J151" s="1836">
        <v>0</v>
      </c>
      <c r="K151" s="1836">
        <v>0</v>
      </c>
      <c r="L151" s="1836">
        <v>0</v>
      </c>
      <c r="M151" s="93">
        <f>IF($I151=0,0,1+(I151-$C$21)/$C$22)+$J151/$C$23+K151/$C$24+$L151/$C$25</f>
        <v>6.2424242424242422</v>
      </c>
      <c r="N151" s="92">
        <f t="shared" si="17"/>
        <v>5.722367659350211E-7</v>
      </c>
      <c r="O151" s="95">
        <f>2.5*0.01*$C$7*$C$14*$C$8*$H151*(2*PI()*(1-COS($G151/180*PI())))^1.3/$E151^2/$F151^2*N151*10^6</f>
        <v>5.101138747051231E-8</v>
      </c>
      <c r="P151" s="91">
        <f>IF($I151=0,0,1+($I151-$D$21)/$D$22)+$J151/$D$23+$K151/$D$24+$L151/$D$25</f>
        <v>5.5675675675675675</v>
      </c>
      <c r="Q151" s="92">
        <f t="shared" si="18"/>
        <v>2.7066520700332395E-6</v>
      </c>
      <c r="R151" s="95">
        <f>2.5*0.01*$C$7*$D$14*$D$8*$H151*(2*PI()*(1-COS($G151/180*PI())))^1.3/$E151^2/$F151^2*Q151*10^6</f>
        <v>2.4128138160910826E-7</v>
      </c>
      <c r="S151" s="93">
        <f>IF($I151=0,0,1+(I151-$E$21)/$E$22)+$J151/$E$23+K151/$E$24+$L151/$E$25</f>
        <v>4.8372093023255811</v>
      </c>
      <c r="T151" s="92">
        <f t="shared" si="19"/>
        <v>1.4547578108480478E-5</v>
      </c>
      <c r="U151" s="95">
        <f>2.5*0.01*$C$7*$E$14*$E$8*$H151*(2*PI()*(1-COS($G151/180*PI())))^1.3/$E151^2/$F151^2*T151*10^6</f>
        <v>1.2968270964496306E-6</v>
      </c>
      <c r="V151" s="93">
        <f>IF($I151=0,0,1+(I151-$F$21)/$F$22)+$J151/$F$23+K151/$F$24+$L151/$F$25</f>
        <v>7.666666666666667</v>
      </c>
      <c r="W151" s="92">
        <f t="shared" si="20"/>
        <v>2.1544346900318783E-8</v>
      </c>
      <c r="X151" s="95">
        <f>2.5*0.01*$C$7*$F$14*$F$8*$H151*(2*PI()*(1-COS($G151/180*PI())))^1.3/$E151^2/$F151^2*W151*10^6</f>
        <v>1.920545992418962E-9</v>
      </c>
      <c r="Y151" s="93">
        <f>IF($I151=0,0,1+(I151-$G$21)/$G$22)+$J151/$G$23+K151/$G$24+$L151/$G$25</f>
        <v>5.833333333333333</v>
      </c>
      <c r="Z151" s="92">
        <f t="shared" si="21"/>
        <v>1.4677992676220696E-6</v>
      </c>
      <c r="AA151" s="96">
        <f>2.5*0.01*$C$7*$G$14*$G$8*$H151*(2*PI()*(1-COS($G151/180*PI())))^1.3/$E151^2/$F151^2*Z151*10^6</f>
        <v>1.3084527528960935E-7</v>
      </c>
      <c r="AB151" s="560">
        <f>SUM(O151,R151,U151,X151,AA151)</f>
        <v>1.7218856868112794E-6</v>
      </c>
      <c r="AC151" s="565"/>
      <c r="AD151" s="566"/>
      <c r="AE151" s="538"/>
      <c r="AF151" s="538"/>
      <c r="AG151" s="567"/>
      <c r="AH151" s="538"/>
      <c r="AI151" s="563"/>
      <c r="AJ151" s="545"/>
      <c r="AK151" s="545"/>
      <c r="AL151" s="538"/>
      <c r="AM151" s="538"/>
      <c r="AN151" s="538"/>
      <c r="AO151" s="538"/>
      <c r="AP151" s="538"/>
      <c r="AQ151" s="538"/>
      <c r="AR151" s="538"/>
      <c r="AS151" s="538"/>
      <c r="AT151" s="538"/>
      <c r="AU151" s="538"/>
      <c r="AV151" s="538"/>
      <c r="AW151" s="538"/>
      <c r="AX151" s="545"/>
      <c r="AY151" s="545"/>
      <c r="AZ151" s="545"/>
      <c r="BA151" s="545"/>
      <c r="BB151" s="328"/>
      <c r="BC151" s="328"/>
      <c r="BD151" s="328"/>
      <c r="BE151" s="328"/>
      <c r="BF151" s="328"/>
      <c r="BG151" s="328"/>
      <c r="BH151" s="328"/>
      <c r="BI151" s="328"/>
      <c r="BJ151" s="328"/>
      <c r="BK151" s="328"/>
      <c r="BL151" s="328"/>
      <c r="BM151" s="328"/>
      <c r="BN151" s="328"/>
      <c r="BO151" s="328"/>
      <c r="BP151" s="328"/>
      <c r="BQ151" s="328"/>
      <c r="BR151" s="328"/>
      <c r="BS151" s="369"/>
      <c r="BT151" s="233"/>
      <c r="BU151" s="233"/>
      <c r="BV151" s="222"/>
      <c r="BW151" s="222"/>
      <c r="BX151" s="222"/>
      <c r="BY151" s="211"/>
      <c r="BZ151" s="222"/>
      <c r="CA151" s="222"/>
      <c r="CB151" s="225"/>
      <c r="CC151" s="225"/>
      <c r="CD151" s="225"/>
      <c r="CE151" s="225"/>
      <c r="CF151" s="225"/>
      <c r="CG151" s="300"/>
      <c r="CH151" s="300"/>
      <c r="CI151" s="300"/>
      <c r="CJ151" s="522"/>
      <c r="CK151" s="522"/>
      <c r="CL151" s="522"/>
    </row>
    <row r="152" spans="1:90" s="538" customFormat="1" ht="30" customHeight="1" thickBot="1" x14ac:dyDescent="0.3">
      <c r="A152" s="557"/>
      <c r="B152" s="558"/>
      <c r="C152" s="331" t="s">
        <v>27</v>
      </c>
      <c r="D152" s="89"/>
      <c r="E152" s="89">
        <f>E147</f>
        <v>10</v>
      </c>
      <c r="F152" s="89"/>
      <c r="G152" s="1836">
        <v>60</v>
      </c>
      <c r="H152" s="568"/>
      <c r="I152" s="1836">
        <v>190</v>
      </c>
      <c r="J152" s="1836">
        <v>0</v>
      </c>
      <c r="K152" s="1836">
        <v>0</v>
      </c>
      <c r="L152" s="1836">
        <v>0</v>
      </c>
      <c r="M152" s="93">
        <f>$I152/$C$27+$J152/$C$28+K152/$C$29+$L152/$C$30</f>
        <v>5.5882352941176467</v>
      </c>
      <c r="N152" s="92">
        <f t="shared" si="17"/>
        <v>2.580861540418073E-6</v>
      </c>
      <c r="O152" s="95">
        <f>2.5*0.01*$C$7*$C$15*$C$8*($C$9+$C$10*$C$11)*(2*PI()*(1-COS($G152/180*PI())))^1.3/E$147^2/$F151^2*N152*10^6</f>
        <v>2.7432840731901286E-6</v>
      </c>
      <c r="P152" s="93">
        <f>$I152/$D$27+$J152/$D$28+K152/$D$29+$L152/$D$30</f>
        <v>5</v>
      </c>
      <c r="Q152" s="92">
        <f t="shared" si="18"/>
        <v>1.0000000000000001E-5</v>
      </c>
      <c r="R152" s="95">
        <f>2.5*0.01*$C$7*$C$15*$D$8*($D$9+$D$10*$D$11)*(2*PI()*(1-COS($G152/180*PI())))^1.3/$E152^2/$F151^2*Q152*10^6</f>
        <v>1.0629334546733355E-5</v>
      </c>
      <c r="S152" s="93">
        <f>$I152/$E$27+$J152/$E$28+K152/$E$29+$L152/$E$30</f>
        <v>4.3181818181818183</v>
      </c>
      <c r="T152" s="92">
        <f t="shared" si="19"/>
        <v>4.8063808630643867E-5</v>
      </c>
      <c r="U152" s="95">
        <f>2.5*0.01*$C$7*$C$15*$E$8*($E$9+$E$10*$E$11)*(2*PI()*(1-COS($G152/180*PI())))^1.3/$E152^2/$F151^2*T152*10^6</f>
        <v>5.1088630152528366E-5</v>
      </c>
      <c r="V152" s="93">
        <f>$I152/$F$27+$J152/$F$28+K152/$F$29+$L152/$F$30</f>
        <v>6.2295081967213113</v>
      </c>
      <c r="W152" s="92">
        <f t="shared" si="20"/>
        <v>5.8951085074002664E-7</v>
      </c>
      <c r="X152" s="95">
        <f>2.5*0.01*$C$7*$C$15*$F$8*($F$9+$F$10*$F$11)*(2*PI()*(1-COS($G152/180*PI())))^1.3/$E152^2/$F151^2*W152*10^6</f>
        <v>6.2661080514451354E-7</v>
      </c>
      <c r="Y152" s="93">
        <f>$I152/$G$27+$J152/$G$28+K152/$G$29+$L152/$G$30</f>
        <v>5.3370786516853927</v>
      </c>
      <c r="Z152" s="92">
        <f t="shared" si="21"/>
        <v>4.6017322765137984E-6</v>
      </c>
      <c r="AA152" s="96">
        <f>2.5*0.01*$C$7*$C$15*$G$8*($G$9+$G$10*$G$11)*(2*PI()*(1-COS($G152/180*PI())))^1.3/$E152^2/$F151^2*Z152*10^6</f>
        <v>4.891335186156605E-6</v>
      </c>
      <c r="AB152" s="569">
        <f>SUM(O152,R152,U152,X152,AA152)</f>
        <v>6.9979194763752965E-5</v>
      </c>
      <c r="AC152" s="570"/>
      <c r="AD152" s="571"/>
      <c r="AH152" s="572"/>
      <c r="AI152" s="573"/>
      <c r="AJ152" s="563"/>
      <c r="AK152" s="551"/>
      <c r="AX152" s="545"/>
      <c r="AY152" s="545"/>
      <c r="AZ152" s="545"/>
      <c r="BA152" s="545"/>
      <c r="BB152" s="545"/>
      <c r="BC152" s="545"/>
      <c r="BD152" s="545"/>
      <c r="BE152" s="545"/>
      <c r="BF152" s="545"/>
      <c r="BG152" s="545"/>
      <c r="BH152" s="545"/>
      <c r="BI152" s="545"/>
      <c r="BJ152" s="545"/>
      <c r="BK152" s="545"/>
      <c r="BL152" s="545"/>
      <c r="BM152" s="545"/>
      <c r="BN152" s="545"/>
      <c r="BO152" s="545"/>
      <c r="BP152" s="545"/>
      <c r="BQ152" s="545"/>
      <c r="BR152" s="545"/>
      <c r="BS152" s="545"/>
      <c r="BT152" s="545"/>
      <c r="BU152" s="545"/>
      <c r="BV152" s="545"/>
      <c r="BW152" s="545"/>
      <c r="BX152" s="545"/>
      <c r="BY152" s="545"/>
      <c r="BZ152" s="545"/>
    </row>
    <row r="153" spans="1:90" s="212" customFormat="1" ht="30" hidden="1" customHeight="1" thickBot="1" x14ac:dyDescent="0.3">
      <c r="A153" s="574"/>
      <c r="B153" s="575"/>
      <c r="C153" s="576"/>
      <c r="D153" s="89"/>
      <c r="E153" s="89"/>
      <c r="F153" s="89"/>
      <c r="G153" s="89"/>
      <c r="H153" s="1837"/>
      <c r="I153" s="1837"/>
      <c r="J153" s="1837"/>
      <c r="K153" s="1837"/>
      <c r="L153" s="1837"/>
      <c r="M153" s="91"/>
      <c r="N153" s="97"/>
      <c r="O153" s="98"/>
      <c r="P153" s="91"/>
      <c r="Q153" s="97"/>
      <c r="R153" s="98"/>
      <c r="S153" s="91"/>
      <c r="T153" s="97"/>
      <c r="U153" s="98"/>
      <c r="V153" s="91"/>
      <c r="W153" s="97"/>
      <c r="X153" s="98"/>
      <c r="Y153" s="91"/>
      <c r="Z153" s="97"/>
      <c r="AA153" s="99"/>
      <c r="AB153" s="577"/>
      <c r="AC153" s="578"/>
      <c r="AD153" s="579"/>
      <c r="AH153" s="580"/>
      <c r="AI153" s="581"/>
      <c r="AJ153" s="282"/>
      <c r="AK153" s="300"/>
      <c r="AX153" s="225"/>
      <c r="AY153" s="225"/>
      <c r="AZ153" s="225"/>
      <c r="BA153" s="225"/>
      <c r="BB153" s="225"/>
      <c r="BC153" s="225"/>
      <c r="BD153" s="225"/>
      <c r="BE153" s="225"/>
      <c r="BF153" s="225"/>
      <c r="BG153" s="225"/>
      <c r="BH153" s="225"/>
      <c r="BI153" s="225"/>
      <c r="BJ153" s="225"/>
      <c r="BK153" s="225"/>
      <c r="BL153" s="225"/>
      <c r="BM153" s="225"/>
      <c r="BN153" s="225"/>
      <c r="BO153" s="225"/>
      <c r="BP153" s="225"/>
      <c r="BQ153" s="225"/>
      <c r="BR153" s="225"/>
      <c r="BS153" s="225"/>
      <c r="BT153" s="225"/>
      <c r="BU153" s="225"/>
      <c r="BV153" s="225"/>
      <c r="BW153" s="225"/>
      <c r="BX153" s="225"/>
      <c r="BY153" s="225"/>
      <c r="BZ153" s="225"/>
    </row>
    <row r="154" spans="1:90" s="212" customFormat="1" ht="30" customHeight="1" x14ac:dyDescent="0.25">
      <c r="A154" s="552"/>
      <c r="B154" s="322"/>
      <c r="C154" s="323" t="s">
        <v>569</v>
      </c>
      <c r="D154" s="1836">
        <v>1</v>
      </c>
      <c r="E154" s="89"/>
      <c r="F154" s="89"/>
      <c r="G154" s="89"/>
      <c r="H154" s="1836">
        <v>0.25</v>
      </c>
      <c r="I154" s="1836">
        <v>250</v>
      </c>
      <c r="J154" s="1836">
        <v>0</v>
      </c>
      <c r="K154" s="1836">
        <v>0</v>
      </c>
      <c r="L154" s="1836">
        <v>0</v>
      </c>
      <c r="M154" s="91">
        <f>IF($I154=0,0,1+($I154-$C$21)/$C$22)+$J154/$C$23+$K154/$C$24+$L154/$C$25</f>
        <v>7.4545454545454541</v>
      </c>
      <c r="N154" s="92">
        <f t="shared" si="17"/>
        <v>3.5111917342151263E-8</v>
      </c>
      <c r="O154" s="93">
        <f>$C$7*$C$14*$C$8*$H154/$D154^2*N154*10^6</f>
        <v>7.022383468430253E-2</v>
      </c>
      <c r="P154" s="91">
        <f>IF($I154=0,0,1+($I154-$D$21)/$D$22)+$J154/$D$23+$K154/$D$24+$L154/$D$25</f>
        <v>6.6486486486486482</v>
      </c>
      <c r="Q154" s="92">
        <f t="shared" si="18"/>
        <v>2.2456979955397711E-7</v>
      </c>
      <c r="R154" s="93">
        <f>$C$7*$D$14*$D$8*$H154/$D154^2*$Q154*10^6</f>
        <v>0.4491395991079542</v>
      </c>
      <c r="S154" s="93">
        <f>IF($I154=0,0,1+(I154-$E$21)/$E$22)+$J154/$E$23+K154/$E$24+$L154/$E$25</f>
        <v>5.7674418604651159</v>
      </c>
      <c r="T154" s="92">
        <f t="shared" si="19"/>
        <v>1.7082763938087111E-6</v>
      </c>
      <c r="U154" s="93">
        <f>$C$7*$E$14*$E$8*$H154/$D154^2*$T154*10^6</f>
        <v>3.4165527876174222</v>
      </c>
      <c r="V154" s="93">
        <f>IF($I154=0,0,1+(I154-$F$21)/$F$22)+$J154/$F$23+K154/$F$24+$L154/$F$25</f>
        <v>9.1481481481481488</v>
      </c>
      <c r="W154" s="92">
        <f t="shared" si="20"/>
        <v>7.1097094323124171E-10</v>
      </c>
      <c r="X154" s="93">
        <f>$C$7*$F$14*$F$8*$H154/$D154^2*$W154*10^6</f>
        <v>1.4219418864624834E-3</v>
      </c>
      <c r="Y154" s="93">
        <f>IF($I154=0,0,1+(I154-$G$21)/$G$22)+$J154/$G$23+K154/$G$24+$L154/$G$25</f>
        <v>6.9444444444444446</v>
      </c>
      <c r="Z154" s="92">
        <f t="shared" si="21"/>
        <v>1.136463666385722E-7</v>
      </c>
      <c r="AA154" s="94">
        <f>$C$7*$G$14*$G$8*$H154/$D154^2*$Z154*10^6</f>
        <v>0.22729273327714439</v>
      </c>
      <c r="AB154" s="553">
        <f>SUM(O154,R154,U154,X154,AA154)</f>
        <v>4.1646308965732857</v>
      </c>
      <c r="AC154" s="554"/>
      <c r="AD154" s="555"/>
      <c r="AE154" s="538"/>
      <c r="AF154" s="538"/>
      <c r="AG154" s="538"/>
      <c r="AH154" s="556"/>
      <c r="AI154" s="551"/>
      <c r="AJ154" s="551"/>
      <c r="AK154" s="551"/>
      <c r="AL154" s="538"/>
      <c r="AM154" s="538"/>
      <c r="AN154" s="538"/>
      <c r="AO154" s="538"/>
      <c r="AP154" s="538"/>
      <c r="AQ154" s="538"/>
      <c r="AR154" s="538"/>
      <c r="AS154" s="538"/>
      <c r="AT154" s="538"/>
      <c r="AU154" s="538"/>
      <c r="AV154" s="538"/>
      <c r="AW154" s="538"/>
      <c r="AX154" s="545"/>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69"/>
      <c r="BT154" s="233"/>
      <c r="BU154" s="233"/>
      <c r="BV154" s="222"/>
      <c r="BW154" s="222"/>
      <c r="BX154" s="222"/>
      <c r="BY154" s="211"/>
      <c r="BZ154" s="222"/>
      <c r="CA154" s="222"/>
      <c r="CB154" s="225"/>
      <c r="CC154" s="225"/>
      <c r="CD154" s="225"/>
      <c r="CE154" s="225"/>
      <c r="CF154" s="225"/>
      <c r="CG154" s="300"/>
      <c r="CH154" s="300"/>
      <c r="CI154" s="300"/>
      <c r="CJ154" s="522"/>
      <c r="CK154" s="522"/>
      <c r="CL154" s="522"/>
    </row>
    <row r="155" spans="1:90" s="212" customFormat="1" ht="30" customHeight="1" x14ac:dyDescent="0.25">
      <c r="A155" s="557" t="str">
        <f>Samenvatting!A354</f>
        <v>T3</v>
      </c>
      <c r="B155" s="558" t="str">
        <f>Samenvatting!B354</f>
        <v>terreingrens 3</v>
      </c>
      <c r="C155" s="331" t="s">
        <v>568</v>
      </c>
      <c r="D155" s="1836">
        <v>25</v>
      </c>
      <c r="E155" s="89"/>
      <c r="F155" s="89"/>
      <c r="G155" s="89"/>
      <c r="H155" s="559"/>
      <c r="I155" s="1836">
        <v>250</v>
      </c>
      <c r="J155" s="1836">
        <v>0</v>
      </c>
      <c r="K155" s="1836">
        <v>0</v>
      </c>
      <c r="L155" s="1836">
        <v>0</v>
      </c>
      <c r="M155" s="93">
        <f>$I155/$C$27+$J155/$C$28+K155/$C$29+$L155/$C$30</f>
        <v>7.3529411764705879</v>
      </c>
      <c r="N155" s="92">
        <f t="shared" si="17"/>
        <v>4.4366873309786093E-8</v>
      </c>
      <c r="O155" s="93">
        <f>$C$7*$C$15*$C$8*($C$9+$C$10*$C$11)/$D155^2*$N155*10^6</f>
        <v>4.2592198377394652E-5</v>
      </c>
      <c r="P155" s="93">
        <f>$I155/$D$27+$J155/$D$28+K155/$D$29+$L155/$D$30</f>
        <v>6.5789473684210522</v>
      </c>
      <c r="Q155" s="92">
        <f t="shared" si="18"/>
        <v>2.636650898730358E-7</v>
      </c>
      <c r="R155" s="93">
        <f>$C$7*$C$15*$D$8*($D$9+$D$10*$D$11)/$D155^2*$Q155*10^6</f>
        <v>2.5311848627811444E-4</v>
      </c>
      <c r="S155" s="93">
        <f>$I155/$E$27+$J155/$E$28+K155/$E$29+$L155/$E$30</f>
        <v>5.6818181818181817</v>
      </c>
      <c r="T155" s="92">
        <f t="shared" si="19"/>
        <v>2.0805675382171676E-6</v>
      </c>
      <c r="U155" s="93">
        <f>$C$7*$C$15*$E$8*($E$9+$E$10*$E$11)/$D155^2*$T155*10^6</f>
        <v>1.9973448366884814E-3</v>
      </c>
      <c r="V155" s="93">
        <f>$I155/$F$27+$J155/$F$28+K155/$F$29+$L155/$F$30</f>
        <v>8.1967213114754092</v>
      </c>
      <c r="W155" s="92">
        <f t="shared" si="20"/>
        <v>6.3573875711648393E-9</v>
      </c>
      <c r="X155" s="93">
        <f>$C$7*$C$15*$F$8*($F$9+$F$10*$F$11)/$D155^2*$W155*10^6</f>
        <v>6.1030920683182469E-6</v>
      </c>
      <c r="Y155" s="93">
        <f>$I155/$G$27+$J155/$G$28+K155/$G$29+$L155/$G$30</f>
        <v>7.0224719101123592</v>
      </c>
      <c r="Z155" s="92">
        <f t="shared" si="21"/>
        <v>9.4957241494880226E-8</v>
      </c>
      <c r="AA155" s="94">
        <f>$C$7*$C$15*$G$8*($G$9+$G$10*$G$11)/$D155^2*$Z155*10^6</f>
        <v>9.1158951835085031E-5</v>
      </c>
      <c r="AB155" s="560">
        <f>SUM(O155,R155,U155,X155,AA155)</f>
        <v>2.3903175652473939E-3</v>
      </c>
      <c r="AC155" s="561">
        <f>SUM(AB153:AB158)</f>
        <v>4.1670929152189826</v>
      </c>
      <c r="AD155" s="562">
        <f>AC155*52/10^3</f>
        <v>0.2166888315913871</v>
      </c>
      <c r="AE155" s="538"/>
      <c r="AF155" s="538"/>
      <c r="AG155" s="538"/>
      <c r="AH155" s="556"/>
      <c r="AI155" s="563"/>
      <c r="AJ155" s="551"/>
      <c r="AK155" s="551"/>
      <c r="AL155" s="538"/>
      <c r="AM155" s="538"/>
      <c r="AN155" s="538"/>
      <c r="AO155" s="538"/>
      <c r="AP155" s="538"/>
      <c r="AQ155" s="538"/>
      <c r="AR155" s="538"/>
      <c r="AS155" s="538"/>
      <c r="AT155" s="538"/>
      <c r="AU155" s="538"/>
      <c r="AV155" s="538"/>
      <c r="AW155" s="538"/>
      <c r="AX155" s="545"/>
      <c r="AY155" s="545"/>
      <c r="AZ155" s="545"/>
      <c r="BA155" s="545"/>
      <c r="BB155" s="328"/>
      <c r="BC155" s="328"/>
      <c r="BD155" s="328"/>
      <c r="BE155" s="328"/>
      <c r="BF155" s="328"/>
      <c r="BG155" s="328"/>
      <c r="BH155" s="328"/>
      <c r="BI155" s="328"/>
      <c r="BJ155" s="328"/>
      <c r="BK155" s="328"/>
      <c r="BL155" s="328"/>
      <c r="BM155" s="328"/>
      <c r="BN155" s="328"/>
      <c r="BO155" s="328"/>
      <c r="BP155" s="328"/>
      <c r="BQ155" s="328"/>
      <c r="BR155" s="328"/>
      <c r="BS155" s="369"/>
      <c r="BT155" s="233"/>
      <c r="BU155" s="233"/>
      <c r="BV155" s="222"/>
      <c r="BW155" s="222"/>
      <c r="BX155" s="222"/>
      <c r="BY155" s="211"/>
      <c r="BZ155" s="222"/>
      <c r="CA155" s="222"/>
      <c r="CB155" s="225"/>
      <c r="CC155" s="225"/>
      <c r="CD155" s="225"/>
      <c r="CE155" s="225"/>
      <c r="CF155" s="225"/>
      <c r="CG155" s="300"/>
      <c r="CH155" s="300"/>
      <c r="CI155" s="300"/>
      <c r="CJ155" s="522"/>
      <c r="CK155" s="522"/>
      <c r="CL155" s="522"/>
    </row>
    <row r="156" spans="1:90" s="212" customFormat="1" ht="30" customHeight="1" x14ac:dyDescent="0.25">
      <c r="A156" s="557"/>
      <c r="B156" s="558"/>
      <c r="C156" s="331" t="s">
        <v>26</v>
      </c>
      <c r="D156" s="564"/>
      <c r="E156" s="89">
        <f>E146</f>
        <v>11</v>
      </c>
      <c r="F156" s="89">
        <f>D155</f>
        <v>25</v>
      </c>
      <c r="G156" s="1836">
        <v>15</v>
      </c>
      <c r="H156" s="1836">
        <v>0.25</v>
      </c>
      <c r="I156" s="1836">
        <v>210</v>
      </c>
      <c r="J156" s="1836">
        <v>0</v>
      </c>
      <c r="K156" s="1836">
        <v>0</v>
      </c>
      <c r="L156" s="1836">
        <v>0</v>
      </c>
      <c r="M156" s="93">
        <f>IF($I156=0,0,1+(I156-$C$21)/$C$22)+$J156/$C$23+K156/$C$24+$L156/$C$25</f>
        <v>6.2424242424242422</v>
      </c>
      <c r="N156" s="92">
        <f t="shared" si="17"/>
        <v>5.722367659350211E-7</v>
      </c>
      <c r="O156" s="95">
        <f>2.5*0.01*$C$7*$C$14*$C$8*$H156*(2*PI()*(1-COS($G156/180*PI())))^1.3/$E156^2/$F156^2*N156*10^6</f>
        <v>5.101138747051231E-8</v>
      </c>
      <c r="P156" s="91">
        <f>IF($I156=0,0,1+($I156-$D$21)/$D$22)+$J156/$D$23+$K156/$D$24+$L156/$D$25</f>
        <v>5.5675675675675675</v>
      </c>
      <c r="Q156" s="92">
        <f t="shared" si="18"/>
        <v>2.7066520700332395E-6</v>
      </c>
      <c r="R156" s="95">
        <f>2.5*0.01*$C$7*$D$14*$D$8*$H156*(2*PI()*(1-COS($G156/180*PI())))^1.3/$E156^2/$F156^2*Q156*10^6</f>
        <v>2.4128138160910826E-7</v>
      </c>
      <c r="S156" s="93">
        <f>IF($I156=0,0,1+(I156-$E$21)/$E$22)+$J156/$E$23+K156/$E$24+$L156/$E$25</f>
        <v>4.8372093023255811</v>
      </c>
      <c r="T156" s="92">
        <f t="shared" si="19"/>
        <v>1.4547578108480478E-5</v>
      </c>
      <c r="U156" s="95">
        <f>2.5*0.01*$C$7*$E$14*$E$8*$H156*(2*PI()*(1-COS($G156/180*PI())))^1.3/$E156^2/$F156^2*T156*10^6</f>
        <v>1.2968270964496306E-6</v>
      </c>
      <c r="V156" s="93">
        <f>IF($I156=0,0,1+(I156-$F$21)/$F$22)+$J156/$F$23+K156/$F$24+$L156/$F$25</f>
        <v>7.666666666666667</v>
      </c>
      <c r="W156" s="92">
        <f t="shared" si="20"/>
        <v>2.1544346900318783E-8</v>
      </c>
      <c r="X156" s="95">
        <f>2.5*0.01*$C$7*$F$14*$F$8*$H156*(2*PI()*(1-COS($G156/180*PI())))^1.3/$E156^2/$F156^2*W156*10^6</f>
        <v>1.920545992418962E-9</v>
      </c>
      <c r="Y156" s="93">
        <f>IF($I156=0,0,1+(I156-$G$21)/$G$22)+$J156/$G$23+K156/$G$24+$L156/$G$25</f>
        <v>5.833333333333333</v>
      </c>
      <c r="Z156" s="92">
        <f t="shared" si="21"/>
        <v>1.4677992676220696E-6</v>
      </c>
      <c r="AA156" s="96">
        <f>2.5*0.01*$C$7*$G$14*$G$8*$H156*(2*PI()*(1-COS($G156/180*PI())))^1.3/$E156^2/$F156^2*Z156*10^6</f>
        <v>1.3084527528960935E-7</v>
      </c>
      <c r="AB156" s="560">
        <f>SUM(O156,R156,U156,X156,AA156)</f>
        <v>1.7218856868112794E-6</v>
      </c>
      <c r="AC156" s="565"/>
      <c r="AD156" s="566"/>
      <c r="AE156" s="538"/>
      <c r="AF156" s="538"/>
      <c r="AG156" s="567"/>
      <c r="AH156" s="538"/>
      <c r="AI156" s="563"/>
      <c r="AJ156" s="545"/>
      <c r="AK156" s="545"/>
      <c r="AL156" s="538"/>
      <c r="AM156" s="538"/>
      <c r="AN156" s="538"/>
      <c r="AO156" s="538"/>
      <c r="AP156" s="538"/>
      <c r="AQ156" s="538"/>
      <c r="AR156" s="538"/>
      <c r="AS156" s="538"/>
      <c r="AT156" s="538"/>
      <c r="AU156" s="538"/>
      <c r="AV156" s="538"/>
      <c r="AW156" s="538"/>
      <c r="AX156" s="545"/>
      <c r="AY156" s="545"/>
      <c r="AZ156" s="545"/>
      <c r="BA156" s="545"/>
      <c r="BB156" s="328"/>
      <c r="BC156" s="328"/>
      <c r="BD156" s="328"/>
      <c r="BE156" s="328"/>
      <c r="BF156" s="328"/>
      <c r="BG156" s="328"/>
      <c r="BH156" s="328"/>
      <c r="BI156" s="328"/>
      <c r="BJ156" s="328"/>
      <c r="BK156" s="328"/>
      <c r="BL156" s="328"/>
      <c r="BM156" s="328"/>
      <c r="BN156" s="328"/>
      <c r="BO156" s="328"/>
      <c r="BP156" s="328"/>
      <c r="BQ156" s="328"/>
      <c r="BR156" s="328"/>
      <c r="BS156" s="369"/>
      <c r="BT156" s="233"/>
      <c r="BU156" s="233"/>
      <c r="BV156" s="222"/>
      <c r="BW156" s="222"/>
      <c r="BX156" s="222"/>
      <c r="BY156" s="211"/>
      <c r="BZ156" s="222"/>
      <c r="CA156" s="222"/>
      <c r="CB156" s="225"/>
      <c r="CC156" s="225"/>
      <c r="CD156" s="225"/>
      <c r="CE156" s="225"/>
      <c r="CF156" s="225"/>
      <c r="CG156" s="300"/>
      <c r="CH156" s="300"/>
      <c r="CI156" s="300"/>
      <c r="CJ156" s="522"/>
      <c r="CK156" s="522"/>
      <c r="CL156" s="522"/>
    </row>
    <row r="157" spans="1:90" s="538" customFormat="1" ht="30" customHeight="1" thickBot="1" x14ac:dyDescent="0.3">
      <c r="A157" s="557"/>
      <c r="B157" s="558"/>
      <c r="C157" s="331" t="s">
        <v>27</v>
      </c>
      <c r="D157" s="89"/>
      <c r="E157" s="89">
        <f>E147</f>
        <v>10</v>
      </c>
      <c r="F157" s="89"/>
      <c r="G157" s="1836">
        <v>60</v>
      </c>
      <c r="H157" s="568"/>
      <c r="I157" s="1836">
        <v>190</v>
      </c>
      <c r="J157" s="1836">
        <v>0</v>
      </c>
      <c r="K157" s="1836">
        <v>0</v>
      </c>
      <c r="L157" s="1836">
        <v>0</v>
      </c>
      <c r="M157" s="93">
        <f>$I157/$C$27+$J157/$C$28+K157/$C$29+$L157/$C$30</f>
        <v>5.5882352941176467</v>
      </c>
      <c r="N157" s="92">
        <f t="shared" si="17"/>
        <v>2.580861540418073E-6</v>
      </c>
      <c r="O157" s="95">
        <f>2.5*0.01*$C$7*$C$15*$C$8*($C$9+$C$10*$C$11)*(2*PI()*(1-COS($G157/180*PI())))^1.3/E$147^2/$F156^2*N157*10^6</f>
        <v>2.7432840731901286E-6</v>
      </c>
      <c r="P157" s="93">
        <f>$I157/$D$27+$J157/$D$28+K157/$D$29+$L157/$D$30</f>
        <v>5</v>
      </c>
      <c r="Q157" s="92">
        <f t="shared" si="18"/>
        <v>1.0000000000000001E-5</v>
      </c>
      <c r="R157" s="95">
        <f>2.5*0.01*$C$7*$C$15*$D$8*($D$9+$D$10*$D$11)*(2*PI()*(1-COS($G157/180*PI())))^1.3/$E157^2/$F156^2*Q157*10^6</f>
        <v>1.0629334546733355E-5</v>
      </c>
      <c r="S157" s="93">
        <f>$I157/$E$27+$J157/$E$28+K157/$E$29+$L157/$E$30</f>
        <v>4.3181818181818183</v>
      </c>
      <c r="T157" s="92">
        <f t="shared" si="19"/>
        <v>4.8063808630643867E-5</v>
      </c>
      <c r="U157" s="95">
        <f>2.5*0.01*$C$7*$C$15*$E$8*($E$9+$E$10*$E$11)*(2*PI()*(1-COS($G157/180*PI())))^1.3/$E157^2/$F156^2*T157*10^6</f>
        <v>5.1088630152528366E-5</v>
      </c>
      <c r="V157" s="93">
        <f>$I157/$F$27+$J157/$F$28+K157/$F$29+$L157/$F$30</f>
        <v>6.2295081967213113</v>
      </c>
      <c r="W157" s="92">
        <f t="shared" si="20"/>
        <v>5.8951085074002664E-7</v>
      </c>
      <c r="X157" s="95">
        <f>2.5*0.01*$C$7*$C$15*$F$8*($F$9+$F$10*$F$11)*(2*PI()*(1-COS($G157/180*PI())))^1.3/$E157^2/$F156^2*W157*10^6</f>
        <v>6.2661080514451354E-7</v>
      </c>
      <c r="Y157" s="93">
        <f>$I157/$G$27+$J157/$G$28+K157/$G$29+$L157/$G$30</f>
        <v>5.3370786516853927</v>
      </c>
      <c r="Z157" s="92">
        <f t="shared" si="21"/>
        <v>4.6017322765137984E-6</v>
      </c>
      <c r="AA157" s="96">
        <f>2.5*0.01*$C$7*$C$15*$G$8*($G$9+$G$10*$G$11)*(2*PI()*(1-COS($G157/180*PI())))^1.3/$E157^2/$F156^2*Z157*10^6</f>
        <v>4.891335186156605E-6</v>
      </c>
      <c r="AB157" s="569">
        <f>SUM(O157,R157,U157,X157,AA157)</f>
        <v>6.9979194763752965E-5</v>
      </c>
      <c r="AC157" s="570"/>
      <c r="AD157" s="571"/>
      <c r="AH157" s="572"/>
      <c r="AI157" s="573"/>
      <c r="AJ157" s="563"/>
      <c r="AK157" s="551"/>
      <c r="AX157" s="545"/>
      <c r="AY157" s="545"/>
      <c r="AZ157" s="545"/>
      <c r="BA157" s="545"/>
      <c r="BB157" s="545"/>
      <c r="BC157" s="545"/>
      <c r="BD157" s="545"/>
      <c r="BE157" s="545"/>
      <c r="BF157" s="545"/>
      <c r="BG157" s="545"/>
      <c r="BH157" s="545"/>
      <c r="BI157" s="545"/>
      <c r="BJ157" s="545"/>
      <c r="BK157" s="545"/>
      <c r="BL157" s="545"/>
      <c r="BM157" s="545"/>
      <c r="BN157" s="545"/>
      <c r="BO157" s="545"/>
      <c r="BP157" s="545"/>
      <c r="BQ157" s="545"/>
      <c r="BR157" s="545"/>
      <c r="BS157" s="545"/>
      <c r="BT157" s="545"/>
      <c r="BU157" s="545"/>
      <c r="BV157" s="545"/>
      <c r="BW157" s="545"/>
      <c r="BX157" s="545"/>
      <c r="BY157" s="545"/>
      <c r="BZ157" s="545"/>
    </row>
    <row r="158" spans="1:90" s="212" customFormat="1" ht="30" hidden="1" customHeight="1" thickBot="1" x14ac:dyDescent="0.3">
      <c r="A158" s="574"/>
      <c r="B158" s="575"/>
      <c r="C158" s="576"/>
      <c r="D158" s="89"/>
      <c r="E158" s="89"/>
      <c r="F158" s="89"/>
      <c r="G158" s="89"/>
      <c r="H158" s="1837"/>
      <c r="I158" s="1837"/>
      <c r="J158" s="1837"/>
      <c r="K158" s="1837"/>
      <c r="L158" s="1837"/>
      <c r="M158" s="91"/>
      <c r="N158" s="97"/>
      <c r="O158" s="98"/>
      <c r="P158" s="91"/>
      <c r="Q158" s="97"/>
      <c r="R158" s="98"/>
      <c r="S158" s="91"/>
      <c r="T158" s="97"/>
      <c r="U158" s="98"/>
      <c r="V158" s="91"/>
      <c r="W158" s="97"/>
      <c r="X158" s="98"/>
      <c r="Y158" s="91"/>
      <c r="Z158" s="97"/>
      <c r="AA158" s="99"/>
      <c r="AB158" s="577"/>
      <c r="AC158" s="578"/>
      <c r="AD158" s="579"/>
      <c r="AH158" s="580"/>
      <c r="AI158" s="581"/>
      <c r="AJ158" s="282"/>
      <c r="AK158" s="300"/>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25"/>
      <c r="BZ158" s="225"/>
    </row>
    <row r="159" spans="1:90" s="212" customFormat="1" ht="30" customHeight="1" x14ac:dyDescent="0.25">
      <c r="A159" s="552"/>
      <c r="B159" s="322"/>
      <c r="C159" s="323" t="s">
        <v>569</v>
      </c>
      <c r="D159" s="1836">
        <v>1</v>
      </c>
      <c r="E159" s="89"/>
      <c r="F159" s="89"/>
      <c r="G159" s="89"/>
      <c r="H159" s="1836">
        <v>0.25</v>
      </c>
      <c r="I159" s="1836">
        <v>250</v>
      </c>
      <c r="J159" s="1836">
        <v>0</v>
      </c>
      <c r="K159" s="1836">
        <v>0</v>
      </c>
      <c r="L159" s="1836">
        <v>0</v>
      </c>
      <c r="M159" s="91">
        <f>IF($I159=0,0,1+($I159-$C$21)/$C$22)+$J159/$C$23+$K159/$C$24+$L159/$C$25</f>
        <v>7.4545454545454541</v>
      </c>
      <c r="N159" s="92">
        <f t="shared" si="17"/>
        <v>3.5111917342151263E-8</v>
      </c>
      <c r="O159" s="93">
        <f>$C$7*$C$14*$C$8*$H159/$D159^2*N159*10^6</f>
        <v>7.022383468430253E-2</v>
      </c>
      <c r="P159" s="91">
        <f>IF($I159=0,0,1+($I159-$D$21)/$D$22)+$J159/$D$23+$K159/$D$24+$L159/$D$25</f>
        <v>6.6486486486486482</v>
      </c>
      <c r="Q159" s="92">
        <f t="shared" si="18"/>
        <v>2.2456979955397711E-7</v>
      </c>
      <c r="R159" s="93">
        <f>$C$7*$D$14*$D$8*$H159/$D159^2*$Q159*10^6</f>
        <v>0.4491395991079542</v>
      </c>
      <c r="S159" s="93">
        <f>IF($I159=0,0,1+(I159-$E$21)/$E$22)+$J159/$E$23+K159/$E$24+$L159/$E$25</f>
        <v>5.7674418604651159</v>
      </c>
      <c r="T159" s="92">
        <f t="shared" si="19"/>
        <v>1.7082763938087111E-6</v>
      </c>
      <c r="U159" s="93">
        <f>$C$7*$E$14*$E$8*$H159/$D159^2*$T159*10^6</f>
        <v>3.4165527876174222</v>
      </c>
      <c r="V159" s="93">
        <f>IF($I159=0,0,1+(I159-$F$21)/$F$22)+$J159/$F$23+K159/$F$24+$L159/$F$25</f>
        <v>9.1481481481481488</v>
      </c>
      <c r="W159" s="92">
        <f t="shared" si="20"/>
        <v>7.1097094323124171E-10</v>
      </c>
      <c r="X159" s="93">
        <f>$C$7*$F$14*$F$8*$H159/$D159^2*$W159*10^6</f>
        <v>1.4219418864624834E-3</v>
      </c>
      <c r="Y159" s="93">
        <f>IF($I159=0,0,1+(I159-$G$21)/$G$22)+$J159/$G$23+K159/$G$24+$L159/$G$25</f>
        <v>6.9444444444444446</v>
      </c>
      <c r="Z159" s="92">
        <f t="shared" si="21"/>
        <v>1.136463666385722E-7</v>
      </c>
      <c r="AA159" s="94">
        <f>$C$7*$G$14*$G$8*$H159/$D159^2*$Z159*10^6</f>
        <v>0.22729273327714439</v>
      </c>
      <c r="AB159" s="553">
        <f>SUM(O159,R159,U159,X159,AA159)</f>
        <v>4.1646308965732857</v>
      </c>
      <c r="AC159" s="554"/>
      <c r="AD159" s="555"/>
      <c r="AE159" s="538"/>
      <c r="AF159" s="538"/>
      <c r="AG159" s="538"/>
      <c r="AH159" s="556"/>
      <c r="AI159" s="551"/>
      <c r="AJ159" s="551"/>
      <c r="AK159" s="551"/>
      <c r="AL159" s="538"/>
      <c r="AM159" s="538"/>
      <c r="AN159" s="538"/>
      <c r="AO159" s="538"/>
      <c r="AP159" s="538"/>
      <c r="AQ159" s="538"/>
      <c r="AR159" s="538"/>
      <c r="AS159" s="538"/>
      <c r="AT159" s="538"/>
      <c r="AU159" s="538"/>
      <c r="AV159" s="538"/>
      <c r="AW159" s="538"/>
      <c r="AX159" s="545"/>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69"/>
      <c r="BT159" s="233"/>
      <c r="BU159" s="233"/>
      <c r="BV159" s="222"/>
      <c r="BW159" s="222"/>
      <c r="BX159" s="222"/>
      <c r="BY159" s="211"/>
      <c r="BZ159" s="222"/>
      <c r="CA159" s="222"/>
      <c r="CB159" s="225"/>
      <c r="CC159" s="225"/>
      <c r="CD159" s="225"/>
      <c r="CE159" s="225"/>
      <c r="CF159" s="225"/>
      <c r="CG159" s="300"/>
      <c r="CH159" s="300"/>
      <c r="CI159" s="300"/>
      <c r="CJ159" s="522"/>
      <c r="CK159" s="522"/>
      <c r="CL159" s="522"/>
    </row>
    <row r="160" spans="1:90" s="212" customFormat="1" ht="30" customHeight="1" x14ac:dyDescent="0.25">
      <c r="A160" s="557" t="str">
        <f>Samenvatting!A365</f>
        <v>T4</v>
      </c>
      <c r="B160" s="558" t="str">
        <f>Samenvatting!B365</f>
        <v>terreingrens 4</v>
      </c>
      <c r="C160" s="331" t="s">
        <v>568</v>
      </c>
      <c r="D160" s="1836">
        <v>25</v>
      </c>
      <c r="E160" s="89"/>
      <c r="F160" s="89"/>
      <c r="G160" s="89"/>
      <c r="H160" s="559"/>
      <c r="I160" s="1836">
        <v>250</v>
      </c>
      <c r="J160" s="1836">
        <v>0</v>
      </c>
      <c r="K160" s="1836">
        <v>0</v>
      </c>
      <c r="L160" s="1836">
        <v>0</v>
      </c>
      <c r="M160" s="93">
        <f>$I160/$C$27+$J160/$C$28+K160/$C$29+$L160/$C$30</f>
        <v>7.3529411764705879</v>
      </c>
      <c r="N160" s="92">
        <f t="shared" si="17"/>
        <v>4.4366873309786093E-8</v>
      </c>
      <c r="O160" s="93">
        <f>$C$7*$C$15*$C$8*($C$9+$C$10*$C$11)/$D160^2*$N160*10^6</f>
        <v>4.2592198377394652E-5</v>
      </c>
      <c r="P160" s="93">
        <f>$I160/$D$27+$J160/$D$28+$K160/$D$29+$L160/$D$30</f>
        <v>6.5789473684210522</v>
      </c>
      <c r="Q160" s="92">
        <f t="shared" si="18"/>
        <v>2.636650898730358E-7</v>
      </c>
      <c r="R160" s="93">
        <f>$C$7*$C$15*$D$8*($D$9+$D$10*$D$11)/$D160^2*$Q160*10^6</f>
        <v>2.5311848627811444E-4</v>
      </c>
      <c r="S160" s="93">
        <f>$I160/$E$27+$J160/$E$28+K160/$E$29+$L160/$E$30</f>
        <v>5.6818181818181817</v>
      </c>
      <c r="T160" s="92">
        <f t="shared" si="19"/>
        <v>2.0805675382171676E-6</v>
      </c>
      <c r="U160" s="93">
        <f>$C$7*$C$15*$E$8*($E$9+$E$10*$E$11)/$D160^2*$T160*10^6</f>
        <v>1.9973448366884814E-3</v>
      </c>
      <c r="V160" s="93">
        <f>$I160/$F$27+$J160/$F$28+K160/$F$29+$L160/$F$30</f>
        <v>8.1967213114754092</v>
      </c>
      <c r="W160" s="92">
        <f t="shared" si="20"/>
        <v>6.3573875711648393E-9</v>
      </c>
      <c r="X160" s="93">
        <f>$C$7*$C$15*$F$8*($F$9+$F$10*$F$11)/$D160^2*$W160*10^6</f>
        <v>6.1030920683182469E-6</v>
      </c>
      <c r="Y160" s="93">
        <f>$I160/$G$27+$J160/$G$28+K160/$G$29+$L160/$G$30</f>
        <v>7.0224719101123592</v>
      </c>
      <c r="Z160" s="92">
        <f t="shared" si="21"/>
        <v>9.4957241494880226E-8</v>
      </c>
      <c r="AA160" s="94">
        <f>$C$7*$C$15*$G$8*($G$9+$G$10*$G$11)/$D160^2*$Z160*10^6</f>
        <v>9.1158951835085031E-5</v>
      </c>
      <c r="AB160" s="560">
        <f>SUM(O160,R160,U160,X160,AA160)</f>
        <v>2.3903175652473939E-3</v>
      </c>
      <c r="AC160" s="561">
        <f>SUM(AB158:AB163)</f>
        <v>4.1670929152189826</v>
      </c>
      <c r="AD160" s="562">
        <f>AC160*52/10^3</f>
        <v>0.2166888315913871</v>
      </c>
      <c r="AE160" s="538"/>
      <c r="AF160" s="538"/>
      <c r="AG160" s="538"/>
      <c r="AH160" s="556"/>
      <c r="AI160" s="563"/>
      <c r="AJ160" s="551"/>
      <c r="AK160" s="551"/>
      <c r="AL160" s="538"/>
      <c r="AM160" s="538"/>
      <c r="AN160" s="538"/>
      <c r="AO160" s="538"/>
      <c r="AP160" s="538"/>
      <c r="AQ160" s="538"/>
      <c r="AR160" s="538"/>
      <c r="AS160" s="538"/>
      <c r="AT160" s="538"/>
      <c r="AU160" s="538"/>
      <c r="AV160" s="538"/>
      <c r="AW160" s="538"/>
      <c r="AX160" s="545"/>
      <c r="AY160" s="545"/>
      <c r="AZ160" s="545"/>
      <c r="BA160" s="545"/>
      <c r="BB160" s="328"/>
      <c r="BC160" s="328"/>
      <c r="BD160" s="328"/>
      <c r="BE160" s="328"/>
      <c r="BF160" s="328"/>
      <c r="BG160" s="328"/>
      <c r="BH160" s="328"/>
      <c r="BI160" s="328"/>
      <c r="BJ160" s="328"/>
      <c r="BK160" s="328"/>
      <c r="BL160" s="328"/>
      <c r="BM160" s="328"/>
      <c r="BN160" s="328"/>
      <c r="BO160" s="328"/>
      <c r="BP160" s="328"/>
      <c r="BQ160" s="328"/>
      <c r="BR160" s="328"/>
      <c r="BS160" s="369"/>
      <c r="BT160" s="233"/>
      <c r="BU160" s="233"/>
      <c r="BV160" s="222"/>
      <c r="BW160" s="222"/>
      <c r="BX160" s="222"/>
      <c r="BY160" s="211"/>
      <c r="BZ160" s="222"/>
      <c r="CA160" s="222"/>
      <c r="CB160" s="225"/>
      <c r="CC160" s="225"/>
      <c r="CD160" s="225"/>
      <c r="CE160" s="225"/>
      <c r="CF160" s="225"/>
      <c r="CG160" s="300"/>
      <c r="CH160" s="300"/>
      <c r="CI160" s="300"/>
      <c r="CJ160" s="522"/>
      <c r="CK160" s="522"/>
      <c r="CL160" s="522"/>
    </row>
    <row r="161" spans="1:90" s="212" customFormat="1" ht="30" customHeight="1" x14ac:dyDescent="0.25">
      <c r="A161" s="557"/>
      <c r="B161" s="558"/>
      <c r="C161" s="331" t="s">
        <v>26</v>
      </c>
      <c r="D161" s="564"/>
      <c r="E161" s="89">
        <f>E146</f>
        <v>11</v>
      </c>
      <c r="F161" s="89">
        <f>D160</f>
        <v>25</v>
      </c>
      <c r="G161" s="1836">
        <v>15</v>
      </c>
      <c r="H161" s="1836">
        <v>0.25</v>
      </c>
      <c r="I161" s="1836">
        <v>210</v>
      </c>
      <c r="J161" s="1836">
        <v>0</v>
      </c>
      <c r="K161" s="1836">
        <v>0</v>
      </c>
      <c r="L161" s="1836">
        <v>0</v>
      </c>
      <c r="M161" s="93">
        <f>IF($I161=0,0,1+(I161-$C$21)/$C$22)+$J161/$C$23+K161/$C$24+$L161/$C$25</f>
        <v>6.2424242424242422</v>
      </c>
      <c r="N161" s="92">
        <f t="shared" si="17"/>
        <v>5.722367659350211E-7</v>
      </c>
      <c r="O161" s="95">
        <f>2.5*0.01*$C$7*$C$14*$C$8*$H161*(2*PI()*(1-COS($G161/180*PI())))^1.3/$E161^2/$F161^2*N161*10^6</f>
        <v>5.101138747051231E-8</v>
      </c>
      <c r="P161" s="91">
        <f>IF($I161=0,0,1+($I161-$D$21)/$D$22)+$J161/$D$23+$K161/$D$24+$L161/$D$25</f>
        <v>5.5675675675675675</v>
      </c>
      <c r="Q161" s="92">
        <f t="shared" si="18"/>
        <v>2.7066520700332395E-6</v>
      </c>
      <c r="R161" s="95">
        <f>2.5*0.01*$C$7*$D$14*$D$8*$H161*(2*PI()*(1-COS($G161/180*PI())))^1.3/$E161^2/$F161^2*Q161*10^6</f>
        <v>2.4128138160910826E-7</v>
      </c>
      <c r="S161" s="93">
        <f>IF($I161=0,0,1+(I161-$E$21)/$E$22)+$J161/$E$23+K161/$E$24+$L161/$E$25</f>
        <v>4.8372093023255811</v>
      </c>
      <c r="T161" s="92">
        <f t="shared" si="19"/>
        <v>1.4547578108480478E-5</v>
      </c>
      <c r="U161" s="95">
        <f>2.5*0.01*$C$7*$E$14*$E$8*$H161*(2*PI()*(1-COS($G161/180*PI())))^1.3/$E161^2/$F161^2*T161*10^6</f>
        <v>1.2968270964496306E-6</v>
      </c>
      <c r="V161" s="93">
        <f>IF($I161=0,0,1+(I161-$F$21)/$F$22)+$J161/$F$23+K161/$F$24+$L161/$F$25</f>
        <v>7.666666666666667</v>
      </c>
      <c r="W161" s="92">
        <f t="shared" si="20"/>
        <v>2.1544346900318783E-8</v>
      </c>
      <c r="X161" s="95">
        <f>2.5*0.01*$C$7*$F$14*$F$8*$H161*(2*PI()*(1-COS($G161/180*PI())))^1.3/$E161^2/$F161^2*W161*10^6</f>
        <v>1.920545992418962E-9</v>
      </c>
      <c r="Y161" s="93">
        <f>IF($I161=0,0,1+(I161-$G$21)/$G$22)+$J161/$G$23+K161/$G$24+$L161/$G$25</f>
        <v>5.833333333333333</v>
      </c>
      <c r="Z161" s="92">
        <f t="shared" si="21"/>
        <v>1.4677992676220696E-6</v>
      </c>
      <c r="AA161" s="96">
        <f>2.5*0.01*$C$7*$G$14*$G$8*$H161*(2*PI()*(1-COS($G161/180*PI())))^1.3/$E161^2/$F161^2*Z161*10^6</f>
        <v>1.3084527528960935E-7</v>
      </c>
      <c r="AB161" s="560">
        <f>SUM(O161,R161,U161,X161,AA161)</f>
        <v>1.7218856868112794E-6</v>
      </c>
      <c r="AC161" s="565"/>
      <c r="AD161" s="566"/>
      <c r="AE161" s="538"/>
      <c r="AF161" s="538"/>
      <c r="AG161" s="567"/>
      <c r="AH161" s="538"/>
      <c r="AI161" s="563"/>
      <c r="AJ161" s="545"/>
      <c r="AK161" s="545"/>
      <c r="AL161" s="538"/>
      <c r="AM161" s="538"/>
      <c r="AN161" s="538"/>
      <c r="AO161" s="538"/>
      <c r="AP161" s="538"/>
      <c r="AQ161" s="538"/>
      <c r="AR161" s="538"/>
      <c r="AS161" s="538"/>
      <c r="AT161" s="538"/>
      <c r="AU161" s="538"/>
      <c r="AV161" s="538"/>
      <c r="AW161" s="538"/>
      <c r="AX161" s="545"/>
      <c r="AY161" s="545"/>
      <c r="AZ161" s="545"/>
      <c r="BA161" s="545"/>
      <c r="BB161" s="328"/>
      <c r="BC161" s="328"/>
      <c r="BD161" s="328"/>
      <c r="BE161" s="328"/>
      <c r="BF161" s="328"/>
      <c r="BG161" s="328"/>
      <c r="BH161" s="328"/>
      <c r="BI161" s="328"/>
      <c r="BJ161" s="328"/>
      <c r="BK161" s="328"/>
      <c r="BL161" s="328"/>
      <c r="BM161" s="328"/>
      <c r="BN161" s="328"/>
      <c r="BO161" s="328"/>
      <c r="BP161" s="328"/>
      <c r="BQ161" s="328"/>
      <c r="BR161" s="328"/>
      <c r="BS161" s="369"/>
      <c r="BT161" s="233"/>
      <c r="BU161" s="233"/>
      <c r="BV161" s="222"/>
      <c r="BW161" s="222"/>
      <c r="BX161" s="222"/>
      <c r="BY161" s="211"/>
      <c r="BZ161" s="222"/>
      <c r="CA161" s="222"/>
      <c r="CB161" s="225"/>
      <c r="CC161" s="225"/>
      <c r="CD161" s="225"/>
      <c r="CE161" s="225"/>
      <c r="CF161" s="225"/>
      <c r="CG161" s="300"/>
      <c r="CH161" s="300"/>
      <c r="CI161" s="300"/>
      <c r="CJ161" s="522"/>
      <c r="CK161" s="522"/>
      <c r="CL161" s="522"/>
    </row>
    <row r="162" spans="1:90" s="538" customFormat="1" ht="30" customHeight="1" thickBot="1" x14ac:dyDescent="0.3">
      <c r="A162" s="582"/>
      <c r="B162" s="583"/>
      <c r="C162" s="584" t="s">
        <v>27</v>
      </c>
      <c r="D162" s="58"/>
      <c r="E162" s="58">
        <f>E147</f>
        <v>10</v>
      </c>
      <c r="F162" s="58"/>
      <c r="G162" s="1859">
        <v>60</v>
      </c>
      <c r="H162" s="56"/>
      <c r="I162" s="1859">
        <v>190</v>
      </c>
      <c r="J162" s="1859">
        <v>0</v>
      </c>
      <c r="K162" s="1859">
        <v>0</v>
      </c>
      <c r="L162" s="1859">
        <v>0</v>
      </c>
      <c r="M162" s="100">
        <f>$I162/$C$27+$J162/$C$28+K162/$C$29+$L162/$C$30</f>
        <v>5.5882352941176467</v>
      </c>
      <c r="N162" s="101">
        <f t="shared" si="17"/>
        <v>2.580861540418073E-6</v>
      </c>
      <c r="O162" s="102">
        <f>2.5*0.01*$C$7*$C$15*$C$8*($C$9+$C$10*$C$11)*(2*PI()*(1-COS($G162/180*PI())))^1.3/E$147^2/$F161^2*N162*10^6</f>
        <v>2.7432840731901286E-6</v>
      </c>
      <c r="P162" s="100">
        <f>$I162/$D$27+$J162/$D$28+$K162/$D$29+$L162/$D$30</f>
        <v>5</v>
      </c>
      <c r="Q162" s="101">
        <f t="shared" si="18"/>
        <v>1.0000000000000001E-5</v>
      </c>
      <c r="R162" s="102">
        <f>2.5*0.01*$C$7*$C$15*$D$8*($D$9+$D$10*$D$11)*(2*PI()*(1-COS($G162/180*PI())))^1.3/$E162^2/$F161^2*Q162*10^6</f>
        <v>1.0629334546733355E-5</v>
      </c>
      <c r="S162" s="100">
        <f>$I162/$E$27+$J162/$E$28+K162/$E$29+$L162/$E$30</f>
        <v>4.3181818181818183</v>
      </c>
      <c r="T162" s="101">
        <f t="shared" si="19"/>
        <v>4.8063808630643867E-5</v>
      </c>
      <c r="U162" s="102">
        <f>2.5*0.01*$C$7*$C$15*$E$8*($E$9+$E$10*$E$11)*(2*PI()*(1-COS($G162/180*PI())))^1.3/$E162^2/$F161^2*T162*10^6</f>
        <v>5.1088630152528366E-5</v>
      </c>
      <c r="V162" s="100">
        <f>$I162/$F$27+$J162/$F$28+K162/$F$29+$L162/$F$30</f>
        <v>6.2295081967213113</v>
      </c>
      <c r="W162" s="101">
        <f t="shared" si="20"/>
        <v>5.8951085074002664E-7</v>
      </c>
      <c r="X162" s="102">
        <f>2.5*0.01*$C$7*$C$15*$F$8*($F$9+$F$10*$F$11)*(2*PI()*(1-COS($G162/180*PI())))^1.3/$E162^2/$F161^2*W162*10^6</f>
        <v>6.2661080514451354E-7</v>
      </c>
      <c r="Y162" s="100">
        <f>$I162/$G$27+$J162/$G$28+K162/$G$29+$L162/$G$30</f>
        <v>5.3370786516853927</v>
      </c>
      <c r="Z162" s="101">
        <f t="shared" si="21"/>
        <v>4.6017322765137984E-6</v>
      </c>
      <c r="AA162" s="103">
        <f>2.5*0.01*$C$7*$C$15*$G$8*($G$9+$G$10*$G$11)*(2*PI()*(1-COS($G162/180*PI())))^1.3/$E162^2/$F161^2*Z162*10^6</f>
        <v>4.891335186156605E-6</v>
      </c>
      <c r="AB162" s="569">
        <f>SUM(O162,R162,U162,X162,AA162)</f>
        <v>6.9979194763752965E-5</v>
      </c>
      <c r="AC162" s="570"/>
      <c r="AD162" s="571"/>
      <c r="AH162" s="572"/>
      <c r="AI162" s="573"/>
      <c r="AJ162" s="563"/>
      <c r="AK162" s="551"/>
      <c r="AX162" s="545"/>
      <c r="AY162" s="545"/>
      <c r="AZ162" s="545"/>
      <c r="BA162" s="545"/>
      <c r="BB162" s="545"/>
      <c r="BC162" s="545"/>
      <c r="BD162" s="545"/>
      <c r="BE162" s="545"/>
      <c r="BF162" s="545"/>
      <c r="BG162" s="545"/>
      <c r="BH162" s="545"/>
      <c r="BI162" s="545"/>
      <c r="BJ162" s="545"/>
      <c r="BK162" s="545"/>
      <c r="BL162" s="545"/>
      <c r="BM162" s="545"/>
      <c r="BN162" s="545"/>
      <c r="BO162" s="545"/>
      <c r="BP162" s="545"/>
      <c r="BQ162" s="545"/>
      <c r="BR162" s="545"/>
      <c r="BS162" s="545"/>
      <c r="BT162" s="545"/>
      <c r="BU162" s="545"/>
      <c r="BV162" s="545"/>
      <c r="BW162" s="545"/>
      <c r="BX162" s="545"/>
      <c r="BY162" s="545"/>
      <c r="BZ162" s="545"/>
    </row>
    <row r="163" spans="1:90" s="212" customFormat="1" ht="30" hidden="1" customHeight="1" x14ac:dyDescent="0.25">
      <c r="A163" s="57"/>
      <c r="B163" s="220"/>
      <c r="C163" s="310"/>
      <c r="D163" s="57"/>
      <c r="E163" s="57"/>
      <c r="F163" s="57"/>
      <c r="G163" s="57"/>
      <c r="H163" s="57"/>
      <c r="I163" s="57"/>
      <c r="J163" s="57"/>
      <c r="K163" s="57"/>
      <c r="L163" s="57"/>
      <c r="M163" s="369"/>
      <c r="N163" s="328"/>
      <c r="O163" s="586"/>
      <c r="P163" s="369"/>
      <c r="Q163" s="328"/>
      <c r="R163" s="586"/>
      <c r="S163" s="369"/>
      <c r="T163" s="328"/>
      <c r="U163" s="586"/>
      <c r="V163" s="369"/>
      <c r="W163" s="328"/>
      <c r="X163" s="586"/>
      <c r="Y163" s="369"/>
      <c r="Z163" s="328"/>
      <c r="AA163" s="586"/>
      <c r="AB163" s="328"/>
      <c r="AC163" s="587"/>
      <c r="AD163" s="225"/>
      <c r="AH163" s="580"/>
      <c r="AI163" s="581"/>
      <c r="AJ163" s="282"/>
      <c r="AK163" s="300"/>
      <c r="AX163" s="225"/>
      <c r="AY163" s="225"/>
      <c r="AZ163" s="225"/>
      <c r="BA163" s="225"/>
      <c r="BB163" s="225"/>
      <c r="BC163" s="225"/>
      <c r="BD163" s="225"/>
      <c r="BE163" s="225"/>
      <c r="BF163" s="225"/>
      <c r="BG163" s="225"/>
      <c r="BH163" s="225"/>
      <c r="BI163" s="225"/>
      <c r="BJ163" s="225"/>
      <c r="BK163" s="225"/>
      <c r="BL163" s="225"/>
      <c r="BM163" s="225"/>
      <c r="BN163" s="225"/>
      <c r="BO163" s="225"/>
      <c r="BP163" s="225"/>
      <c r="BQ163" s="225"/>
      <c r="BR163" s="225"/>
      <c r="BS163" s="225"/>
      <c r="BT163" s="225"/>
      <c r="BU163" s="225"/>
      <c r="BV163" s="225"/>
      <c r="BW163" s="225"/>
      <c r="BX163" s="225"/>
      <c r="BY163" s="225"/>
      <c r="BZ163" s="225"/>
    </row>
    <row r="164" spans="1:90" s="538" customFormat="1" ht="19.5" customHeight="1" x14ac:dyDescent="0.25">
      <c r="A164" s="517"/>
      <c r="B164" s="222"/>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189"/>
      <c r="Y164" s="189"/>
      <c r="Z164" s="189"/>
      <c r="AA164" s="189"/>
      <c r="AB164" s="189"/>
      <c r="AC164" s="189"/>
      <c r="AD164" s="202"/>
      <c r="AE164" s="202"/>
      <c r="AF164" s="202"/>
      <c r="AG164" s="202"/>
    </row>
    <row r="165" spans="1:90" s="212" customFormat="1" ht="19.5" customHeight="1" x14ac:dyDescent="0.25">
      <c r="A165" s="222"/>
      <c r="B165" s="222"/>
      <c r="C165" s="222"/>
      <c r="D165" s="222"/>
      <c r="E165" s="222"/>
      <c r="F165" s="222"/>
      <c r="G165" s="222"/>
      <c r="H165" s="222"/>
      <c r="I165" s="272"/>
      <c r="J165" s="588"/>
      <c r="K165" s="589"/>
      <c r="L165" s="288"/>
      <c r="M165" s="590"/>
      <c r="N165" s="591"/>
      <c r="O165" s="590"/>
      <c r="P165" s="592"/>
      <c r="Q165" s="201"/>
      <c r="R165" s="201"/>
      <c r="S165" s="201"/>
      <c r="T165" s="201"/>
      <c r="U165" s="201"/>
      <c r="V165" s="189"/>
      <c r="W165" s="593"/>
      <c r="X165" s="593"/>
      <c r="Y165" s="594"/>
      <c r="Z165" s="189"/>
      <c r="AA165" s="189"/>
      <c r="AB165" s="551"/>
      <c r="AC165" s="551"/>
      <c r="AD165" s="538"/>
      <c r="AE165" s="538"/>
      <c r="AF165" s="189"/>
      <c r="AG165" s="222"/>
      <c r="AH165" s="211"/>
      <c r="AI165" s="222"/>
      <c r="AJ165" s="222"/>
      <c r="AK165" s="225"/>
      <c r="AL165" s="225"/>
      <c r="AM165" s="225"/>
      <c r="AN165" s="225"/>
      <c r="AO165" s="225"/>
      <c r="AP165" s="300"/>
      <c r="AQ165" s="300"/>
      <c r="AR165" s="300"/>
      <c r="AS165" s="300"/>
      <c r="AT165" s="300"/>
      <c r="AU165" s="300"/>
      <c r="AV165" s="225"/>
      <c r="AW165" s="225"/>
      <c r="AX165" s="225"/>
      <c r="AY165" s="225"/>
      <c r="AZ165" s="225"/>
      <c r="BA165" s="225"/>
      <c r="BB165" s="225"/>
      <c r="BC165" s="225"/>
      <c r="BD165" s="225"/>
      <c r="BE165" s="225"/>
      <c r="BF165" s="225"/>
      <c r="BG165" s="225"/>
      <c r="BH165" s="225"/>
      <c r="BI165" s="225"/>
      <c r="BJ165" s="225"/>
    </row>
    <row r="166" spans="1:90" s="212" customFormat="1" ht="19.5" customHeight="1" x14ac:dyDescent="0.25">
      <c r="A166" s="595" t="s">
        <v>418</v>
      </c>
      <c r="B166" s="595"/>
      <c r="C166" s="596"/>
      <c r="D166" s="288"/>
      <c r="E166" s="288"/>
      <c r="F166" s="288"/>
      <c r="G166" s="288"/>
      <c r="H166" s="288"/>
      <c r="I166" s="288"/>
      <c r="J166" s="288"/>
      <c r="K166" s="288"/>
      <c r="L166" s="288"/>
      <c r="M166" s="288"/>
      <c r="N166" s="288"/>
      <c r="O166" s="288"/>
      <c r="P166" s="288"/>
      <c r="Q166" s="288"/>
      <c r="R166" s="288"/>
      <c r="S166" s="288"/>
      <c r="T166" s="288"/>
      <c r="U166" s="288"/>
      <c r="V166" s="222"/>
      <c r="W166" s="222"/>
      <c r="X166" s="222"/>
      <c r="Y166" s="222"/>
      <c r="Z166" s="222"/>
      <c r="AA166" s="222"/>
      <c r="AB166" s="187"/>
      <c r="AC166" s="187"/>
      <c r="AD166" s="187"/>
      <c r="AE166" s="187"/>
      <c r="AF166" s="222"/>
      <c r="AG166" s="587"/>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row>
    <row r="167" spans="1:90" s="604" customFormat="1" ht="19.5" customHeight="1" x14ac:dyDescent="0.25">
      <c r="A167" s="597"/>
      <c r="B167" s="598"/>
      <c r="C167" s="599"/>
      <c r="D167" s="599"/>
      <c r="E167" s="599"/>
      <c r="F167" s="600"/>
      <c r="G167" s="600"/>
      <c r="H167" s="600"/>
      <c r="I167" s="601"/>
      <c r="J167" s="600"/>
      <c r="K167" s="602"/>
      <c r="L167" s="603"/>
      <c r="M167" s="603"/>
    </row>
    <row r="168" spans="1:90" s="212" customFormat="1" ht="19.5" customHeight="1" x14ac:dyDescent="0.25">
      <c r="A168" s="605" t="s">
        <v>322</v>
      </c>
      <c r="C168" s="288"/>
      <c r="D168" s="288"/>
      <c r="E168" s="288"/>
      <c r="F168" s="288"/>
      <c r="G168" s="288"/>
      <c r="H168" s="288"/>
      <c r="I168" s="288"/>
      <c r="J168" s="288"/>
      <c r="K168" s="288"/>
      <c r="L168" s="288"/>
      <c r="M168" s="288"/>
      <c r="N168" s="288"/>
      <c r="O168" s="288"/>
      <c r="P168" s="288"/>
      <c r="Q168" s="288"/>
      <c r="R168" s="288"/>
      <c r="S168" s="288"/>
      <c r="T168" s="288"/>
      <c r="U168" s="288"/>
      <c r="V168" s="222"/>
      <c r="W168" s="222"/>
      <c r="X168" s="222"/>
      <c r="Y168" s="222"/>
      <c r="Z168" s="222"/>
      <c r="AA168" s="222"/>
      <c r="AB168" s="222"/>
      <c r="AC168" s="222"/>
      <c r="AD168" s="222"/>
      <c r="AE168" s="222"/>
      <c r="AF168" s="538"/>
      <c r="AG168" s="538"/>
      <c r="AH168" s="538"/>
      <c r="AI168" s="538"/>
      <c r="AJ168" s="538"/>
      <c r="AK168" s="538"/>
      <c r="AL168" s="538"/>
      <c r="AM168" s="538"/>
      <c r="AN168" s="538"/>
      <c r="AO168" s="538"/>
      <c r="AP168" s="545"/>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69"/>
      <c r="BL168" s="233"/>
      <c r="BM168" s="233"/>
      <c r="BN168" s="222"/>
      <c r="BO168" s="233"/>
      <c r="BP168" s="222"/>
      <c r="BQ168" s="211"/>
      <c r="BR168" s="222"/>
      <c r="BS168" s="222"/>
      <c r="BT168" s="225"/>
      <c r="BU168" s="225"/>
      <c r="BV168" s="225"/>
      <c r="BW168" s="225"/>
      <c r="BX168" s="225"/>
      <c r="BY168" s="300"/>
      <c r="BZ168" s="300"/>
      <c r="CA168" s="300"/>
      <c r="CB168" s="522"/>
      <c r="CC168" s="522"/>
      <c r="CD168" s="522"/>
    </row>
    <row r="169" spans="1:90" s="222" customFormat="1" ht="19.5" customHeight="1" x14ac:dyDescent="0.25">
      <c r="A169" s="301"/>
      <c r="B169" s="305"/>
      <c r="C169" s="302"/>
      <c r="D169" s="606" t="s">
        <v>261</v>
      </c>
      <c r="E169" s="607" t="s">
        <v>323</v>
      </c>
      <c r="F169" s="608"/>
      <c r="G169" s="609" t="s">
        <v>224</v>
      </c>
      <c r="H169" s="608" t="s">
        <v>329</v>
      </c>
      <c r="I169" s="2014" t="s">
        <v>260</v>
      </c>
      <c r="J169" s="2015"/>
      <c r="K169" s="607" t="s">
        <v>260</v>
      </c>
      <c r="L169" s="288"/>
      <c r="M169" s="288"/>
      <c r="N169" s="288"/>
      <c r="O169" s="288"/>
      <c r="P169" s="610"/>
      <c r="Q169" s="288"/>
      <c r="R169" s="288"/>
      <c r="S169" s="610"/>
      <c r="T169" s="288"/>
      <c r="U169" s="288"/>
      <c r="V169" s="610"/>
      <c r="W169" s="288"/>
      <c r="X169" s="288"/>
      <c r="Y169" s="288"/>
      <c r="Z169" s="288"/>
      <c r="AB169" s="288"/>
      <c r="AC169" s="288"/>
    </row>
    <row r="170" spans="1:90" s="222" customFormat="1" ht="19.5" customHeight="1" x14ac:dyDescent="0.25">
      <c r="A170" s="308" t="s">
        <v>50</v>
      </c>
      <c r="B170" s="611" t="s">
        <v>15</v>
      </c>
      <c r="C170" s="498" t="s">
        <v>25</v>
      </c>
      <c r="D170" s="612" t="s">
        <v>356</v>
      </c>
      <c r="E170" s="613" t="s">
        <v>324</v>
      </c>
      <c r="F170" s="613" t="s">
        <v>4</v>
      </c>
      <c r="G170" s="299" t="s">
        <v>259</v>
      </c>
      <c r="H170" s="613" t="s">
        <v>87</v>
      </c>
      <c r="I170" s="614"/>
      <c r="J170" s="614" t="s">
        <v>11</v>
      </c>
      <c r="K170" s="614" t="s">
        <v>11</v>
      </c>
      <c r="L170" s="288"/>
      <c r="M170" s="288"/>
      <c r="N170" s="288"/>
      <c r="O170" s="288"/>
      <c r="P170" s="610"/>
      <c r="Q170" s="288"/>
      <c r="R170" s="288"/>
      <c r="S170" s="610"/>
      <c r="T170" s="288"/>
      <c r="U170" s="288"/>
      <c r="V170" s="610"/>
      <c r="W170" s="288"/>
      <c r="X170" s="288"/>
      <c r="Y170" s="288"/>
      <c r="Z170" s="288"/>
      <c r="AB170" s="288"/>
      <c r="AC170" s="288"/>
    </row>
    <row r="171" spans="1:90" s="222" customFormat="1" ht="19.5" customHeight="1" x14ac:dyDescent="0.25">
      <c r="A171" s="615"/>
      <c r="B171" s="616"/>
      <c r="C171" s="499"/>
      <c r="D171" s="612" t="s">
        <v>357</v>
      </c>
      <c r="E171" s="617" t="s">
        <v>325</v>
      </c>
      <c r="F171" s="617" t="s">
        <v>78</v>
      </c>
      <c r="G171" s="299" t="s">
        <v>258</v>
      </c>
      <c r="H171" s="617"/>
      <c r="I171" s="614" t="s">
        <v>337</v>
      </c>
      <c r="J171" s="614" t="s">
        <v>337</v>
      </c>
      <c r="K171" s="614" t="s">
        <v>166</v>
      </c>
      <c r="L171" s="288"/>
      <c r="M171" s="288"/>
      <c r="N171" s="288"/>
      <c r="O171" s="288"/>
      <c r="P171" s="610"/>
      <c r="Q171" s="288"/>
      <c r="R171" s="288"/>
      <c r="S171" s="610"/>
      <c r="T171" s="288"/>
      <c r="U171" s="288"/>
      <c r="V171" s="610"/>
      <c r="W171" s="288"/>
      <c r="X171" s="288"/>
      <c r="Y171" s="288"/>
      <c r="Z171" s="288"/>
      <c r="AB171" s="288"/>
      <c r="AC171" s="288"/>
    </row>
    <row r="172" spans="1:90" s="222" customFormat="1" ht="30" customHeight="1" thickBot="1" x14ac:dyDescent="0.3">
      <c r="A172" s="684"/>
      <c r="B172" s="2031" t="str">
        <f>Samenvatting!A265</f>
        <v>achterblijven in bestralingsruimte tijdens bestraling</v>
      </c>
      <c r="C172" s="619" t="s">
        <v>0</v>
      </c>
      <c r="D172" s="1860">
        <v>550</v>
      </c>
      <c r="E172" s="620"/>
      <c r="F172" s="1861">
        <v>2</v>
      </c>
      <c r="G172" s="1862">
        <v>30</v>
      </c>
      <c r="H172" s="1860">
        <v>1</v>
      </c>
      <c r="I172" s="621">
        <f>D172*$C$15/F172^2*G172/60*10</f>
        <v>0.6875</v>
      </c>
      <c r="J172" s="622">
        <f>SUM(I172:I173)</f>
        <v>2.0625</v>
      </c>
      <c r="K172" s="622">
        <f>J172*H172</f>
        <v>2.0625</v>
      </c>
      <c r="N172" s="288"/>
      <c r="O172" s="288"/>
      <c r="P172" s="288"/>
      <c r="Q172" s="288"/>
      <c r="R172" s="288"/>
      <c r="S172" s="288"/>
      <c r="T172" s="288"/>
      <c r="U172" s="288"/>
      <c r="V172" s="288"/>
      <c r="W172" s="288"/>
      <c r="X172" s="288"/>
      <c r="Y172" s="288"/>
      <c r="Z172" s="288"/>
      <c r="AA172" s="288"/>
      <c r="AB172" s="288"/>
    </row>
    <row r="173" spans="1:90" s="222" customFormat="1" ht="30" customHeight="1" thickBot="1" x14ac:dyDescent="0.3">
      <c r="A173" s="623"/>
      <c r="B173" s="2032"/>
      <c r="C173" s="619" t="s">
        <v>33</v>
      </c>
      <c r="D173" s="624"/>
      <c r="E173" s="1852">
        <f>0.01*20</f>
        <v>0.2</v>
      </c>
      <c r="F173" s="625">
        <f>F172</f>
        <v>2</v>
      </c>
      <c r="G173" s="626">
        <f>G172</f>
        <v>30</v>
      </c>
      <c r="H173" s="629"/>
      <c r="I173" s="621">
        <f>D172*E173/100/F173^2*G173/60*10</f>
        <v>1.375</v>
      </c>
      <c r="J173" s="627"/>
      <c r="K173" s="627"/>
      <c r="N173" s="288"/>
      <c r="O173" s="288"/>
      <c r="P173" s="288"/>
      <c r="Q173" s="288"/>
      <c r="R173" s="288"/>
      <c r="S173" s="288"/>
      <c r="T173" s="288"/>
      <c r="U173" s="288"/>
      <c r="V173" s="288"/>
      <c r="W173" s="288"/>
      <c r="X173" s="288"/>
      <c r="Y173" s="288"/>
      <c r="Z173" s="288"/>
      <c r="AA173" s="288"/>
      <c r="AB173" s="288"/>
    </row>
    <row r="174" spans="1:90" s="222" customFormat="1" ht="19.5" customHeight="1" x14ac:dyDescent="0.25">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189"/>
      <c r="W174" s="189"/>
      <c r="X174" s="189"/>
      <c r="Y174" s="189"/>
      <c r="Z174" s="189"/>
      <c r="AA174" s="189"/>
      <c r="AB174" s="202"/>
      <c r="AC174" s="202"/>
      <c r="AD174" s="202"/>
      <c r="AE174" s="202"/>
      <c r="AK174" s="299"/>
      <c r="AL174" s="299"/>
      <c r="AM174" s="299"/>
      <c r="AN174" s="299"/>
      <c r="AO174" s="299"/>
      <c r="AP174" s="299"/>
      <c r="AU174" s="211"/>
      <c r="AV174" s="266"/>
      <c r="BC174" s="211"/>
      <c r="BD174" s="211"/>
    </row>
    <row r="175" spans="1:90" x14ac:dyDescent="0.25">
      <c r="A175" s="605" t="s">
        <v>339</v>
      </c>
      <c r="B175" s="202"/>
      <c r="C175" s="288"/>
      <c r="D175" s="288"/>
      <c r="E175" s="288"/>
      <c r="F175" s="288"/>
      <c r="G175" s="288"/>
      <c r="H175" s="288"/>
      <c r="I175" s="288"/>
      <c r="J175" s="288"/>
      <c r="K175" s="288"/>
      <c r="L175" s="288"/>
      <c r="M175" s="288"/>
      <c r="N175" s="288"/>
      <c r="O175" s="288"/>
      <c r="P175" s="288"/>
      <c r="Q175" s="288"/>
      <c r="R175" s="288"/>
      <c r="S175" s="288"/>
      <c r="T175" s="288"/>
      <c r="U175" s="288"/>
      <c r="V175" s="222"/>
      <c r="W175" s="222"/>
      <c r="X175" s="222"/>
      <c r="Y175" s="222"/>
      <c r="Z175" s="222"/>
      <c r="AA175" s="222"/>
      <c r="AB175" s="222"/>
      <c r="AC175" s="222"/>
      <c r="AD175" s="222"/>
      <c r="AE175" s="222"/>
    </row>
    <row r="176" spans="1:90" s="187" customFormat="1" ht="19.5" customHeight="1" x14ac:dyDescent="0.25">
      <c r="A176" s="2020" t="s">
        <v>50</v>
      </c>
      <c r="B176" s="2023" t="s">
        <v>15</v>
      </c>
      <c r="C176" s="606" t="s">
        <v>261</v>
      </c>
      <c r="D176" s="607" t="s">
        <v>224</v>
      </c>
      <c r="E176" s="608" t="s">
        <v>329</v>
      </c>
      <c r="F176" s="607" t="s">
        <v>260</v>
      </c>
      <c r="G176" s="607" t="s">
        <v>260</v>
      </c>
      <c r="H176" s="628"/>
      <c r="I176" s="222"/>
      <c r="J176" s="288"/>
      <c r="K176" s="288"/>
      <c r="L176" s="288"/>
      <c r="M176" s="288"/>
      <c r="N176" s="288"/>
      <c r="O176" s="610"/>
      <c r="P176" s="288"/>
      <c r="Q176" s="288"/>
      <c r="R176" s="610"/>
      <c r="S176" s="288"/>
      <c r="T176" s="288"/>
      <c r="U176" s="610"/>
      <c r="V176" s="288"/>
      <c r="W176" s="288"/>
      <c r="X176" s="288"/>
      <c r="Y176" s="288"/>
      <c r="Z176" s="222"/>
      <c r="AA176" s="288"/>
      <c r="AB176" s="288"/>
      <c r="AC176" s="222"/>
      <c r="AD176" s="222"/>
      <c r="AE176" s="222"/>
    </row>
    <row r="177" spans="1:52" s="222" customFormat="1" ht="19.5" customHeight="1" x14ac:dyDescent="0.25">
      <c r="A177" s="2021"/>
      <c r="B177" s="2024"/>
      <c r="C177" s="2026" t="s">
        <v>340</v>
      </c>
      <c r="D177" s="613" t="s">
        <v>328</v>
      </c>
      <c r="E177" s="613" t="s">
        <v>87</v>
      </c>
      <c r="F177" s="613"/>
      <c r="G177" s="614" t="s">
        <v>11</v>
      </c>
      <c r="H177" s="628"/>
      <c r="J177" s="288"/>
      <c r="K177" s="288"/>
      <c r="L177" s="288"/>
      <c r="M177" s="288"/>
      <c r="N177" s="288"/>
      <c r="O177" s="610"/>
      <c r="P177" s="288"/>
      <c r="Q177" s="288"/>
      <c r="R177" s="610"/>
      <c r="S177" s="288"/>
      <c r="T177" s="288"/>
      <c r="U177" s="610"/>
      <c r="V177" s="288"/>
      <c r="W177" s="288"/>
      <c r="X177" s="288"/>
      <c r="Y177" s="288"/>
      <c r="AA177" s="288"/>
      <c r="AB177" s="288"/>
    </row>
    <row r="178" spans="1:52" s="222" customFormat="1" ht="19.5" customHeight="1" x14ac:dyDescent="0.25">
      <c r="A178" s="2022"/>
      <c r="B178" s="2025"/>
      <c r="C178" s="2027"/>
      <c r="D178" s="617" t="s">
        <v>229</v>
      </c>
      <c r="E178" s="617"/>
      <c r="F178" s="614" t="s">
        <v>337</v>
      </c>
      <c r="G178" s="614" t="s">
        <v>166</v>
      </c>
      <c r="H178" s="628"/>
      <c r="J178" s="288"/>
      <c r="K178" s="288"/>
      <c r="L178" s="288"/>
      <c r="M178" s="288"/>
      <c r="N178" s="288"/>
      <c r="O178" s="610"/>
      <c r="P178" s="288"/>
      <c r="Q178" s="288"/>
      <c r="R178" s="610"/>
      <c r="S178" s="288"/>
      <c r="T178" s="288"/>
      <c r="U178" s="610"/>
      <c r="V178" s="288"/>
      <c r="W178" s="288"/>
      <c r="X178" s="288"/>
      <c r="Y178" s="288"/>
      <c r="AA178" s="288"/>
      <c r="AB178" s="288"/>
    </row>
    <row r="179" spans="1:52" s="222" customFormat="1" ht="30" customHeight="1" x14ac:dyDescent="0.25">
      <c r="A179" s="630"/>
      <c r="B179" s="631" t="str">
        <f>Samenvatting!A276</f>
        <v>werken in nabijheid geactiveerde target</v>
      </c>
      <c r="C179" s="1861">
        <v>25</v>
      </c>
      <c r="D179" s="1861">
        <v>0.5</v>
      </c>
      <c r="E179" s="1861">
        <v>4</v>
      </c>
      <c r="F179" s="632">
        <f>C179*D179/10^3</f>
        <v>1.2500000000000001E-2</v>
      </c>
      <c r="G179" s="621">
        <f>F179*E179</f>
        <v>0.05</v>
      </c>
      <c r="H179" s="633"/>
      <c r="M179" s="288"/>
      <c r="N179" s="288"/>
      <c r="O179" s="288"/>
      <c r="P179" s="288"/>
      <c r="Q179" s="288"/>
      <c r="R179" s="288"/>
      <c r="S179" s="288"/>
      <c r="T179" s="288"/>
      <c r="U179" s="288"/>
      <c r="V179" s="288"/>
      <c r="W179" s="288"/>
      <c r="X179" s="288"/>
      <c r="Y179" s="288"/>
      <c r="Z179" s="288"/>
      <c r="AA179" s="288"/>
    </row>
    <row r="180" spans="1:52" s="222" customFormat="1" ht="19.5" customHeight="1" x14ac:dyDescent="0.25">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189"/>
      <c r="W180" s="189"/>
      <c r="X180" s="189"/>
      <c r="Y180" s="189"/>
      <c r="Z180" s="189"/>
      <c r="AA180" s="189"/>
      <c r="AB180" s="202"/>
      <c r="AC180" s="202"/>
      <c r="AD180" s="202"/>
      <c r="AE180" s="202"/>
    </row>
    <row r="181" spans="1:52" s="225" customFormat="1" ht="19.5" customHeight="1" x14ac:dyDescent="0.25">
      <c r="A181" s="634" t="s">
        <v>327</v>
      </c>
      <c r="C181" s="288"/>
      <c r="D181" s="288"/>
      <c r="E181" s="288"/>
      <c r="F181" s="288"/>
      <c r="G181" s="288"/>
      <c r="H181" s="288"/>
      <c r="I181" s="288"/>
      <c r="J181" s="288"/>
      <c r="K181" s="288"/>
      <c r="L181" s="288"/>
      <c r="M181" s="288"/>
      <c r="N181" s="288"/>
      <c r="O181" s="288"/>
      <c r="P181" s="288"/>
      <c r="Q181" s="288"/>
      <c r="R181" s="288"/>
      <c r="S181" s="288"/>
      <c r="T181" s="288"/>
      <c r="U181" s="288"/>
      <c r="V181" s="222"/>
      <c r="W181" s="222"/>
      <c r="X181" s="222"/>
      <c r="Y181" s="222"/>
      <c r="Z181" s="222"/>
      <c r="AA181" s="222"/>
      <c r="AB181" s="222"/>
      <c r="AC181" s="222"/>
      <c r="AD181" s="222"/>
      <c r="AE181" s="222"/>
      <c r="AG181" s="328"/>
      <c r="AI181" s="328"/>
      <c r="AJ181" s="328"/>
      <c r="AK181" s="328"/>
      <c r="AL181" s="328"/>
      <c r="AP181" s="222"/>
      <c r="AQ181" s="211"/>
      <c r="AR181" s="222"/>
      <c r="AS181" s="222"/>
      <c r="AY181" s="300"/>
      <c r="AZ181" s="300"/>
    </row>
    <row r="182" spans="1:52" s="187" customFormat="1" ht="19.5" customHeight="1" x14ac:dyDescent="0.25">
      <c r="A182" s="2020" t="s">
        <v>50</v>
      </c>
      <c r="B182" s="2023" t="s">
        <v>15</v>
      </c>
      <c r="C182" s="606" t="s">
        <v>261</v>
      </c>
      <c r="D182" s="607" t="s">
        <v>224</v>
      </c>
      <c r="E182" s="608" t="s">
        <v>329</v>
      </c>
      <c r="F182" s="607" t="s">
        <v>260</v>
      </c>
      <c r="G182" s="607" t="s">
        <v>260</v>
      </c>
      <c r="H182" s="628"/>
      <c r="I182" s="222"/>
      <c r="J182" s="288"/>
      <c r="K182" s="288"/>
      <c r="L182" s="288"/>
      <c r="M182" s="288"/>
      <c r="N182" s="288"/>
      <c r="O182" s="610"/>
      <c r="P182" s="288"/>
      <c r="Q182" s="288"/>
      <c r="R182" s="610"/>
      <c r="S182" s="288"/>
      <c r="T182" s="288"/>
      <c r="U182" s="610"/>
      <c r="V182" s="288"/>
      <c r="W182" s="288"/>
      <c r="X182" s="288"/>
      <c r="Y182" s="288"/>
      <c r="Z182" s="222"/>
      <c r="AA182" s="288"/>
      <c r="AB182" s="288"/>
      <c r="AC182" s="222"/>
      <c r="AD182" s="222"/>
      <c r="AE182" s="222"/>
    </row>
    <row r="183" spans="1:52" s="222" customFormat="1" ht="19.5" customHeight="1" x14ac:dyDescent="0.25">
      <c r="A183" s="2021"/>
      <c r="B183" s="2024"/>
      <c r="C183" s="2026" t="s">
        <v>340</v>
      </c>
      <c r="D183" s="613" t="s">
        <v>328</v>
      </c>
      <c r="E183" s="613" t="s">
        <v>87</v>
      </c>
      <c r="F183" s="613"/>
      <c r="G183" s="614" t="s">
        <v>11</v>
      </c>
      <c r="H183" s="628"/>
      <c r="J183" s="288"/>
      <c r="K183" s="288"/>
      <c r="L183" s="288"/>
      <c r="M183" s="288"/>
      <c r="N183" s="288"/>
      <c r="O183" s="610"/>
      <c r="P183" s="288"/>
      <c r="Q183" s="288"/>
      <c r="R183" s="610"/>
      <c r="S183" s="288"/>
      <c r="T183" s="288"/>
      <c r="U183" s="610"/>
      <c r="V183" s="288"/>
      <c r="W183" s="288"/>
      <c r="X183" s="288"/>
      <c r="Y183" s="288"/>
      <c r="AA183" s="288"/>
      <c r="AB183" s="288"/>
    </row>
    <row r="184" spans="1:52" s="222" customFormat="1" ht="19.5" customHeight="1" x14ac:dyDescent="0.25">
      <c r="A184" s="2022"/>
      <c r="B184" s="2025"/>
      <c r="C184" s="2027"/>
      <c r="D184" s="617" t="s">
        <v>229</v>
      </c>
      <c r="E184" s="617"/>
      <c r="F184" s="614" t="s">
        <v>337</v>
      </c>
      <c r="G184" s="614" t="s">
        <v>166</v>
      </c>
      <c r="H184" s="628"/>
      <c r="J184" s="288"/>
      <c r="K184" s="288"/>
      <c r="L184" s="288"/>
      <c r="M184" s="288"/>
      <c r="N184" s="288"/>
      <c r="O184" s="610"/>
      <c r="P184" s="288"/>
      <c r="Q184" s="288"/>
      <c r="R184" s="610"/>
      <c r="S184" s="288"/>
      <c r="T184" s="288"/>
      <c r="U184" s="610"/>
      <c r="V184" s="288"/>
      <c r="W184" s="288"/>
      <c r="X184" s="288"/>
      <c r="Y184" s="288"/>
      <c r="AA184" s="288"/>
      <c r="AB184" s="288"/>
    </row>
    <row r="185" spans="1:52" s="222" customFormat="1" ht="30" customHeight="1" x14ac:dyDescent="0.25">
      <c r="A185" s="623"/>
      <c r="B185" s="631" t="str">
        <f>Samenvatting!A287</f>
        <v>werken in nabijheid geactiveerde onderdelen</v>
      </c>
      <c r="C185" s="1861">
        <v>1.5</v>
      </c>
      <c r="D185" s="1861">
        <v>2</v>
      </c>
      <c r="E185" s="1861">
        <v>24</v>
      </c>
      <c r="F185" s="632">
        <f>C185*D185/10^3</f>
        <v>3.0000000000000001E-3</v>
      </c>
      <c r="G185" s="621">
        <f>F185*E185</f>
        <v>7.2000000000000008E-2</v>
      </c>
      <c r="H185" s="635"/>
      <c r="M185" s="288"/>
      <c r="N185" s="288"/>
      <c r="O185" s="288"/>
      <c r="P185" s="288"/>
      <c r="Q185" s="288"/>
      <c r="R185" s="288"/>
      <c r="S185" s="288"/>
      <c r="T185" s="288"/>
      <c r="U185" s="288"/>
      <c r="V185" s="288"/>
      <c r="W185" s="288"/>
      <c r="X185" s="288"/>
      <c r="Y185" s="288"/>
      <c r="Z185" s="288"/>
      <c r="AA185" s="288"/>
    </row>
    <row r="186" spans="1:52" s="222" customFormat="1" ht="19.5" customHeight="1" x14ac:dyDescent="0.25">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189"/>
      <c r="W186" s="189"/>
      <c r="X186" s="189"/>
      <c r="Y186" s="189"/>
      <c r="Z186" s="189"/>
      <c r="AA186" s="189"/>
      <c r="AB186" s="202"/>
      <c r="AC186" s="202"/>
      <c r="AD186" s="202"/>
      <c r="AE186" s="202"/>
    </row>
    <row r="187" spans="1:52" s="225" customFormat="1" ht="19.5" customHeight="1" thickBot="1" x14ac:dyDescent="0.3">
      <c r="A187" s="288" t="s">
        <v>326</v>
      </c>
      <c r="C187" s="636"/>
      <c r="D187" s="265"/>
      <c r="E187" s="265"/>
      <c r="F187" s="265"/>
      <c r="G187" s="265"/>
      <c r="H187" s="265"/>
      <c r="I187" s="233"/>
      <c r="J187" s="242"/>
      <c r="K187" s="233"/>
      <c r="L187" s="233"/>
      <c r="M187" s="242"/>
      <c r="N187" s="369"/>
      <c r="O187" s="222"/>
      <c r="P187" s="222"/>
      <c r="Q187" s="222"/>
      <c r="R187" s="222"/>
      <c r="T187" s="328"/>
      <c r="V187" s="328"/>
      <c r="W187" s="328"/>
      <c r="X187" s="328"/>
      <c r="Y187" s="328"/>
      <c r="AC187" s="222"/>
      <c r="AD187" s="211"/>
      <c r="AE187" s="222"/>
      <c r="AF187" s="222"/>
      <c r="AL187" s="300"/>
      <c r="AM187" s="300"/>
    </row>
    <row r="188" spans="1:52" s="225" customFormat="1" ht="19.5" customHeight="1" thickBot="1" x14ac:dyDescent="0.3">
      <c r="A188" s="2020" t="s">
        <v>50</v>
      </c>
      <c r="B188" s="2023" t="s">
        <v>15</v>
      </c>
      <c r="C188" s="1998" t="s">
        <v>25</v>
      </c>
      <c r="D188" s="1998" t="s">
        <v>158</v>
      </c>
      <c r="E188" s="2012" t="s">
        <v>527</v>
      </c>
      <c r="F188" s="304" t="s">
        <v>77</v>
      </c>
      <c r="G188" s="637"/>
      <c r="H188" s="305"/>
      <c r="I188" s="607" t="s">
        <v>224</v>
      </c>
      <c r="J188" s="608" t="s">
        <v>329</v>
      </c>
      <c r="K188" s="2016">
        <v>18</v>
      </c>
      <c r="L188" s="2017"/>
      <c r="M188" s="2018"/>
      <c r="N188" s="2003" t="s">
        <v>16</v>
      </c>
      <c r="O188" s="2004"/>
      <c r="P188" s="222"/>
      <c r="Q188" s="222"/>
      <c r="R188" s="222"/>
      <c r="T188" s="328"/>
      <c r="V188" s="328"/>
      <c r="W188" s="328"/>
      <c r="X188" s="328"/>
      <c r="Y188" s="328"/>
      <c r="AC188" s="222"/>
      <c r="AD188" s="211"/>
      <c r="AE188" s="222"/>
      <c r="AF188" s="222"/>
      <c r="AL188" s="300"/>
      <c r="AM188" s="300"/>
    </row>
    <row r="189" spans="1:52" s="222" customFormat="1" ht="19.5" customHeight="1" x14ac:dyDescent="0.25">
      <c r="A189" s="2021"/>
      <c r="B189" s="2024"/>
      <c r="C189" s="2010"/>
      <c r="D189" s="2010"/>
      <c r="E189" s="2010"/>
      <c r="F189" s="639"/>
      <c r="G189" s="211"/>
      <c r="H189" s="611"/>
      <c r="I189" s="614" t="s">
        <v>328</v>
      </c>
      <c r="J189" s="613" t="s">
        <v>87</v>
      </c>
      <c r="K189" s="312" t="s">
        <v>86</v>
      </c>
      <c r="L189" s="312" t="s">
        <v>206</v>
      </c>
      <c r="M189" s="312" t="s">
        <v>260</v>
      </c>
      <c r="N189" s="613"/>
      <c r="O189" s="614" t="s">
        <v>11</v>
      </c>
      <c r="T189" s="328"/>
      <c r="V189" s="328"/>
      <c r="W189" s="328"/>
      <c r="X189" s="328"/>
      <c r="Y189" s="328"/>
      <c r="AD189" s="211"/>
      <c r="AL189" s="211"/>
      <c r="AM189" s="211"/>
    </row>
    <row r="190" spans="1:52" s="222" customFormat="1" ht="19.5" customHeight="1" thickBot="1" x14ac:dyDescent="0.3">
      <c r="A190" s="2022"/>
      <c r="B190" s="2025"/>
      <c r="C190" s="2011"/>
      <c r="D190" s="2011"/>
      <c r="E190" s="2013"/>
      <c r="F190" s="615" t="s">
        <v>1</v>
      </c>
      <c r="G190" s="615" t="s">
        <v>61</v>
      </c>
      <c r="H190" s="615" t="s">
        <v>3</v>
      </c>
      <c r="I190" s="179" t="s">
        <v>229</v>
      </c>
      <c r="J190" s="179"/>
      <c r="K190" s="505" t="s">
        <v>208</v>
      </c>
      <c r="L190" s="505" t="s">
        <v>207</v>
      </c>
      <c r="M190" s="506" t="s">
        <v>341</v>
      </c>
      <c r="N190" s="614" t="s">
        <v>337</v>
      </c>
      <c r="O190" s="614" t="s">
        <v>166</v>
      </c>
      <c r="U190" s="328"/>
      <c r="W190" s="328"/>
      <c r="X190" s="328"/>
      <c r="Y190" s="328"/>
      <c r="Z190" s="328"/>
      <c r="AE190" s="211"/>
      <c r="AM190" s="211"/>
      <c r="AN190" s="211"/>
    </row>
    <row r="191" spans="1:52" s="222" customFormat="1" ht="30" customHeight="1" x14ac:dyDescent="0.25">
      <c r="A191" s="301"/>
      <c r="B191" s="2008" t="str">
        <f>Samenvatting!A298</f>
        <v>werkzaamheden uitvoeren in gecontroleerde ruimte (buiten de bestralingsruimte) terwijl er gestraald word: bv dak wegens reparaties</v>
      </c>
      <c r="C191" s="323" t="s">
        <v>569</v>
      </c>
      <c r="D191" s="1840">
        <v>6</v>
      </c>
      <c r="E191" s="1863">
        <v>0.25</v>
      </c>
      <c r="F191" s="1834">
        <v>250</v>
      </c>
      <c r="G191" s="1834">
        <v>0</v>
      </c>
      <c r="H191" s="1834">
        <v>0</v>
      </c>
      <c r="I191" s="640"/>
      <c r="J191" s="641"/>
      <c r="K191" s="686">
        <f>IF(K188=C4,IF($F191=0,0,1+($F191-$C$21)/$C$22)+$G191/$C$23+$H191/$C$24,IF(K188=D4,(IF($F191=0,0,1+($F191-$D$21)/$D$22)+$G191/$D$23+$H191/$D$24),IF(K188=E4,IF($F191=0,0,1+($F191-$E$21)/$E$22)+$G191/$E$23+$H191/$E$24,IF(K188=F4,IF($F191=0,0,1+($F191-$F$21)/$F$22)+$G191/$F$23+$H191/$F$24,IF(K188=G4,IF($F191=0,0,1+($F191-$G$21)/$G$22)+$G191/$G$23+$H191/$G$24,2)))))</f>
        <v>5.7674418604651159</v>
      </c>
      <c r="L191" s="72">
        <f>10^(-K191)</f>
        <v>1.7082763938087111E-6</v>
      </c>
      <c r="M191" s="71">
        <f>($C$7*$C$14*I192/40*$E191/$D191^2*L191*10^6)</f>
        <v>1.1863030512560492E-2</v>
      </c>
      <c r="N191" s="642">
        <f>M191+M192</f>
        <v>1.8104733127211996E-2</v>
      </c>
      <c r="O191" s="643">
        <f>N191*J192</f>
        <v>1.8104733127211996E-2</v>
      </c>
      <c r="U191" s="328"/>
      <c r="V191" s="328"/>
      <c r="W191" s="328"/>
      <c r="X191" s="328"/>
      <c r="Y191" s="328"/>
      <c r="Z191" s="328"/>
      <c r="AE191" s="211"/>
      <c r="AM191" s="211"/>
      <c r="AN191" s="211"/>
    </row>
    <row r="192" spans="1:52" s="222" customFormat="1" ht="30" customHeight="1" thickBot="1" x14ac:dyDescent="0.3">
      <c r="A192" s="623"/>
      <c r="B192" s="2019"/>
      <c r="C192" s="331" t="s">
        <v>568</v>
      </c>
      <c r="D192" s="1864">
        <v>5</v>
      </c>
      <c r="E192" s="644"/>
      <c r="F192" s="1865">
        <v>250</v>
      </c>
      <c r="G192" s="1865">
        <v>0</v>
      </c>
      <c r="H192" s="1865">
        <v>0</v>
      </c>
      <c r="I192" s="1866">
        <v>1</v>
      </c>
      <c r="J192" s="1867">
        <v>1</v>
      </c>
      <c r="K192" s="105">
        <f>IF(K188=$C$4,$F192/$C$27+$G192/$C$28+$H192/$C$29,IF(K188=$D$4,$F192/$D$27+$G192/$D$28+$H192/$D$29,IF(K188=$E$4,$F192/$E$27+$G192/$E$28+$H192/$E$29,IF(K188=$F$4,$F192/$F$27+$G192/$F$28+$H192/$F$29,IF(K188=$G$4,$F192/$G$27+$G192/$G$28+$H192/$G$29, )))))</f>
        <v>5.6818181818181817</v>
      </c>
      <c r="L192" s="106">
        <f>10^(-K192)</f>
        <v>2.0805675382171676E-6</v>
      </c>
      <c r="M192" s="105">
        <f>($C$7*I192/40*$C$15*($C$9+$C$10*$C$11)/$D192^2*L192*10^6)</f>
        <v>6.2417026146515033E-3</v>
      </c>
      <c r="N192" s="645"/>
      <c r="O192" s="646"/>
      <c r="U192" s="328"/>
      <c r="V192" s="328"/>
      <c r="W192" s="328"/>
      <c r="X192" s="328"/>
      <c r="Y192" s="328"/>
      <c r="Z192" s="328"/>
      <c r="AE192" s="211"/>
      <c r="AM192" s="211"/>
      <c r="AN192" s="211"/>
    </row>
    <row r="193" spans="1:31" s="222" customFormat="1" ht="30" customHeight="1" x14ac:dyDescent="0.25">
      <c r="A193" s="201"/>
      <c r="B193" s="201"/>
      <c r="C193" s="201"/>
      <c r="D193" s="201"/>
      <c r="E193" s="201"/>
      <c r="F193" s="201"/>
      <c r="G193" s="201"/>
      <c r="H193" s="201"/>
      <c r="I193" s="201"/>
      <c r="J193" s="201"/>
      <c r="K193" s="201"/>
      <c r="L193" s="201"/>
      <c r="M193" s="201"/>
      <c r="N193" s="189"/>
      <c r="O193" s="202"/>
      <c r="P193" s="202"/>
      <c r="Q193" s="202"/>
      <c r="R193" s="202"/>
    </row>
    <row r="194" spans="1:31" s="222" customFormat="1" ht="19.5" customHeight="1" x14ac:dyDescent="0.25">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189"/>
      <c r="W194" s="189"/>
      <c r="X194" s="189"/>
      <c r="Y194" s="189"/>
      <c r="Z194" s="189"/>
      <c r="AA194" s="189"/>
      <c r="AB194" s="202"/>
      <c r="AC194" s="202"/>
      <c r="AD194" s="202"/>
      <c r="AE194" s="202"/>
    </row>
    <row r="195" spans="1:31" ht="19.5" customHeight="1" x14ac:dyDescent="0.25">
      <c r="C195" s="279"/>
      <c r="D195" s="280"/>
      <c r="L195" s="647"/>
      <c r="M195" s="647"/>
      <c r="S195" s="648"/>
      <c r="U195" s="189"/>
      <c r="V195" s="190"/>
      <c r="AA195" s="202"/>
      <c r="AB195" s="538"/>
      <c r="AC195" s="538"/>
      <c r="AD195" s="538"/>
      <c r="AE195" s="538"/>
    </row>
    <row r="196" spans="1:31" ht="19.5" customHeight="1" x14ac:dyDescent="0.25"/>
    <row r="197" spans="1:31" ht="19.5" customHeight="1" x14ac:dyDescent="0.25"/>
  </sheetData>
  <sheetProtection algorithmName="SHA-512" hashValue="gw6LFupP1n4auUHP95vxJBhzmjKeSTOoBOjWa0TSeSBB0D9IRPPJ4X+zo1NK3PiS+C64PdjdxpfsBBE1uCgxeQ==" saltValue="TQxdm9LA6g3ni+jXMuBg9w==" spinCount="100000" sheet="1" objects="1" scenarios="1"/>
  <mergeCells count="37">
    <mergeCell ref="B191:B192"/>
    <mergeCell ref="P140:R140"/>
    <mergeCell ref="S140:U140"/>
    <mergeCell ref="V140:X140"/>
    <mergeCell ref="Y140:AA140"/>
    <mergeCell ref="N188:O188"/>
    <mergeCell ref="K188:M188"/>
    <mergeCell ref="X128:Z128"/>
    <mergeCell ref="A182:A184"/>
    <mergeCell ref="B182:B184"/>
    <mergeCell ref="C183:C184"/>
    <mergeCell ref="M141:M142"/>
    <mergeCell ref="P141:P142"/>
    <mergeCell ref="B172:B173"/>
    <mergeCell ref="I169:J169"/>
    <mergeCell ref="A176:A178"/>
    <mergeCell ref="B176:B178"/>
    <mergeCell ref="C177:C178"/>
    <mergeCell ref="S141:S142"/>
    <mergeCell ref="V141:V142"/>
    <mergeCell ref="Y141:Y142"/>
    <mergeCell ref="Q132:Q133"/>
    <mergeCell ref="R132:R133"/>
    <mergeCell ref="AB130:AB135"/>
    <mergeCell ref="AC130:AC135"/>
    <mergeCell ref="A188:A190"/>
    <mergeCell ref="B188:B190"/>
    <mergeCell ref="C188:C190"/>
    <mergeCell ref="D188:D190"/>
    <mergeCell ref="E188:E190"/>
    <mergeCell ref="AB140:AD140"/>
    <mergeCell ref="AC141:AD141"/>
    <mergeCell ref="L134:L135"/>
    <mergeCell ref="M134:M135"/>
    <mergeCell ref="F132:F133"/>
    <mergeCell ref="J132:J133"/>
    <mergeCell ref="K130:K133"/>
  </mergeCells>
  <dataValidations count="21">
    <dataValidation allowBlank="1" showInputMessage="1" showErrorMessage="1" prompt="Als labyrint 1 bocht heeft dan dan is er geen A5: 1 invullen_x000a_" sqref="E116:E117"/>
    <dataValidation allowBlank="1" showInputMessage="1" showErrorMessage="1" promptTitle="let op" prompt="Als labyrint 1 bocht heeft dan dan is er geen A5: 1 invullen" sqref="R130:R132"/>
    <dataValidation allowBlank="1" showInputMessage="1" showErrorMessage="1" prompt="als versneller parallel aan het labyrint draait is er geen A2_x000a_: 1 invullen" sqref="O131"/>
    <dataValidation allowBlank="1" showInputMessage="1" showErrorMessage="1" promptTitle="let op" prompt="als versneller parallel aan het labyrint draait is er geen dz2:_x000a_ 1 invullen" sqref="H131:J131"/>
    <dataValidation allowBlank="1" showInputMessage="1" showErrorMessage="1" promptTitle="let op" prompt="is 1 las versneller parallel aan het labyrint draait" sqref="R15:R16"/>
    <dataValidation type="list" allowBlank="1" showInputMessage="1" showErrorMessage="1" sqref="G106">
      <formula1>"parallel,loodrecht"</formula1>
    </dataValidation>
    <dataValidation type="list" allowBlank="1" showInputMessage="1" showErrorMessage="1" sqref="G107:G108">
      <formula1>"1,2"</formula1>
    </dataValidation>
    <dataValidation allowBlank="1" showInputMessage="1" showErrorMessage="1" promptTitle="let op" prompt="als er geen afstand dp is: 1 invullen_x000a_Bij de voorbeeld plattegronden is er alleen een afstand dp in fig 6. " sqref="P17"/>
    <dataValidation allowBlank="1" showInputMessage="1" showErrorMessage="1" promptTitle="let op" prompt="Alleen van belang als E &gt; 10 MV (neutronenproduktie)" sqref="G125:G126"/>
    <dataValidation allowBlank="1" showInputMessage="1" showErrorMessage="1" prompt="Fr richting  opp A1_x000a_" sqref="W130"/>
    <dataValidation allowBlank="1" showInputMessage="1" showErrorMessage="1" promptTitle="let op" prompt="Fr richting opp A2._x000a_Als versneller parallel aan labyrint draait dan is er geen A2: fr is dan 0" sqref="W131"/>
    <dataValidation allowBlank="1" showInputMessage="1" showErrorMessage="1" promptTitle="let op" prompt="als versneller parallel aan het labyrint draait is er geen dp2: 1 invullen" sqref="E131:G131"/>
    <dataValidation allowBlank="1" showInputMessage="1" showErrorMessage="1" promptTitle="let op" prompt="Als labyrint 1 bocht heeft dan dan is er geen dz5: 1 invullen_x000a_" sqref="S131:V131 P131:Q131 K130 L131:N131"/>
    <dataValidation allowBlank="1" showInputMessage="1" showErrorMessage="1" prompt="Fr voor gantry  90 graden als versneller parallel aan labyrint draait of Fr voor gantry 270 graden als versneller loodrecht op labyrint draait _x000a_" sqref="W133"/>
    <dataValidation allowBlank="1" showInputMessage="1" showErrorMessage="1" prompt="binnenmuur labyrint" sqref="X131:AA131"/>
    <dataValidation allowBlank="1" showInputMessage="1" showErrorMessage="1" prompt="Als kort labyrint (&lt; 5m) gebruik dan 6,1 cm" sqref="O115"/>
    <dataValidation type="list" allowBlank="1" showInputMessage="1" showErrorMessage="1" prompt="Zie handleiding voor verwijzing naar literatuur._x000a_" sqref="Q111">
      <formula1>"1,5,7E-16,6,9E-16"</formula1>
    </dataValidation>
    <dataValidation type="list" allowBlank="1" showInputMessage="1" showErrorMessage="1" prompt="Zie handleiding voor verwijzing naar literatuur._x000a_" sqref="Q113">
      <formula1>"1,3,9,5,4,6,2"</formula1>
    </dataValidation>
    <dataValidation type="list" allowBlank="1" showInputMessage="1" showErrorMessage="1" sqref="K188:M188">
      <formula1>$C$4:$H$4</formula1>
    </dataValidation>
    <dataValidation allowBlank="1" showInputMessage="1" showErrorMessage="1" prompt="Stralingsweegfactor, WR = 20" sqref="E173"/>
    <dataValidation type="list" allowBlank="1" showInputMessage="1" showErrorMessage="1" prompt="als head shielding van wolfraam dan 0,85, als van lood dan 1_x000a_als geen neutronen dan ook 1" sqref="C16">
      <formula1>"0,85,1"</formula1>
    </dataValidation>
  </dataValidations>
  <pageMargins left="0.70866141732283472" right="0.70866141732283472" top="0.74803149606299213" bottom="0.74803149606299213" header="0.31496062992125984" footer="0.31496062992125984"/>
  <pageSetup paperSize="8" scale="30" orientation="landscape" r:id="rId1"/>
  <headerFooter>
    <oddFooter>&amp;C&amp;F &amp;A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vt:i4>
      </vt:variant>
    </vt:vector>
  </HeadingPairs>
  <TitlesOfParts>
    <vt:vector size="26" baseType="lpstr">
      <vt:lpstr>Disclaimer</vt:lpstr>
      <vt:lpstr>Invullen Rekensheet</vt:lpstr>
      <vt:lpstr>Samenvatting</vt:lpstr>
      <vt:lpstr>Overzicht tbv RI&amp;E</vt:lpstr>
      <vt:lpstr>Linac 1</vt:lpstr>
      <vt:lpstr>Linac 2</vt:lpstr>
      <vt:lpstr>Linac 3</vt:lpstr>
      <vt:lpstr>Linac 4</vt:lpstr>
      <vt:lpstr>Linac 5</vt:lpstr>
      <vt:lpstr>Linac 6</vt:lpstr>
      <vt:lpstr>Linac 7</vt:lpstr>
      <vt:lpstr>Linac 8</vt:lpstr>
      <vt:lpstr>Linac 9</vt:lpstr>
      <vt:lpstr>Linac 10</vt:lpstr>
      <vt:lpstr>plattegronden Linac </vt:lpstr>
      <vt:lpstr>CT</vt:lpstr>
      <vt:lpstr>Orthovolt</vt:lpstr>
      <vt:lpstr>Brachy HDR</vt:lpstr>
      <vt:lpstr>Brachy PDR</vt:lpstr>
      <vt:lpstr>I-125 implantatie</vt:lpstr>
      <vt:lpstr>PET-CT </vt:lpstr>
      <vt:lpstr>TVT's afscherming</vt:lpstr>
      <vt:lpstr>reflectiecoefficienten</vt:lpstr>
      <vt:lpstr>patientscatterfactoren</vt:lpstr>
      <vt:lpstr>Geschiedenis</vt:lpstr>
      <vt:lpstr>'Invullen Rekensheet'!_Toc19106398</vt:lpstr>
    </vt:vector>
  </TitlesOfParts>
  <Company>Medisch Spectrum Twente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 Harbers</dc:creator>
  <cp:lastModifiedBy>Jeroen van de Kamer</cp:lastModifiedBy>
  <cp:lastPrinted>2019-09-09T11:36:26Z</cp:lastPrinted>
  <dcterms:created xsi:type="dcterms:W3CDTF">2012-03-30T09:06:30Z</dcterms:created>
  <dcterms:modified xsi:type="dcterms:W3CDTF">2019-12-11T15:46:50Z</dcterms:modified>
</cp:coreProperties>
</file>